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624"/>
  <workbookPr showInkAnnotation="0" autoCompressPictures="0"/>
  <bookViews>
    <workbookView xWindow="0" yWindow="0" windowWidth="23040" windowHeight="13940" tabRatio="500" activeTab="2"/>
  </bookViews>
  <sheets>
    <sheet name="Ranking" sheetId="1" r:id="rId1"/>
    <sheet name="Rnking Charts" sheetId="2" r:id="rId2"/>
    <sheet name="Site Scoring" sheetId="3" r:id="rId3"/>
    <sheet name="YoY Change" sheetId="4" r:id="rId4"/>
    <sheet name="Fashion Innovation" sheetId="5" r:id="rId5"/>
    <sheet name="Qual Google" sheetId="21" r:id="rId6"/>
    <sheet name="Email" sheetId="6" r:id="rId7"/>
    <sheet name="UserGen" sheetId="18" r:id="rId8"/>
    <sheet name="Web Advertising" sheetId="19" r:id="rId9"/>
    <sheet name="Facebook" sheetId="7" r:id="rId10"/>
    <sheet name="Facebook Growth 11-12" sheetId="22" r:id="rId11"/>
    <sheet name="Twitter" sheetId="17" r:id="rId12"/>
    <sheet name="Twitter Growth" sheetId="23" r:id="rId13"/>
    <sheet name="YouTube" sheetId="20" r:id="rId14"/>
    <sheet name="YT Growth" sheetId="24" r:id="rId15"/>
    <sheet name="Instagram" sheetId="9" r:id="rId16"/>
    <sheet name="Instagram top 10" sheetId="25" r:id="rId17"/>
    <sheet name="Pinterest" sheetId="15" r:id="rId18"/>
    <sheet name="Pinterest top 10" sheetId="26" r:id="rId19"/>
    <sheet name="Tumblr" sheetId="16" r:id="rId20"/>
    <sheet name="Mobile Site" sheetId="14" r:id="rId21"/>
    <sheet name="iOS" sheetId="10" r:id="rId22"/>
    <sheet name="iPad" sheetId="11" r:id="rId23"/>
    <sheet name="iPhone" sheetId="12" r:id="rId24"/>
    <sheet name="Geolocal" sheetId="8" r:id="rId25"/>
    <sheet name="Mobile Innovation" sheetId="13" r:id="rId26"/>
  </sheets>
  <externalReferences>
    <externalReference r:id="rId27"/>
  </externalReferences>
  <definedNames>
    <definedName name="_xlnm._FilterDatabase" localSheetId="6" hidden="1">Email!$A$1:$BU$79</definedName>
    <definedName name="_xlnm._FilterDatabase" localSheetId="9" hidden="1">Facebook!$A$1:$AV$79</definedName>
    <definedName name="_xlnm._FilterDatabase" localSheetId="24" hidden="1">Geolocal!$A$1:$Y$64</definedName>
    <definedName name="_xlnm._FilterDatabase" localSheetId="15" hidden="1">Instagram!$A$1:$AH$68</definedName>
    <definedName name="_xlnm._FilterDatabase" localSheetId="23" hidden="1">iPhone!$A$1:$AA$84</definedName>
    <definedName name="_xlnm._FilterDatabase" localSheetId="20" hidden="1">'Mobile Site'!$A$1:$T$66</definedName>
    <definedName name="_xlnm._FilterDatabase" localSheetId="17" hidden="1">Pinterest!$A$1:$AO$66</definedName>
    <definedName name="_xlnm._FilterDatabase" localSheetId="5" hidden="1">'Qual Google'!$A$2:$AX$67</definedName>
    <definedName name="_xlnm._FilterDatabase" localSheetId="0" hidden="1">Ranking!$A$1:$BV$65</definedName>
    <definedName name="_xlnm._FilterDatabase" localSheetId="1" hidden="1">'Rnking Charts'!$A$1:$AV$66</definedName>
    <definedName name="_xlnm._FilterDatabase" localSheetId="2" hidden="1">'Site Scoring'!$A$2:$FN$67</definedName>
    <definedName name="_xlnm._FilterDatabase" localSheetId="19" hidden="1">Tumblr!$A$1:$S$1</definedName>
    <definedName name="_xlnm._FilterDatabase" localSheetId="7" hidden="1">UserGen!$A$1:$P$66</definedName>
    <definedName name="_xlnm._FilterDatabase" localSheetId="13" hidden="1">YouTube!$A$1:$CI$66</definedName>
    <definedName name="Excel_BuiltIn__FilterDatabase_1_1">'Site Scoring'!$2:$2</definedName>
    <definedName name="Excel_BuiltIn__FilterDatabase_1_1_1">'Site Scoring'!$B$2:$BC$2</definedName>
    <definedName name="Excel_BuiltIn__FilterDatabase_2_1">'Site Scoring'!$2:$2</definedName>
    <definedName name="Excel_BuiltIn__FilterDatabase_3">'Site Scoring'!$1:$1048576</definedName>
    <definedName name="Excel_BuiltIn__FilterDatabase_3_1">'Site Scoring'!$1:$1048576</definedName>
    <definedName name="Excel_BuiltIn__FilterDatabase_4_1">'Site Scoring'!$A$2:$FN$2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52" i="25" l="1"/>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D42" i="23"/>
  <c r="E42" i="23"/>
  <c r="D2" i="23"/>
  <c r="E2" i="23"/>
  <c r="D3" i="23"/>
  <c r="E3" i="23"/>
  <c r="D4" i="23"/>
  <c r="E4" i="23"/>
  <c r="D5" i="23"/>
  <c r="E5" i="23"/>
  <c r="D6" i="23"/>
  <c r="E6" i="23"/>
  <c r="D7" i="23"/>
  <c r="E7" i="23"/>
  <c r="D8" i="23"/>
  <c r="E8" i="23"/>
  <c r="D9" i="23"/>
  <c r="E9" i="23"/>
  <c r="D10" i="23"/>
  <c r="E10" i="23"/>
  <c r="D11" i="23"/>
  <c r="E11" i="23"/>
  <c r="D12" i="23"/>
  <c r="E12" i="23"/>
  <c r="D13" i="23"/>
  <c r="E13" i="23"/>
  <c r="D14" i="23"/>
  <c r="E14" i="23"/>
  <c r="D15" i="23"/>
  <c r="E15" i="23"/>
  <c r="D16" i="23"/>
  <c r="E16" i="23"/>
  <c r="D17" i="23"/>
  <c r="E17" i="23"/>
  <c r="D18" i="23"/>
  <c r="E18" i="23"/>
  <c r="D19" i="23"/>
  <c r="E19" i="23"/>
  <c r="D20" i="23"/>
  <c r="E20" i="23"/>
  <c r="D21" i="23"/>
  <c r="E21" i="23"/>
  <c r="D22" i="23"/>
  <c r="E22" i="23"/>
  <c r="D23" i="23"/>
  <c r="E23" i="23"/>
  <c r="D24" i="23"/>
  <c r="E24" i="23"/>
  <c r="D25" i="23"/>
  <c r="E25" i="23"/>
  <c r="D26" i="23"/>
  <c r="E26" i="23"/>
  <c r="D27" i="23"/>
  <c r="E27" i="23"/>
  <c r="D28" i="23"/>
  <c r="E28" i="23"/>
  <c r="D29" i="23"/>
  <c r="E29" i="23"/>
  <c r="D30" i="23"/>
  <c r="E30" i="23"/>
  <c r="D31" i="23"/>
  <c r="E31" i="23"/>
  <c r="D32" i="23"/>
  <c r="E32" i="23"/>
  <c r="D33" i="23"/>
  <c r="E33" i="23"/>
  <c r="D34" i="23"/>
  <c r="E34" i="23"/>
  <c r="D35" i="23"/>
  <c r="E35" i="23"/>
  <c r="D36" i="23"/>
  <c r="E36" i="23"/>
  <c r="D37" i="23"/>
  <c r="E37" i="23"/>
  <c r="D38" i="23"/>
  <c r="E38" i="23"/>
  <c r="D39" i="23"/>
  <c r="E39" i="23"/>
  <c r="E40" i="23"/>
  <c r="D40" i="23"/>
  <c r="C40" i="23"/>
  <c r="D2" i="22"/>
  <c r="E2" i="22"/>
  <c r="D3" i="22"/>
  <c r="E3" i="22"/>
  <c r="D4" i="22"/>
  <c r="E4" i="22"/>
  <c r="D5" i="22"/>
  <c r="E5" i="22"/>
  <c r="D6" i="22"/>
  <c r="E6" i="22"/>
  <c r="D7" i="22"/>
  <c r="E7" i="22"/>
  <c r="D8" i="22"/>
  <c r="E8" i="22"/>
  <c r="D9" i="22"/>
  <c r="E9" i="22"/>
  <c r="D10" i="22"/>
  <c r="E10" i="22"/>
  <c r="D11" i="22"/>
  <c r="E11" i="22"/>
  <c r="D12" i="22"/>
  <c r="E12" i="22"/>
  <c r="D13" i="22"/>
  <c r="E13" i="22"/>
  <c r="D14" i="22"/>
  <c r="E14" i="22"/>
  <c r="D15" i="22"/>
  <c r="E15" i="22"/>
  <c r="D16" i="22"/>
  <c r="E16" i="22"/>
  <c r="D17" i="22"/>
  <c r="E17" i="22"/>
  <c r="D18" i="22"/>
  <c r="E18" i="22"/>
  <c r="D19" i="22"/>
  <c r="E19" i="22"/>
  <c r="D20" i="22"/>
  <c r="E20" i="22"/>
  <c r="D21" i="22"/>
  <c r="E21" i="22"/>
  <c r="D22" i="22"/>
  <c r="E22" i="22"/>
  <c r="D23" i="22"/>
  <c r="E23" i="22"/>
  <c r="D24" i="22"/>
  <c r="E24" i="22"/>
  <c r="D25" i="22"/>
  <c r="E25" i="22"/>
  <c r="D26" i="22"/>
  <c r="E26" i="22"/>
  <c r="D27" i="22"/>
  <c r="E27" i="22"/>
  <c r="D28" i="22"/>
  <c r="E28" i="22"/>
  <c r="D29" i="22"/>
  <c r="E29" i="22"/>
  <c r="D30" i="22"/>
  <c r="E30" i="22"/>
  <c r="D31" i="22"/>
  <c r="E31" i="22"/>
  <c r="D32" i="22"/>
  <c r="E32" i="22"/>
  <c r="D33" i="22"/>
  <c r="E33" i="22"/>
  <c r="D34" i="22"/>
  <c r="E34" i="22"/>
  <c r="D35" i="22"/>
  <c r="E35" i="22"/>
  <c r="D36" i="22"/>
  <c r="E36" i="22"/>
  <c r="D37" i="22"/>
  <c r="E37" i="22"/>
  <c r="D38" i="22"/>
  <c r="E38" i="22"/>
  <c r="D39" i="22"/>
  <c r="E39" i="22"/>
  <c r="D40" i="22"/>
  <c r="E40" i="22"/>
  <c r="D41" i="22"/>
  <c r="E41" i="22"/>
  <c r="D42" i="22"/>
  <c r="E42" i="22"/>
  <c r="D43" i="22"/>
  <c r="E43" i="22"/>
  <c r="D44" i="22"/>
  <c r="E44" i="22"/>
  <c r="D45" i="22"/>
  <c r="E45" i="22"/>
  <c r="D46" i="22"/>
  <c r="E46" i="22"/>
  <c r="D47" i="22"/>
  <c r="E47" i="22"/>
  <c r="D48" i="22"/>
  <c r="E48" i="22"/>
  <c r="D49" i="22"/>
  <c r="E49" i="22"/>
  <c r="E50" i="22"/>
  <c r="D50" i="22"/>
  <c r="C50" i="22"/>
  <c r="AT66" i="21"/>
  <c r="AR66" i="21"/>
  <c r="AP66" i="21"/>
  <c r="AO66" i="21"/>
  <c r="AM66" i="21"/>
  <c r="AL66" i="21"/>
  <c r="AF66" i="21"/>
  <c r="Z66" i="21"/>
  <c r="Y66" i="21"/>
  <c r="X66" i="21"/>
  <c r="W66" i="21"/>
  <c r="Q66" i="21"/>
  <c r="M3" i="21"/>
  <c r="M4" i="21"/>
  <c r="M5" i="21"/>
  <c r="M6" i="21"/>
  <c r="M7" i="21"/>
  <c r="M8" i="21"/>
  <c r="M9" i="21"/>
  <c r="M10" i="21"/>
  <c r="M11" i="21"/>
  <c r="M12" i="21"/>
  <c r="M13" i="21"/>
  <c r="M14" i="21"/>
  <c r="M15" i="21"/>
  <c r="M16" i="21"/>
  <c r="M17" i="21"/>
  <c r="M18" i="21"/>
  <c r="M19" i="21"/>
  <c r="M20" i="21"/>
  <c r="M21" i="21"/>
  <c r="M22" i="21"/>
  <c r="M23" i="21"/>
  <c r="M24" i="21"/>
  <c r="M25" i="21"/>
  <c r="M26" i="21"/>
  <c r="M27" i="21"/>
  <c r="M28" i="21"/>
  <c r="M29" i="21"/>
  <c r="M30" i="21"/>
  <c r="M31" i="21"/>
  <c r="M32" i="21"/>
  <c r="M33" i="21"/>
  <c r="M34" i="21"/>
  <c r="M35" i="21"/>
  <c r="M36" i="21"/>
  <c r="M37" i="21"/>
  <c r="M38" i="21"/>
  <c r="M39" i="21"/>
  <c r="M40" i="21"/>
  <c r="M41" i="21"/>
  <c r="M42" i="21"/>
  <c r="M43" i="21"/>
  <c r="M44" i="21"/>
  <c r="M45" i="21"/>
  <c r="M46" i="21"/>
  <c r="M47" i="21"/>
  <c r="M48" i="21"/>
  <c r="M49" i="21"/>
  <c r="M50" i="21"/>
  <c r="M51" i="21"/>
  <c r="M52" i="21"/>
  <c r="M53" i="21"/>
  <c r="M54" i="21"/>
  <c r="M55" i="21"/>
  <c r="M56" i="21"/>
  <c r="M57" i="21"/>
  <c r="M58" i="21"/>
  <c r="M59" i="21"/>
  <c r="M60" i="21"/>
  <c r="M61" i="21"/>
  <c r="M62" i="21"/>
  <c r="M63" i="21"/>
  <c r="M64" i="21"/>
  <c r="M65" i="21"/>
  <c r="M66" i="21"/>
  <c r="AU65" i="21"/>
  <c r="AS65" i="21"/>
  <c r="AQ65" i="21"/>
  <c r="AF65" i="21"/>
  <c r="AA65" i="21"/>
  <c r="P65" i="21"/>
  <c r="N65" i="21"/>
  <c r="AW65" i="21"/>
  <c r="E65" i="21"/>
  <c r="AU64" i="21"/>
  <c r="AS64" i="21"/>
  <c r="AQ64" i="21"/>
  <c r="AF64" i="21"/>
  <c r="AA64" i="21"/>
  <c r="P64" i="21"/>
  <c r="N64" i="21"/>
  <c r="AW64" i="21"/>
  <c r="E64" i="21"/>
  <c r="AU63" i="21"/>
  <c r="AS63" i="21"/>
  <c r="AQ63" i="21"/>
  <c r="AF63" i="21"/>
  <c r="AA63" i="21"/>
  <c r="P63" i="21"/>
  <c r="N63" i="21"/>
  <c r="AW63" i="21"/>
  <c r="E63" i="21"/>
  <c r="AU62" i="21"/>
  <c r="AS62" i="21"/>
  <c r="AQ62" i="21"/>
  <c r="AF62" i="21"/>
  <c r="AA62" i="21"/>
  <c r="P62" i="21"/>
  <c r="N62" i="21"/>
  <c r="AW62" i="21"/>
  <c r="E62" i="21"/>
  <c r="AU61" i="21"/>
  <c r="AS61" i="21"/>
  <c r="AQ61" i="21"/>
  <c r="AF61" i="21"/>
  <c r="AA61" i="21"/>
  <c r="P61" i="21"/>
  <c r="N61" i="21"/>
  <c r="AW61" i="21"/>
  <c r="E61" i="21"/>
  <c r="AU60" i="21"/>
  <c r="AS60" i="21"/>
  <c r="AQ60" i="21"/>
  <c r="AF60" i="21"/>
  <c r="AA60" i="21"/>
  <c r="P60" i="21"/>
  <c r="N60" i="21"/>
  <c r="AW60" i="21"/>
  <c r="E60" i="21"/>
  <c r="AU59" i="21"/>
  <c r="AS59" i="21"/>
  <c r="AQ59" i="21"/>
  <c r="AF59" i="21"/>
  <c r="AA59" i="21"/>
  <c r="P59" i="21"/>
  <c r="N59" i="21"/>
  <c r="AW59" i="21"/>
  <c r="E59" i="21"/>
  <c r="AU58" i="21"/>
  <c r="AS58" i="21"/>
  <c r="AQ58" i="21"/>
  <c r="AF58" i="21"/>
  <c r="AA58" i="21"/>
  <c r="P58" i="21"/>
  <c r="N58" i="21"/>
  <c r="AW58" i="21"/>
  <c r="E58" i="21"/>
  <c r="AU57" i="21"/>
  <c r="AS57" i="21"/>
  <c r="AQ57" i="21"/>
  <c r="AF57" i="21"/>
  <c r="AA57" i="21"/>
  <c r="P57" i="21"/>
  <c r="N57" i="21"/>
  <c r="AW57" i="21"/>
  <c r="E57" i="21"/>
  <c r="AU56" i="21"/>
  <c r="AS56" i="21"/>
  <c r="AQ56" i="21"/>
  <c r="AF56" i="21"/>
  <c r="AA56" i="21"/>
  <c r="P56" i="21"/>
  <c r="N56" i="21"/>
  <c r="AW56" i="21"/>
  <c r="E56" i="21"/>
  <c r="AU55" i="21"/>
  <c r="AS55" i="21"/>
  <c r="AQ55" i="21"/>
  <c r="AF55" i="21"/>
  <c r="AA55" i="21"/>
  <c r="P55" i="21"/>
  <c r="N55" i="21"/>
  <c r="AW55" i="21"/>
  <c r="E55" i="21"/>
  <c r="AU54" i="21"/>
  <c r="AS54" i="21"/>
  <c r="AQ54" i="21"/>
  <c r="AF54" i="21"/>
  <c r="AA54" i="21"/>
  <c r="P54" i="21"/>
  <c r="N54" i="21"/>
  <c r="AW54" i="21"/>
  <c r="E54" i="21"/>
  <c r="AU53" i="21"/>
  <c r="AS53" i="21"/>
  <c r="AQ53" i="21"/>
  <c r="AF53" i="21"/>
  <c r="AA53" i="21"/>
  <c r="P53" i="21"/>
  <c r="N53" i="21"/>
  <c r="AW53" i="21"/>
  <c r="E53" i="21"/>
  <c r="AU52" i="21"/>
  <c r="AS52" i="21"/>
  <c r="AQ52" i="21"/>
  <c r="AF52" i="21"/>
  <c r="AA52" i="21"/>
  <c r="P52" i="21"/>
  <c r="N52" i="21"/>
  <c r="AW52" i="21"/>
  <c r="E52" i="21"/>
  <c r="AU51" i="21"/>
  <c r="AS51" i="21"/>
  <c r="AQ51" i="21"/>
  <c r="AF51" i="21"/>
  <c r="AA51" i="21"/>
  <c r="P51" i="21"/>
  <c r="N51" i="21"/>
  <c r="AW51" i="21"/>
  <c r="E51" i="21"/>
  <c r="AU50" i="21"/>
  <c r="AS50" i="21"/>
  <c r="AQ50" i="21"/>
  <c r="AF50" i="21"/>
  <c r="AA50" i="21"/>
  <c r="P50" i="21"/>
  <c r="N50" i="21"/>
  <c r="AW50" i="21"/>
  <c r="E50" i="21"/>
  <c r="AU49" i="21"/>
  <c r="AS49" i="21"/>
  <c r="AQ49" i="21"/>
  <c r="AF49" i="21"/>
  <c r="AA49" i="21"/>
  <c r="P49" i="21"/>
  <c r="N49" i="21"/>
  <c r="AW49" i="21"/>
  <c r="E49" i="21"/>
  <c r="AU48" i="21"/>
  <c r="AS48" i="21"/>
  <c r="AQ48" i="21"/>
  <c r="AF48" i="21"/>
  <c r="AA48" i="21"/>
  <c r="P48" i="21"/>
  <c r="N48" i="21"/>
  <c r="AW48" i="21"/>
  <c r="E48" i="21"/>
  <c r="AU47" i="21"/>
  <c r="AS47" i="21"/>
  <c r="AQ47" i="21"/>
  <c r="AF47" i="21"/>
  <c r="AA47" i="21"/>
  <c r="P47" i="21"/>
  <c r="N47" i="21"/>
  <c r="AW47" i="21"/>
  <c r="E47" i="21"/>
  <c r="AU46" i="21"/>
  <c r="AS46" i="21"/>
  <c r="AQ46" i="21"/>
  <c r="AF46" i="21"/>
  <c r="AA46" i="21"/>
  <c r="P46" i="21"/>
  <c r="N46" i="21"/>
  <c r="AW46" i="21"/>
  <c r="E46" i="21"/>
  <c r="AU45" i="21"/>
  <c r="AS45" i="21"/>
  <c r="AQ45" i="21"/>
  <c r="AF45" i="21"/>
  <c r="AA45" i="21"/>
  <c r="P45" i="21"/>
  <c r="N45" i="21"/>
  <c r="AW45" i="21"/>
  <c r="E45" i="21"/>
  <c r="AU44" i="21"/>
  <c r="AS44" i="21"/>
  <c r="AQ44" i="21"/>
  <c r="AF44" i="21"/>
  <c r="AA44" i="21"/>
  <c r="P44" i="21"/>
  <c r="N44" i="21"/>
  <c r="AW44" i="21"/>
  <c r="E44" i="21"/>
  <c r="AU43" i="21"/>
  <c r="AS43" i="21"/>
  <c r="AQ43" i="21"/>
  <c r="AF43" i="21"/>
  <c r="AA43" i="21"/>
  <c r="P43" i="21"/>
  <c r="N43" i="21"/>
  <c r="AW43" i="21"/>
  <c r="E43" i="21"/>
  <c r="AU42" i="21"/>
  <c r="AS42" i="21"/>
  <c r="AQ42" i="21"/>
  <c r="AF42" i="21"/>
  <c r="AA42" i="21"/>
  <c r="P42" i="21"/>
  <c r="N42" i="21"/>
  <c r="AW42" i="21"/>
  <c r="E42" i="21"/>
  <c r="AU41" i="21"/>
  <c r="AS41" i="21"/>
  <c r="AQ41" i="21"/>
  <c r="AF41" i="21"/>
  <c r="AA41" i="21"/>
  <c r="P41" i="21"/>
  <c r="N41" i="21"/>
  <c r="AW41" i="21"/>
  <c r="E41" i="21"/>
  <c r="AU40" i="21"/>
  <c r="AS40" i="21"/>
  <c r="AQ40" i="21"/>
  <c r="AF40" i="21"/>
  <c r="AA40" i="21"/>
  <c r="P40" i="21"/>
  <c r="N40" i="21"/>
  <c r="AW40" i="21"/>
  <c r="E40" i="21"/>
  <c r="AU39" i="21"/>
  <c r="AS39" i="21"/>
  <c r="AQ39" i="21"/>
  <c r="AF39" i="21"/>
  <c r="AA39" i="21"/>
  <c r="P39" i="21"/>
  <c r="N39" i="21"/>
  <c r="AW39" i="21"/>
  <c r="E39" i="21"/>
  <c r="AU38" i="21"/>
  <c r="AS38" i="21"/>
  <c r="AQ38" i="21"/>
  <c r="AF38" i="21"/>
  <c r="AA38" i="21"/>
  <c r="P38" i="21"/>
  <c r="N38" i="21"/>
  <c r="AW38" i="21"/>
  <c r="E38" i="21"/>
  <c r="AU37" i="21"/>
  <c r="AS37" i="21"/>
  <c r="AQ37" i="21"/>
  <c r="AF37" i="21"/>
  <c r="AA37" i="21"/>
  <c r="P37" i="21"/>
  <c r="N37" i="21"/>
  <c r="AW37" i="21"/>
  <c r="E37" i="21"/>
  <c r="AU36" i="21"/>
  <c r="AS36" i="21"/>
  <c r="AQ36" i="21"/>
  <c r="AF36" i="21"/>
  <c r="AA36" i="21"/>
  <c r="P36" i="21"/>
  <c r="N36" i="21"/>
  <c r="AW36" i="21"/>
  <c r="E36" i="21"/>
  <c r="AU35" i="21"/>
  <c r="AS35" i="21"/>
  <c r="AQ35" i="21"/>
  <c r="AF35" i="21"/>
  <c r="AA35" i="21"/>
  <c r="P35" i="21"/>
  <c r="N35" i="21"/>
  <c r="AW35" i="21"/>
  <c r="E35" i="21"/>
  <c r="AU34" i="21"/>
  <c r="AS34" i="21"/>
  <c r="AQ34" i="21"/>
  <c r="AF34" i="21"/>
  <c r="AA34" i="21"/>
  <c r="P34" i="21"/>
  <c r="N34" i="21"/>
  <c r="AW34" i="21"/>
  <c r="E34" i="21"/>
  <c r="AU33" i="21"/>
  <c r="AS33" i="21"/>
  <c r="AQ33" i="21"/>
  <c r="AF33" i="21"/>
  <c r="AA33" i="21"/>
  <c r="P33" i="21"/>
  <c r="N33" i="21"/>
  <c r="AW33" i="21"/>
  <c r="E33" i="21"/>
  <c r="AU32" i="21"/>
  <c r="AS32" i="21"/>
  <c r="AQ32" i="21"/>
  <c r="AF32" i="21"/>
  <c r="AA32" i="21"/>
  <c r="P32" i="21"/>
  <c r="N32" i="21"/>
  <c r="AW32" i="21"/>
  <c r="E32" i="21"/>
  <c r="AU31" i="21"/>
  <c r="AS31" i="21"/>
  <c r="AQ31" i="21"/>
  <c r="AF31" i="21"/>
  <c r="AA31" i="21"/>
  <c r="P31" i="21"/>
  <c r="N31" i="21"/>
  <c r="AW31" i="21"/>
  <c r="E31" i="21"/>
  <c r="AU30" i="21"/>
  <c r="AS30" i="21"/>
  <c r="AQ30" i="21"/>
  <c r="AF30" i="21"/>
  <c r="AA30" i="21"/>
  <c r="P30" i="21"/>
  <c r="N30" i="21"/>
  <c r="AW30" i="21"/>
  <c r="E30" i="21"/>
  <c r="AU29" i="21"/>
  <c r="AS29" i="21"/>
  <c r="AQ29" i="21"/>
  <c r="AF29" i="21"/>
  <c r="AA29" i="21"/>
  <c r="P29" i="21"/>
  <c r="N29" i="21"/>
  <c r="AW29" i="21"/>
  <c r="E29" i="21"/>
  <c r="AU28" i="21"/>
  <c r="AS28" i="21"/>
  <c r="AQ28" i="21"/>
  <c r="AF28" i="21"/>
  <c r="AA28" i="21"/>
  <c r="P28" i="21"/>
  <c r="N28" i="21"/>
  <c r="AW28" i="21"/>
  <c r="E28" i="21"/>
  <c r="AU27" i="21"/>
  <c r="AS27" i="21"/>
  <c r="AQ27" i="21"/>
  <c r="AF27" i="21"/>
  <c r="AA27" i="21"/>
  <c r="P27" i="21"/>
  <c r="N27" i="21"/>
  <c r="AW27" i="21"/>
  <c r="E27" i="21"/>
  <c r="AU26" i="21"/>
  <c r="AS26" i="21"/>
  <c r="AQ26" i="21"/>
  <c r="AF26" i="21"/>
  <c r="AA26" i="21"/>
  <c r="P26" i="21"/>
  <c r="N26" i="21"/>
  <c r="AW26" i="21"/>
  <c r="E26" i="21"/>
  <c r="AU25" i="21"/>
  <c r="AS25" i="21"/>
  <c r="AQ25" i="21"/>
  <c r="AF25" i="21"/>
  <c r="AA25" i="21"/>
  <c r="P25" i="21"/>
  <c r="N25" i="21"/>
  <c r="AW25" i="21"/>
  <c r="E25" i="21"/>
  <c r="AU24" i="21"/>
  <c r="AS24" i="21"/>
  <c r="AQ24" i="21"/>
  <c r="AF24" i="21"/>
  <c r="AA24" i="21"/>
  <c r="P24" i="21"/>
  <c r="N24" i="21"/>
  <c r="AW24" i="21"/>
  <c r="E24" i="21"/>
  <c r="AU23" i="21"/>
  <c r="AS23" i="21"/>
  <c r="AQ23" i="21"/>
  <c r="AF23" i="21"/>
  <c r="AA23" i="21"/>
  <c r="P23" i="21"/>
  <c r="N23" i="21"/>
  <c r="AW23" i="21"/>
  <c r="E23" i="21"/>
  <c r="AU22" i="21"/>
  <c r="AS22" i="21"/>
  <c r="AQ22" i="21"/>
  <c r="AF22" i="21"/>
  <c r="AA22" i="21"/>
  <c r="P22" i="21"/>
  <c r="N22" i="21"/>
  <c r="AW22" i="21"/>
  <c r="E22" i="21"/>
  <c r="AU21" i="21"/>
  <c r="AS21" i="21"/>
  <c r="AQ21" i="21"/>
  <c r="AF21" i="21"/>
  <c r="AA21" i="21"/>
  <c r="P21" i="21"/>
  <c r="N21" i="21"/>
  <c r="AW21" i="21"/>
  <c r="E21" i="21"/>
  <c r="AU20" i="21"/>
  <c r="AS20" i="21"/>
  <c r="AQ20" i="21"/>
  <c r="AF20" i="21"/>
  <c r="AA20" i="21"/>
  <c r="P20" i="21"/>
  <c r="N20" i="21"/>
  <c r="AW20" i="21"/>
  <c r="E20" i="21"/>
  <c r="AU19" i="21"/>
  <c r="AS19" i="21"/>
  <c r="AQ19" i="21"/>
  <c r="AF19" i="21"/>
  <c r="AA19" i="21"/>
  <c r="P19" i="21"/>
  <c r="N19" i="21"/>
  <c r="AW19" i="21"/>
  <c r="E19" i="21"/>
  <c r="AU18" i="21"/>
  <c r="AS18" i="21"/>
  <c r="AQ18" i="21"/>
  <c r="AF18" i="21"/>
  <c r="AA18" i="21"/>
  <c r="P18" i="21"/>
  <c r="N18" i="21"/>
  <c r="AW18" i="21"/>
  <c r="E18" i="21"/>
  <c r="AU17" i="21"/>
  <c r="AS17" i="21"/>
  <c r="AQ17" i="21"/>
  <c r="AF17" i="21"/>
  <c r="AA17" i="21"/>
  <c r="P17" i="21"/>
  <c r="N17" i="21"/>
  <c r="AW17" i="21"/>
  <c r="E17" i="21"/>
  <c r="AU16" i="21"/>
  <c r="AS16" i="21"/>
  <c r="AQ16" i="21"/>
  <c r="AF16" i="21"/>
  <c r="AA16" i="21"/>
  <c r="P16" i="21"/>
  <c r="N16" i="21"/>
  <c r="AW16" i="21"/>
  <c r="E16" i="21"/>
  <c r="AU15" i="21"/>
  <c r="AS15" i="21"/>
  <c r="AQ15" i="21"/>
  <c r="AF15" i="21"/>
  <c r="AA15" i="21"/>
  <c r="P15" i="21"/>
  <c r="N15" i="21"/>
  <c r="AW15" i="21"/>
  <c r="E15" i="21"/>
  <c r="AU14" i="21"/>
  <c r="AS14" i="21"/>
  <c r="AQ14" i="21"/>
  <c r="AF14" i="21"/>
  <c r="AA14" i="21"/>
  <c r="P14" i="21"/>
  <c r="N14" i="21"/>
  <c r="AW14" i="21"/>
  <c r="E14" i="21"/>
  <c r="AU13" i="21"/>
  <c r="AS13" i="21"/>
  <c r="AQ13" i="21"/>
  <c r="AF13" i="21"/>
  <c r="AA13" i="21"/>
  <c r="P13" i="21"/>
  <c r="N13" i="21"/>
  <c r="AW13" i="21"/>
  <c r="E13" i="21"/>
  <c r="AU12" i="21"/>
  <c r="AS12" i="21"/>
  <c r="AQ12" i="21"/>
  <c r="AF12" i="21"/>
  <c r="AA12" i="21"/>
  <c r="P12" i="21"/>
  <c r="N12" i="21"/>
  <c r="AW12" i="21"/>
  <c r="E12" i="21"/>
  <c r="AU11" i="21"/>
  <c r="AS11" i="21"/>
  <c r="AQ11" i="21"/>
  <c r="AF11" i="21"/>
  <c r="AA11" i="21"/>
  <c r="P11" i="21"/>
  <c r="N11" i="21"/>
  <c r="AW11" i="21"/>
  <c r="E11" i="21"/>
  <c r="AU10" i="21"/>
  <c r="AS10" i="21"/>
  <c r="AQ10" i="21"/>
  <c r="AF10" i="21"/>
  <c r="AA10" i="21"/>
  <c r="P10" i="21"/>
  <c r="N10" i="21"/>
  <c r="AW10" i="21"/>
  <c r="E10" i="21"/>
  <c r="AU9" i="21"/>
  <c r="AS9" i="21"/>
  <c r="AQ9" i="21"/>
  <c r="AF9" i="21"/>
  <c r="AA9" i="21"/>
  <c r="P9" i="21"/>
  <c r="N9" i="21"/>
  <c r="AW9" i="21"/>
  <c r="E9" i="21"/>
  <c r="AU8" i="21"/>
  <c r="AS8" i="21"/>
  <c r="AQ8" i="21"/>
  <c r="AF8" i="21"/>
  <c r="AA8" i="21"/>
  <c r="P8" i="21"/>
  <c r="N8" i="21"/>
  <c r="AW8" i="21"/>
  <c r="E8" i="21"/>
  <c r="AU7" i="21"/>
  <c r="AS7" i="21"/>
  <c r="AQ7" i="21"/>
  <c r="AF7" i="21"/>
  <c r="AA7" i="21"/>
  <c r="P7" i="21"/>
  <c r="N7" i="21"/>
  <c r="AW7" i="21"/>
  <c r="E7" i="21"/>
  <c r="AU6" i="21"/>
  <c r="AS6" i="21"/>
  <c r="AQ6" i="21"/>
  <c r="AF6" i="21"/>
  <c r="AA6" i="21"/>
  <c r="P6" i="21"/>
  <c r="N6" i="21"/>
  <c r="AW6" i="21"/>
  <c r="E6" i="21"/>
  <c r="AU5" i="21"/>
  <c r="AS5" i="21"/>
  <c r="AQ5" i="21"/>
  <c r="AF5" i="21"/>
  <c r="AA5" i="21"/>
  <c r="P5" i="21"/>
  <c r="N5" i="21"/>
  <c r="AW5" i="21"/>
  <c r="E5" i="21"/>
  <c r="AU4" i="21"/>
  <c r="AS4" i="21"/>
  <c r="AQ4" i="21"/>
  <c r="AF4" i="21"/>
  <c r="AA4" i="21"/>
  <c r="P4" i="21"/>
  <c r="N4" i="21"/>
  <c r="AW4" i="21"/>
  <c r="E4" i="21"/>
  <c r="AU3" i="21"/>
  <c r="AS3" i="21"/>
  <c r="AQ3" i="21"/>
  <c r="AF3" i="21"/>
  <c r="AA3" i="21"/>
  <c r="P3" i="21"/>
  <c r="N3" i="21"/>
  <c r="AW3" i="21"/>
  <c r="E3" i="21"/>
  <c r="AW1" i="21"/>
  <c r="CH70" i="20"/>
  <c r="CD70" i="20"/>
  <c r="CE70" i="20"/>
  <c r="CD2" i="20"/>
  <c r="CE2" i="20"/>
  <c r="CD3" i="20"/>
  <c r="CE3" i="20"/>
  <c r="CD4" i="20"/>
  <c r="CE4" i="20"/>
  <c r="CD5" i="20"/>
  <c r="CE5" i="20"/>
  <c r="CD6" i="20"/>
  <c r="CE6" i="20"/>
  <c r="CD7" i="20"/>
  <c r="CE7" i="20"/>
  <c r="CD8" i="20"/>
  <c r="CE8" i="20"/>
  <c r="CD9" i="20"/>
  <c r="CE9" i="20"/>
  <c r="CD10" i="20"/>
  <c r="CE10" i="20"/>
  <c r="CD11" i="20"/>
  <c r="CE11" i="20"/>
  <c r="CD12" i="20"/>
  <c r="CE12" i="20"/>
  <c r="CD13" i="20"/>
  <c r="CE13" i="20"/>
  <c r="BZ14" i="20"/>
  <c r="CD14" i="20"/>
  <c r="CE14" i="20"/>
  <c r="CD16" i="20"/>
  <c r="CE16" i="20"/>
  <c r="CD17" i="20"/>
  <c r="CE17" i="20"/>
  <c r="CD18" i="20"/>
  <c r="CE18" i="20"/>
  <c r="CD19" i="20"/>
  <c r="CE19" i="20"/>
  <c r="CD20" i="20"/>
  <c r="CE20" i="20"/>
  <c r="CD22" i="20"/>
  <c r="CE22" i="20"/>
  <c r="CD23" i="20"/>
  <c r="CE23" i="20"/>
  <c r="CD24" i="20"/>
  <c r="CE24" i="20"/>
  <c r="CD25" i="20"/>
  <c r="CE25" i="20"/>
  <c r="BZ26" i="20"/>
  <c r="CD26" i="20"/>
  <c r="CE26" i="20"/>
  <c r="CD27" i="20"/>
  <c r="CE27" i="20"/>
  <c r="CD28" i="20"/>
  <c r="CE28" i="20"/>
  <c r="CD29" i="20"/>
  <c r="CE29" i="20"/>
  <c r="CD30" i="20"/>
  <c r="CE30" i="20"/>
  <c r="CD31" i="20"/>
  <c r="CE31" i="20"/>
  <c r="CD32" i="20"/>
  <c r="CE32" i="20"/>
  <c r="CD33" i="20"/>
  <c r="CE33" i="20"/>
  <c r="CD34" i="20"/>
  <c r="CE34" i="20"/>
  <c r="CD35" i="20"/>
  <c r="CE35" i="20"/>
  <c r="CD36" i="20"/>
  <c r="CE36" i="20"/>
  <c r="CD37" i="20"/>
  <c r="CE37" i="20"/>
  <c r="CD39" i="20"/>
  <c r="CE39" i="20"/>
  <c r="CD40" i="20"/>
  <c r="CE40" i="20"/>
  <c r="CD41" i="20"/>
  <c r="CE41" i="20"/>
  <c r="CD42" i="20"/>
  <c r="CE42" i="20"/>
  <c r="CD43" i="20"/>
  <c r="CE43" i="20"/>
  <c r="CD44" i="20"/>
  <c r="CE44" i="20"/>
  <c r="CD45" i="20"/>
  <c r="CE45" i="20"/>
  <c r="CD46" i="20"/>
  <c r="CE46" i="20"/>
  <c r="CD47" i="20"/>
  <c r="CE47" i="20"/>
  <c r="CD48" i="20"/>
  <c r="CE48" i="20"/>
  <c r="CD49" i="20"/>
  <c r="CE49" i="20"/>
  <c r="CD50" i="20"/>
  <c r="CE50" i="20"/>
  <c r="CD51" i="20"/>
  <c r="CE51" i="20"/>
  <c r="CD52" i="20"/>
  <c r="CE52" i="20"/>
  <c r="CD53" i="20"/>
  <c r="CE53" i="20"/>
  <c r="CD55" i="20"/>
  <c r="CE55" i="20"/>
  <c r="CD56" i="20"/>
  <c r="CE56" i="20"/>
  <c r="CD57" i="20"/>
  <c r="CE57" i="20"/>
  <c r="CD58" i="20"/>
  <c r="CE58" i="20"/>
  <c r="CD59" i="20"/>
  <c r="CE59" i="20"/>
  <c r="CD60" i="20"/>
  <c r="CE60" i="20"/>
  <c r="CD61" i="20"/>
  <c r="CE61" i="20"/>
  <c r="CD62" i="20"/>
  <c r="CE62" i="20"/>
  <c r="CF70" i="20"/>
  <c r="CB14" i="20"/>
  <c r="CB26" i="20"/>
  <c r="CC70" i="20"/>
  <c r="CA70" i="20"/>
  <c r="BY70" i="20"/>
  <c r="AM70" i="20"/>
  <c r="AK70" i="20"/>
  <c r="AN70" i="20"/>
  <c r="AG70" i="20"/>
  <c r="X70" i="20"/>
  <c r="CI70" i="20"/>
  <c r="CG66" i="20"/>
  <c r="CD65" i="20"/>
  <c r="CE65" i="20"/>
  <c r="CE66" i="20"/>
  <c r="CB65" i="20"/>
  <c r="CB66" i="20"/>
  <c r="BZ66" i="20"/>
  <c r="BW66" i="20"/>
  <c r="BV66" i="20"/>
  <c r="BU66" i="20"/>
  <c r="BS66" i="20"/>
  <c r="BR66" i="20"/>
  <c r="AF65" i="20"/>
  <c r="AF66" i="20"/>
  <c r="AB66" i="20"/>
  <c r="U66" i="20"/>
  <c r="T66" i="20"/>
  <c r="Q66" i="20"/>
  <c r="CH65" i="20"/>
  <c r="CF65" i="20"/>
  <c r="CC65" i="20"/>
  <c r="CA65" i="20"/>
  <c r="BY65" i="20"/>
  <c r="AM65" i="20"/>
  <c r="AK65" i="20"/>
  <c r="AN65" i="20"/>
  <c r="AG65" i="20"/>
  <c r="X65" i="20"/>
  <c r="CI65" i="20"/>
  <c r="CH64" i="20"/>
  <c r="CF64" i="20"/>
  <c r="CC64" i="20"/>
  <c r="CA64" i="20"/>
  <c r="BY64" i="20"/>
  <c r="AM64" i="20"/>
  <c r="AK64" i="20"/>
  <c r="AN64" i="20"/>
  <c r="AG64" i="20"/>
  <c r="X64" i="20"/>
  <c r="CI64" i="20"/>
  <c r="CD64" i="20"/>
  <c r="CH63" i="20"/>
  <c r="CF63" i="20"/>
  <c r="CC63" i="20"/>
  <c r="CA63" i="20"/>
  <c r="BY63" i="20"/>
  <c r="AM63" i="20"/>
  <c r="AK63" i="20"/>
  <c r="AN63" i="20"/>
  <c r="AG63" i="20"/>
  <c r="X63" i="20"/>
  <c r="CI63" i="20"/>
  <c r="CD63" i="20"/>
  <c r="CH62" i="20"/>
  <c r="CF62" i="20"/>
  <c r="CC62" i="20"/>
  <c r="CA62" i="20"/>
  <c r="BY62" i="20"/>
  <c r="AM62" i="20"/>
  <c r="AK62" i="20"/>
  <c r="AN62" i="20"/>
  <c r="AG62" i="20"/>
  <c r="X62" i="20"/>
  <c r="CI62" i="20"/>
  <c r="CH61" i="20"/>
  <c r="CF61" i="20"/>
  <c r="CC61" i="20"/>
  <c r="CA61" i="20"/>
  <c r="BY61" i="20"/>
  <c r="AM61" i="20"/>
  <c r="AK61" i="20"/>
  <c r="AN61" i="20"/>
  <c r="AG61" i="20"/>
  <c r="X61" i="20"/>
  <c r="CI61" i="20"/>
  <c r="CH60" i="20"/>
  <c r="CF60" i="20"/>
  <c r="CC60" i="20"/>
  <c r="CA60" i="20"/>
  <c r="BY60" i="20"/>
  <c r="AM60" i="20"/>
  <c r="AK60" i="20"/>
  <c r="AN60" i="20"/>
  <c r="AG60" i="20"/>
  <c r="X60" i="20"/>
  <c r="CI60" i="20"/>
  <c r="CH59" i="20"/>
  <c r="CF59" i="20"/>
  <c r="CC59" i="20"/>
  <c r="CA59" i="20"/>
  <c r="BY59" i="20"/>
  <c r="AM59" i="20"/>
  <c r="AK59" i="20"/>
  <c r="AN59" i="20"/>
  <c r="AG59" i="20"/>
  <c r="X59" i="20"/>
  <c r="CI59" i="20"/>
  <c r="CH58" i="20"/>
  <c r="CF58" i="20"/>
  <c r="CC58" i="20"/>
  <c r="CA58" i="20"/>
  <c r="BY58" i="20"/>
  <c r="AM58" i="20"/>
  <c r="AK58" i="20"/>
  <c r="AN58" i="20"/>
  <c r="AG58" i="20"/>
  <c r="X58" i="20"/>
  <c r="CI58" i="20"/>
  <c r="CH57" i="20"/>
  <c r="CF57" i="20"/>
  <c r="CC57" i="20"/>
  <c r="CA57" i="20"/>
  <c r="BY57" i="20"/>
  <c r="AM57" i="20"/>
  <c r="AK57" i="20"/>
  <c r="AN57" i="20"/>
  <c r="AG57" i="20"/>
  <c r="X57" i="20"/>
  <c r="CI57" i="20"/>
  <c r="CH56" i="20"/>
  <c r="CF56" i="20"/>
  <c r="CC56" i="20"/>
  <c r="CA56" i="20"/>
  <c r="BY56" i="20"/>
  <c r="AM56" i="20"/>
  <c r="AK56" i="20"/>
  <c r="AN56" i="20"/>
  <c r="AG56" i="20"/>
  <c r="X56" i="20"/>
  <c r="CI56" i="20"/>
  <c r="CH55" i="20"/>
  <c r="CF55" i="20"/>
  <c r="CC55" i="20"/>
  <c r="CA55" i="20"/>
  <c r="BY55" i="20"/>
  <c r="AM55" i="20"/>
  <c r="AK55" i="20"/>
  <c r="AN55" i="20"/>
  <c r="AG55" i="20"/>
  <c r="X55" i="20"/>
  <c r="CI55" i="20"/>
  <c r="CH54" i="20"/>
  <c r="CF54" i="20"/>
  <c r="CC54" i="20"/>
  <c r="CA54" i="20"/>
  <c r="BY54" i="20"/>
  <c r="AM54" i="20"/>
  <c r="AK54" i="20"/>
  <c r="AN54" i="20"/>
  <c r="AG54" i="20"/>
  <c r="X54" i="20"/>
  <c r="CI54" i="20"/>
  <c r="CD54" i="20"/>
  <c r="CH53" i="20"/>
  <c r="CF53" i="20"/>
  <c r="CC53" i="20"/>
  <c r="CA53" i="20"/>
  <c r="BY53" i="20"/>
  <c r="AM53" i="20"/>
  <c r="AK53" i="20"/>
  <c r="AN53" i="20"/>
  <c r="AG53" i="20"/>
  <c r="X53" i="20"/>
  <c r="CI53" i="20"/>
  <c r="CH52" i="20"/>
  <c r="CF52" i="20"/>
  <c r="CC52" i="20"/>
  <c r="CA52" i="20"/>
  <c r="BY52" i="20"/>
  <c r="AM52" i="20"/>
  <c r="AK52" i="20"/>
  <c r="AN52" i="20"/>
  <c r="AG52" i="20"/>
  <c r="X52" i="20"/>
  <c r="CI52" i="20"/>
  <c r="CH51" i="20"/>
  <c r="CF51" i="20"/>
  <c r="CC51" i="20"/>
  <c r="CA51" i="20"/>
  <c r="BY51" i="20"/>
  <c r="AM51" i="20"/>
  <c r="AK51" i="20"/>
  <c r="AN51" i="20"/>
  <c r="AG51" i="20"/>
  <c r="X51" i="20"/>
  <c r="CI51" i="20"/>
  <c r="CH50" i="20"/>
  <c r="CF50" i="20"/>
  <c r="CC50" i="20"/>
  <c r="CA50" i="20"/>
  <c r="BY50" i="20"/>
  <c r="AM50" i="20"/>
  <c r="AK50" i="20"/>
  <c r="AN50" i="20"/>
  <c r="AG50" i="20"/>
  <c r="X50" i="20"/>
  <c r="CI50" i="20"/>
  <c r="CH49" i="20"/>
  <c r="CF49" i="20"/>
  <c r="CC49" i="20"/>
  <c r="CA49" i="20"/>
  <c r="BY49" i="20"/>
  <c r="AM49" i="20"/>
  <c r="AK49" i="20"/>
  <c r="AN49" i="20"/>
  <c r="AG49" i="20"/>
  <c r="X49" i="20"/>
  <c r="CI49" i="20"/>
  <c r="CH48" i="20"/>
  <c r="CF48" i="20"/>
  <c r="CC48" i="20"/>
  <c r="CA48" i="20"/>
  <c r="BY48" i="20"/>
  <c r="AM48" i="20"/>
  <c r="AK48" i="20"/>
  <c r="AN48" i="20"/>
  <c r="AG48" i="20"/>
  <c r="X48" i="20"/>
  <c r="CI48" i="20"/>
  <c r="CH47" i="20"/>
  <c r="CF47" i="20"/>
  <c r="CC47" i="20"/>
  <c r="CA47" i="20"/>
  <c r="BY47" i="20"/>
  <c r="AM47" i="20"/>
  <c r="AK47" i="20"/>
  <c r="AN47" i="20"/>
  <c r="AG47" i="20"/>
  <c r="X47" i="20"/>
  <c r="CI47" i="20"/>
  <c r="CH46" i="20"/>
  <c r="CF46" i="20"/>
  <c r="CC46" i="20"/>
  <c r="CA46" i="20"/>
  <c r="BY46" i="20"/>
  <c r="AM46" i="20"/>
  <c r="AK46" i="20"/>
  <c r="AN46" i="20"/>
  <c r="AG46" i="20"/>
  <c r="X46" i="20"/>
  <c r="CI46" i="20"/>
  <c r="CH45" i="20"/>
  <c r="CF45" i="20"/>
  <c r="CC45" i="20"/>
  <c r="CA45" i="20"/>
  <c r="BY45" i="20"/>
  <c r="AM45" i="20"/>
  <c r="AK45" i="20"/>
  <c r="AN45" i="20"/>
  <c r="AG45" i="20"/>
  <c r="X45" i="20"/>
  <c r="CI45" i="20"/>
  <c r="CH44" i="20"/>
  <c r="CF44" i="20"/>
  <c r="CC44" i="20"/>
  <c r="CA44" i="20"/>
  <c r="BY44" i="20"/>
  <c r="AM44" i="20"/>
  <c r="AK44" i="20"/>
  <c r="AN44" i="20"/>
  <c r="AG44" i="20"/>
  <c r="X44" i="20"/>
  <c r="CI44" i="20"/>
  <c r="CH43" i="20"/>
  <c r="CF43" i="20"/>
  <c r="CC43" i="20"/>
  <c r="CA43" i="20"/>
  <c r="BY43" i="20"/>
  <c r="AM43" i="20"/>
  <c r="AK43" i="20"/>
  <c r="AN43" i="20"/>
  <c r="AG43" i="20"/>
  <c r="X43" i="20"/>
  <c r="CI43" i="20"/>
  <c r="CH42" i="20"/>
  <c r="CF42" i="20"/>
  <c r="CC42" i="20"/>
  <c r="CA42" i="20"/>
  <c r="BY42" i="20"/>
  <c r="AM42" i="20"/>
  <c r="AK42" i="20"/>
  <c r="AN42" i="20"/>
  <c r="AG42" i="20"/>
  <c r="X42" i="20"/>
  <c r="CI42" i="20"/>
  <c r="CH41" i="20"/>
  <c r="CF41" i="20"/>
  <c r="CC41" i="20"/>
  <c r="CA41" i="20"/>
  <c r="BY41" i="20"/>
  <c r="AM41" i="20"/>
  <c r="AK41" i="20"/>
  <c r="AN41" i="20"/>
  <c r="AG41" i="20"/>
  <c r="X41" i="20"/>
  <c r="CI41" i="20"/>
  <c r="CH40" i="20"/>
  <c r="CF40" i="20"/>
  <c r="CC40" i="20"/>
  <c r="CA40" i="20"/>
  <c r="BY40" i="20"/>
  <c r="AM40" i="20"/>
  <c r="AK40" i="20"/>
  <c r="AN40" i="20"/>
  <c r="AG40" i="20"/>
  <c r="X40" i="20"/>
  <c r="CI40" i="20"/>
  <c r="CH39" i="20"/>
  <c r="CF39" i="20"/>
  <c r="CC39" i="20"/>
  <c r="CA39" i="20"/>
  <c r="BY39" i="20"/>
  <c r="AM39" i="20"/>
  <c r="AK39" i="20"/>
  <c r="AN39" i="20"/>
  <c r="AG39" i="20"/>
  <c r="X39" i="20"/>
  <c r="CI39" i="20"/>
  <c r="CH38" i="20"/>
  <c r="CF38" i="20"/>
  <c r="CC38" i="20"/>
  <c r="CA38" i="20"/>
  <c r="BY38" i="20"/>
  <c r="AM38" i="20"/>
  <c r="AK38" i="20"/>
  <c r="AN38" i="20"/>
  <c r="AG38" i="20"/>
  <c r="X38" i="20"/>
  <c r="CI38" i="20"/>
  <c r="CD38" i="20"/>
  <c r="CH37" i="20"/>
  <c r="CF37" i="20"/>
  <c r="CC37" i="20"/>
  <c r="CA37" i="20"/>
  <c r="BY37" i="20"/>
  <c r="AM37" i="20"/>
  <c r="AK37" i="20"/>
  <c r="AN37" i="20"/>
  <c r="AG37" i="20"/>
  <c r="X37" i="20"/>
  <c r="CI37" i="20"/>
  <c r="CH36" i="20"/>
  <c r="CF36" i="20"/>
  <c r="CC36" i="20"/>
  <c r="CA36" i="20"/>
  <c r="BY36" i="20"/>
  <c r="AM36" i="20"/>
  <c r="AK36" i="20"/>
  <c r="AN36" i="20"/>
  <c r="AG36" i="20"/>
  <c r="X36" i="20"/>
  <c r="CI36" i="20"/>
  <c r="CH35" i="20"/>
  <c r="CF35" i="20"/>
  <c r="CC35" i="20"/>
  <c r="CA35" i="20"/>
  <c r="BY35" i="20"/>
  <c r="AM35" i="20"/>
  <c r="AK35" i="20"/>
  <c r="AN35" i="20"/>
  <c r="AG35" i="20"/>
  <c r="X35" i="20"/>
  <c r="CI35" i="20"/>
  <c r="CH34" i="20"/>
  <c r="CF34" i="20"/>
  <c r="CC34" i="20"/>
  <c r="CA34" i="20"/>
  <c r="BY34" i="20"/>
  <c r="AM34" i="20"/>
  <c r="AK34" i="20"/>
  <c r="AN34" i="20"/>
  <c r="AG34" i="20"/>
  <c r="X34" i="20"/>
  <c r="CI34" i="20"/>
  <c r="CH33" i="20"/>
  <c r="CF33" i="20"/>
  <c r="CC33" i="20"/>
  <c r="CA33" i="20"/>
  <c r="BY33" i="20"/>
  <c r="AM33" i="20"/>
  <c r="AK33" i="20"/>
  <c r="AN33" i="20"/>
  <c r="AG33" i="20"/>
  <c r="X33" i="20"/>
  <c r="CI33" i="20"/>
  <c r="CH32" i="20"/>
  <c r="CF32" i="20"/>
  <c r="CC32" i="20"/>
  <c r="CA32" i="20"/>
  <c r="BY32" i="20"/>
  <c r="AM32" i="20"/>
  <c r="AK32" i="20"/>
  <c r="AN32" i="20"/>
  <c r="AG32" i="20"/>
  <c r="X32" i="20"/>
  <c r="CI32" i="20"/>
  <c r="CH31" i="20"/>
  <c r="CF31" i="20"/>
  <c r="CC31" i="20"/>
  <c r="CA31" i="20"/>
  <c r="BY31" i="20"/>
  <c r="AM31" i="20"/>
  <c r="AK31" i="20"/>
  <c r="AN31" i="20"/>
  <c r="AG31" i="20"/>
  <c r="X31" i="20"/>
  <c r="CI31" i="20"/>
  <c r="CH30" i="20"/>
  <c r="CF30" i="20"/>
  <c r="CC30" i="20"/>
  <c r="CA30" i="20"/>
  <c r="BY30" i="20"/>
  <c r="AM30" i="20"/>
  <c r="AK30" i="20"/>
  <c r="AN30" i="20"/>
  <c r="AG30" i="20"/>
  <c r="X30" i="20"/>
  <c r="CI30" i="20"/>
  <c r="CH29" i="20"/>
  <c r="CF29" i="20"/>
  <c r="CC29" i="20"/>
  <c r="CA29" i="20"/>
  <c r="BY29" i="20"/>
  <c r="AM29" i="20"/>
  <c r="AK29" i="20"/>
  <c r="AN29" i="20"/>
  <c r="AG29" i="20"/>
  <c r="X29" i="20"/>
  <c r="CI29" i="20"/>
  <c r="CH28" i="20"/>
  <c r="CF28" i="20"/>
  <c r="CC28" i="20"/>
  <c r="CA28" i="20"/>
  <c r="BY28" i="20"/>
  <c r="AM28" i="20"/>
  <c r="AK28" i="20"/>
  <c r="AN28" i="20"/>
  <c r="AG28" i="20"/>
  <c r="X28" i="20"/>
  <c r="CI28" i="20"/>
  <c r="CH27" i="20"/>
  <c r="CF27" i="20"/>
  <c r="CC27" i="20"/>
  <c r="CA27" i="20"/>
  <c r="BY27" i="20"/>
  <c r="AM27" i="20"/>
  <c r="AK27" i="20"/>
  <c r="AN27" i="20"/>
  <c r="AG27" i="20"/>
  <c r="X27" i="20"/>
  <c r="CI27" i="20"/>
  <c r="CH26" i="20"/>
  <c r="CF26" i="20"/>
  <c r="CC26" i="20"/>
  <c r="CA26" i="20"/>
  <c r="BY26" i="20"/>
  <c r="AM26" i="20"/>
  <c r="AK26" i="20"/>
  <c r="AN26" i="20"/>
  <c r="AG26" i="20"/>
  <c r="X26" i="20"/>
  <c r="CI26" i="20"/>
  <c r="CH25" i="20"/>
  <c r="CF25" i="20"/>
  <c r="CC25" i="20"/>
  <c r="CA25" i="20"/>
  <c r="BY25" i="20"/>
  <c r="AM25" i="20"/>
  <c r="AK25" i="20"/>
  <c r="AN25" i="20"/>
  <c r="AG25" i="20"/>
  <c r="X25" i="20"/>
  <c r="CI25" i="20"/>
  <c r="CH24" i="20"/>
  <c r="CF24" i="20"/>
  <c r="CC24" i="20"/>
  <c r="CA24" i="20"/>
  <c r="BY24" i="20"/>
  <c r="AM24" i="20"/>
  <c r="AK24" i="20"/>
  <c r="AN24" i="20"/>
  <c r="AG24" i="20"/>
  <c r="X24" i="20"/>
  <c r="CI24" i="20"/>
  <c r="CH23" i="20"/>
  <c r="CF23" i="20"/>
  <c r="CC23" i="20"/>
  <c r="CA23" i="20"/>
  <c r="BY23" i="20"/>
  <c r="AM23" i="20"/>
  <c r="AK23" i="20"/>
  <c r="AN23" i="20"/>
  <c r="AG23" i="20"/>
  <c r="X23" i="20"/>
  <c r="CI23" i="20"/>
  <c r="CH22" i="20"/>
  <c r="CF22" i="20"/>
  <c r="CC22" i="20"/>
  <c r="CA22" i="20"/>
  <c r="BY22" i="20"/>
  <c r="AM22" i="20"/>
  <c r="AK22" i="20"/>
  <c r="AN22" i="20"/>
  <c r="AG22" i="20"/>
  <c r="X22" i="20"/>
  <c r="CI22" i="20"/>
  <c r="CH21" i="20"/>
  <c r="CF21" i="20"/>
  <c r="CC21" i="20"/>
  <c r="CA21" i="20"/>
  <c r="BY21" i="20"/>
  <c r="AM21" i="20"/>
  <c r="AK21" i="20"/>
  <c r="AN21" i="20"/>
  <c r="AG21" i="20"/>
  <c r="X21" i="20"/>
  <c r="CI21" i="20"/>
  <c r="CD21" i="20"/>
  <c r="CH20" i="20"/>
  <c r="CF20" i="20"/>
  <c r="CC20" i="20"/>
  <c r="CA20" i="20"/>
  <c r="BY20" i="20"/>
  <c r="AM20" i="20"/>
  <c r="AK20" i="20"/>
  <c r="AN20" i="20"/>
  <c r="AG20" i="20"/>
  <c r="X20" i="20"/>
  <c r="CI20" i="20"/>
  <c r="CH19" i="20"/>
  <c r="CF19" i="20"/>
  <c r="CC19" i="20"/>
  <c r="CA19" i="20"/>
  <c r="BY19" i="20"/>
  <c r="AM19" i="20"/>
  <c r="AK19" i="20"/>
  <c r="AN19" i="20"/>
  <c r="AG19" i="20"/>
  <c r="X19" i="20"/>
  <c r="CI19" i="20"/>
  <c r="CH18" i="20"/>
  <c r="CF18" i="20"/>
  <c r="CC18" i="20"/>
  <c r="CA18" i="20"/>
  <c r="BY18" i="20"/>
  <c r="AM18" i="20"/>
  <c r="AK18" i="20"/>
  <c r="AN18" i="20"/>
  <c r="AG18" i="20"/>
  <c r="X18" i="20"/>
  <c r="CI18" i="20"/>
  <c r="CH17" i="20"/>
  <c r="CF17" i="20"/>
  <c r="CC17" i="20"/>
  <c r="CA17" i="20"/>
  <c r="BY17" i="20"/>
  <c r="AM17" i="20"/>
  <c r="AK17" i="20"/>
  <c r="AN17" i="20"/>
  <c r="AG17" i="20"/>
  <c r="X17" i="20"/>
  <c r="CI17" i="20"/>
  <c r="CH16" i="20"/>
  <c r="CF16" i="20"/>
  <c r="CC16" i="20"/>
  <c r="CA16" i="20"/>
  <c r="BY16" i="20"/>
  <c r="AM16" i="20"/>
  <c r="AK16" i="20"/>
  <c r="AN16" i="20"/>
  <c r="AG16" i="20"/>
  <c r="X16" i="20"/>
  <c r="CI16" i="20"/>
  <c r="CH15" i="20"/>
  <c r="CF15" i="20"/>
  <c r="CC15" i="20"/>
  <c r="CA15" i="20"/>
  <c r="BY15" i="20"/>
  <c r="AM15" i="20"/>
  <c r="AK15" i="20"/>
  <c r="AN15" i="20"/>
  <c r="AG15" i="20"/>
  <c r="X15" i="20"/>
  <c r="CI15" i="20"/>
  <c r="CD15" i="20"/>
  <c r="CH14" i="20"/>
  <c r="CF14" i="20"/>
  <c r="CC14" i="20"/>
  <c r="CA14" i="20"/>
  <c r="BY14" i="20"/>
  <c r="AM14" i="20"/>
  <c r="AK14" i="20"/>
  <c r="AN14" i="20"/>
  <c r="AG14" i="20"/>
  <c r="X14" i="20"/>
  <c r="CI14" i="20"/>
  <c r="CH13" i="20"/>
  <c r="CF13" i="20"/>
  <c r="CC13" i="20"/>
  <c r="CA13" i="20"/>
  <c r="BY13" i="20"/>
  <c r="AM13" i="20"/>
  <c r="AK13" i="20"/>
  <c r="AN13" i="20"/>
  <c r="AG13" i="20"/>
  <c r="X13" i="20"/>
  <c r="CI13" i="20"/>
  <c r="CH12" i="20"/>
  <c r="CF12" i="20"/>
  <c r="CC12" i="20"/>
  <c r="CA12" i="20"/>
  <c r="BY12" i="20"/>
  <c r="AM12" i="20"/>
  <c r="AK12" i="20"/>
  <c r="AN12" i="20"/>
  <c r="AG12" i="20"/>
  <c r="X12" i="20"/>
  <c r="CI12" i="20"/>
  <c r="CH11" i="20"/>
  <c r="CF11" i="20"/>
  <c r="CC11" i="20"/>
  <c r="CA11" i="20"/>
  <c r="BY11" i="20"/>
  <c r="AM11" i="20"/>
  <c r="AK11" i="20"/>
  <c r="AN11" i="20"/>
  <c r="AG11" i="20"/>
  <c r="X11" i="20"/>
  <c r="CI11" i="20"/>
  <c r="CH10" i="20"/>
  <c r="CF10" i="20"/>
  <c r="CC10" i="20"/>
  <c r="CA10" i="20"/>
  <c r="BY10" i="20"/>
  <c r="AM10" i="20"/>
  <c r="AK10" i="20"/>
  <c r="AN10" i="20"/>
  <c r="AG10" i="20"/>
  <c r="X10" i="20"/>
  <c r="CI10" i="20"/>
  <c r="CH9" i="20"/>
  <c r="CF9" i="20"/>
  <c r="CC9" i="20"/>
  <c r="CA9" i="20"/>
  <c r="BY9" i="20"/>
  <c r="AM9" i="20"/>
  <c r="AK9" i="20"/>
  <c r="AN9" i="20"/>
  <c r="AG9" i="20"/>
  <c r="X9" i="20"/>
  <c r="CI9" i="20"/>
  <c r="CH8" i="20"/>
  <c r="CF8" i="20"/>
  <c r="CC8" i="20"/>
  <c r="CA8" i="20"/>
  <c r="BY8" i="20"/>
  <c r="AM8" i="20"/>
  <c r="AK8" i="20"/>
  <c r="AN8" i="20"/>
  <c r="AG8" i="20"/>
  <c r="X8" i="20"/>
  <c r="CI8" i="20"/>
  <c r="CH7" i="20"/>
  <c r="CF7" i="20"/>
  <c r="CC7" i="20"/>
  <c r="CA7" i="20"/>
  <c r="BY7" i="20"/>
  <c r="AM7" i="20"/>
  <c r="AK7" i="20"/>
  <c r="AN7" i="20"/>
  <c r="AG7" i="20"/>
  <c r="X7" i="20"/>
  <c r="CI7" i="20"/>
  <c r="CH6" i="20"/>
  <c r="CF6" i="20"/>
  <c r="CC6" i="20"/>
  <c r="CA6" i="20"/>
  <c r="BY6" i="20"/>
  <c r="AM6" i="20"/>
  <c r="AK6" i="20"/>
  <c r="AN6" i="20"/>
  <c r="AG6" i="20"/>
  <c r="X6" i="20"/>
  <c r="CI6" i="20"/>
  <c r="CH5" i="20"/>
  <c r="CF5" i="20"/>
  <c r="CC5" i="20"/>
  <c r="CA5" i="20"/>
  <c r="BY5" i="20"/>
  <c r="AM5" i="20"/>
  <c r="AK5" i="20"/>
  <c r="AN5" i="20"/>
  <c r="AG5" i="20"/>
  <c r="X5" i="20"/>
  <c r="CI5" i="20"/>
  <c r="CH4" i="20"/>
  <c r="CF4" i="20"/>
  <c r="CC4" i="20"/>
  <c r="CA4" i="20"/>
  <c r="BY4" i="20"/>
  <c r="AM4" i="20"/>
  <c r="AK4" i="20"/>
  <c r="AN4" i="20"/>
  <c r="AG4" i="20"/>
  <c r="X4" i="20"/>
  <c r="CI4" i="20"/>
  <c r="CH3" i="20"/>
  <c r="CF3" i="20"/>
  <c r="CC3" i="20"/>
  <c r="CA3" i="20"/>
  <c r="BY3" i="20"/>
  <c r="AM3" i="20"/>
  <c r="AK3" i="20"/>
  <c r="AN3" i="20"/>
  <c r="AG3" i="20"/>
  <c r="X3" i="20"/>
  <c r="CI3" i="20"/>
  <c r="CH2" i="20"/>
  <c r="CF2" i="20"/>
  <c r="CC2" i="20"/>
  <c r="CA2" i="20"/>
  <c r="BY2" i="20"/>
  <c r="AM2" i="20"/>
  <c r="AK2" i="20"/>
  <c r="AN2" i="20"/>
  <c r="AG2" i="20"/>
  <c r="X2" i="20"/>
  <c r="CI2" i="20"/>
  <c r="BB65" i="19"/>
  <c r="L66" i="18"/>
  <c r="K66" i="18"/>
  <c r="H66" i="18"/>
  <c r="F66" i="18"/>
  <c r="M65" i="18"/>
  <c r="I65" i="18"/>
  <c r="G65" i="18"/>
  <c r="N65" i="18"/>
  <c r="M64" i="18"/>
  <c r="I64" i="18"/>
  <c r="G64" i="18"/>
  <c r="N64" i="18"/>
  <c r="M63" i="18"/>
  <c r="I63" i="18"/>
  <c r="G63" i="18"/>
  <c r="N63" i="18"/>
  <c r="M62" i="18"/>
  <c r="I62" i="18"/>
  <c r="G62" i="18"/>
  <c r="N62" i="18"/>
  <c r="M61" i="18"/>
  <c r="I61" i="18"/>
  <c r="G61" i="18"/>
  <c r="N61" i="18"/>
  <c r="M60" i="18"/>
  <c r="I60" i="18"/>
  <c r="G60" i="18"/>
  <c r="N60" i="18"/>
  <c r="M59" i="18"/>
  <c r="I59" i="18"/>
  <c r="G59" i="18"/>
  <c r="N59" i="18"/>
  <c r="M58" i="18"/>
  <c r="I58" i="18"/>
  <c r="G58" i="18"/>
  <c r="N58" i="18"/>
  <c r="M57" i="18"/>
  <c r="I57" i="18"/>
  <c r="G57" i="18"/>
  <c r="N57" i="18"/>
  <c r="M56" i="18"/>
  <c r="I56" i="18"/>
  <c r="G56" i="18"/>
  <c r="N56" i="18"/>
  <c r="M55" i="18"/>
  <c r="I55" i="18"/>
  <c r="G55" i="18"/>
  <c r="N55" i="18"/>
  <c r="M54" i="18"/>
  <c r="I54" i="18"/>
  <c r="G54" i="18"/>
  <c r="N54" i="18"/>
  <c r="M53" i="18"/>
  <c r="I53" i="18"/>
  <c r="G53" i="18"/>
  <c r="N53" i="18"/>
  <c r="M52" i="18"/>
  <c r="I52" i="18"/>
  <c r="G52" i="18"/>
  <c r="N52" i="18"/>
  <c r="M51" i="18"/>
  <c r="I51" i="18"/>
  <c r="G51" i="18"/>
  <c r="N51" i="18"/>
  <c r="M50" i="18"/>
  <c r="I50" i="18"/>
  <c r="G50" i="18"/>
  <c r="N50" i="18"/>
  <c r="M49" i="18"/>
  <c r="I49" i="18"/>
  <c r="G49" i="18"/>
  <c r="N49" i="18"/>
  <c r="M48" i="18"/>
  <c r="I48" i="18"/>
  <c r="G48" i="18"/>
  <c r="N48" i="18"/>
  <c r="M47" i="18"/>
  <c r="I47" i="18"/>
  <c r="G47" i="18"/>
  <c r="N47" i="18"/>
  <c r="M46" i="18"/>
  <c r="I46" i="18"/>
  <c r="G46" i="18"/>
  <c r="N46" i="18"/>
  <c r="M45" i="18"/>
  <c r="I45" i="18"/>
  <c r="G45" i="18"/>
  <c r="N45" i="18"/>
  <c r="M44" i="18"/>
  <c r="I44" i="18"/>
  <c r="G44" i="18"/>
  <c r="N44" i="18"/>
  <c r="M43" i="18"/>
  <c r="I43" i="18"/>
  <c r="G43" i="18"/>
  <c r="N43" i="18"/>
  <c r="M42" i="18"/>
  <c r="I42" i="18"/>
  <c r="G42" i="18"/>
  <c r="N42" i="18"/>
  <c r="M41" i="18"/>
  <c r="I41" i="18"/>
  <c r="G41" i="18"/>
  <c r="N41" i="18"/>
  <c r="M40" i="18"/>
  <c r="I40" i="18"/>
  <c r="G40" i="18"/>
  <c r="N40" i="18"/>
  <c r="M39" i="18"/>
  <c r="I39" i="18"/>
  <c r="G39" i="18"/>
  <c r="N39" i="18"/>
  <c r="M38" i="18"/>
  <c r="I38" i="18"/>
  <c r="G38" i="18"/>
  <c r="N38" i="18"/>
  <c r="M37" i="18"/>
  <c r="I37" i="18"/>
  <c r="G37" i="18"/>
  <c r="N37" i="18"/>
  <c r="M36" i="18"/>
  <c r="I36" i="18"/>
  <c r="G36" i="18"/>
  <c r="N36" i="18"/>
  <c r="M35" i="18"/>
  <c r="I35" i="18"/>
  <c r="G35" i="18"/>
  <c r="N35" i="18"/>
  <c r="M34" i="18"/>
  <c r="I34" i="18"/>
  <c r="G34" i="18"/>
  <c r="N34" i="18"/>
  <c r="M33" i="18"/>
  <c r="I33" i="18"/>
  <c r="G33" i="18"/>
  <c r="N33" i="18"/>
  <c r="M32" i="18"/>
  <c r="I32" i="18"/>
  <c r="G32" i="18"/>
  <c r="N32" i="18"/>
  <c r="M31" i="18"/>
  <c r="I31" i="18"/>
  <c r="G31" i="18"/>
  <c r="N31" i="18"/>
  <c r="M30" i="18"/>
  <c r="I30" i="18"/>
  <c r="G30" i="18"/>
  <c r="N30" i="18"/>
  <c r="M29" i="18"/>
  <c r="I29" i="18"/>
  <c r="G29" i="18"/>
  <c r="N29" i="18"/>
  <c r="M28" i="18"/>
  <c r="I28" i="18"/>
  <c r="G28" i="18"/>
  <c r="N28" i="18"/>
  <c r="M27" i="18"/>
  <c r="I27" i="18"/>
  <c r="G27" i="18"/>
  <c r="N27" i="18"/>
  <c r="M26" i="18"/>
  <c r="I26" i="18"/>
  <c r="G26" i="18"/>
  <c r="N26" i="18"/>
  <c r="M25" i="18"/>
  <c r="I25" i="18"/>
  <c r="G25" i="18"/>
  <c r="N25" i="18"/>
  <c r="M24" i="18"/>
  <c r="I24" i="18"/>
  <c r="G24" i="18"/>
  <c r="N24" i="18"/>
  <c r="M23" i="18"/>
  <c r="I23" i="18"/>
  <c r="G23" i="18"/>
  <c r="N23" i="18"/>
  <c r="M22" i="18"/>
  <c r="I22" i="18"/>
  <c r="G22" i="18"/>
  <c r="N22" i="18"/>
  <c r="M21" i="18"/>
  <c r="I21" i="18"/>
  <c r="G21" i="18"/>
  <c r="N21" i="18"/>
  <c r="M20" i="18"/>
  <c r="I20" i="18"/>
  <c r="G20" i="18"/>
  <c r="N20" i="18"/>
  <c r="M19" i="18"/>
  <c r="I19" i="18"/>
  <c r="G19" i="18"/>
  <c r="N19" i="18"/>
  <c r="M18" i="18"/>
  <c r="I18" i="18"/>
  <c r="G18" i="18"/>
  <c r="N18" i="18"/>
  <c r="M17" i="18"/>
  <c r="I17" i="18"/>
  <c r="G17" i="18"/>
  <c r="N17" i="18"/>
  <c r="M16" i="18"/>
  <c r="I16" i="18"/>
  <c r="G16" i="18"/>
  <c r="N16" i="18"/>
  <c r="M15" i="18"/>
  <c r="I15" i="18"/>
  <c r="G15" i="18"/>
  <c r="N15" i="18"/>
  <c r="M14" i="18"/>
  <c r="I14" i="18"/>
  <c r="G14" i="18"/>
  <c r="N14" i="18"/>
  <c r="M13" i="18"/>
  <c r="I13" i="18"/>
  <c r="G13" i="18"/>
  <c r="N13" i="18"/>
  <c r="M12" i="18"/>
  <c r="I12" i="18"/>
  <c r="G12" i="18"/>
  <c r="N12" i="18"/>
  <c r="M11" i="18"/>
  <c r="I11" i="18"/>
  <c r="G11" i="18"/>
  <c r="N11" i="18"/>
  <c r="M10" i="18"/>
  <c r="I10" i="18"/>
  <c r="G10" i="18"/>
  <c r="N10" i="18"/>
  <c r="M9" i="18"/>
  <c r="I9" i="18"/>
  <c r="G9" i="18"/>
  <c r="N9" i="18"/>
  <c r="M8" i="18"/>
  <c r="I8" i="18"/>
  <c r="G8" i="18"/>
  <c r="N8" i="18"/>
  <c r="M7" i="18"/>
  <c r="I7" i="18"/>
  <c r="G7" i="18"/>
  <c r="N7" i="18"/>
  <c r="M6" i="18"/>
  <c r="I6" i="18"/>
  <c r="G6" i="18"/>
  <c r="N6" i="18"/>
  <c r="M5" i="18"/>
  <c r="I5" i="18"/>
  <c r="G5" i="18"/>
  <c r="N5" i="18"/>
  <c r="M4" i="18"/>
  <c r="I4" i="18"/>
  <c r="G4" i="18"/>
  <c r="N4" i="18"/>
  <c r="M3" i="18"/>
  <c r="I3" i="18"/>
  <c r="G3" i="18"/>
  <c r="N3" i="18"/>
  <c r="M2" i="18"/>
  <c r="I2" i="18"/>
  <c r="G2" i="18"/>
  <c r="N2" i="18"/>
  <c r="AU65" i="17"/>
  <c r="AK65" i="17"/>
  <c r="AV65" i="17"/>
  <c r="AU2" i="17"/>
  <c r="AV2" i="17"/>
  <c r="AU3" i="17"/>
  <c r="AV3" i="17"/>
  <c r="AU4" i="17"/>
  <c r="AV4" i="17"/>
  <c r="AU5" i="17"/>
  <c r="AV5" i="17"/>
  <c r="AU6" i="17"/>
  <c r="AV6" i="17"/>
  <c r="AU7" i="17"/>
  <c r="AV7" i="17"/>
  <c r="AU8" i="17"/>
  <c r="AV8" i="17"/>
  <c r="AU9" i="17"/>
  <c r="AV9" i="17"/>
  <c r="AU10" i="17"/>
  <c r="AV10" i="17"/>
  <c r="AU11" i="17"/>
  <c r="AV11" i="17"/>
  <c r="AU12" i="17"/>
  <c r="AV12" i="17"/>
  <c r="AU13" i="17"/>
  <c r="AV13" i="17"/>
  <c r="AU14" i="17"/>
  <c r="AV14" i="17"/>
  <c r="AU15" i="17"/>
  <c r="AV15" i="17"/>
  <c r="AU16" i="17"/>
  <c r="AV16" i="17"/>
  <c r="AU17" i="17"/>
  <c r="AV17" i="17"/>
  <c r="AU18" i="17"/>
  <c r="AV18" i="17"/>
  <c r="AU19" i="17"/>
  <c r="AV19" i="17"/>
  <c r="AU20" i="17"/>
  <c r="AV20" i="17"/>
  <c r="AU21" i="17"/>
  <c r="AV21" i="17"/>
  <c r="AU22" i="17"/>
  <c r="AV22" i="17"/>
  <c r="AU23" i="17"/>
  <c r="AV23" i="17"/>
  <c r="AU24" i="17"/>
  <c r="AV24" i="17"/>
  <c r="AU25" i="17"/>
  <c r="AV25" i="17"/>
  <c r="AU26" i="17"/>
  <c r="AV26" i="17"/>
  <c r="AU27" i="17"/>
  <c r="AV27" i="17"/>
  <c r="AU28" i="17"/>
  <c r="AV28" i="17"/>
  <c r="AU29" i="17"/>
  <c r="AV29" i="17"/>
  <c r="AU30" i="17"/>
  <c r="AV30" i="17"/>
  <c r="AU31" i="17"/>
  <c r="AV31" i="17"/>
  <c r="AU32" i="17"/>
  <c r="AV32" i="17"/>
  <c r="AU33" i="17"/>
  <c r="AV33" i="17"/>
  <c r="AU34" i="17"/>
  <c r="AV34" i="17"/>
  <c r="AU35" i="17"/>
  <c r="AV35" i="17"/>
  <c r="AU36" i="17"/>
  <c r="AV36" i="17"/>
  <c r="AU37" i="17"/>
  <c r="AV37" i="17"/>
  <c r="AU38" i="17"/>
  <c r="AV38" i="17"/>
  <c r="AU39" i="17"/>
  <c r="AV39" i="17"/>
  <c r="AU40" i="17"/>
  <c r="AV40" i="17"/>
  <c r="AU41" i="17"/>
  <c r="AV41" i="17"/>
  <c r="AU42" i="17"/>
  <c r="AV42" i="17"/>
  <c r="AU43" i="17"/>
  <c r="AV43" i="17"/>
  <c r="AU44" i="17"/>
  <c r="AV44" i="17"/>
  <c r="AU45" i="17"/>
  <c r="AV45" i="17"/>
  <c r="AU46" i="17"/>
  <c r="AV46" i="17"/>
  <c r="AU47" i="17"/>
  <c r="AV47" i="17"/>
  <c r="AU48" i="17"/>
  <c r="AV48" i="17"/>
  <c r="AU49" i="17"/>
  <c r="AV49" i="17"/>
  <c r="AU50" i="17"/>
  <c r="AV50" i="17"/>
  <c r="AU51" i="17"/>
  <c r="AV51" i="17"/>
  <c r="AU52" i="17"/>
  <c r="AV52" i="17"/>
  <c r="AU53" i="17"/>
  <c r="AV53" i="17"/>
  <c r="AU54" i="17"/>
  <c r="AV54" i="17"/>
  <c r="AU55" i="17"/>
  <c r="AV55" i="17"/>
  <c r="AU56" i="17"/>
  <c r="AV56" i="17"/>
  <c r="AU57" i="17"/>
  <c r="AV57" i="17"/>
  <c r="AU58" i="17"/>
  <c r="AV58" i="17"/>
  <c r="AU59" i="17"/>
  <c r="AV59" i="17"/>
  <c r="AU60" i="17"/>
  <c r="AV60" i="17"/>
  <c r="AU61" i="17"/>
  <c r="AV61" i="17"/>
  <c r="AU62" i="17"/>
  <c r="AV62" i="17"/>
  <c r="AU63" i="17"/>
  <c r="AV63" i="17"/>
  <c r="AU64" i="17"/>
  <c r="AV64" i="17"/>
  <c r="AW65" i="17"/>
  <c r="AS65" i="17"/>
  <c r="AS2" i="17"/>
  <c r="AS3" i="17"/>
  <c r="AS4" i="17"/>
  <c r="AS5" i="17"/>
  <c r="AS6" i="17"/>
  <c r="AS7" i="17"/>
  <c r="AS8" i="17"/>
  <c r="AS9" i="17"/>
  <c r="AS10" i="17"/>
  <c r="AS11" i="17"/>
  <c r="AS12" i="17"/>
  <c r="AS13" i="17"/>
  <c r="AS14" i="17"/>
  <c r="AS15" i="17"/>
  <c r="AS16" i="17"/>
  <c r="AS17" i="17"/>
  <c r="AS18" i="17"/>
  <c r="AS19" i="17"/>
  <c r="AS20" i="17"/>
  <c r="AS21" i="17"/>
  <c r="AS22" i="17"/>
  <c r="AS23" i="17"/>
  <c r="AS25" i="17"/>
  <c r="AS26" i="17"/>
  <c r="AS27" i="17"/>
  <c r="AS28" i="17"/>
  <c r="AS30" i="17"/>
  <c r="AS31" i="17"/>
  <c r="AS32" i="17"/>
  <c r="AS33" i="17"/>
  <c r="AS34" i="17"/>
  <c r="AS35" i="17"/>
  <c r="AS36" i="17"/>
  <c r="AS37" i="17"/>
  <c r="AS38" i="17"/>
  <c r="AS39" i="17"/>
  <c r="AS41" i="17"/>
  <c r="AS42" i="17"/>
  <c r="AS43" i="17"/>
  <c r="AS44" i="17"/>
  <c r="AS45" i="17"/>
  <c r="AS47" i="17"/>
  <c r="AS48" i="17"/>
  <c r="AS49" i="17"/>
  <c r="AS50" i="17"/>
  <c r="AS51" i="17"/>
  <c r="AS52" i="17"/>
  <c r="AS53" i="17"/>
  <c r="AS54" i="17"/>
  <c r="AS55" i="17"/>
  <c r="AS57" i="17"/>
  <c r="AS58" i="17"/>
  <c r="AS59" i="17"/>
  <c r="AS60" i="17"/>
  <c r="AS61" i="17"/>
  <c r="AS62" i="17"/>
  <c r="AS63" i="17"/>
  <c r="AS64" i="17"/>
  <c r="AT65" i="17"/>
  <c r="AQ65" i="17"/>
  <c r="AQ2" i="17"/>
  <c r="AQ3" i="17"/>
  <c r="AQ4" i="17"/>
  <c r="AQ5" i="17"/>
  <c r="AQ6" i="17"/>
  <c r="AQ7" i="17"/>
  <c r="AQ8" i="17"/>
  <c r="AQ9" i="17"/>
  <c r="AQ10" i="17"/>
  <c r="AQ11" i="17"/>
  <c r="AQ12" i="17"/>
  <c r="AQ13" i="17"/>
  <c r="AQ14" i="17"/>
  <c r="AQ15" i="17"/>
  <c r="AQ16" i="17"/>
  <c r="AQ17" i="17"/>
  <c r="AQ18" i="17"/>
  <c r="AQ19" i="17"/>
  <c r="AQ20" i="17"/>
  <c r="AQ21" i="17"/>
  <c r="AQ22" i="17"/>
  <c r="AQ23" i="17"/>
  <c r="AQ24" i="17"/>
  <c r="AQ25" i="17"/>
  <c r="AQ26" i="17"/>
  <c r="AQ27" i="17"/>
  <c r="AQ28" i="17"/>
  <c r="AQ30" i="17"/>
  <c r="AQ31" i="17"/>
  <c r="AQ32" i="17"/>
  <c r="AQ33" i="17"/>
  <c r="AQ34" i="17"/>
  <c r="AQ35" i="17"/>
  <c r="AQ36" i="17"/>
  <c r="AQ37" i="17"/>
  <c r="AQ38" i="17"/>
  <c r="AQ39" i="17"/>
  <c r="AQ40" i="17"/>
  <c r="AQ41" i="17"/>
  <c r="AQ42" i="17"/>
  <c r="AQ43" i="17"/>
  <c r="AQ44" i="17"/>
  <c r="AQ45" i="17"/>
  <c r="AQ46" i="17"/>
  <c r="AQ47" i="17"/>
  <c r="AQ48" i="17"/>
  <c r="AQ49" i="17"/>
  <c r="AQ50" i="17"/>
  <c r="AQ51" i="17"/>
  <c r="AQ52" i="17"/>
  <c r="AQ53" i="17"/>
  <c r="AQ54" i="17"/>
  <c r="AQ55" i="17"/>
  <c r="AQ56" i="17"/>
  <c r="AQ57" i="17"/>
  <c r="AQ58" i="17"/>
  <c r="AQ59" i="17"/>
  <c r="AQ60" i="17"/>
  <c r="AQ61" i="17"/>
  <c r="AQ62" i="17"/>
  <c r="AQ63" i="17"/>
  <c r="AQ64" i="17"/>
  <c r="AR65" i="17"/>
  <c r="AP65" i="17"/>
  <c r="X65" i="17"/>
  <c r="V65" i="17"/>
  <c r="T65" i="17"/>
  <c r="R65" i="17"/>
  <c r="P65" i="17"/>
  <c r="N65" i="17"/>
  <c r="Y65" i="17"/>
  <c r="AX65" i="17"/>
  <c r="AW64" i="17"/>
  <c r="AT64" i="17"/>
  <c r="AR64" i="17"/>
  <c r="AP64" i="17"/>
  <c r="X64" i="17"/>
  <c r="V64" i="17"/>
  <c r="T64" i="17"/>
  <c r="R64" i="17"/>
  <c r="P64" i="17"/>
  <c r="N64" i="17"/>
  <c r="Y64" i="17"/>
  <c r="AX64" i="17"/>
  <c r="AW63" i="17"/>
  <c r="AT63" i="17"/>
  <c r="AR63" i="17"/>
  <c r="AP63" i="17"/>
  <c r="X63" i="17"/>
  <c r="V63" i="17"/>
  <c r="T63" i="17"/>
  <c r="R63" i="17"/>
  <c r="P63" i="17"/>
  <c r="N63" i="17"/>
  <c r="Y63" i="17"/>
  <c r="AX63" i="17"/>
  <c r="AW62" i="17"/>
  <c r="AT62" i="17"/>
  <c r="AR62" i="17"/>
  <c r="AP62" i="17"/>
  <c r="X62" i="17"/>
  <c r="V62" i="17"/>
  <c r="T62" i="17"/>
  <c r="R62" i="17"/>
  <c r="P62" i="17"/>
  <c r="N62" i="17"/>
  <c r="Y62" i="17"/>
  <c r="AX62" i="17"/>
  <c r="AW61" i="17"/>
  <c r="AT61" i="17"/>
  <c r="AR61" i="17"/>
  <c r="AP61" i="17"/>
  <c r="X61" i="17"/>
  <c r="V61" i="17"/>
  <c r="T61" i="17"/>
  <c r="R61" i="17"/>
  <c r="P61" i="17"/>
  <c r="N61" i="17"/>
  <c r="Y61" i="17"/>
  <c r="AX61" i="17"/>
  <c r="AW60" i="17"/>
  <c r="AT60" i="17"/>
  <c r="AR60" i="17"/>
  <c r="AP60" i="17"/>
  <c r="X60" i="17"/>
  <c r="V60" i="17"/>
  <c r="T60" i="17"/>
  <c r="R60" i="17"/>
  <c r="P60" i="17"/>
  <c r="N60" i="17"/>
  <c r="Y60" i="17"/>
  <c r="AX60" i="17"/>
  <c r="AW59" i="17"/>
  <c r="AT59" i="17"/>
  <c r="AR59" i="17"/>
  <c r="AP59" i="17"/>
  <c r="X59" i="17"/>
  <c r="V59" i="17"/>
  <c r="T59" i="17"/>
  <c r="R59" i="17"/>
  <c r="P59" i="17"/>
  <c r="N59" i="17"/>
  <c r="Y59" i="17"/>
  <c r="AX59" i="17"/>
  <c r="AW58" i="17"/>
  <c r="AT58" i="17"/>
  <c r="AR58" i="17"/>
  <c r="AP58" i="17"/>
  <c r="X58" i="17"/>
  <c r="V58" i="17"/>
  <c r="T58" i="17"/>
  <c r="R58" i="17"/>
  <c r="P58" i="17"/>
  <c r="N58" i="17"/>
  <c r="Y58" i="17"/>
  <c r="AX58" i="17"/>
  <c r="AW57" i="17"/>
  <c r="AT57" i="17"/>
  <c r="AR57" i="17"/>
  <c r="AP57" i="17"/>
  <c r="X57" i="17"/>
  <c r="V57" i="17"/>
  <c r="T57" i="17"/>
  <c r="R57" i="17"/>
  <c r="P57" i="17"/>
  <c r="N57" i="17"/>
  <c r="Y57" i="17"/>
  <c r="AX57" i="17"/>
  <c r="AW56" i="17"/>
  <c r="AT56" i="17"/>
  <c r="AR56" i="17"/>
  <c r="AP56" i="17"/>
  <c r="X56" i="17"/>
  <c r="V56" i="17"/>
  <c r="T56" i="17"/>
  <c r="R56" i="17"/>
  <c r="P56" i="17"/>
  <c r="N56" i="17"/>
  <c r="Y56" i="17"/>
  <c r="AX56" i="17"/>
  <c r="AW55" i="17"/>
  <c r="AT55" i="17"/>
  <c r="AR55" i="17"/>
  <c r="AP55" i="17"/>
  <c r="X55" i="17"/>
  <c r="V55" i="17"/>
  <c r="T55" i="17"/>
  <c r="R55" i="17"/>
  <c r="P55" i="17"/>
  <c r="N55" i="17"/>
  <c r="Y55" i="17"/>
  <c r="AX55" i="17"/>
  <c r="AW54" i="17"/>
  <c r="AT54" i="17"/>
  <c r="AR54" i="17"/>
  <c r="AP54" i="17"/>
  <c r="X54" i="17"/>
  <c r="V54" i="17"/>
  <c r="T54" i="17"/>
  <c r="R54" i="17"/>
  <c r="P54" i="17"/>
  <c r="N54" i="17"/>
  <c r="Y54" i="17"/>
  <c r="AX54" i="17"/>
  <c r="AW53" i="17"/>
  <c r="AT53" i="17"/>
  <c r="AR53" i="17"/>
  <c r="AP53" i="17"/>
  <c r="X53" i="17"/>
  <c r="V53" i="17"/>
  <c r="T53" i="17"/>
  <c r="R53" i="17"/>
  <c r="P53" i="17"/>
  <c r="N53" i="17"/>
  <c r="Y53" i="17"/>
  <c r="AX53" i="17"/>
  <c r="AW52" i="17"/>
  <c r="AT52" i="17"/>
  <c r="AR52" i="17"/>
  <c r="AP52" i="17"/>
  <c r="X52" i="17"/>
  <c r="V52" i="17"/>
  <c r="T52" i="17"/>
  <c r="R52" i="17"/>
  <c r="P52" i="17"/>
  <c r="N52" i="17"/>
  <c r="Y52" i="17"/>
  <c r="AX52" i="17"/>
  <c r="AW51" i="17"/>
  <c r="AT51" i="17"/>
  <c r="AR51" i="17"/>
  <c r="AP51" i="17"/>
  <c r="X51" i="17"/>
  <c r="V51" i="17"/>
  <c r="T51" i="17"/>
  <c r="R51" i="17"/>
  <c r="P51" i="17"/>
  <c r="N51" i="17"/>
  <c r="Y51" i="17"/>
  <c r="AX51" i="17"/>
  <c r="AW50" i="17"/>
  <c r="AT50" i="17"/>
  <c r="AR50" i="17"/>
  <c r="AP50" i="17"/>
  <c r="X50" i="17"/>
  <c r="V50" i="17"/>
  <c r="T50" i="17"/>
  <c r="R50" i="17"/>
  <c r="P50" i="17"/>
  <c r="N50" i="17"/>
  <c r="Y50" i="17"/>
  <c r="AX50" i="17"/>
  <c r="AW49" i="17"/>
  <c r="AT49" i="17"/>
  <c r="AR49" i="17"/>
  <c r="AP49" i="17"/>
  <c r="X49" i="17"/>
  <c r="V49" i="17"/>
  <c r="T49" i="17"/>
  <c r="R49" i="17"/>
  <c r="P49" i="17"/>
  <c r="N49" i="17"/>
  <c r="Y49" i="17"/>
  <c r="AX49" i="17"/>
  <c r="AW48" i="17"/>
  <c r="AT48" i="17"/>
  <c r="AR48" i="17"/>
  <c r="AP48" i="17"/>
  <c r="X48" i="17"/>
  <c r="V48" i="17"/>
  <c r="T48" i="17"/>
  <c r="R48" i="17"/>
  <c r="P48" i="17"/>
  <c r="N48" i="17"/>
  <c r="Y48" i="17"/>
  <c r="AX48" i="17"/>
  <c r="AW47" i="17"/>
  <c r="AT47" i="17"/>
  <c r="AR47" i="17"/>
  <c r="AP47" i="17"/>
  <c r="X47" i="17"/>
  <c r="V47" i="17"/>
  <c r="T47" i="17"/>
  <c r="R47" i="17"/>
  <c r="P47" i="17"/>
  <c r="N47" i="17"/>
  <c r="Y47" i="17"/>
  <c r="AX47" i="17"/>
  <c r="AW46" i="17"/>
  <c r="AT46" i="17"/>
  <c r="AR46" i="17"/>
  <c r="AP46" i="17"/>
  <c r="X46" i="17"/>
  <c r="V46" i="17"/>
  <c r="T46" i="17"/>
  <c r="R46" i="17"/>
  <c r="P46" i="17"/>
  <c r="N46" i="17"/>
  <c r="Y46" i="17"/>
  <c r="AX46" i="17"/>
  <c r="AW45" i="17"/>
  <c r="AT45" i="17"/>
  <c r="AR45" i="17"/>
  <c r="AP45" i="17"/>
  <c r="X45" i="17"/>
  <c r="V45" i="17"/>
  <c r="T45" i="17"/>
  <c r="R45" i="17"/>
  <c r="P45" i="17"/>
  <c r="N45" i="17"/>
  <c r="Y45" i="17"/>
  <c r="AX45" i="17"/>
  <c r="AW44" i="17"/>
  <c r="AT44" i="17"/>
  <c r="AR44" i="17"/>
  <c r="AP44" i="17"/>
  <c r="X44" i="17"/>
  <c r="V44" i="17"/>
  <c r="T44" i="17"/>
  <c r="R44" i="17"/>
  <c r="P44" i="17"/>
  <c r="N44" i="17"/>
  <c r="Y44" i="17"/>
  <c r="AX44" i="17"/>
  <c r="AW43" i="17"/>
  <c r="AT43" i="17"/>
  <c r="AR43" i="17"/>
  <c r="AP43" i="17"/>
  <c r="X43" i="17"/>
  <c r="V43" i="17"/>
  <c r="T43" i="17"/>
  <c r="R43" i="17"/>
  <c r="P43" i="17"/>
  <c r="N43" i="17"/>
  <c r="Y43" i="17"/>
  <c r="AX43" i="17"/>
  <c r="AW42" i="17"/>
  <c r="AT42" i="17"/>
  <c r="AR42" i="17"/>
  <c r="AP42" i="17"/>
  <c r="X42" i="17"/>
  <c r="V42" i="17"/>
  <c r="T42" i="17"/>
  <c r="R42" i="17"/>
  <c r="P42" i="17"/>
  <c r="N42" i="17"/>
  <c r="Y42" i="17"/>
  <c r="AX42" i="17"/>
  <c r="AW41" i="17"/>
  <c r="AT41" i="17"/>
  <c r="AR41" i="17"/>
  <c r="AP41" i="17"/>
  <c r="X41" i="17"/>
  <c r="V41" i="17"/>
  <c r="T41" i="17"/>
  <c r="R41" i="17"/>
  <c r="P41" i="17"/>
  <c r="N41" i="17"/>
  <c r="Y41" i="17"/>
  <c r="AX41" i="17"/>
  <c r="AW40" i="17"/>
  <c r="AT40" i="17"/>
  <c r="AR40" i="17"/>
  <c r="AP40" i="17"/>
  <c r="X40" i="17"/>
  <c r="V40" i="17"/>
  <c r="T40" i="17"/>
  <c r="R40" i="17"/>
  <c r="P40" i="17"/>
  <c r="N40" i="17"/>
  <c r="Y40" i="17"/>
  <c r="AX40" i="17"/>
  <c r="AW39" i="17"/>
  <c r="AT39" i="17"/>
  <c r="AR39" i="17"/>
  <c r="AP39" i="17"/>
  <c r="X39" i="17"/>
  <c r="V39" i="17"/>
  <c r="T39" i="17"/>
  <c r="R39" i="17"/>
  <c r="P39" i="17"/>
  <c r="N39" i="17"/>
  <c r="Y39" i="17"/>
  <c r="AX39" i="17"/>
  <c r="AW38" i="17"/>
  <c r="AT38" i="17"/>
  <c r="AR38" i="17"/>
  <c r="AP38" i="17"/>
  <c r="X38" i="17"/>
  <c r="V38" i="17"/>
  <c r="T38" i="17"/>
  <c r="R38" i="17"/>
  <c r="P38" i="17"/>
  <c r="N38" i="17"/>
  <c r="Y38" i="17"/>
  <c r="AX38" i="17"/>
  <c r="AW37" i="17"/>
  <c r="AT37" i="17"/>
  <c r="AR37" i="17"/>
  <c r="AP37" i="17"/>
  <c r="X37" i="17"/>
  <c r="V37" i="17"/>
  <c r="T37" i="17"/>
  <c r="R37" i="17"/>
  <c r="P37" i="17"/>
  <c r="N37" i="17"/>
  <c r="Y37" i="17"/>
  <c r="AX37" i="17"/>
  <c r="AW36" i="17"/>
  <c r="AT36" i="17"/>
  <c r="AR36" i="17"/>
  <c r="AP36" i="17"/>
  <c r="X36" i="17"/>
  <c r="V36" i="17"/>
  <c r="T36" i="17"/>
  <c r="R36" i="17"/>
  <c r="P36" i="17"/>
  <c r="N36" i="17"/>
  <c r="Y36" i="17"/>
  <c r="AX36" i="17"/>
  <c r="AW35" i="17"/>
  <c r="AT35" i="17"/>
  <c r="AR35" i="17"/>
  <c r="AP35" i="17"/>
  <c r="X35" i="17"/>
  <c r="V35" i="17"/>
  <c r="T35" i="17"/>
  <c r="R35" i="17"/>
  <c r="P35" i="17"/>
  <c r="N35" i="17"/>
  <c r="Y35" i="17"/>
  <c r="AX35" i="17"/>
  <c r="AW34" i="17"/>
  <c r="AT34" i="17"/>
  <c r="AR34" i="17"/>
  <c r="AP34" i="17"/>
  <c r="X34" i="17"/>
  <c r="V34" i="17"/>
  <c r="T34" i="17"/>
  <c r="R34" i="17"/>
  <c r="P34" i="17"/>
  <c r="N34" i="17"/>
  <c r="Y34" i="17"/>
  <c r="AX34" i="17"/>
  <c r="AW33" i="17"/>
  <c r="AT33" i="17"/>
  <c r="AR33" i="17"/>
  <c r="AP33" i="17"/>
  <c r="X33" i="17"/>
  <c r="V33" i="17"/>
  <c r="T33" i="17"/>
  <c r="R33" i="17"/>
  <c r="P33" i="17"/>
  <c r="N33" i="17"/>
  <c r="Y33" i="17"/>
  <c r="AX33" i="17"/>
  <c r="AW32" i="17"/>
  <c r="AT32" i="17"/>
  <c r="AR32" i="17"/>
  <c r="AP32" i="17"/>
  <c r="X32" i="17"/>
  <c r="V32" i="17"/>
  <c r="T32" i="17"/>
  <c r="R32" i="17"/>
  <c r="P32" i="17"/>
  <c r="N32" i="17"/>
  <c r="Y32" i="17"/>
  <c r="AX32" i="17"/>
  <c r="AW31" i="17"/>
  <c r="AT31" i="17"/>
  <c r="AR31" i="17"/>
  <c r="AP31" i="17"/>
  <c r="X31" i="17"/>
  <c r="V31" i="17"/>
  <c r="T31" i="17"/>
  <c r="R31" i="17"/>
  <c r="P31" i="17"/>
  <c r="N31" i="17"/>
  <c r="Y31" i="17"/>
  <c r="AX31" i="17"/>
  <c r="AW30" i="17"/>
  <c r="AT30" i="17"/>
  <c r="AR30" i="17"/>
  <c r="AP30" i="17"/>
  <c r="X30" i="17"/>
  <c r="V30" i="17"/>
  <c r="T30" i="17"/>
  <c r="R30" i="17"/>
  <c r="P30" i="17"/>
  <c r="N30" i="17"/>
  <c r="Y30" i="17"/>
  <c r="AX30" i="17"/>
  <c r="AW29" i="17"/>
  <c r="AT29" i="17"/>
  <c r="AR29" i="17"/>
  <c r="AP29" i="17"/>
  <c r="X29" i="17"/>
  <c r="V29" i="17"/>
  <c r="T29" i="17"/>
  <c r="R29" i="17"/>
  <c r="P29" i="17"/>
  <c r="N29" i="17"/>
  <c r="Y29" i="17"/>
  <c r="AX29" i="17"/>
  <c r="AW28" i="17"/>
  <c r="AT28" i="17"/>
  <c r="AR28" i="17"/>
  <c r="AP28" i="17"/>
  <c r="X28" i="17"/>
  <c r="V28" i="17"/>
  <c r="T28" i="17"/>
  <c r="R28" i="17"/>
  <c r="P28" i="17"/>
  <c r="N28" i="17"/>
  <c r="Y28" i="17"/>
  <c r="AX28" i="17"/>
  <c r="AW27" i="17"/>
  <c r="AT27" i="17"/>
  <c r="AR27" i="17"/>
  <c r="AP27" i="17"/>
  <c r="X27" i="17"/>
  <c r="V27" i="17"/>
  <c r="T27" i="17"/>
  <c r="R27" i="17"/>
  <c r="P27" i="17"/>
  <c r="N27" i="17"/>
  <c r="Y27" i="17"/>
  <c r="AX27" i="17"/>
  <c r="AW26" i="17"/>
  <c r="AT26" i="17"/>
  <c r="AR26" i="17"/>
  <c r="AP26" i="17"/>
  <c r="X26" i="17"/>
  <c r="V26" i="17"/>
  <c r="T26" i="17"/>
  <c r="R26" i="17"/>
  <c r="P26" i="17"/>
  <c r="N26" i="17"/>
  <c r="Y26" i="17"/>
  <c r="AX26" i="17"/>
  <c r="AW25" i="17"/>
  <c r="AT25" i="17"/>
  <c r="AR25" i="17"/>
  <c r="AP25" i="17"/>
  <c r="X25" i="17"/>
  <c r="V25" i="17"/>
  <c r="T25" i="17"/>
  <c r="R25" i="17"/>
  <c r="P25" i="17"/>
  <c r="N25" i="17"/>
  <c r="Y25" i="17"/>
  <c r="AX25" i="17"/>
  <c r="AW24" i="17"/>
  <c r="AT24" i="17"/>
  <c r="AR24" i="17"/>
  <c r="AP24" i="17"/>
  <c r="X24" i="17"/>
  <c r="V24" i="17"/>
  <c r="T24" i="17"/>
  <c r="R24" i="17"/>
  <c r="P24" i="17"/>
  <c r="N24" i="17"/>
  <c r="Y24" i="17"/>
  <c r="AX24" i="17"/>
  <c r="AW23" i="17"/>
  <c r="AT23" i="17"/>
  <c r="AR23" i="17"/>
  <c r="AP23" i="17"/>
  <c r="X23" i="17"/>
  <c r="V23" i="17"/>
  <c r="T23" i="17"/>
  <c r="R23" i="17"/>
  <c r="P23" i="17"/>
  <c r="N23" i="17"/>
  <c r="Y23" i="17"/>
  <c r="AX23" i="17"/>
  <c r="AW22" i="17"/>
  <c r="AT22" i="17"/>
  <c r="AR22" i="17"/>
  <c r="AP22" i="17"/>
  <c r="X22" i="17"/>
  <c r="V22" i="17"/>
  <c r="T22" i="17"/>
  <c r="R22" i="17"/>
  <c r="P22" i="17"/>
  <c r="N22" i="17"/>
  <c r="Y22" i="17"/>
  <c r="AX22" i="17"/>
  <c r="AW21" i="17"/>
  <c r="AT21" i="17"/>
  <c r="AR21" i="17"/>
  <c r="AP21" i="17"/>
  <c r="X21" i="17"/>
  <c r="V21" i="17"/>
  <c r="T21" i="17"/>
  <c r="R21" i="17"/>
  <c r="P21" i="17"/>
  <c r="N21" i="17"/>
  <c r="Y21" i="17"/>
  <c r="AX21" i="17"/>
  <c r="AW20" i="17"/>
  <c r="AT20" i="17"/>
  <c r="AR20" i="17"/>
  <c r="AP20" i="17"/>
  <c r="X20" i="17"/>
  <c r="V20" i="17"/>
  <c r="T20" i="17"/>
  <c r="R20" i="17"/>
  <c r="P20" i="17"/>
  <c r="N20" i="17"/>
  <c r="Y20" i="17"/>
  <c r="AX20" i="17"/>
  <c r="AW19" i="17"/>
  <c r="AT19" i="17"/>
  <c r="AR19" i="17"/>
  <c r="AP19" i="17"/>
  <c r="X19" i="17"/>
  <c r="V19" i="17"/>
  <c r="T19" i="17"/>
  <c r="R19" i="17"/>
  <c r="P19" i="17"/>
  <c r="N19" i="17"/>
  <c r="Y19" i="17"/>
  <c r="AX19" i="17"/>
  <c r="AW18" i="17"/>
  <c r="AT18" i="17"/>
  <c r="AR18" i="17"/>
  <c r="AP18" i="17"/>
  <c r="X18" i="17"/>
  <c r="V18" i="17"/>
  <c r="T18" i="17"/>
  <c r="R18" i="17"/>
  <c r="P18" i="17"/>
  <c r="N18" i="17"/>
  <c r="Y18" i="17"/>
  <c r="AX18" i="17"/>
  <c r="AW17" i="17"/>
  <c r="AT17" i="17"/>
  <c r="AR17" i="17"/>
  <c r="AP17" i="17"/>
  <c r="X17" i="17"/>
  <c r="V17" i="17"/>
  <c r="T17" i="17"/>
  <c r="R17" i="17"/>
  <c r="P17" i="17"/>
  <c r="N17" i="17"/>
  <c r="Y17" i="17"/>
  <c r="AX17" i="17"/>
  <c r="AW16" i="17"/>
  <c r="AT16" i="17"/>
  <c r="AR16" i="17"/>
  <c r="AP16" i="17"/>
  <c r="X16" i="17"/>
  <c r="V16" i="17"/>
  <c r="T16" i="17"/>
  <c r="R16" i="17"/>
  <c r="P16" i="17"/>
  <c r="N16" i="17"/>
  <c r="Y16" i="17"/>
  <c r="AX16" i="17"/>
  <c r="AW15" i="17"/>
  <c r="AT15" i="17"/>
  <c r="AR15" i="17"/>
  <c r="AP15" i="17"/>
  <c r="X15" i="17"/>
  <c r="V15" i="17"/>
  <c r="T15" i="17"/>
  <c r="R15" i="17"/>
  <c r="P15" i="17"/>
  <c r="N15" i="17"/>
  <c r="Y15" i="17"/>
  <c r="AX15" i="17"/>
  <c r="AW14" i="17"/>
  <c r="AT14" i="17"/>
  <c r="AR14" i="17"/>
  <c r="AP14" i="17"/>
  <c r="X14" i="17"/>
  <c r="V14" i="17"/>
  <c r="T14" i="17"/>
  <c r="R14" i="17"/>
  <c r="P14" i="17"/>
  <c r="N14" i="17"/>
  <c r="Y14" i="17"/>
  <c r="AX14" i="17"/>
  <c r="AW13" i="17"/>
  <c r="AT13" i="17"/>
  <c r="AR13" i="17"/>
  <c r="AP13" i="17"/>
  <c r="X13" i="17"/>
  <c r="V13" i="17"/>
  <c r="T13" i="17"/>
  <c r="R13" i="17"/>
  <c r="P13" i="17"/>
  <c r="N13" i="17"/>
  <c r="Y13" i="17"/>
  <c r="AX13" i="17"/>
  <c r="AW12" i="17"/>
  <c r="AT12" i="17"/>
  <c r="AR12" i="17"/>
  <c r="AP12" i="17"/>
  <c r="X12" i="17"/>
  <c r="V12" i="17"/>
  <c r="T12" i="17"/>
  <c r="R12" i="17"/>
  <c r="P12" i="17"/>
  <c r="N12" i="17"/>
  <c r="Y12" i="17"/>
  <c r="AX12" i="17"/>
  <c r="AW11" i="17"/>
  <c r="AT11" i="17"/>
  <c r="AR11" i="17"/>
  <c r="AP11" i="17"/>
  <c r="X11" i="17"/>
  <c r="V11" i="17"/>
  <c r="T11" i="17"/>
  <c r="R11" i="17"/>
  <c r="P11" i="17"/>
  <c r="N11" i="17"/>
  <c r="Y11" i="17"/>
  <c r="AX11" i="17"/>
  <c r="AW10" i="17"/>
  <c r="AT10" i="17"/>
  <c r="AR10" i="17"/>
  <c r="AP10" i="17"/>
  <c r="X10" i="17"/>
  <c r="V10" i="17"/>
  <c r="T10" i="17"/>
  <c r="R10" i="17"/>
  <c r="P10" i="17"/>
  <c r="N10" i="17"/>
  <c r="Y10" i="17"/>
  <c r="AX10" i="17"/>
  <c r="AW9" i="17"/>
  <c r="AT9" i="17"/>
  <c r="AR9" i="17"/>
  <c r="AP9" i="17"/>
  <c r="X9" i="17"/>
  <c r="V9" i="17"/>
  <c r="T9" i="17"/>
  <c r="R9" i="17"/>
  <c r="P9" i="17"/>
  <c r="N9" i="17"/>
  <c r="Y9" i="17"/>
  <c r="AX9" i="17"/>
  <c r="AW8" i="17"/>
  <c r="AT8" i="17"/>
  <c r="AR8" i="17"/>
  <c r="AP8" i="17"/>
  <c r="X8" i="17"/>
  <c r="V8" i="17"/>
  <c r="T8" i="17"/>
  <c r="R8" i="17"/>
  <c r="P8" i="17"/>
  <c r="N8" i="17"/>
  <c r="Y8" i="17"/>
  <c r="AX8" i="17"/>
  <c r="AW7" i="17"/>
  <c r="AT7" i="17"/>
  <c r="AR7" i="17"/>
  <c r="AP7" i="17"/>
  <c r="X7" i="17"/>
  <c r="V7" i="17"/>
  <c r="T7" i="17"/>
  <c r="R7" i="17"/>
  <c r="P7" i="17"/>
  <c r="N7" i="17"/>
  <c r="Y7" i="17"/>
  <c r="AX7" i="17"/>
  <c r="AW6" i="17"/>
  <c r="AT6" i="17"/>
  <c r="AR6" i="17"/>
  <c r="AP6" i="17"/>
  <c r="X6" i="17"/>
  <c r="V6" i="17"/>
  <c r="T6" i="17"/>
  <c r="R6" i="17"/>
  <c r="P6" i="17"/>
  <c r="N6" i="17"/>
  <c r="Y6" i="17"/>
  <c r="AX6" i="17"/>
  <c r="AW5" i="17"/>
  <c r="AT5" i="17"/>
  <c r="AR5" i="17"/>
  <c r="AP5" i="17"/>
  <c r="X5" i="17"/>
  <c r="V5" i="17"/>
  <c r="T5" i="17"/>
  <c r="R5" i="17"/>
  <c r="P5" i="17"/>
  <c r="N5" i="17"/>
  <c r="Y5" i="17"/>
  <c r="AX5" i="17"/>
  <c r="AW4" i="17"/>
  <c r="AT4" i="17"/>
  <c r="AR4" i="17"/>
  <c r="AP4" i="17"/>
  <c r="X4" i="17"/>
  <c r="V4" i="17"/>
  <c r="T4" i="17"/>
  <c r="R4" i="17"/>
  <c r="P4" i="17"/>
  <c r="N4" i="17"/>
  <c r="Y4" i="17"/>
  <c r="AX4" i="17"/>
  <c r="AW3" i="17"/>
  <c r="AT3" i="17"/>
  <c r="AR3" i="17"/>
  <c r="AP3" i="17"/>
  <c r="X3" i="17"/>
  <c r="V3" i="17"/>
  <c r="T3" i="17"/>
  <c r="R3" i="17"/>
  <c r="P3" i="17"/>
  <c r="N3" i="17"/>
  <c r="Y3" i="17"/>
  <c r="AX3" i="17"/>
  <c r="AW2" i="17"/>
  <c r="AT2" i="17"/>
  <c r="AR2" i="17"/>
  <c r="AP2" i="17"/>
  <c r="X2" i="17"/>
  <c r="V2" i="17"/>
  <c r="T2" i="17"/>
  <c r="R2" i="17"/>
  <c r="P2" i="17"/>
  <c r="N2" i="17"/>
  <c r="Y2" i="17"/>
  <c r="AX2" i="17"/>
  <c r="O68" i="16"/>
  <c r="K9" i="16"/>
  <c r="L68" i="16"/>
  <c r="R68" i="16"/>
  <c r="S68" i="16"/>
  <c r="O64" i="16"/>
  <c r="L64" i="16"/>
  <c r="R64" i="16"/>
  <c r="S64" i="16"/>
  <c r="O63" i="16"/>
  <c r="L63" i="16"/>
  <c r="R63" i="16"/>
  <c r="S63" i="16"/>
  <c r="O62" i="16"/>
  <c r="L62" i="16"/>
  <c r="R62" i="16"/>
  <c r="S62" i="16"/>
  <c r="O61" i="16"/>
  <c r="L61" i="16"/>
  <c r="R61" i="16"/>
  <c r="S61" i="16"/>
  <c r="O60" i="16"/>
  <c r="L60" i="16"/>
  <c r="R60" i="16"/>
  <c r="S60" i="16"/>
  <c r="O59" i="16"/>
  <c r="L59" i="16"/>
  <c r="R59" i="16"/>
  <c r="S59" i="16"/>
  <c r="O58" i="16"/>
  <c r="L58" i="16"/>
  <c r="R58" i="16"/>
  <c r="S58" i="16"/>
  <c r="O57" i="16"/>
  <c r="L57" i="16"/>
  <c r="R57" i="16"/>
  <c r="S57" i="16"/>
  <c r="O56" i="16"/>
  <c r="L56" i="16"/>
  <c r="R56" i="16"/>
  <c r="S56" i="16"/>
  <c r="O55" i="16"/>
  <c r="L55" i="16"/>
  <c r="R55" i="16"/>
  <c r="S55" i="16"/>
  <c r="O54" i="16"/>
  <c r="L54" i="16"/>
  <c r="R54" i="16"/>
  <c r="S54" i="16"/>
  <c r="O53" i="16"/>
  <c r="L53" i="16"/>
  <c r="R53" i="16"/>
  <c r="S53" i="16"/>
  <c r="O52" i="16"/>
  <c r="L52" i="16"/>
  <c r="R52" i="16"/>
  <c r="S52" i="16"/>
  <c r="O51" i="16"/>
  <c r="L51" i="16"/>
  <c r="R51" i="16"/>
  <c r="S51" i="16"/>
  <c r="O50" i="16"/>
  <c r="L50" i="16"/>
  <c r="R50" i="16"/>
  <c r="S50" i="16"/>
  <c r="O49" i="16"/>
  <c r="L49" i="16"/>
  <c r="R49" i="16"/>
  <c r="S49" i="16"/>
  <c r="O48" i="16"/>
  <c r="L48" i="16"/>
  <c r="R48" i="16"/>
  <c r="S48" i="16"/>
  <c r="O47" i="16"/>
  <c r="L47" i="16"/>
  <c r="R47" i="16"/>
  <c r="S47" i="16"/>
  <c r="O46" i="16"/>
  <c r="L46" i="16"/>
  <c r="R46" i="16"/>
  <c r="S46" i="16"/>
  <c r="O45" i="16"/>
  <c r="L45" i="16"/>
  <c r="R45" i="16"/>
  <c r="S45" i="16"/>
  <c r="O44" i="16"/>
  <c r="L44" i="16"/>
  <c r="R44" i="16"/>
  <c r="S44" i="16"/>
  <c r="O43" i="16"/>
  <c r="L43" i="16"/>
  <c r="R43" i="16"/>
  <c r="S43" i="16"/>
  <c r="O42" i="16"/>
  <c r="L42" i="16"/>
  <c r="R42" i="16"/>
  <c r="S42" i="16"/>
  <c r="O41" i="16"/>
  <c r="L41" i="16"/>
  <c r="R41" i="16"/>
  <c r="S41" i="16"/>
  <c r="O40" i="16"/>
  <c r="L40" i="16"/>
  <c r="R40" i="16"/>
  <c r="S40" i="16"/>
  <c r="O39" i="16"/>
  <c r="L39" i="16"/>
  <c r="R39" i="16"/>
  <c r="S39" i="16"/>
  <c r="O38" i="16"/>
  <c r="L38" i="16"/>
  <c r="R38" i="16"/>
  <c r="S38" i="16"/>
  <c r="O37" i="16"/>
  <c r="L37" i="16"/>
  <c r="R37" i="16"/>
  <c r="S37" i="16"/>
  <c r="O36" i="16"/>
  <c r="L36" i="16"/>
  <c r="R36" i="16"/>
  <c r="S36" i="16"/>
  <c r="O35" i="16"/>
  <c r="L35" i="16"/>
  <c r="R35" i="16"/>
  <c r="S35" i="16"/>
  <c r="O34" i="16"/>
  <c r="L34" i="16"/>
  <c r="R34" i="16"/>
  <c r="S34" i="16"/>
  <c r="O33" i="16"/>
  <c r="L33" i="16"/>
  <c r="R33" i="16"/>
  <c r="S33" i="16"/>
  <c r="O32" i="16"/>
  <c r="L32" i="16"/>
  <c r="R32" i="16"/>
  <c r="S32" i="16"/>
  <c r="O31" i="16"/>
  <c r="L31" i="16"/>
  <c r="R31" i="16"/>
  <c r="S31" i="16"/>
  <c r="O30" i="16"/>
  <c r="L30" i="16"/>
  <c r="R30" i="16"/>
  <c r="S30" i="16"/>
  <c r="O29" i="16"/>
  <c r="L29" i="16"/>
  <c r="R29" i="16"/>
  <c r="S29" i="16"/>
  <c r="O28" i="16"/>
  <c r="L28" i="16"/>
  <c r="R28" i="16"/>
  <c r="S28" i="16"/>
  <c r="O27" i="16"/>
  <c r="L27" i="16"/>
  <c r="R27" i="16"/>
  <c r="S27" i="16"/>
  <c r="O26" i="16"/>
  <c r="L26" i="16"/>
  <c r="R26" i="16"/>
  <c r="S26" i="16"/>
  <c r="O25" i="16"/>
  <c r="L25" i="16"/>
  <c r="R25" i="16"/>
  <c r="S25" i="16"/>
  <c r="O24" i="16"/>
  <c r="L24" i="16"/>
  <c r="R24" i="16"/>
  <c r="S24" i="16"/>
  <c r="O23" i="16"/>
  <c r="L23" i="16"/>
  <c r="R23" i="16"/>
  <c r="S23" i="16"/>
  <c r="O22" i="16"/>
  <c r="L22" i="16"/>
  <c r="R22" i="16"/>
  <c r="S22" i="16"/>
  <c r="O21" i="16"/>
  <c r="L21" i="16"/>
  <c r="R21" i="16"/>
  <c r="S21" i="16"/>
  <c r="O20" i="16"/>
  <c r="L20" i="16"/>
  <c r="R20" i="16"/>
  <c r="S20" i="16"/>
  <c r="O19" i="16"/>
  <c r="L19" i="16"/>
  <c r="R19" i="16"/>
  <c r="S19" i="16"/>
  <c r="O18" i="16"/>
  <c r="L18" i="16"/>
  <c r="R18" i="16"/>
  <c r="S18" i="16"/>
  <c r="O17" i="16"/>
  <c r="L17" i="16"/>
  <c r="R17" i="16"/>
  <c r="S17" i="16"/>
  <c r="O16" i="16"/>
  <c r="L16" i="16"/>
  <c r="R16" i="16"/>
  <c r="S16" i="16"/>
  <c r="O15" i="16"/>
  <c r="L15" i="16"/>
  <c r="R15" i="16"/>
  <c r="S15" i="16"/>
  <c r="O14" i="16"/>
  <c r="L14" i="16"/>
  <c r="R14" i="16"/>
  <c r="S14" i="16"/>
  <c r="O13" i="16"/>
  <c r="L13" i="16"/>
  <c r="R13" i="16"/>
  <c r="S13" i="16"/>
  <c r="O12" i="16"/>
  <c r="L12" i="16"/>
  <c r="R12" i="16"/>
  <c r="S12" i="16"/>
  <c r="O11" i="16"/>
  <c r="L11" i="16"/>
  <c r="R11" i="16"/>
  <c r="S11" i="16"/>
  <c r="O10" i="16"/>
  <c r="L10" i="16"/>
  <c r="R10" i="16"/>
  <c r="S10" i="16"/>
  <c r="O9" i="16"/>
  <c r="L9" i="16"/>
  <c r="R9" i="16"/>
  <c r="S9" i="16"/>
  <c r="O8" i="16"/>
  <c r="L8" i="16"/>
  <c r="R8" i="16"/>
  <c r="S8" i="16"/>
  <c r="O7" i="16"/>
  <c r="L7" i="16"/>
  <c r="R7" i="16"/>
  <c r="S7" i="16"/>
  <c r="O6" i="16"/>
  <c r="L6" i="16"/>
  <c r="R6" i="16"/>
  <c r="S6" i="16"/>
  <c r="O5" i="16"/>
  <c r="L5" i="16"/>
  <c r="R5" i="16"/>
  <c r="S5" i="16"/>
  <c r="O4" i="16"/>
  <c r="L4" i="16"/>
  <c r="R4" i="16"/>
  <c r="S4" i="16"/>
  <c r="O3" i="16"/>
  <c r="L3" i="16"/>
  <c r="R3" i="16"/>
  <c r="S3" i="16"/>
  <c r="O2" i="16"/>
  <c r="L2" i="16"/>
  <c r="R2" i="16"/>
  <c r="S2" i="16"/>
  <c r="AL66" i="15"/>
  <c r="AG2" i="15"/>
  <c r="AF2" i="15"/>
  <c r="AH2" i="15"/>
  <c r="AG3" i="15"/>
  <c r="AF3" i="15"/>
  <c r="AH3" i="15"/>
  <c r="AG4" i="15"/>
  <c r="AF4" i="15"/>
  <c r="AH4" i="15"/>
  <c r="AG5" i="15"/>
  <c r="AF5" i="15"/>
  <c r="AH5" i="15"/>
  <c r="AG6" i="15"/>
  <c r="AF6" i="15"/>
  <c r="AH6" i="15"/>
  <c r="AG7" i="15"/>
  <c r="AF7" i="15"/>
  <c r="AH7" i="15"/>
  <c r="AG8" i="15"/>
  <c r="AF8" i="15"/>
  <c r="AH8" i="15"/>
  <c r="AG9" i="15"/>
  <c r="AF9" i="15"/>
  <c r="AH9" i="15"/>
  <c r="AG10" i="15"/>
  <c r="AF10" i="15"/>
  <c r="AH10" i="15"/>
  <c r="AG11" i="15"/>
  <c r="AF11" i="15"/>
  <c r="AH11" i="15"/>
  <c r="AG12" i="15"/>
  <c r="AF12" i="15"/>
  <c r="AH12" i="15"/>
  <c r="AG13" i="15"/>
  <c r="AF13" i="15"/>
  <c r="AH13" i="15"/>
  <c r="AG14" i="15"/>
  <c r="AF14" i="15"/>
  <c r="AH14" i="15"/>
  <c r="AG15" i="15"/>
  <c r="AF15" i="15"/>
  <c r="AH15" i="15"/>
  <c r="AG16" i="15"/>
  <c r="AF16" i="15"/>
  <c r="AH16" i="15"/>
  <c r="AG17" i="15"/>
  <c r="AF17" i="15"/>
  <c r="AH17" i="15"/>
  <c r="AG18" i="15"/>
  <c r="AF18" i="15"/>
  <c r="AH18" i="15"/>
  <c r="AG19" i="15"/>
  <c r="AF19" i="15"/>
  <c r="AH19" i="15"/>
  <c r="AG20" i="15"/>
  <c r="AF20" i="15"/>
  <c r="AH20" i="15"/>
  <c r="AG21" i="15"/>
  <c r="AF21" i="15"/>
  <c r="AH21" i="15"/>
  <c r="AG22" i="15"/>
  <c r="AF22" i="15"/>
  <c r="AH22" i="15"/>
  <c r="AG23" i="15"/>
  <c r="AF23" i="15"/>
  <c r="AH23" i="15"/>
  <c r="AG24" i="15"/>
  <c r="AF24" i="15"/>
  <c r="AH24" i="15"/>
  <c r="AG25" i="15"/>
  <c r="AF25" i="15"/>
  <c r="AH25" i="15"/>
  <c r="AG26" i="15"/>
  <c r="AF26" i="15"/>
  <c r="AH26" i="15"/>
  <c r="AG27" i="15"/>
  <c r="AF27" i="15"/>
  <c r="AH27" i="15"/>
  <c r="AG28" i="15"/>
  <c r="AF28" i="15"/>
  <c r="AH28" i="15"/>
  <c r="AG29" i="15"/>
  <c r="AF29" i="15"/>
  <c r="AH29" i="15"/>
  <c r="AG30" i="15"/>
  <c r="AF30" i="15"/>
  <c r="AH30" i="15"/>
  <c r="AG31" i="15"/>
  <c r="AF31" i="15"/>
  <c r="AH31" i="15"/>
  <c r="AG32" i="15"/>
  <c r="AF32" i="15"/>
  <c r="AH32" i="15"/>
  <c r="AG33" i="15"/>
  <c r="AF33" i="15"/>
  <c r="AH33" i="15"/>
  <c r="AG34" i="15"/>
  <c r="AF34" i="15"/>
  <c r="AH34" i="15"/>
  <c r="AG35" i="15"/>
  <c r="AF35" i="15"/>
  <c r="AH35" i="15"/>
  <c r="AG36" i="15"/>
  <c r="AF36" i="15"/>
  <c r="AH36" i="15"/>
  <c r="AG37" i="15"/>
  <c r="AF37" i="15"/>
  <c r="AH37" i="15"/>
  <c r="AG38" i="15"/>
  <c r="AF38" i="15"/>
  <c r="AH38" i="15"/>
  <c r="AG39" i="15"/>
  <c r="AF39" i="15"/>
  <c r="AH39" i="15"/>
  <c r="AG40" i="15"/>
  <c r="AF40" i="15"/>
  <c r="AH40" i="15"/>
  <c r="AG41" i="15"/>
  <c r="AF41" i="15"/>
  <c r="AH41" i="15"/>
  <c r="AG42" i="15"/>
  <c r="AF42" i="15"/>
  <c r="AH42" i="15"/>
  <c r="AG43" i="15"/>
  <c r="AF43" i="15"/>
  <c r="AH43" i="15"/>
  <c r="AG44" i="15"/>
  <c r="AF44" i="15"/>
  <c r="AH44" i="15"/>
  <c r="AG45" i="15"/>
  <c r="AF45" i="15"/>
  <c r="AH45" i="15"/>
  <c r="AG46" i="15"/>
  <c r="AF46" i="15"/>
  <c r="AH46" i="15"/>
  <c r="AG47" i="15"/>
  <c r="AF47" i="15"/>
  <c r="AH47" i="15"/>
  <c r="AG48" i="15"/>
  <c r="AF48" i="15"/>
  <c r="AH48" i="15"/>
  <c r="AG49" i="15"/>
  <c r="AF49" i="15"/>
  <c r="AH49" i="15"/>
  <c r="AG50" i="15"/>
  <c r="AF50" i="15"/>
  <c r="AH50" i="15"/>
  <c r="AG51" i="15"/>
  <c r="AF51" i="15"/>
  <c r="AH51" i="15"/>
  <c r="AG52" i="15"/>
  <c r="AF52" i="15"/>
  <c r="AH52" i="15"/>
  <c r="AG53" i="15"/>
  <c r="AF53" i="15"/>
  <c r="AH53" i="15"/>
  <c r="AG54" i="15"/>
  <c r="AF54" i="15"/>
  <c r="AH54" i="15"/>
  <c r="AG55" i="15"/>
  <c r="AF55" i="15"/>
  <c r="AH55" i="15"/>
  <c r="AG56" i="15"/>
  <c r="AF56" i="15"/>
  <c r="AH56" i="15"/>
  <c r="AH57" i="15"/>
  <c r="AG58" i="15"/>
  <c r="AF58" i="15"/>
  <c r="AH58" i="15"/>
  <c r="AG59" i="15"/>
  <c r="AF59" i="15"/>
  <c r="AH59" i="15"/>
  <c r="AG60" i="15"/>
  <c r="AF60" i="15"/>
  <c r="AH60" i="15"/>
  <c r="AG61" i="15"/>
  <c r="AF61" i="15"/>
  <c r="AH61" i="15"/>
  <c r="AG62" i="15"/>
  <c r="AF62" i="15"/>
  <c r="AH62" i="15"/>
  <c r="AG63" i="15"/>
  <c r="AF63" i="15"/>
  <c r="AH63" i="15"/>
  <c r="AH64" i="15"/>
  <c r="AG65" i="15"/>
  <c r="AF65" i="15"/>
  <c r="AH65" i="15"/>
  <c r="AH66" i="15"/>
  <c r="AG66" i="15"/>
  <c r="AD66" i="15"/>
  <c r="AB4" i="15"/>
  <c r="AB5" i="15"/>
  <c r="AB6" i="15"/>
  <c r="AB9" i="15"/>
  <c r="AB11" i="15"/>
  <c r="AB14" i="15"/>
  <c r="AB15" i="15"/>
  <c r="AB16" i="15"/>
  <c r="AB17" i="15"/>
  <c r="AB18" i="15"/>
  <c r="AB19" i="15"/>
  <c r="AB20" i="15"/>
  <c r="AB21" i="15"/>
  <c r="AB22" i="15"/>
  <c r="AB23" i="15"/>
  <c r="AB24" i="15"/>
  <c r="AB25" i="15"/>
  <c r="AB26" i="15"/>
  <c r="AB27" i="15"/>
  <c r="AB29" i="15"/>
  <c r="AB30" i="15"/>
  <c r="AB31" i="15"/>
  <c r="AB32" i="15"/>
  <c r="AB33" i="15"/>
  <c r="AB35" i="15"/>
  <c r="AB36" i="15"/>
  <c r="AB37" i="15"/>
  <c r="AB39" i="15"/>
  <c r="AB41" i="15"/>
  <c r="AB42" i="15"/>
  <c r="AB43" i="15"/>
  <c r="AB44" i="15"/>
  <c r="AB45" i="15"/>
  <c r="AB48" i="15"/>
  <c r="AB49" i="15"/>
  <c r="AB51" i="15"/>
  <c r="AB53" i="15"/>
  <c r="AB54" i="15"/>
  <c r="AB55" i="15"/>
  <c r="AB57" i="15"/>
  <c r="AB58" i="15"/>
  <c r="AB59" i="15"/>
  <c r="AB60" i="15"/>
  <c r="AB61" i="15"/>
  <c r="AB62" i="15"/>
  <c r="AB63" i="15"/>
  <c r="AB64" i="15"/>
  <c r="AB65" i="15"/>
  <c r="AB66" i="15"/>
  <c r="Z2" i="15"/>
  <c r="Z3" i="15"/>
  <c r="Z4" i="15"/>
  <c r="Z5" i="15"/>
  <c r="Z6" i="15"/>
  <c r="Z7" i="15"/>
  <c r="Z8" i="15"/>
  <c r="Z9" i="15"/>
  <c r="Z10" i="15"/>
  <c r="Z11" i="15"/>
  <c r="Z12" i="15"/>
  <c r="Z13" i="15"/>
  <c r="Z14" i="15"/>
  <c r="Z15" i="15"/>
  <c r="Z16" i="15"/>
  <c r="Z17" i="15"/>
  <c r="Z18" i="15"/>
  <c r="Z19" i="15"/>
  <c r="Z20" i="15"/>
  <c r="Z21" i="15"/>
  <c r="Z22" i="15"/>
  <c r="Z23" i="15"/>
  <c r="Z24" i="15"/>
  <c r="Z25" i="15"/>
  <c r="Z26" i="15"/>
  <c r="Z27" i="15"/>
  <c r="Z28" i="15"/>
  <c r="Z29" i="15"/>
  <c r="Z30" i="15"/>
  <c r="Z31" i="15"/>
  <c r="Z32" i="15"/>
  <c r="Z33" i="15"/>
  <c r="Z34" i="15"/>
  <c r="Z35" i="15"/>
  <c r="Z36" i="15"/>
  <c r="Z37" i="15"/>
  <c r="Z38" i="15"/>
  <c r="Z39" i="15"/>
  <c r="Z40" i="15"/>
  <c r="Z41" i="15"/>
  <c r="Z42" i="15"/>
  <c r="Z43" i="15"/>
  <c r="Z44" i="15"/>
  <c r="Z45" i="15"/>
  <c r="Z46" i="15"/>
  <c r="Z47" i="15"/>
  <c r="Z48" i="15"/>
  <c r="Z49" i="15"/>
  <c r="Z50" i="15"/>
  <c r="Z51" i="15"/>
  <c r="Z52" i="15"/>
  <c r="Z53" i="15"/>
  <c r="Z54" i="15"/>
  <c r="Z55" i="15"/>
  <c r="Z56" i="15"/>
  <c r="Z57" i="15"/>
  <c r="Z58" i="15"/>
  <c r="Z59" i="15"/>
  <c r="Z60" i="15"/>
  <c r="Z61" i="15"/>
  <c r="Z62" i="15"/>
  <c r="Z63" i="15"/>
  <c r="Z64" i="15"/>
  <c r="Z65" i="15"/>
  <c r="Z66" i="15"/>
  <c r="W66" i="15"/>
  <c r="V66" i="15"/>
  <c r="U66" i="15"/>
  <c r="S66" i="15"/>
  <c r="R66" i="15"/>
  <c r="Q66" i="15"/>
  <c r="AI65" i="15"/>
  <c r="AE65" i="15"/>
  <c r="AC65" i="15"/>
  <c r="AA65" i="15"/>
  <c r="Y65" i="15"/>
  <c r="AK65" i="15"/>
  <c r="AM65" i="15"/>
  <c r="AN65" i="15"/>
  <c r="AO65" i="15"/>
  <c r="AI64" i="15"/>
  <c r="AE64" i="15"/>
  <c r="AC64" i="15"/>
  <c r="AA64" i="15"/>
  <c r="Y64" i="15"/>
  <c r="AK64" i="15"/>
  <c r="AM64" i="15"/>
  <c r="AN64" i="15"/>
  <c r="AO64" i="15"/>
  <c r="AI63" i="15"/>
  <c r="AE63" i="15"/>
  <c r="AC63" i="15"/>
  <c r="AA63" i="15"/>
  <c r="Y63" i="15"/>
  <c r="AK63" i="15"/>
  <c r="AM63" i="15"/>
  <c r="AN63" i="15"/>
  <c r="AO63" i="15"/>
  <c r="AI62" i="15"/>
  <c r="AE62" i="15"/>
  <c r="AC62" i="15"/>
  <c r="AA62" i="15"/>
  <c r="Y62" i="15"/>
  <c r="AK62" i="15"/>
  <c r="AM62" i="15"/>
  <c r="AN62" i="15"/>
  <c r="AO62" i="15"/>
  <c r="AI61" i="15"/>
  <c r="AE61" i="15"/>
  <c r="AC61" i="15"/>
  <c r="AA61" i="15"/>
  <c r="Y61" i="15"/>
  <c r="AK61" i="15"/>
  <c r="AM61" i="15"/>
  <c r="AN61" i="15"/>
  <c r="AO61" i="15"/>
  <c r="AI60" i="15"/>
  <c r="AE60" i="15"/>
  <c r="AC60" i="15"/>
  <c r="AA60" i="15"/>
  <c r="Y60" i="15"/>
  <c r="AK60" i="15"/>
  <c r="AM60" i="15"/>
  <c r="AN60" i="15"/>
  <c r="AO60" i="15"/>
  <c r="AI59" i="15"/>
  <c r="AE59" i="15"/>
  <c r="AC59" i="15"/>
  <c r="AA59" i="15"/>
  <c r="Y59" i="15"/>
  <c r="AK59" i="15"/>
  <c r="AM59" i="15"/>
  <c r="AN59" i="15"/>
  <c r="AO59" i="15"/>
  <c r="AI58" i="15"/>
  <c r="AE58" i="15"/>
  <c r="AC58" i="15"/>
  <c r="AA58" i="15"/>
  <c r="Y58" i="15"/>
  <c r="AK58" i="15"/>
  <c r="AM58" i="15"/>
  <c r="AN58" i="15"/>
  <c r="AO58" i="15"/>
  <c r="AI57" i="15"/>
  <c r="AE57" i="15"/>
  <c r="AC57" i="15"/>
  <c r="AA57" i="15"/>
  <c r="Y57" i="15"/>
  <c r="AK57" i="15"/>
  <c r="AM57" i="15"/>
  <c r="AN57" i="15"/>
  <c r="AO57" i="15"/>
  <c r="AI56" i="15"/>
  <c r="AE56" i="15"/>
  <c r="AC56" i="15"/>
  <c r="AA56" i="15"/>
  <c r="Y56" i="15"/>
  <c r="AK56" i="15"/>
  <c r="AM56" i="15"/>
  <c r="AN56" i="15"/>
  <c r="AO56" i="15"/>
  <c r="AI55" i="15"/>
  <c r="AE55" i="15"/>
  <c r="AC55" i="15"/>
  <c r="AA55" i="15"/>
  <c r="Y55" i="15"/>
  <c r="AK55" i="15"/>
  <c r="AM55" i="15"/>
  <c r="AN55" i="15"/>
  <c r="AO55" i="15"/>
  <c r="AI54" i="15"/>
  <c r="AE54" i="15"/>
  <c r="AC54" i="15"/>
  <c r="AA54" i="15"/>
  <c r="Y54" i="15"/>
  <c r="AK54" i="15"/>
  <c r="AM54" i="15"/>
  <c r="AN54" i="15"/>
  <c r="AO54" i="15"/>
  <c r="AI53" i="15"/>
  <c r="AE53" i="15"/>
  <c r="AC53" i="15"/>
  <c r="AA53" i="15"/>
  <c r="Y53" i="15"/>
  <c r="AK53" i="15"/>
  <c r="AM53" i="15"/>
  <c r="AN53" i="15"/>
  <c r="AO53" i="15"/>
  <c r="AI52" i="15"/>
  <c r="AE52" i="15"/>
  <c r="AC52" i="15"/>
  <c r="AA52" i="15"/>
  <c r="Y52" i="15"/>
  <c r="AK52" i="15"/>
  <c r="AM52" i="15"/>
  <c r="AN52" i="15"/>
  <c r="AO52" i="15"/>
  <c r="AI51" i="15"/>
  <c r="AE51" i="15"/>
  <c r="AC51" i="15"/>
  <c r="AA51" i="15"/>
  <c r="Y51" i="15"/>
  <c r="AK51" i="15"/>
  <c r="AM51" i="15"/>
  <c r="AN51" i="15"/>
  <c r="AO51" i="15"/>
  <c r="AI50" i="15"/>
  <c r="AE50" i="15"/>
  <c r="AC50" i="15"/>
  <c r="AA50" i="15"/>
  <c r="Y50" i="15"/>
  <c r="AK50" i="15"/>
  <c r="AM50" i="15"/>
  <c r="AN50" i="15"/>
  <c r="AO50" i="15"/>
  <c r="AI49" i="15"/>
  <c r="AE49" i="15"/>
  <c r="AC49" i="15"/>
  <c r="AA49" i="15"/>
  <c r="Y49" i="15"/>
  <c r="AK49" i="15"/>
  <c r="AM49" i="15"/>
  <c r="AN49" i="15"/>
  <c r="AO49" i="15"/>
  <c r="AI48" i="15"/>
  <c r="AE48" i="15"/>
  <c r="AC48" i="15"/>
  <c r="AA48" i="15"/>
  <c r="Y48" i="15"/>
  <c r="AK48" i="15"/>
  <c r="AM48" i="15"/>
  <c r="AN48" i="15"/>
  <c r="AO48" i="15"/>
  <c r="AI47" i="15"/>
  <c r="AE47" i="15"/>
  <c r="AC47" i="15"/>
  <c r="AA47" i="15"/>
  <c r="Y47" i="15"/>
  <c r="AK47" i="15"/>
  <c r="AM47" i="15"/>
  <c r="AN47" i="15"/>
  <c r="AO47" i="15"/>
  <c r="AI46" i="15"/>
  <c r="AE46" i="15"/>
  <c r="AC46" i="15"/>
  <c r="AA46" i="15"/>
  <c r="Y46" i="15"/>
  <c r="AK46" i="15"/>
  <c r="AM46" i="15"/>
  <c r="AN46" i="15"/>
  <c r="AO46" i="15"/>
  <c r="AI45" i="15"/>
  <c r="AE45" i="15"/>
  <c r="AC45" i="15"/>
  <c r="AA45" i="15"/>
  <c r="Y45" i="15"/>
  <c r="AK45" i="15"/>
  <c r="AM45" i="15"/>
  <c r="AN45" i="15"/>
  <c r="AO45" i="15"/>
  <c r="AI44" i="15"/>
  <c r="AE44" i="15"/>
  <c r="AC44" i="15"/>
  <c r="AA44" i="15"/>
  <c r="Y44" i="15"/>
  <c r="AK44" i="15"/>
  <c r="AM44" i="15"/>
  <c r="AN44" i="15"/>
  <c r="AO44" i="15"/>
  <c r="AI43" i="15"/>
  <c r="AE43" i="15"/>
  <c r="AC43" i="15"/>
  <c r="AA43" i="15"/>
  <c r="Y43" i="15"/>
  <c r="AK43" i="15"/>
  <c r="AM43" i="15"/>
  <c r="AN43" i="15"/>
  <c r="AO43" i="15"/>
  <c r="AI42" i="15"/>
  <c r="AE42" i="15"/>
  <c r="AC42" i="15"/>
  <c r="AA42" i="15"/>
  <c r="Y42" i="15"/>
  <c r="AK42" i="15"/>
  <c r="AM42" i="15"/>
  <c r="AN42" i="15"/>
  <c r="AO42" i="15"/>
  <c r="AI41" i="15"/>
  <c r="AE41" i="15"/>
  <c r="AC41" i="15"/>
  <c r="AA41" i="15"/>
  <c r="Y41" i="15"/>
  <c r="AK41" i="15"/>
  <c r="AM41" i="15"/>
  <c r="AN41" i="15"/>
  <c r="AO41" i="15"/>
  <c r="AI40" i="15"/>
  <c r="AE40" i="15"/>
  <c r="AC40" i="15"/>
  <c r="AA40" i="15"/>
  <c r="Y40" i="15"/>
  <c r="AK40" i="15"/>
  <c r="AM40" i="15"/>
  <c r="AN40" i="15"/>
  <c r="AO40" i="15"/>
  <c r="AI39" i="15"/>
  <c r="AE39" i="15"/>
  <c r="AC39" i="15"/>
  <c r="AA39" i="15"/>
  <c r="Y39" i="15"/>
  <c r="AK39" i="15"/>
  <c r="AM39" i="15"/>
  <c r="AN39" i="15"/>
  <c r="AO39" i="15"/>
  <c r="AI38" i="15"/>
  <c r="AE38" i="15"/>
  <c r="AC38" i="15"/>
  <c r="AA38" i="15"/>
  <c r="Y38" i="15"/>
  <c r="AK38" i="15"/>
  <c r="AM38" i="15"/>
  <c r="AN38" i="15"/>
  <c r="AO38" i="15"/>
  <c r="AI37" i="15"/>
  <c r="AE37" i="15"/>
  <c r="AC37" i="15"/>
  <c r="AA37" i="15"/>
  <c r="Y37" i="15"/>
  <c r="AK37" i="15"/>
  <c r="AM37" i="15"/>
  <c r="AN37" i="15"/>
  <c r="AO37" i="15"/>
  <c r="AI36" i="15"/>
  <c r="AE36" i="15"/>
  <c r="AC36" i="15"/>
  <c r="AA36" i="15"/>
  <c r="Y36" i="15"/>
  <c r="AK36" i="15"/>
  <c r="AM36" i="15"/>
  <c r="AN36" i="15"/>
  <c r="AO36" i="15"/>
  <c r="AI35" i="15"/>
  <c r="AE35" i="15"/>
  <c r="AC35" i="15"/>
  <c r="AA35" i="15"/>
  <c r="Y35" i="15"/>
  <c r="AK35" i="15"/>
  <c r="AM35" i="15"/>
  <c r="AN35" i="15"/>
  <c r="AO35" i="15"/>
  <c r="AI34" i="15"/>
  <c r="AE34" i="15"/>
  <c r="AC34" i="15"/>
  <c r="AA34" i="15"/>
  <c r="Y34" i="15"/>
  <c r="AK34" i="15"/>
  <c r="AM34" i="15"/>
  <c r="AN34" i="15"/>
  <c r="AO34" i="15"/>
  <c r="AI33" i="15"/>
  <c r="AE33" i="15"/>
  <c r="AC33" i="15"/>
  <c r="AA33" i="15"/>
  <c r="Y33" i="15"/>
  <c r="AK33" i="15"/>
  <c r="AM33" i="15"/>
  <c r="AN33" i="15"/>
  <c r="AO33" i="15"/>
  <c r="AI32" i="15"/>
  <c r="AE32" i="15"/>
  <c r="AC32" i="15"/>
  <c r="AA32" i="15"/>
  <c r="Y32" i="15"/>
  <c r="AK32" i="15"/>
  <c r="AM32" i="15"/>
  <c r="AN32" i="15"/>
  <c r="AO32" i="15"/>
  <c r="AI31" i="15"/>
  <c r="AE31" i="15"/>
  <c r="AC31" i="15"/>
  <c r="AA31" i="15"/>
  <c r="Y31" i="15"/>
  <c r="AK31" i="15"/>
  <c r="AM31" i="15"/>
  <c r="AN31" i="15"/>
  <c r="AO31" i="15"/>
  <c r="AI30" i="15"/>
  <c r="AE30" i="15"/>
  <c r="AC30" i="15"/>
  <c r="AA30" i="15"/>
  <c r="Y30" i="15"/>
  <c r="AK30" i="15"/>
  <c r="AM30" i="15"/>
  <c r="AN30" i="15"/>
  <c r="AO30" i="15"/>
  <c r="AI29" i="15"/>
  <c r="AE29" i="15"/>
  <c r="AC29" i="15"/>
  <c r="AA29" i="15"/>
  <c r="Y29" i="15"/>
  <c r="AK29" i="15"/>
  <c r="AM29" i="15"/>
  <c r="AN29" i="15"/>
  <c r="AO29" i="15"/>
  <c r="AI28" i="15"/>
  <c r="AE28" i="15"/>
  <c r="AC28" i="15"/>
  <c r="AA28" i="15"/>
  <c r="Y28" i="15"/>
  <c r="AK28" i="15"/>
  <c r="AM28" i="15"/>
  <c r="AN28" i="15"/>
  <c r="AO28" i="15"/>
  <c r="AI27" i="15"/>
  <c r="AE27" i="15"/>
  <c r="AC27" i="15"/>
  <c r="AA27" i="15"/>
  <c r="Y27" i="15"/>
  <c r="AK27" i="15"/>
  <c r="AM27" i="15"/>
  <c r="AN27" i="15"/>
  <c r="AO27" i="15"/>
  <c r="AI26" i="15"/>
  <c r="AE26" i="15"/>
  <c r="AC26" i="15"/>
  <c r="AA26" i="15"/>
  <c r="Y26" i="15"/>
  <c r="AK26" i="15"/>
  <c r="AM26" i="15"/>
  <c r="AN26" i="15"/>
  <c r="AO26" i="15"/>
  <c r="AI25" i="15"/>
  <c r="AE25" i="15"/>
  <c r="AC25" i="15"/>
  <c r="AA25" i="15"/>
  <c r="Y25" i="15"/>
  <c r="AK25" i="15"/>
  <c r="AM25" i="15"/>
  <c r="AN25" i="15"/>
  <c r="AO25" i="15"/>
  <c r="AI24" i="15"/>
  <c r="AE24" i="15"/>
  <c r="AC24" i="15"/>
  <c r="AA24" i="15"/>
  <c r="Y24" i="15"/>
  <c r="AK24" i="15"/>
  <c r="AM24" i="15"/>
  <c r="AN24" i="15"/>
  <c r="AO24" i="15"/>
  <c r="AI23" i="15"/>
  <c r="AE23" i="15"/>
  <c r="AC23" i="15"/>
  <c r="AA23" i="15"/>
  <c r="Y23" i="15"/>
  <c r="AK23" i="15"/>
  <c r="AM23" i="15"/>
  <c r="AN23" i="15"/>
  <c r="AO23" i="15"/>
  <c r="AI22" i="15"/>
  <c r="AE22" i="15"/>
  <c r="AC22" i="15"/>
  <c r="AA22" i="15"/>
  <c r="Y22" i="15"/>
  <c r="AK22" i="15"/>
  <c r="AM22" i="15"/>
  <c r="AN22" i="15"/>
  <c r="AO22" i="15"/>
  <c r="AI21" i="15"/>
  <c r="AE21" i="15"/>
  <c r="AC21" i="15"/>
  <c r="AA21" i="15"/>
  <c r="Y21" i="15"/>
  <c r="AK21" i="15"/>
  <c r="AM21" i="15"/>
  <c r="AN21" i="15"/>
  <c r="AO21" i="15"/>
  <c r="AI20" i="15"/>
  <c r="AE20" i="15"/>
  <c r="AC20" i="15"/>
  <c r="AA20" i="15"/>
  <c r="Y20" i="15"/>
  <c r="AK20" i="15"/>
  <c r="AM20" i="15"/>
  <c r="AN20" i="15"/>
  <c r="AO20" i="15"/>
  <c r="AI19" i="15"/>
  <c r="AE19" i="15"/>
  <c r="AC19" i="15"/>
  <c r="AA19" i="15"/>
  <c r="Y19" i="15"/>
  <c r="AK19" i="15"/>
  <c r="AM19" i="15"/>
  <c r="AN19" i="15"/>
  <c r="AO19" i="15"/>
  <c r="AI18" i="15"/>
  <c r="AE18" i="15"/>
  <c r="AC18" i="15"/>
  <c r="AA18" i="15"/>
  <c r="Y18" i="15"/>
  <c r="AK18" i="15"/>
  <c r="AM18" i="15"/>
  <c r="AN18" i="15"/>
  <c r="AO18" i="15"/>
  <c r="AI17" i="15"/>
  <c r="AE17" i="15"/>
  <c r="AC17" i="15"/>
  <c r="AA17" i="15"/>
  <c r="Y17" i="15"/>
  <c r="AK17" i="15"/>
  <c r="AM17" i="15"/>
  <c r="AN17" i="15"/>
  <c r="AO17" i="15"/>
  <c r="AI16" i="15"/>
  <c r="AE16" i="15"/>
  <c r="AC16" i="15"/>
  <c r="AA16" i="15"/>
  <c r="Y16" i="15"/>
  <c r="AK16" i="15"/>
  <c r="AM16" i="15"/>
  <c r="AN16" i="15"/>
  <c r="AO16" i="15"/>
  <c r="AI15" i="15"/>
  <c r="AE15" i="15"/>
  <c r="AC15" i="15"/>
  <c r="AA15" i="15"/>
  <c r="Y15" i="15"/>
  <c r="AK15" i="15"/>
  <c r="AM15" i="15"/>
  <c r="AN15" i="15"/>
  <c r="AO15" i="15"/>
  <c r="AI14" i="15"/>
  <c r="AE14" i="15"/>
  <c r="AC14" i="15"/>
  <c r="AA14" i="15"/>
  <c r="Y14" i="15"/>
  <c r="AK14" i="15"/>
  <c r="AM14" i="15"/>
  <c r="AN14" i="15"/>
  <c r="AO14" i="15"/>
  <c r="AI13" i="15"/>
  <c r="AE13" i="15"/>
  <c r="AC13" i="15"/>
  <c r="AA13" i="15"/>
  <c r="Y13" i="15"/>
  <c r="AK13" i="15"/>
  <c r="AM13" i="15"/>
  <c r="AN13" i="15"/>
  <c r="AO13" i="15"/>
  <c r="AI12" i="15"/>
  <c r="AE12" i="15"/>
  <c r="AC12" i="15"/>
  <c r="AA12" i="15"/>
  <c r="Y12" i="15"/>
  <c r="AK12" i="15"/>
  <c r="AM12" i="15"/>
  <c r="AN12" i="15"/>
  <c r="AO12" i="15"/>
  <c r="AI11" i="15"/>
  <c r="AE11" i="15"/>
  <c r="AC11" i="15"/>
  <c r="AA11" i="15"/>
  <c r="Y11" i="15"/>
  <c r="AK11" i="15"/>
  <c r="AM11" i="15"/>
  <c r="AN11" i="15"/>
  <c r="AO11" i="15"/>
  <c r="AI10" i="15"/>
  <c r="AE10" i="15"/>
  <c r="AC10" i="15"/>
  <c r="AA10" i="15"/>
  <c r="Y10" i="15"/>
  <c r="AK10" i="15"/>
  <c r="AM10" i="15"/>
  <c r="AN10" i="15"/>
  <c r="AO10" i="15"/>
  <c r="AI9" i="15"/>
  <c r="AE9" i="15"/>
  <c r="AC9" i="15"/>
  <c r="AA9" i="15"/>
  <c r="Y9" i="15"/>
  <c r="AK9" i="15"/>
  <c r="AM9" i="15"/>
  <c r="AN9" i="15"/>
  <c r="AO9" i="15"/>
  <c r="AI8" i="15"/>
  <c r="AE8" i="15"/>
  <c r="AC8" i="15"/>
  <c r="AA8" i="15"/>
  <c r="Y8" i="15"/>
  <c r="AK8" i="15"/>
  <c r="AM8" i="15"/>
  <c r="AN8" i="15"/>
  <c r="AO8" i="15"/>
  <c r="AI7" i="15"/>
  <c r="AE7" i="15"/>
  <c r="AC7" i="15"/>
  <c r="AA7" i="15"/>
  <c r="Y7" i="15"/>
  <c r="AK7" i="15"/>
  <c r="AM7" i="15"/>
  <c r="AN7" i="15"/>
  <c r="AO7" i="15"/>
  <c r="AI6" i="15"/>
  <c r="AE6" i="15"/>
  <c r="AC6" i="15"/>
  <c r="AA6" i="15"/>
  <c r="Y6" i="15"/>
  <c r="AK6" i="15"/>
  <c r="AM6" i="15"/>
  <c r="AN6" i="15"/>
  <c r="AO6" i="15"/>
  <c r="AI5" i="15"/>
  <c r="AE5" i="15"/>
  <c r="AC5" i="15"/>
  <c r="AA5" i="15"/>
  <c r="Y5" i="15"/>
  <c r="AK5" i="15"/>
  <c r="AM5" i="15"/>
  <c r="AN5" i="15"/>
  <c r="AO5" i="15"/>
  <c r="AI4" i="15"/>
  <c r="AE4" i="15"/>
  <c r="AC4" i="15"/>
  <c r="AA4" i="15"/>
  <c r="Y4" i="15"/>
  <c r="AK4" i="15"/>
  <c r="AM4" i="15"/>
  <c r="AN4" i="15"/>
  <c r="AO4" i="15"/>
  <c r="AI3" i="15"/>
  <c r="AE3" i="15"/>
  <c r="AC3" i="15"/>
  <c r="AA3" i="15"/>
  <c r="Y3" i="15"/>
  <c r="AK3" i="15"/>
  <c r="AM3" i="15"/>
  <c r="AN3" i="15"/>
  <c r="AO3" i="15"/>
  <c r="AI2" i="15"/>
  <c r="AE2" i="15"/>
  <c r="AC2" i="15"/>
  <c r="AA2" i="15"/>
  <c r="Y2" i="15"/>
  <c r="AK2" i="15"/>
  <c r="AM2" i="15"/>
  <c r="AN2" i="15"/>
  <c r="AO2" i="15"/>
  <c r="P66" i="14"/>
  <c r="N66" i="14"/>
  <c r="L66" i="14"/>
  <c r="J66" i="14"/>
  <c r="Q65" i="14"/>
  <c r="O65" i="14"/>
  <c r="M65" i="14"/>
  <c r="K65" i="14"/>
  <c r="S65" i="14"/>
  <c r="T65" i="14"/>
  <c r="Q64" i="14"/>
  <c r="O64" i="14"/>
  <c r="M64" i="14"/>
  <c r="K64" i="14"/>
  <c r="S64" i="14"/>
  <c r="T64" i="14"/>
  <c r="Q63" i="14"/>
  <c r="O63" i="14"/>
  <c r="M63" i="14"/>
  <c r="K63" i="14"/>
  <c r="S63" i="14"/>
  <c r="T63" i="14"/>
  <c r="Q62" i="14"/>
  <c r="O62" i="14"/>
  <c r="M62" i="14"/>
  <c r="K62" i="14"/>
  <c r="S62" i="14"/>
  <c r="T62" i="14"/>
  <c r="Q61" i="14"/>
  <c r="O61" i="14"/>
  <c r="M61" i="14"/>
  <c r="K61" i="14"/>
  <c r="S61" i="14"/>
  <c r="T61" i="14"/>
  <c r="Q60" i="14"/>
  <c r="O60" i="14"/>
  <c r="M60" i="14"/>
  <c r="K60" i="14"/>
  <c r="S60" i="14"/>
  <c r="T60" i="14"/>
  <c r="Q59" i="14"/>
  <c r="O59" i="14"/>
  <c r="M59" i="14"/>
  <c r="K59" i="14"/>
  <c r="S59" i="14"/>
  <c r="T59" i="14"/>
  <c r="Q58" i="14"/>
  <c r="O58" i="14"/>
  <c r="M58" i="14"/>
  <c r="K58" i="14"/>
  <c r="S58" i="14"/>
  <c r="T58" i="14"/>
  <c r="Q57" i="14"/>
  <c r="O57" i="14"/>
  <c r="M57" i="14"/>
  <c r="K57" i="14"/>
  <c r="S57" i="14"/>
  <c r="T57" i="14"/>
  <c r="Q56" i="14"/>
  <c r="O56" i="14"/>
  <c r="M56" i="14"/>
  <c r="K56" i="14"/>
  <c r="S56" i="14"/>
  <c r="T56" i="14"/>
  <c r="Q55" i="14"/>
  <c r="O55" i="14"/>
  <c r="M55" i="14"/>
  <c r="K55" i="14"/>
  <c r="S55" i="14"/>
  <c r="T55" i="14"/>
  <c r="Q54" i="14"/>
  <c r="O54" i="14"/>
  <c r="M54" i="14"/>
  <c r="K54" i="14"/>
  <c r="S54" i="14"/>
  <c r="T54" i="14"/>
  <c r="Q53" i="14"/>
  <c r="O53" i="14"/>
  <c r="M53" i="14"/>
  <c r="K53" i="14"/>
  <c r="S53" i="14"/>
  <c r="T53" i="14"/>
  <c r="Q52" i="14"/>
  <c r="O52" i="14"/>
  <c r="M52" i="14"/>
  <c r="K52" i="14"/>
  <c r="S52" i="14"/>
  <c r="T52" i="14"/>
  <c r="Q51" i="14"/>
  <c r="O51" i="14"/>
  <c r="M51" i="14"/>
  <c r="K51" i="14"/>
  <c r="S51" i="14"/>
  <c r="T51" i="14"/>
  <c r="Q50" i="14"/>
  <c r="O50" i="14"/>
  <c r="M50" i="14"/>
  <c r="K50" i="14"/>
  <c r="S50" i="14"/>
  <c r="T50" i="14"/>
  <c r="Q49" i="14"/>
  <c r="O49" i="14"/>
  <c r="M49" i="14"/>
  <c r="K49" i="14"/>
  <c r="S49" i="14"/>
  <c r="T49" i="14"/>
  <c r="Q48" i="14"/>
  <c r="O48" i="14"/>
  <c r="M48" i="14"/>
  <c r="K48" i="14"/>
  <c r="S48" i="14"/>
  <c r="T48" i="14"/>
  <c r="Q47" i="14"/>
  <c r="O47" i="14"/>
  <c r="M47" i="14"/>
  <c r="K47" i="14"/>
  <c r="S47" i="14"/>
  <c r="T47" i="14"/>
  <c r="Q46" i="14"/>
  <c r="O46" i="14"/>
  <c r="M46" i="14"/>
  <c r="K46" i="14"/>
  <c r="S46" i="14"/>
  <c r="T46" i="14"/>
  <c r="Q45" i="14"/>
  <c r="O45" i="14"/>
  <c r="M45" i="14"/>
  <c r="K45" i="14"/>
  <c r="S45" i="14"/>
  <c r="T45" i="14"/>
  <c r="Q44" i="14"/>
  <c r="O44" i="14"/>
  <c r="M44" i="14"/>
  <c r="K44" i="14"/>
  <c r="S44" i="14"/>
  <c r="T44" i="14"/>
  <c r="Q43" i="14"/>
  <c r="O43" i="14"/>
  <c r="M43" i="14"/>
  <c r="K43" i="14"/>
  <c r="S43" i="14"/>
  <c r="T43" i="14"/>
  <c r="Q42" i="14"/>
  <c r="O42" i="14"/>
  <c r="M42" i="14"/>
  <c r="K42" i="14"/>
  <c r="S42" i="14"/>
  <c r="T42" i="14"/>
  <c r="Q41" i="14"/>
  <c r="O41" i="14"/>
  <c r="M41" i="14"/>
  <c r="K41" i="14"/>
  <c r="S41" i="14"/>
  <c r="T41" i="14"/>
  <c r="Q40" i="14"/>
  <c r="O40" i="14"/>
  <c r="M40" i="14"/>
  <c r="K40" i="14"/>
  <c r="S40" i="14"/>
  <c r="T40" i="14"/>
  <c r="Q39" i="14"/>
  <c r="O39" i="14"/>
  <c r="M39" i="14"/>
  <c r="K39" i="14"/>
  <c r="S39" i="14"/>
  <c r="T39" i="14"/>
  <c r="Q38" i="14"/>
  <c r="O38" i="14"/>
  <c r="M38" i="14"/>
  <c r="K38" i="14"/>
  <c r="S38" i="14"/>
  <c r="T38" i="14"/>
  <c r="Q37" i="14"/>
  <c r="O37" i="14"/>
  <c r="M37" i="14"/>
  <c r="K37" i="14"/>
  <c r="S37" i="14"/>
  <c r="T37" i="14"/>
  <c r="Q36" i="14"/>
  <c r="O36" i="14"/>
  <c r="M36" i="14"/>
  <c r="K36" i="14"/>
  <c r="S36" i="14"/>
  <c r="T36" i="14"/>
  <c r="Q35" i="14"/>
  <c r="O35" i="14"/>
  <c r="M35" i="14"/>
  <c r="K35" i="14"/>
  <c r="S35" i="14"/>
  <c r="T35" i="14"/>
  <c r="Q34" i="14"/>
  <c r="O34" i="14"/>
  <c r="M34" i="14"/>
  <c r="K34" i="14"/>
  <c r="S34" i="14"/>
  <c r="T34" i="14"/>
  <c r="Q33" i="14"/>
  <c r="O33" i="14"/>
  <c r="M33" i="14"/>
  <c r="K33" i="14"/>
  <c r="S33" i="14"/>
  <c r="T33" i="14"/>
  <c r="Q32" i="14"/>
  <c r="O32" i="14"/>
  <c r="M32" i="14"/>
  <c r="K32" i="14"/>
  <c r="S32" i="14"/>
  <c r="T32" i="14"/>
  <c r="Q31" i="14"/>
  <c r="O31" i="14"/>
  <c r="M31" i="14"/>
  <c r="K31" i="14"/>
  <c r="S31" i="14"/>
  <c r="T31" i="14"/>
  <c r="Q30" i="14"/>
  <c r="O30" i="14"/>
  <c r="M30" i="14"/>
  <c r="K30" i="14"/>
  <c r="S30" i="14"/>
  <c r="T30" i="14"/>
  <c r="Q29" i="14"/>
  <c r="O29" i="14"/>
  <c r="M29" i="14"/>
  <c r="K29" i="14"/>
  <c r="S29" i="14"/>
  <c r="T29" i="14"/>
  <c r="Q28" i="14"/>
  <c r="O28" i="14"/>
  <c r="M28" i="14"/>
  <c r="K28" i="14"/>
  <c r="S28" i="14"/>
  <c r="T28" i="14"/>
  <c r="Q27" i="14"/>
  <c r="O27" i="14"/>
  <c r="M27" i="14"/>
  <c r="K27" i="14"/>
  <c r="S27" i="14"/>
  <c r="T27" i="14"/>
  <c r="Q26" i="14"/>
  <c r="O26" i="14"/>
  <c r="M26" i="14"/>
  <c r="K26" i="14"/>
  <c r="S26" i="14"/>
  <c r="T26" i="14"/>
  <c r="Q25" i="14"/>
  <c r="O25" i="14"/>
  <c r="M25" i="14"/>
  <c r="K25" i="14"/>
  <c r="S25" i="14"/>
  <c r="T25" i="14"/>
  <c r="Q24" i="14"/>
  <c r="O24" i="14"/>
  <c r="M24" i="14"/>
  <c r="K24" i="14"/>
  <c r="S24" i="14"/>
  <c r="T24" i="14"/>
  <c r="Q23" i="14"/>
  <c r="O23" i="14"/>
  <c r="M23" i="14"/>
  <c r="K23" i="14"/>
  <c r="S23" i="14"/>
  <c r="T23" i="14"/>
  <c r="Q22" i="14"/>
  <c r="O22" i="14"/>
  <c r="M22" i="14"/>
  <c r="K22" i="14"/>
  <c r="S22" i="14"/>
  <c r="T22" i="14"/>
  <c r="Q21" i="14"/>
  <c r="O21" i="14"/>
  <c r="M21" i="14"/>
  <c r="K21" i="14"/>
  <c r="S21" i="14"/>
  <c r="T21" i="14"/>
  <c r="Q20" i="14"/>
  <c r="O20" i="14"/>
  <c r="M20" i="14"/>
  <c r="K20" i="14"/>
  <c r="S20" i="14"/>
  <c r="T20" i="14"/>
  <c r="Q19" i="14"/>
  <c r="O19" i="14"/>
  <c r="M19" i="14"/>
  <c r="K19" i="14"/>
  <c r="S19" i="14"/>
  <c r="T19" i="14"/>
  <c r="Q18" i="14"/>
  <c r="O18" i="14"/>
  <c r="M18" i="14"/>
  <c r="K18" i="14"/>
  <c r="S18" i="14"/>
  <c r="T18" i="14"/>
  <c r="Q17" i="14"/>
  <c r="O17" i="14"/>
  <c r="M17" i="14"/>
  <c r="K17" i="14"/>
  <c r="S17" i="14"/>
  <c r="T17" i="14"/>
  <c r="Q16" i="14"/>
  <c r="O16" i="14"/>
  <c r="M16" i="14"/>
  <c r="K16" i="14"/>
  <c r="S16" i="14"/>
  <c r="T16" i="14"/>
  <c r="Q15" i="14"/>
  <c r="O15" i="14"/>
  <c r="M15" i="14"/>
  <c r="K15" i="14"/>
  <c r="S15" i="14"/>
  <c r="T15" i="14"/>
  <c r="Q14" i="14"/>
  <c r="O14" i="14"/>
  <c r="M14" i="14"/>
  <c r="K14" i="14"/>
  <c r="S14" i="14"/>
  <c r="T14" i="14"/>
  <c r="Q13" i="14"/>
  <c r="O13" i="14"/>
  <c r="M13" i="14"/>
  <c r="K13" i="14"/>
  <c r="S13" i="14"/>
  <c r="T13" i="14"/>
  <c r="Q12" i="14"/>
  <c r="O12" i="14"/>
  <c r="M12" i="14"/>
  <c r="K12" i="14"/>
  <c r="S12" i="14"/>
  <c r="T12" i="14"/>
  <c r="Q11" i="14"/>
  <c r="O11" i="14"/>
  <c r="M11" i="14"/>
  <c r="K11" i="14"/>
  <c r="S11" i="14"/>
  <c r="T11" i="14"/>
  <c r="Q10" i="14"/>
  <c r="O10" i="14"/>
  <c r="M10" i="14"/>
  <c r="K10" i="14"/>
  <c r="S10" i="14"/>
  <c r="T10" i="14"/>
  <c r="Q9" i="14"/>
  <c r="O9" i="14"/>
  <c r="M9" i="14"/>
  <c r="K9" i="14"/>
  <c r="S9" i="14"/>
  <c r="T9" i="14"/>
  <c r="Q8" i="14"/>
  <c r="O8" i="14"/>
  <c r="M8" i="14"/>
  <c r="K8" i="14"/>
  <c r="S8" i="14"/>
  <c r="T8" i="14"/>
  <c r="Q7" i="14"/>
  <c r="O7" i="14"/>
  <c r="M7" i="14"/>
  <c r="K7" i="14"/>
  <c r="S7" i="14"/>
  <c r="T7" i="14"/>
  <c r="Q6" i="14"/>
  <c r="O6" i="14"/>
  <c r="M6" i="14"/>
  <c r="K6" i="14"/>
  <c r="S6" i="14"/>
  <c r="T6" i="14"/>
  <c r="Q5" i="14"/>
  <c r="O5" i="14"/>
  <c r="M5" i="14"/>
  <c r="K5" i="14"/>
  <c r="S5" i="14"/>
  <c r="T5" i="14"/>
  <c r="Q4" i="14"/>
  <c r="O4" i="14"/>
  <c r="M4" i="14"/>
  <c r="K4" i="14"/>
  <c r="S4" i="14"/>
  <c r="T4" i="14"/>
  <c r="Q3" i="14"/>
  <c r="O3" i="14"/>
  <c r="M3" i="14"/>
  <c r="K3" i="14"/>
  <c r="S3" i="14"/>
  <c r="T3" i="14"/>
  <c r="Q2" i="14"/>
  <c r="O2" i="14"/>
  <c r="M2" i="14"/>
  <c r="K2" i="14"/>
  <c r="S2" i="14"/>
  <c r="T2" i="14"/>
  <c r="U64" i="13"/>
  <c r="U63" i="13"/>
  <c r="U62" i="13"/>
  <c r="U61" i="13"/>
  <c r="U60" i="13"/>
  <c r="U59" i="13"/>
  <c r="U58" i="13"/>
  <c r="U57" i="13"/>
  <c r="U56" i="13"/>
  <c r="U55" i="13"/>
  <c r="U54" i="13"/>
  <c r="U53" i="13"/>
  <c r="U52" i="13"/>
  <c r="U51" i="13"/>
  <c r="U50" i="13"/>
  <c r="U49" i="13"/>
  <c r="U48" i="13"/>
  <c r="U47" i="13"/>
  <c r="U46" i="13"/>
  <c r="U45" i="13"/>
  <c r="U44" i="13"/>
  <c r="U43" i="13"/>
  <c r="U42" i="13"/>
  <c r="U41" i="13"/>
  <c r="U40" i="13"/>
  <c r="U39" i="13"/>
  <c r="U38" i="13"/>
  <c r="U37" i="13"/>
  <c r="U36" i="13"/>
  <c r="U35" i="13"/>
  <c r="U34" i="13"/>
  <c r="U33" i="13"/>
  <c r="U32" i="13"/>
  <c r="U31" i="13"/>
  <c r="U30" i="13"/>
  <c r="U29" i="13"/>
  <c r="U28" i="13"/>
  <c r="U27" i="13"/>
  <c r="U26" i="13"/>
  <c r="U25" i="13"/>
  <c r="U24" i="13"/>
  <c r="U23" i="13"/>
  <c r="U22" i="13"/>
  <c r="U21" i="13"/>
  <c r="U20" i="13"/>
  <c r="U19" i="13"/>
  <c r="U18" i="13"/>
  <c r="U17" i="13"/>
  <c r="U16" i="13"/>
  <c r="U15" i="13"/>
  <c r="U14" i="13"/>
  <c r="U13" i="13"/>
  <c r="U12" i="13"/>
  <c r="U11" i="13"/>
  <c r="U10" i="13"/>
  <c r="U9" i="13"/>
  <c r="U8" i="13"/>
  <c r="U7" i="13"/>
  <c r="U6" i="13"/>
  <c r="U5" i="13"/>
  <c r="U4" i="13"/>
  <c r="U3" i="13"/>
  <c r="U2" i="13"/>
  <c r="P95" i="10"/>
  <c r="P93" i="10"/>
  <c r="P91" i="10"/>
  <c r="P87" i="10"/>
  <c r="P84" i="10"/>
  <c r="O57" i="10"/>
  <c r="O56" i="10"/>
  <c r="O47" i="10"/>
  <c r="O42" i="10"/>
  <c r="O37" i="10"/>
  <c r="O33" i="10"/>
  <c r="O29" i="10"/>
  <c r="O25" i="10"/>
  <c r="O22" i="10"/>
  <c r="O20" i="10"/>
  <c r="O19" i="10"/>
  <c r="O12" i="10"/>
  <c r="O3" i="10"/>
  <c r="AC2" i="9"/>
  <c r="AC4" i="9"/>
  <c r="AC5" i="9"/>
  <c r="AC6" i="9"/>
  <c r="AC8" i="9"/>
  <c r="AC10" i="9"/>
  <c r="P11" i="9"/>
  <c r="AC11" i="9"/>
  <c r="AC12" i="9"/>
  <c r="AC13" i="9"/>
  <c r="AC16" i="9"/>
  <c r="AC17" i="9"/>
  <c r="AC18" i="9"/>
  <c r="AC19" i="9"/>
  <c r="AC20" i="9"/>
  <c r="AC21" i="9"/>
  <c r="AC23" i="9"/>
  <c r="AC25" i="9"/>
  <c r="AC26" i="9"/>
  <c r="AC27" i="9"/>
  <c r="AC28" i="9"/>
  <c r="AC29" i="9"/>
  <c r="AC30" i="9"/>
  <c r="AC31" i="9"/>
  <c r="P32" i="9"/>
  <c r="AC32" i="9"/>
  <c r="P33" i="9"/>
  <c r="AC33" i="9"/>
  <c r="P34" i="9"/>
  <c r="AC34" i="9"/>
  <c r="AC36" i="9"/>
  <c r="P37" i="9"/>
  <c r="AC37" i="9"/>
  <c r="AC38" i="9"/>
  <c r="AC39" i="9"/>
  <c r="AC40" i="9"/>
  <c r="AC42" i="9"/>
  <c r="AC44" i="9"/>
  <c r="P45" i="9"/>
  <c r="AC45" i="9"/>
  <c r="AC46" i="9"/>
  <c r="AC48" i="9"/>
  <c r="AC50" i="9"/>
  <c r="AC52" i="9"/>
  <c r="AC53" i="9"/>
  <c r="AC55" i="9"/>
  <c r="AC58" i="9"/>
  <c r="AC59" i="9"/>
  <c r="P60" i="9"/>
  <c r="AC60" i="9"/>
  <c r="AC61" i="9"/>
  <c r="AC62" i="9"/>
  <c r="AC63" i="9"/>
  <c r="AC64" i="9"/>
  <c r="AC65" i="9"/>
  <c r="AC66" i="9"/>
  <c r="AC67" i="9"/>
  <c r="AC68" i="9"/>
  <c r="AA2" i="9"/>
  <c r="AA3" i="9"/>
  <c r="AA4" i="9"/>
  <c r="AA5" i="9"/>
  <c r="AA6" i="9"/>
  <c r="AA7" i="9"/>
  <c r="AA8" i="9"/>
  <c r="AA9" i="9"/>
  <c r="AA10" i="9"/>
  <c r="AA12" i="9"/>
  <c r="AA13" i="9"/>
  <c r="AA14" i="9"/>
  <c r="AA15" i="9"/>
  <c r="AA16" i="9"/>
  <c r="AA17" i="9"/>
  <c r="AA18" i="9"/>
  <c r="AA19" i="9"/>
  <c r="AA20" i="9"/>
  <c r="AA21" i="9"/>
  <c r="AA22" i="9"/>
  <c r="AA23" i="9"/>
  <c r="AA24" i="9"/>
  <c r="AA25" i="9"/>
  <c r="AA26" i="9"/>
  <c r="AA27" i="9"/>
  <c r="AA28" i="9"/>
  <c r="AA29" i="9"/>
  <c r="AA30" i="9"/>
  <c r="AA31" i="9"/>
  <c r="AA32" i="9"/>
  <c r="AA33" i="9"/>
  <c r="AA34" i="9"/>
  <c r="AA35" i="9"/>
  <c r="AA36" i="9"/>
  <c r="AA37" i="9"/>
  <c r="AA38" i="9"/>
  <c r="AA39" i="9"/>
  <c r="AA40" i="9"/>
  <c r="AA41" i="9"/>
  <c r="AA42" i="9"/>
  <c r="AA43" i="9"/>
  <c r="AA44" i="9"/>
  <c r="AA45" i="9"/>
  <c r="AA46" i="9"/>
  <c r="AA47" i="9"/>
  <c r="AA48" i="9"/>
  <c r="AA49" i="9"/>
  <c r="AA50" i="9"/>
  <c r="AA51" i="9"/>
  <c r="AA52" i="9"/>
  <c r="AA53" i="9"/>
  <c r="AA54" i="9"/>
  <c r="AA55" i="9"/>
  <c r="AA56" i="9"/>
  <c r="AA57" i="9"/>
  <c r="AA58" i="9"/>
  <c r="AA59" i="9"/>
  <c r="AA60" i="9"/>
  <c r="AA61" i="9"/>
  <c r="AA62" i="9"/>
  <c r="AA63" i="9"/>
  <c r="AA64" i="9"/>
  <c r="AA65" i="9"/>
  <c r="AA66" i="9"/>
  <c r="AA67" i="9"/>
  <c r="AA68" i="9"/>
  <c r="X2" i="9"/>
  <c r="W2" i="9"/>
  <c r="Y2" i="9"/>
  <c r="X4" i="9"/>
  <c r="W4" i="9"/>
  <c r="Y4" i="9"/>
  <c r="X5" i="9"/>
  <c r="W5" i="9"/>
  <c r="Y5" i="9"/>
  <c r="X6" i="9"/>
  <c r="W6" i="9"/>
  <c r="Y6" i="9"/>
  <c r="X8" i="9"/>
  <c r="W8" i="9"/>
  <c r="Y8" i="9"/>
  <c r="X10" i="9"/>
  <c r="W10" i="9"/>
  <c r="Y10" i="9"/>
  <c r="X11" i="9"/>
  <c r="Y11" i="9"/>
  <c r="X12" i="9"/>
  <c r="W12" i="9"/>
  <c r="Y12" i="9"/>
  <c r="X13" i="9"/>
  <c r="W13" i="9"/>
  <c r="Y13" i="9"/>
  <c r="X16" i="9"/>
  <c r="W16" i="9"/>
  <c r="Y16" i="9"/>
  <c r="X17" i="9"/>
  <c r="W17" i="9"/>
  <c r="Y17" i="9"/>
  <c r="X18" i="9"/>
  <c r="W18" i="9"/>
  <c r="Y18" i="9"/>
  <c r="X19" i="9"/>
  <c r="Y19" i="9"/>
  <c r="X20" i="9"/>
  <c r="W20" i="9"/>
  <c r="Y20" i="9"/>
  <c r="X21" i="9"/>
  <c r="Y21" i="9"/>
  <c r="X23" i="9"/>
  <c r="W23" i="9"/>
  <c r="Y23" i="9"/>
  <c r="X25" i="9"/>
  <c r="W25" i="9"/>
  <c r="Y25" i="9"/>
  <c r="X26" i="9"/>
  <c r="W26" i="9"/>
  <c r="Y26" i="9"/>
  <c r="X27" i="9"/>
  <c r="W27" i="9"/>
  <c r="Y27" i="9"/>
  <c r="X28" i="9"/>
  <c r="W28" i="9"/>
  <c r="Y28" i="9"/>
  <c r="X29" i="9"/>
  <c r="W29" i="9"/>
  <c r="Y29" i="9"/>
  <c r="X30" i="9"/>
  <c r="W30" i="9"/>
  <c r="Y30" i="9"/>
  <c r="X31" i="9"/>
  <c r="W31" i="9"/>
  <c r="Y31" i="9"/>
  <c r="O32" i="9"/>
  <c r="X32" i="9"/>
  <c r="Y32" i="9"/>
  <c r="O33" i="9"/>
  <c r="X33" i="9"/>
  <c r="Y33" i="9"/>
  <c r="O34" i="9"/>
  <c r="X34" i="9"/>
  <c r="Y34" i="9"/>
  <c r="X36" i="9"/>
  <c r="W36" i="9"/>
  <c r="Y36" i="9"/>
  <c r="O37" i="9"/>
  <c r="X37" i="9"/>
  <c r="Y37" i="9"/>
  <c r="X38" i="9"/>
  <c r="W38" i="9"/>
  <c r="Y38" i="9"/>
  <c r="X39" i="9"/>
  <c r="W39" i="9"/>
  <c r="Y39" i="9"/>
  <c r="X40" i="9"/>
  <c r="W40" i="9"/>
  <c r="Y40" i="9"/>
  <c r="X42" i="9"/>
  <c r="W42" i="9"/>
  <c r="Y42" i="9"/>
  <c r="X43" i="9"/>
  <c r="W43" i="9"/>
  <c r="Y43" i="9"/>
  <c r="X44" i="9"/>
  <c r="W44" i="9"/>
  <c r="Y44" i="9"/>
  <c r="O45" i="9"/>
  <c r="X45" i="9"/>
  <c r="Y45" i="9"/>
  <c r="X46" i="9"/>
  <c r="W46" i="9"/>
  <c r="Y46" i="9"/>
  <c r="X48" i="9"/>
  <c r="W48" i="9"/>
  <c r="Y48" i="9"/>
  <c r="X50" i="9"/>
  <c r="W50" i="9"/>
  <c r="Y50" i="9"/>
  <c r="X52" i="9"/>
  <c r="W52" i="9"/>
  <c r="Y52" i="9"/>
  <c r="X53" i="9"/>
  <c r="W53" i="9"/>
  <c r="Y53" i="9"/>
  <c r="X55" i="9"/>
  <c r="W55" i="9"/>
  <c r="Y55" i="9"/>
  <c r="X58" i="9"/>
  <c r="W58" i="9"/>
  <c r="Y58" i="9"/>
  <c r="X59" i="9"/>
  <c r="W59" i="9"/>
  <c r="Y59" i="9"/>
  <c r="O60" i="9"/>
  <c r="X60" i="9"/>
  <c r="Y60" i="9"/>
  <c r="X61" i="9"/>
  <c r="W61" i="9"/>
  <c r="Y61" i="9"/>
  <c r="X62" i="9"/>
  <c r="W62" i="9"/>
  <c r="Y62" i="9"/>
  <c r="X63" i="9"/>
  <c r="W63" i="9"/>
  <c r="Y63" i="9"/>
  <c r="X64" i="9"/>
  <c r="W64" i="9"/>
  <c r="Y64" i="9"/>
  <c r="X65" i="9"/>
  <c r="Y65" i="9"/>
  <c r="X66" i="9"/>
  <c r="W66" i="9"/>
  <c r="Y66" i="9"/>
  <c r="X67" i="9"/>
  <c r="W67" i="9"/>
  <c r="Y67" i="9"/>
  <c r="Y68" i="9"/>
  <c r="Q68" i="9"/>
  <c r="P68" i="9"/>
  <c r="O68" i="9"/>
  <c r="AD67" i="9"/>
  <c r="AB67" i="9"/>
  <c r="Z67" i="9"/>
  <c r="U67" i="9"/>
  <c r="AG67" i="9"/>
  <c r="AH67" i="9"/>
  <c r="AD66" i="9"/>
  <c r="AB66" i="9"/>
  <c r="Z66" i="9"/>
  <c r="U66" i="9"/>
  <c r="AG66" i="9"/>
  <c r="AH66" i="9"/>
  <c r="AD65" i="9"/>
  <c r="AB65" i="9"/>
  <c r="Z65" i="9"/>
  <c r="U65" i="9"/>
  <c r="AG65" i="9"/>
  <c r="AH65" i="9"/>
  <c r="AD64" i="9"/>
  <c r="AB64" i="9"/>
  <c r="Z64" i="9"/>
  <c r="U64" i="9"/>
  <c r="AG64" i="9"/>
  <c r="AH64" i="9"/>
  <c r="AD63" i="9"/>
  <c r="AB63" i="9"/>
  <c r="Z63" i="9"/>
  <c r="U63" i="9"/>
  <c r="AG63" i="9"/>
  <c r="AH63" i="9"/>
  <c r="AD62" i="9"/>
  <c r="AB62" i="9"/>
  <c r="Z62" i="9"/>
  <c r="U62" i="9"/>
  <c r="AG62" i="9"/>
  <c r="AH62" i="9"/>
  <c r="AD61" i="9"/>
  <c r="AB61" i="9"/>
  <c r="Z61" i="9"/>
  <c r="U61" i="9"/>
  <c r="AG61" i="9"/>
  <c r="AH61" i="9"/>
  <c r="AD60" i="9"/>
  <c r="AB60" i="9"/>
  <c r="Z60" i="9"/>
  <c r="U60" i="9"/>
  <c r="AG60" i="9"/>
  <c r="AH60" i="9"/>
  <c r="AD59" i="9"/>
  <c r="AB59" i="9"/>
  <c r="Z59" i="9"/>
  <c r="U59" i="9"/>
  <c r="AG59" i="9"/>
  <c r="AH59" i="9"/>
  <c r="AD58" i="9"/>
  <c r="AB58" i="9"/>
  <c r="Z58" i="9"/>
  <c r="U58" i="9"/>
  <c r="AG58" i="9"/>
  <c r="AH58" i="9"/>
  <c r="AD57" i="9"/>
  <c r="AB57" i="9"/>
  <c r="Z57" i="9"/>
  <c r="U57" i="9"/>
  <c r="AG57" i="9"/>
  <c r="AH57" i="9"/>
  <c r="X57" i="9"/>
  <c r="W57" i="9"/>
  <c r="AD56" i="9"/>
  <c r="AB56" i="9"/>
  <c r="Z56" i="9"/>
  <c r="U56" i="9"/>
  <c r="AG56" i="9"/>
  <c r="AH56" i="9"/>
  <c r="X56" i="9"/>
  <c r="W56" i="9"/>
  <c r="AD55" i="9"/>
  <c r="AB55" i="9"/>
  <c r="Z55" i="9"/>
  <c r="U55" i="9"/>
  <c r="AG55" i="9"/>
  <c r="AH55" i="9"/>
  <c r="AD54" i="9"/>
  <c r="AB54" i="9"/>
  <c r="Z54" i="9"/>
  <c r="U54" i="9"/>
  <c r="AG54" i="9"/>
  <c r="AH54" i="9"/>
  <c r="X54" i="9"/>
  <c r="W54" i="9"/>
  <c r="AD53" i="9"/>
  <c r="AB53" i="9"/>
  <c r="Z53" i="9"/>
  <c r="U53" i="9"/>
  <c r="AG53" i="9"/>
  <c r="AH53" i="9"/>
  <c r="AD52" i="9"/>
  <c r="AB52" i="9"/>
  <c r="Z52" i="9"/>
  <c r="U52" i="9"/>
  <c r="AG52" i="9"/>
  <c r="AH52" i="9"/>
  <c r="AD51" i="9"/>
  <c r="AB51" i="9"/>
  <c r="Z51" i="9"/>
  <c r="U51" i="9"/>
  <c r="AG51" i="9"/>
  <c r="AH51" i="9"/>
  <c r="X51" i="9"/>
  <c r="W51" i="9"/>
  <c r="AD50" i="9"/>
  <c r="AB50" i="9"/>
  <c r="Z50" i="9"/>
  <c r="U50" i="9"/>
  <c r="AG50" i="9"/>
  <c r="AH50" i="9"/>
  <c r="AD49" i="9"/>
  <c r="AB49" i="9"/>
  <c r="Z49" i="9"/>
  <c r="U49" i="9"/>
  <c r="AG49" i="9"/>
  <c r="AH49" i="9"/>
  <c r="X49" i="9"/>
  <c r="W49" i="9"/>
  <c r="AD48" i="9"/>
  <c r="AB48" i="9"/>
  <c r="Z48" i="9"/>
  <c r="U48" i="9"/>
  <c r="AG48" i="9"/>
  <c r="AH48" i="9"/>
  <c r="AD47" i="9"/>
  <c r="AB47" i="9"/>
  <c r="Z47" i="9"/>
  <c r="U47" i="9"/>
  <c r="AG47" i="9"/>
  <c r="AH47" i="9"/>
  <c r="X47" i="9"/>
  <c r="W47" i="9"/>
  <c r="AD46" i="9"/>
  <c r="AB46" i="9"/>
  <c r="Z46" i="9"/>
  <c r="U46" i="9"/>
  <c r="AG46" i="9"/>
  <c r="AH46" i="9"/>
  <c r="AD45" i="9"/>
  <c r="AB45" i="9"/>
  <c r="Z45" i="9"/>
  <c r="U45" i="9"/>
  <c r="AG45" i="9"/>
  <c r="AH45" i="9"/>
  <c r="AD44" i="9"/>
  <c r="AB44" i="9"/>
  <c r="Z44" i="9"/>
  <c r="U44" i="9"/>
  <c r="AG44" i="9"/>
  <c r="AH44" i="9"/>
  <c r="AD43" i="9"/>
  <c r="AB43" i="9"/>
  <c r="Z43" i="9"/>
  <c r="U43" i="9"/>
  <c r="AG43" i="9"/>
  <c r="AH43" i="9"/>
  <c r="AD42" i="9"/>
  <c r="AB42" i="9"/>
  <c r="Z42" i="9"/>
  <c r="U42" i="9"/>
  <c r="AG42" i="9"/>
  <c r="AH42" i="9"/>
  <c r="AD41" i="9"/>
  <c r="AB41" i="9"/>
  <c r="Z41" i="9"/>
  <c r="U41" i="9"/>
  <c r="AG41" i="9"/>
  <c r="AH41" i="9"/>
  <c r="X41" i="9"/>
  <c r="W41" i="9"/>
  <c r="AD40" i="9"/>
  <c r="AB40" i="9"/>
  <c r="Z40" i="9"/>
  <c r="U40" i="9"/>
  <c r="AG40" i="9"/>
  <c r="AH40" i="9"/>
  <c r="AD39" i="9"/>
  <c r="AB39" i="9"/>
  <c r="Z39" i="9"/>
  <c r="U39" i="9"/>
  <c r="AG39" i="9"/>
  <c r="AH39" i="9"/>
  <c r="AD38" i="9"/>
  <c r="AB38" i="9"/>
  <c r="Z38" i="9"/>
  <c r="U38" i="9"/>
  <c r="AG38" i="9"/>
  <c r="AH38" i="9"/>
  <c r="AD37" i="9"/>
  <c r="AB37" i="9"/>
  <c r="Z37" i="9"/>
  <c r="U37" i="9"/>
  <c r="AG37" i="9"/>
  <c r="AH37" i="9"/>
  <c r="AD36" i="9"/>
  <c r="AB36" i="9"/>
  <c r="Z36" i="9"/>
  <c r="U36" i="9"/>
  <c r="AG36" i="9"/>
  <c r="AH36" i="9"/>
  <c r="AD35" i="9"/>
  <c r="AB35" i="9"/>
  <c r="Z35" i="9"/>
  <c r="U35" i="9"/>
  <c r="AG35" i="9"/>
  <c r="AH35" i="9"/>
  <c r="X35" i="9"/>
  <c r="W35" i="9"/>
  <c r="AD34" i="9"/>
  <c r="AB34" i="9"/>
  <c r="Z34" i="9"/>
  <c r="U34" i="9"/>
  <c r="AG34" i="9"/>
  <c r="AH34" i="9"/>
  <c r="AD33" i="9"/>
  <c r="AB33" i="9"/>
  <c r="Z33" i="9"/>
  <c r="U33" i="9"/>
  <c r="AG33" i="9"/>
  <c r="AH33" i="9"/>
  <c r="AD32" i="9"/>
  <c r="AB32" i="9"/>
  <c r="Z32" i="9"/>
  <c r="U32" i="9"/>
  <c r="AG32" i="9"/>
  <c r="AH32" i="9"/>
  <c r="AD31" i="9"/>
  <c r="AB31" i="9"/>
  <c r="Z31" i="9"/>
  <c r="U31" i="9"/>
  <c r="AG31" i="9"/>
  <c r="AH31" i="9"/>
  <c r="AD30" i="9"/>
  <c r="AB30" i="9"/>
  <c r="Z30" i="9"/>
  <c r="U30" i="9"/>
  <c r="AG30" i="9"/>
  <c r="AH30" i="9"/>
  <c r="AD29" i="9"/>
  <c r="AB29" i="9"/>
  <c r="Z29" i="9"/>
  <c r="U29" i="9"/>
  <c r="AG29" i="9"/>
  <c r="AH29" i="9"/>
  <c r="AD28" i="9"/>
  <c r="AB28" i="9"/>
  <c r="Z28" i="9"/>
  <c r="U28" i="9"/>
  <c r="AG28" i="9"/>
  <c r="AH28" i="9"/>
  <c r="AD27" i="9"/>
  <c r="AB27" i="9"/>
  <c r="Z27" i="9"/>
  <c r="U27" i="9"/>
  <c r="AG27" i="9"/>
  <c r="AH27" i="9"/>
  <c r="AD26" i="9"/>
  <c r="AB26" i="9"/>
  <c r="Z26" i="9"/>
  <c r="U26" i="9"/>
  <c r="AG26" i="9"/>
  <c r="AH26" i="9"/>
  <c r="AD25" i="9"/>
  <c r="AB25" i="9"/>
  <c r="Z25" i="9"/>
  <c r="U25" i="9"/>
  <c r="AG25" i="9"/>
  <c r="AH25" i="9"/>
  <c r="AD24" i="9"/>
  <c r="AB24" i="9"/>
  <c r="Z24" i="9"/>
  <c r="U24" i="9"/>
  <c r="AG24" i="9"/>
  <c r="AH24" i="9"/>
  <c r="X24" i="9"/>
  <c r="W24" i="9"/>
  <c r="AD23" i="9"/>
  <c r="AB23" i="9"/>
  <c r="Z23" i="9"/>
  <c r="U23" i="9"/>
  <c r="AG23" i="9"/>
  <c r="AH23" i="9"/>
  <c r="AD22" i="9"/>
  <c r="AB22" i="9"/>
  <c r="Z22" i="9"/>
  <c r="U22" i="9"/>
  <c r="AG22" i="9"/>
  <c r="AH22" i="9"/>
  <c r="X22" i="9"/>
  <c r="W22" i="9"/>
  <c r="AD21" i="9"/>
  <c r="AB21" i="9"/>
  <c r="Z21" i="9"/>
  <c r="U21" i="9"/>
  <c r="AG21" i="9"/>
  <c r="AH21" i="9"/>
  <c r="AD20" i="9"/>
  <c r="AB20" i="9"/>
  <c r="Z20" i="9"/>
  <c r="U20" i="9"/>
  <c r="AG20" i="9"/>
  <c r="AH20" i="9"/>
  <c r="AD19" i="9"/>
  <c r="AB19" i="9"/>
  <c r="Z19" i="9"/>
  <c r="U19" i="9"/>
  <c r="AG19" i="9"/>
  <c r="AH19" i="9"/>
  <c r="AD18" i="9"/>
  <c r="AB18" i="9"/>
  <c r="Z18" i="9"/>
  <c r="U18" i="9"/>
  <c r="AG18" i="9"/>
  <c r="AH18" i="9"/>
  <c r="AD17" i="9"/>
  <c r="AB17" i="9"/>
  <c r="Z17" i="9"/>
  <c r="U17" i="9"/>
  <c r="AG17" i="9"/>
  <c r="AH17" i="9"/>
  <c r="AD16" i="9"/>
  <c r="AB16" i="9"/>
  <c r="Z16" i="9"/>
  <c r="U16" i="9"/>
  <c r="AG16" i="9"/>
  <c r="AH16" i="9"/>
  <c r="AD15" i="9"/>
  <c r="AB15" i="9"/>
  <c r="Z15" i="9"/>
  <c r="U15" i="9"/>
  <c r="AG15" i="9"/>
  <c r="AH15" i="9"/>
  <c r="X15" i="9"/>
  <c r="W15" i="9"/>
  <c r="AD14" i="9"/>
  <c r="AB14" i="9"/>
  <c r="Z14" i="9"/>
  <c r="U14" i="9"/>
  <c r="AG14" i="9"/>
  <c r="AH14" i="9"/>
  <c r="X14" i="9"/>
  <c r="W14" i="9"/>
  <c r="AD13" i="9"/>
  <c r="AB13" i="9"/>
  <c r="Z13" i="9"/>
  <c r="U13" i="9"/>
  <c r="AG13" i="9"/>
  <c r="AH13" i="9"/>
  <c r="AD12" i="9"/>
  <c r="AB12" i="9"/>
  <c r="Z12" i="9"/>
  <c r="U12" i="9"/>
  <c r="AG12" i="9"/>
  <c r="AH12" i="9"/>
  <c r="AD11" i="9"/>
  <c r="AB11" i="9"/>
  <c r="Z11" i="9"/>
  <c r="U11" i="9"/>
  <c r="AG11" i="9"/>
  <c r="AH11" i="9"/>
  <c r="AD10" i="9"/>
  <c r="AB10" i="9"/>
  <c r="Z10" i="9"/>
  <c r="U10" i="9"/>
  <c r="AG10" i="9"/>
  <c r="AH10" i="9"/>
  <c r="AD9" i="9"/>
  <c r="AB9" i="9"/>
  <c r="Z9" i="9"/>
  <c r="U9" i="9"/>
  <c r="AG9" i="9"/>
  <c r="AH9" i="9"/>
  <c r="X9" i="9"/>
  <c r="W9" i="9"/>
  <c r="AD8" i="9"/>
  <c r="AB8" i="9"/>
  <c r="Z8" i="9"/>
  <c r="U8" i="9"/>
  <c r="AG8" i="9"/>
  <c r="AH8" i="9"/>
  <c r="AD7" i="9"/>
  <c r="AB7" i="9"/>
  <c r="Z7" i="9"/>
  <c r="U7" i="9"/>
  <c r="AG7" i="9"/>
  <c r="AH7" i="9"/>
  <c r="X7" i="9"/>
  <c r="W7" i="9"/>
  <c r="AD6" i="9"/>
  <c r="AB6" i="9"/>
  <c r="Z6" i="9"/>
  <c r="U6" i="9"/>
  <c r="AG6" i="9"/>
  <c r="AH6" i="9"/>
  <c r="AD5" i="9"/>
  <c r="AB5" i="9"/>
  <c r="Z5" i="9"/>
  <c r="U5" i="9"/>
  <c r="AG5" i="9"/>
  <c r="AH5" i="9"/>
  <c r="AD4" i="9"/>
  <c r="AB4" i="9"/>
  <c r="Z4" i="9"/>
  <c r="U4" i="9"/>
  <c r="AG4" i="9"/>
  <c r="AH4" i="9"/>
  <c r="AD3" i="9"/>
  <c r="AB3" i="9"/>
  <c r="Z3" i="9"/>
  <c r="U3" i="9"/>
  <c r="AG3" i="9"/>
  <c r="AH3" i="9"/>
  <c r="X3" i="9"/>
  <c r="W3" i="9"/>
  <c r="AD2" i="9"/>
  <c r="AB2" i="9"/>
  <c r="Z2" i="9"/>
  <c r="U2" i="9"/>
  <c r="AG2" i="9"/>
  <c r="AH2" i="9"/>
  <c r="W2" i="8"/>
  <c r="W3" i="8"/>
  <c r="W5" i="8"/>
  <c r="W6" i="8"/>
  <c r="W7" i="8"/>
  <c r="W8" i="8"/>
  <c r="W9" i="8"/>
  <c r="W10" i="8"/>
  <c r="W11" i="8"/>
  <c r="W12" i="8"/>
  <c r="W13" i="8"/>
  <c r="W14" i="8"/>
  <c r="W15" i="8"/>
  <c r="W16" i="8"/>
  <c r="W17" i="8"/>
  <c r="W18" i="8"/>
  <c r="W19" i="8"/>
  <c r="W20" i="8"/>
  <c r="W21" i="8"/>
  <c r="W22" i="8"/>
  <c r="W23" i="8"/>
  <c r="W24" i="8"/>
  <c r="W25" i="8"/>
  <c r="W27" i="8"/>
  <c r="W28" i="8"/>
  <c r="W29" i="8"/>
  <c r="W30" i="8"/>
  <c r="W31" i="8"/>
  <c r="W32" i="8"/>
  <c r="W33" i="8"/>
  <c r="W35" i="8"/>
  <c r="W36" i="8"/>
  <c r="V37" i="8"/>
  <c r="W37" i="8"/>
  <c r="W38" i="8"/>
  <c r="W39" i="8"/>
  <c r="W40" i="8"/>
  <c r="W41" i="8"/>
  <c r="W42" i="8"/>
  <c r="W43" i="8"/>
  <c r="W44" i="8"/>
  <c r="W45" i="8"/>
  <c r="W46" i="8"/>
  <c r="W47" i="8"/>
  <c r="W48" i="8"/>
  <c r="W49" i="8"/>
  <c r="W50" i="8"/>
  <c r="W51" i="8"/>
  <c r="W52" i="8"/>
  <c r="W53" i="8"/>
  <c r="W54" i="8"/>
  <c r="W55" i="8"/>
  <c r="W56" i="8"/>
  <c r="W57" i="8"/>
  <c r="W58" i="8"/>
  <c r="W59" i="8"/>
  <c r="W60" i="8"/>
  <c r="W61" i="8"/>
  <c r="W62" i="8"/>
  <c r="W63" i="8"/>
  <c r="W64" i="8"/>
  <c r="W65" i="8"/>
  <c r="T2" i="8"/>
  <c r="T3" i="8"/>
  <c r="T5" i="8"/>
  <c r="T6" i="8"/>
  <c r="T7" i="8"/>
  <c r="T8" i="8"/>
  <c r="T9" i="8"/>
  <c r="T10" i="8"/>
  <c r="T11" i="8"/>
  <c r="T12" i="8"/>
  <c r="T13" i="8"/>
  <c r="T14" i="8"/>
  <c r="T15" i="8"/>
  <c r="T16" i="8"/>
  <c r="T17" i="8"/>
  <c r="T18" i="8"/>
  <c r="T19" i="8"/>
  <c r="T20" i="8"/>
  <c r="T21" i="8"/>
  <c r="T22" i="8"/>
  <c r="T23" i="8"/>
  <c r="T24" i="8"/>
  <c r="T25" i="8"/>
  <c r="T27" i="8"/>
  <c r="T28" i="8"/>
  <c r="T29" i="8"/>
  <c r="T30" i="8"/>
  <c r="T31" i="8"/>
  <c r="T32" i="8"/>
  <c r="T33" i="8"/>
  <c r="T35" i="8"/>
  <c r="T36" i="8"/>
  <c r="S37" i="8"/>
  <c r="T37" i="8"/>
  <c r="T38" i="8"/>
  <c r="T39" i="8"/>
  <c r="T40" i="8"/>
  <c r="T41" i="8"/>
  <c r="T42" i="8"/>
  <c r="T43" i="8"/>
  <c r="T44" i="8"/>
  <c r="T45" i="8"/>
  <c r="T46" i="8"/>
  <c r="T47" i="8"/>
  <c r="T48" i="8"/>
  <c r="T49" i="8"/>
  <c r="T50" i="8"/>
  <c r="T51" i="8"/>
  <c r="T52" i="8"/>
  <c r="T53" i="8"/>
  <c r="T54" i="8"/>
  <c r="T55" i="8"/>
  <c r="T56" i="8"/>
  <c r="T57" i="8"/>
  <c r="T58" i="8"/>
  <c r="T59" i="8"/>
  <c r="T60" i="8"/>
  <c r="T61" i="8"/>
  <c r="T62" i="8"/>
  <c r="T63" i="8"/>
  <c r="T64" i="8"/>
  <c r="T65" i="8"/>
  <c r="J65" i="8"/>
  <c r="F65" i="8"/>
  <c r="X64" i="8"/>
  <c r="U64" i="8"/>
  <c r="M64" i="8"/>
  <c r="K64" i="8"/>
  <c r="Y64" i="8"/>
  <c r="X63" i="8"/>
  <c r="U63" i="8"/>
  <c r="M63" i="8"/>
  <c r="K63" i="8"/>
  <c r="Y63" i="8"/>
  <c r="X62" i="8"/>
  <c r="U62" i="8"/>
  <c r="M62" i="8"/>
  <c r="K62" i="8"/>
  <c r="Y62" i="8"/>
  <c r="X61" i="8"/>
  <c r="U61" i="8"/>
  <c r="M61" i="8"/>
  <c r="K61" i="8"/>
  <c r="Y61" i="8"/>
  <c r="X60" i="8"/>
  <c r="U60" i="8"/>
  <c r="M60" i="8"/>
  <c r="K60" i="8"/>
  <c r="Y60" i="8"/>
  <c r="X59" i="8"/>
  <c r="U59" i="8"/>
  <c r="M59" i="8"/>
  <c r="K59" i="8"/>
  <c r="Y59" i="8"/>
  <c r="X58" i="8"/>
  <c r="U58" i="8"/>
  <c r="M58" i="8"/>
  <c r="K58" i="8"/>
  <c r="Y58" i="8"/>
  <c r="X57" i="8"/>
  <c r="U57" i="8"/>
  <c r="M57" i="8"/>
  <c r="K57" i="8"/>
  <c r="Y57" i="8"/>
  <c r="X56" i="8"/>
  <c r="U56" i="8"/>
  <c r="M56" i="8"/>
  <c r="K56" i="8"/>
  <c r="Y56" i="8"/>
  <c r="X55" i="8"/>
  <c r="U55" i="8"/>
  <c r="M55" i="8"/>
  <c r="K55" i="8"/>
  <c r="Y55" i="8"/>
  <c r="X54" i="8"/>
  <c r="U54" i="8"/>
  <c r="M54" i="8"/>
  <c r="K54" i="8"/>
  <c r="Y54" i="8"/>
  <c r="X53" i="8"/>
  <c r="U53" i="8"/>
  <c r="M53" i="8"/>
  <c r="K53" i="8"/>
  <c r="Y53" i="8"/>
  <c r="X52" i="8"/>
  <c r="U52" i="8"/>
  <c r="M52" i="8"/>
  <c r="K52" i="8"/>
  <c r="Y52" i="8"/>
  <c r="X51" i="8"/>
  <c r="U51" i="8"/>
  <c r="M51" i="8"/>
  <c r="K51" i="8"/>
  <c r="Y51" i="8"/>
  <c r="X50" i="8"/>
  <c r="U50" i="8"/>
  <c r="M50" i="8"/>
  <c r="K50" i="8"/>
  <c r="Y50" i="8"/>
  <c r="X49" i="8"/>
  <c r="U49" i="8"/>
  <c r="M49" i="8"/>
  <c r="K49" i="8"/>
  <c r="Y49" i="8"/>
  <c r="X48" i="8"/>
  <c r="U48" i="8"/>
  <c r="M48" i="8"/>
  <c r="K48" i="8"/>
  <c r="Y48" i="8"/>
  <c r="X47" i="8"/>
  <c r="U47" i="8"/>
  <c r="M47" i="8"/>
  <c r="K47" i="8"/>
  <c r="Y47" i="8"/>
  <c r="X46" i="8"/>
  <c r="U46" i="8"/>
  <c r="M46" i="8"/>
  <c r="K46" i="8"/>
  <c r="Y46" i="8"/>
  <c r="X45" i="8"/>
  <c r="U45" i="8"/>
  <c r="M45" i="8"/>
  <c r="K45" i="8"/>
  <c r="Y45" i="8"/>
  <c r="X44" i="8"/>
  <c r="U44" i="8"/>
  <c r="M44" i="8"/>
  <c r="K44" i="8"/>
  <c r="Y44" i="8"/>
  <c r="X43" i="8"/>
  <c r="U43" i="8"/>
  <c r="M43" i="8"/>
  <c r="K43" i="8"/>
  <c r="Y43" i="8"/>
  <c r="X42" i="8"/>
  <c r="U42" i="8"/>
  <c r="M42" i="8"/>
  <c r="K42" i="8"/>
  <c r="Y42" i="8"/>
  <c r="X41" i="8"/>
  <c r="U41" i="8"/>
  <c r="M41" i="8"/>
  <c r="K41" i="8"/>
  <c r="Y41" i="8"/>
  <c r="X40" i="8"/>
  <c r="U40" i="8"/>
  <c r="M40" i="8"/>
  <c r="K40" i="8"/>
  <c r="Y40" i="8"/>
  <c r="X39" i="8"/>
  <c r="U39" i="8"/>
  <c r="M39" i="8"/>
  <c r="K39" i="8"/>
  <c r="Y39" i="8"/>
  <c r="X38" i="8"/>
  <c r="U38" i="8"/>
  <c r="M38" i="8"/>
  <c r="K38" i="8"/>
  <c r="Y38" i="8"/>
  <c r="X37" i="8"/>
  <c r="U37" i="8"/>
  <c r="M37" i="8"/>
  <c r="K37" i="8"/>
  <c r="Y37" i="8"/>
  <c r="X36" i="8"/>
  <c r="U36" i="8"/>
  <c r="M36" i="8"/>
  <c r="K36" i="8"/>
  <c r="Y36" i="8"/>
  <c r="X35" i="8"/>
  <c r="U35" i="8"/>
  <c r="M35" i="8"/>
  <c r="K35" i="8"/>
  <c r="Y35" i="8"/>
  <c r="X34" i="8"/>
  <c r="U34" i="8"/>
  <c r="M34" i="8"/>
  <c r="K34" i="8"/>
  <c r="Y34" i="8"/>
  <c r="X33" i="8"/>
  <c r="U33" i="8"/>
  <c r="M33" i="8"/>
  <c r="K33" i="8"/>
  <c r="Y33" i="8"/>
  <c r="X32" i="8"/>
  <c r="U32" i="8"/>
  <c r="M32" i="8"/>
  <c r="K32" i="8"/>
  <c r="Y32" i="8"/>
  <c r="X31" i="8"/>
  <c r="U31" i="8"/>
  <c r="M31" i="8"/>
  <c r="K31" i="8"/>
  <c r="Y31" i="8"/>
  <c r="X30" i="8"/>
  <c r="U30" i="8"/>
  <c r="M30" i="8"/>
  <c r="K30" i="8"/>
  <c r="Y30" i="8"/>
  <c r="X29" i="8"/>
  <c r="U29" i="8"/>
  <c r="M29" i="8"/>
  <c r="K29" i="8"/>
  <c r="Y29" i="8"/>
  <c r="X28" i="8"/>
  <c r="U28" i="8"/>
  <c r="M28" i="8"/>
  <c r="K28" i="8"/>
  <c r="Y28" i="8"/>
  <c r="X27" i="8"/>
  <c r="U27" i="8"/>
  <c r="M27" i="8"/>
  <c r="K27" i="8"/>
  <c r="Y27" i="8"/>
  <c r="X26" i="8"/>
  <c r="U26" i="8"/>
  <c r="M26" i="8"/>
  <c r="K26" i="8"/>
  <c r="Y26" i="8"/>
  <c r="X25" i="8"/>
  <c r="U25" i="8"/>
  <c r="M25" i="8"/>
  <c r="K25" i="8"/>
  <c r="Y25" i="8"/>
  <c r="X24" i="8"/>
  <c r="U24" i="8"/>
  <c r="M24" i="8"/>
  <c r="K24" i="8"/>
  <c r="Y24" i="8"/>
  <c r="X23" i="8"/>
  <c r="U23" i="8"/>
  <c r="M23" i="8"/>
  <c r="K23" i="8"/>
  <c r="Y23" i="8"/>
  <c r="X22" i="8"/>
  <c r="U22" i="8"/>
  <c r="M22" i="8"/>
  <c r="K22" i="8"/>
  <c r="Y22" i="8"/>
  <c r="X21" i="8"/>
  <c r="U21" i="8"/>
  <c r="M21" i="8"/>
  <c r="K21" i="8"/>
  <c r="Y21" i="8"/>
  <c r="X20" i="8"/>
  <c r="U20" i="8"/>
  <c r="M20" i="8"/>
  <c r="K20" i="8"/>
  <c r="Y20" i="8"/>
  <c r="X19" i="8"/>
  <c r="U19" i="8"/>
  <c r="M19" i="8"/>
  <c r="K19" i="8"/>
  <c r="Y19" i="8"/>
  <c r="X18" i="8"/>
  <c r="U18" i="8"/>
  <c r="M18" i="8"/>
  <c r="K18" i="8"/>
  <c r="Y18" i="8"/>
  <c r="X17" i="8"/>
  <c r="U17" i="8"/>
  <c r="M17" i="8"/>
  <c r="K17" i="8"/>
  <c r="Y17" i="8"/>
  <c r="X16" i="8"/>
  <c r="U16" i="8"/>
  <c r="M16" i="8"/>
  <c r="K16" i="8"/>
  <c r="Y16" i="8"/>
  <c r="X15" i="8"/>
  <c r="U15" i="8"/>
  <c r="M15" i="8"/>
  <c r="K15" i="8"/>
  <c r="Y15" i="8"/>
  <c r="X14" i="8"/>
  <c r="U14" i="8"/>
  <c r="M14" i="8"/>
  <c r="K14" i="8"/>
  <c r="Y14" i="8"/>
  <c r="X13" i="8"/>
  <c r="U13" i="8"/>
  <c r="M13" i="8"/>
  <c r="K13" i="8"/>
  <c r="Y13" i="8"/>
  <c r="X12" i="8"/>
  <c r="U12" i="8"/>
  <c r="M12" i="8"/>
  <c r="K12" i="8"/>
  <c r="Y12" i="8"/>
  <c r="X11" i="8"/>
  <c r="U11" i="8"/>
  <c r="M11" i="8"/>
  <c r="K11" i="8"/>
  <c r="Y11" i="8"/>
  <c r="X10" i="8"/>
  <c r="U10" i="8"/>
  <c r="M10" i="8"/>
  <c r="K10" i="8"/>
  <c r="Y10" i="8"/>
  <c r="X9" i="8"/>
  <c r="U9" i="8"/>
  <c r="M9" i="8"/>
  <c r="K9" i="8"/>
  <c r="Y9" i="8"/>
  <c r="X8" i="8"/>
  <c r="U8" i="8"/>
  <c r="M8" i="8"/>
  <c r="K8" i="8"/>
  <c r="Y8" i="8"/>
  <c r="X7" i="8"/>
  <c r="U7" i="8"/>
  <c r="M7" i="8"/>
  <c r="K7" i="8"/>
  <c r="Y7" i="8"/>
  <c r="X6" i="8"/>
  <c r="U6" i="8"/>
  <c r="M6" i="8"/>
  <c r="K6" i="8"/>
  <c r="Y6" i="8"/>
  <c r="X5" i="8"/>
  <c r="U5" i="8"/>
  <c r="M5" i="8"/>
  <c r="K5" i="8"/>
  <c r="Y5" i="8"/>
  <c r="X4" i="8"/>
  <c r="U4" i="8"/>
  <c r="M4" i="8"/>
  <c r="K4" i="8"/>
  <c r="Y4" i="8"/>
  <c r="X3" i="8"/>
  <c r="U3" i="8"/>
  <c r="M3" i="8"/>
  <c r="K3" i="8"/>
  <c r="Y3" i="8"/>
  <c r="X2" i="8"/>
  <c r="U2" i="8"/>
  <c r="M2" i="8"/>
  <c r="K2" i="8"/>
  <c r="Y2" i="8"/>
  <c r="S68" i="7"/>
  <c r="S72" i="7"/>
  <c r="S69" i="7"/>
  <c r="S66" i="7"/>
  <c r="S71" i="7"/>
  <c r="S70" i="7"/>
  <c r="S67" i="7"/>
  <c r="AS66" i="7"/>
  <c r="AT65" i="7"/>
  <c r="AU65" i="7"/>
  <c r="AB65" i="7"/>
  <c r="AB2" i="7"/>
  <c r="AB3" i="7"/>
  <c r="AB4" i="7"/>
  <c r="AB5" i="7"/>
  <c r="AB6" i="7"/>
  <c r="AB7" i="7"/>
  <c r="AB8" i="7"/>
  <c r="AB9" i="7"/>
  <c r="AB10" i="7"/>
  <c r="AB11" i="7"/>
  <c r="AB12" i="7"/>
  <c r="AB13" i="7"/>
  <c r="AB14" i="7"/>
  <c r="AB15" i="7"/>
  <c r="AB16" i="7"/>
  <c r="AB17" i="7"/>
  <c r="AB18" i="7"/>
  <c r="AB19" i="7"/>
  <c r="AB20" i="7"/>
  <c r="AB21" i="7"/>
  <c r="AB22" i="7"/>
  <c r="AB23" i="7"/>
  <c r="AB24" i="7"/>
  <c r="AB25" i="7"/>
  <c r="AB26" i="7"/>
  <c r="AB27" i="7"/>
  <c r="AB28" i="7"/>
  <c r="AB29" i="7"/>
  <c r="AB30" i="7"/>
  <c r="AB31" i="7"/>
  <c r="AB32" i="7"/>
  <c r="AB33" i="7"/>
  <c r="AB34" i="7"/>
  <c r="AB35" i="7"/>
  <c r="AB36" i="7"/>
  <c r="AB37" i="7"/>
  <c r="AB38" i="7"/>
  <c r="AB39" i="7"/>
  <c r="AB40" i="7"/>
  <c r="AB41" i="7"/>
  <c r="AB42" i="7"/>
  <c r="AB43" i="7"/>
  <c r="AB44" i="7"/>
  <c r="AB45" i="7"/>
  <c r="AB46" i="7"/>
  <c r="AB47" i="7"/>
  <c r="AB48" i="7"/>
  <c r="AB49" i="7"/>
  <c r="AB50" i="7"/>
  <c r="AB51" i="7"/>
  <c r="AB52" i="7"/>
  <c r="AB53" i="7"/>
  <c r="AB54" i="7"/>
  <c r="AB55" i="7"/>
  <c r="AB57" i="7"/>
  <c r="AB58" i="7"/>
  <c r="AB59" i="7"/>
  <c r="AB60" i="7"/>
  <c r="AB61" i="7"/>
  <c r="AB62" i="7"/>
  <c r="AB63" i="7"/>
  <c r="AB64" i="7"/>
  <c r="AC65" i="7"/>
  <c r="Z65" i="7"/>
  <c r="Z2" i="7"/>
  <c r="Z3" i="7"/>
  <c r="Z4" i="7"/>
  <c r="Z5" i="7"/>
  <c r="Z6" i="7"/>
  <c r="Z7" i="7"/>
  <c r="Z8" i="7"/>
  <c r="Z9" i="7"/>
  <c r="Z10" i="7"/>
  <c r="Z11" i="7"/>
  <c r="Z12" i="7"/>
  <c r="Z13" i="7"/>
  <c r="Z14" i="7"/>
  <c r="Z15" i="7"/>
  <c r="Z16" i="7"/>
  <c r="Z17" i="7"/>
  <c r="Z18" i="7"/>
  <c r="Z19" i="7"/>
  <c r="Z20" i="7"/>
  <c r="Z21" i="7"/>
  <c r="Z22" i="7"/>
  <c r="Z23" i="7"/>
  <c r="Z24" i="7"/>
  <c r="Z25" i="7"/>
  <c r="Z26" i="7"/>
  <c r="Z27" i="7"/>
  <c r="Z28" i="7"/>
  <c r="Z29" i="7"/>
  <c r="Z30" i="7"/>
  <c r="Z31" i="7"/>
  <c r="Z32" i="7"/>
  <c r="Z33" i="7"/>
  <c r="Z34" i="7"/>
  <c r="Z35" i="7"/>
  <c r="Z36" i="7"/>
  <c r="Z37" i="7"/>
  <c r="Z38" i="7"/>
  <c r="Z39" i="7"/>
  <c r="Z40" i="7"/>
  <c r="Z41" i="7"/>
  <c r="Z42" i="7"/>
  <c r="Z43" i="7"/>
  <c r="Z44" i="7"/>
  <c r="Z45" i="7"/>
  <c r="Z46" i="7"/>
  <c r="Z47" i="7"/>
  <c r="Z48" i="7"/>
  <c r="Z49" i="7"/>
  <c r="Z50" i="7"/>
  <c r="Z51" i="7"/>
  <c r="Z52" i="7"/>
  <c r="Z53" i="7"/>
  <c r="Z54" i="7"/>
  <c r="Z55" i="7"/>
  <c r="Z56" i="7"/>
  <c r="Z57" i="7"/>
  <c r="Z58" i="7"/>
  <c r="Z59" i="7"/>
  <c r="Z60" i="7"/>
  <c r="Z61" i="7"/>
  <c r="Z62" i="7"/>
  <c r="Z63" i="7"/>
  <c r="Z64" i="7"/>
  <c r="AA65" i="7"/>
  <c r="W65" i="7"/>
  <c r="T65" i="7"/>
  <c r="R65" i="7"/>
  <c r="AD65" i="7"/>
  <c r="AV65" i="7"/>
  <c r="Y65" i="7"/>
  <c r="AT64" i="7"/>
  <c r="AU64" i="7"/>
  <c r="AC64" i="7"/>
  <c r="AA64" i="7"/>
  <c r="W64" i="7"/>
  <c r="T64" i="7"/>
  <c r="R64" i="7"/>
  <c r="AD64" i="7"/>
  <c r="AV64" i="7"/>
  <c r="AT63" i="7"/>
  <c r="AU63" i="7"/>
  <c r="AC63" i="7"/>
  <c r="AA63" i="7"/>
  <c r="W63" i="7"/>
  <c r="T63" i="7"/>
  <c r="R63" i="7"/>
  <c r="AD63" i="7"/>
  <c r="AV63" i="7"/>
  <c r="AT62" i="7"/>
  <c r="AU62" i="7"/>
  <c r="AC62" i="7"/>
  <c r="AA62" i="7"/>
  <c r="W62" i="7"/>
  <c r="T62" i="7"/>
  <c r="R62" i="7"/>
  <c r="AD62" i="7"/>
  <c r="AV62" i="7"/>
  <c r="AT61" i="7"/>
  <c r="AU61" i="7"/>
  <c r="AC61" i="7"/>
  <c r="AA61" i="7"/>
  <c r="W61" i="7"/>
  <c r="T61" i="7"/>
  <c r="R61" i="7"/>
  <c r="AD61" i="7"/>
  <c r="AV61" i="7"/>
  <c r="AT60" i="7"/>
  <c r="AU60" i="7"/>
  <c r="AC60" i="7"/>
  <c r="AA60" i="7"/>
  <c r="W60" i="7"/>
  <c r="T60" i="7"/>
  <c r="R60" i="7"/>
  <c r="AD60" i="7"/>
  <c r="AV60" i="7"/>
  <c r="AT59" i="7"/>
  <c r="AU59" i="7"/>
  <c r="AC59" i="7"/>
  <c r="AA59" i="7"/>
  <c r="W59" i="7"/>
  <c r="T59" i="7"/>
  <c r="R59" i="7"/>
  <c r="AD59" i="7"/>
  <c r="AV59" i="7"/>
  <c r="AT58" i="7"/>
  <c r="AU58" i="7"/>
  <c r="AC58" i="7"/>
  <c r="AA58" i="7"/>
  <c r="W58" i="7"/>
  <c r="T58" i="7"/>
  <c r="R58" i="7"/>
  <c r="AD58" i="7"/>
  <c r="AV58" i="7"/>
  <c r="AT57" i="7"/>
  <c r="AU57" i="7"/>
  <c r="AC57" i="7"/>
  <c r="AA57" i="7"/>
  <c r="W57" i="7"/>
  <c r="T57" i="7"/>
  <c r="R57" i="7"/>
  <c r="AD57" i="7"/>
  <c r="AV57" i="7"/>
  <c r="AT56" i="7"/>
  <c r="AU56" i="7"/>
  <c r="AC56" i="7"/>
  <c r="AA56" i="7"/>
  <c r="W56" i="7"/>
  <c r="T56" i="7"/>
  <c r="R56" i="7"/>
  <c r="AD56" i="7"/>
  <c r="AV56" i="7"/>
  <c r="AT55" i="7"/>
  <c r="AU55" i="7"/>
  <c r="AC55" i="7"/>
  <c r="AA55" i="7"/>
  <c r="W55" i="7"/>
  <c r="T55" i="7"/>
  <c r="R55" i="7"/>
  <c r="AD55" i="7"/>
  <c r="AV55" i="7"/>
  <c r="AT54" i="7"/>
  <c r="AU54" i="7"/>
  <c r="AC54" i="7"/>
  <c r="AA54" i="7"/>
  <c r="W54" i="7"/>
  <c r="T54" i="7"/>
  <c r="R54" i="7"/>
  <c r="AD54" i="7"/>
  <c r="AV54" i="7"/>
  <c r="AT53" i="7"/>
  <c r="AU53" i="7"/>
  <c r="AC53" i="7"/>
  <c r="AA53" i="7"/>
  <c r="W53" i="7"/>
  <c r="T53" i="7"/>
  <c r="R53" i="7"/>
  <c r="AD53" i="7"/>
  <c r="AV53" i="7"/>
  <c r="AT52" i="7"/>
  <c r="AU52" i="7"/>
  <c r="AC52" i="7"/>
  <c r="AA52" i="7"/>
  <c r="W52" i="7"/>
  <c r="T52" i="7"/>
  <c r="R52" i="7"/>
  <c r="AD52" i="7"/>
  <c r="AV52" i="7"/>
  <c r="AT51" i="7"/>
  <c r="AU51" i="7"/>
  <c r="AC51" i="7"/>
  <c r="AA51" i="7"/>
  <c r="W51" i="7"/>
  <c r="T51" i="7"/>
  <c r="R51" i="7"/>
  <c r="AD51" i="7"/>
  <c r="AV51" i="7"/>
  <c r="AT50" i="7"/>
  <c r="AU50" i="7"/>
  <c r="AC50" i="7"/>
  <c r="AA50" i="7"/>
  <c r="W50" i="7"/>
  <c r="T50" i="7"/>
  <c r="R50" i="7"/>
  <c r="AD50" i="7"/>
  <c r="AV50" i="7"/>
  <c r="AT49" i="7"/>
  <c r="AU49" i="7"/>
  <c r="AC49" i="7"/>
  <c r="AA49" i="7"/>
  <c r="W49" i="7"/>
  <c r="T49" i="7"/>
  <c r="R49" i="7"/>
  <c r="AD49" i="7"/>
  <c r="AV49" i="7"/>
  <c r="AT48" i="7"/>
  <c r="AU48" i="7"/>
  <c r="AC48" i="7"/>
  <c r="AA48" i="7"/>
  <c r="W48" i="7"/>
  <c r="T48" i="7"/>
  <c r="R48" i="7"/>
  <c r="AD48" i="7"/>
  <c r="AV48" i="7"/>
  <c r="AT47" i="7"/>
  <c r="AU47" i="7"/>
  <c r="AC47" i="7"/>
  <c r="AA47" i="7"/>
  <c r="W47" i="7"/>
  <c r="T47" i="7"/>
  <c r="R47" i="7"/>
  <c r="AD47" i="7"/>
  <c r="AV47" i="7"/>
  <c r="AT46" i="7"/>
  <c r="AU46" i="7"/>
  <c r="AC46" i="7"/>
  <c r="AA46" i="7"/>
  <c r="W46" i="7"/>
  <c r="T46" i="7"/>
  <c r="R46" i="7"/>
  <c r="AD46" i="7"/>
  <c r="AV46" i="7"/>
  <c r="AT45" i="7"/>
  <c r="AU45" i="7"/>
  <c r="AC45" i="7"/>
  <c r="AA45" i="7"/>
  <c r="W45" i="7"/>
  <c r="T45" i="7"/>
  <c r="R45" i="7"/>
  <c r="AD45" i="7"/>
  <c r="AV45" i="7"/>
  <c r="AT44" i="7"/>
  <c r="AU44" i="7"/>
  <c r="AC44" i="7"/>
  <c r="AA44" i="7"/>
  <c r="W44" i="7"/>
  <c r="T44" i="7"/>
  <c r="R44" i="7"/>
  <c r="AD44" i="7"/>
  <c r="AV44" i="7"/>
  <c r="AT43" i="7"/>
  <c r="AU43" i="7"/>
  <c r="AC43" i="7"/>
  <c r="AA43" i="7"/>
  <c r="W43" i="7"/>
  <c r="T43" i="7"/>
  <c r="R43" i="7"/>
  <c r="AD43" i="7"/>
  <c r="AV43" i="7"/>
  <c r="AT42" i="7"/>
  <c r="AU42" i="7"/>
  <c r="AC42" i="7"/>
  <c r="AA42" i="7"/>
  <c r="W42" i="7"/>
  <c r="T42" i="7"/>
  <c r="R42" i="7"/>
  <c r="AD42" i="7"/>
  <c r="AV42" i="7"/>
  <c r="AT41" i="7"/>
  <c r="AU41" i="7"/>
  <c r="AC41" i="7"/>
  <c r="AA41" i="7"/>
  <c r="W41" i="7"/>
  <c r="T41" i="7"/>
  <c r="R41" i="7"/>
  <c r="AD41" i="7"/>
  <c r="AV41" i="7"/>
  <c r="AT40" i="7"/>
  <c r="AU40" i="7"/>
  <c r="AC40" i="7"/>
  <c r="AA40" i="7"/>
  <c r="W40" i="7"/>
  <c r="T40" i="7"/>
  <c r="R40" i="7"/>
  <c r="AD40" i="7"/>
  <c r="AV40" i="7"/>
  <c r="AT39" i="7"/>
  <c r="AU39" i="7"/>
  <c r="AC39" i="7"/>
  <c r="AA39" i="7"/>
  <c r="W39" i="7"/>
  <c r="T39" i="7"/>
  <c r="R39" i="7"/>
  <c r="AD39" i="7"/>
  <c r="AV39" i="7"/>
  <c r="AT38" i="7"/>
  <c r="AU38" i="7"/>
  <c r="AC38" i="7"/>
  <c r="AA38" i="7"/>
  <c r="W38" i="7"/>
  <c r="T38" i="7"/>
  <c r="R38" i="7"/>
  <c r="AD38" i="7"/>
  <c r="AV38" i="7"/>
  <c r="AT37" i="7"/>
  <c r="AU37" i="7"/>
  <c r="AC37" i="7"/>
  <c r="AA37" i="7"/>
  <c r="W37" i="7"/>
  <c r="T37" i="7"/>
  <c r="R37" i="7"/>
  <c r="AD37" i="7"/>
  <c r="AV37" i="7"/>
  <c r="AT36" i="7"/>
  <c r="AU36" i="7"/>
  <c r="AC36" i="7"/>
  <c r="AA36" i="7"/>
  <c r="W36" i="7"/>
  <c r="T36" i="7"/>
  <c r="R36" i="7"/>
  <c r="AD36" i="7"/>
  <c r="AV36" i="7"/>
  <c r="AT35" i="7"/>
  <c r="AU35" i="7"/>
  <c r="AC35" i="7"/>
  <c r="AA35" i="7"/>
  <c r="W35" i="7"/>
  <c r="T35" i="7"/>
  <c r="R35" i="7"/>
  <c r="AD35" i="7"/>
  <c r="AV35" i="7"/>
  <c r="AT34" i="7"/>
  <c r="AU34" i="7"/>
  <c r="AC34" i="7"/>
  <c r="AA34" i="7"/>
  <c r="W34" i="7"/>
  <c r="T34" i="7"/>
  <c r="R34" i="7"/>
  <c r="AD34" i="7"/>
  <c r="AV34" i="7"/>
  <c r="AT33" i="7"/>
  <c r="AU33" i="7"/>
  <c r="AC33" i="7"/>
  <c r="AA33" i="7"/>
  <c r="W33" i="7"/>
  <c r="T33" i="7"/>
  <c r="R33" i="7"/>
  <c r="AD33" i="7"/>
  <c r="AV33" i="7"/>
  <c r="AT32" i="7"/>
  <c r="AU32" i="7"/>
  <c r="AC32" i="7"/>
  <c r="AA32" i="7"/>
  <c r="W32" i="7"/>
  <c r="T32" i="7"/>
  <c r="R32" i="7"/>
  <c r="AD32" i="7"/>
  <c r="AV32" i="7"/>
  <c r="AT31" i="7"/>
  <c r="AU31" i="7"/>
  <c r="AC31" i="7"/>
  <c r="AA31" i="7"/>
  <c r="W31" i="7"/>
  <c r="T31" i="7"/>
  <c r="R31" i="7"/>
  <c r="AD31" i="7"/>
  <c r="AV31" i="7"/>
  <c r="AT30" i="7"/>
  <c r="AU30" i="7"/>
  <c r="AC30" i="7"/>
  <c r="AA30" i="7"/>
  <c r="W30" i="7"/>
  <c r="T30" i="7"/>
  <c r="R30" i="7"/>
  <c r="AD30" i="7"/>
  <c r="AV30" i="7"/>
  <c r="AT29" i="7"/>
  <c r="AU29" i="7"/>
  <c r="AC29" i="7"/>
  <c r="AA29" i="7"/>
  <c r="W29" i="7"/>
  <c r="T29" i="7"/>
  <c r="R29" i="7"/>
  <c r="AD29" i="7"/>
  <c r="AV29" i="7"/>
  <c r="AT28" i="7"/>
  <c r="AU28" i="7"/>
  <c r="AC28" i="7"/>
  <c r="AA28" i="7"/>
  <c r="W28" i="7"/>
  <c r="T28" i="7"/>
  <c r="R28" i="7"/>
  <c r="AD28" i="7"/>
  <c r="AV28" i="7"/>
  <c r="AT27" i="7"/>
  <c r="AU27" i="7"/>
  <c r="AC27" i="7"/>
  <c r="AA27" i="7"/>
  <c r="W27" i="7"/>
  <c r="T27" i="7"/>
  <c r="R27" i="7"/>
  <c r="AD27" i="7"/>
  <c r="AV27" i="7"/>
  <c r="AT26" i="7"/>
  <c r="AU26" i="7"/>
  <c r="AC26" i="7"/>
  <c r="AA26" i="7"/>
  <c r="W26" i="7"/>
  <c r="T26" i="7"/>
  <c r="R26" i="7"/>
  <c r="AD26" i="7"/>
  <c r="AV26" i="7"/>
  <c r="AT25" i="7"/>
  <c r="AU25" i="7"/>
  <c r="AC25" i="7"/>
  <c r="AA25" i="7"/>
  <c r="W25" i="7"/>
  <c r="T25" i="7"/>
  <c r="R25" i="7"/>
  <c r="AD25" i="7"/>
  <c r="AV25" i="7"/>
  <c r="AT24" i="7"/>
  <c r="AU24" i="7"/>
  <c r="AC24" i="7"/>
  <c r="AA24" i="7"/>
  <c r="W24" i="7"/>
  <c r="T24" i="7"/>
  <c r="R24" i="7"/>
  <c r="AD24" i="7"/>
  <c r="AV24" i="7"/>
  <c r="AT23" i="7"/>
  <c r="AU23" i="7"/>
  <c r="AC23" i="7"/>
  <c r="AA23" i="7"/>
  <c r="W23" i="7"/>
  <c r="T23" i="7"/>
  <c r="R23" i="7"/>
  <c r="AD23" i="7"/>
  <c r="AV23" i="7"/>
  <c r="AT22" i="7"/>
  <c r="AU22" i="7"/>
  <c r="AC22" i="7"/>
  <c r="AA22" i="7"/>
  <c r="W22" i="7"/>
  <c r="T22" i="7"/>
  <c r="R22" i="7"/>
  <c r="AD22" i="7"/>
  <c r="AV22" i="7"/>
  <c r="AT21" i="7"/>
  <c r="AU21" i="7"/>
  <c r="AC21" i="7"/>
  <c r="AA21" i="7"/>
  <c r="W21" i="7"/>
  <c r="T21" i="7"/>
  <c r="R21" i="7"/>
  <c r="AD21" i="7"/>
  <c r="AV21" i="7"/>
  <c r="AT20" i="7"/>
  <c r="AU20" i="7"/>
  <c r="AC20" i="7"/>
  <c r="AA20" i="7"/>
  <c r="W20" i="7"/>
  <c r="T20" i="7"/>
  <c r="R20" i="7"/>
  <c r="AD20" i="7"/>
  <c r="AV20" i="7"/>
  <c r="AT19" i="7"/>
  <c r="AU19" i="7"/>
  <c r="AC19" i="7"/>
  <c r="AA19" i="7"/>
  <c r="W19" i="7"/>
  <c r="T19" i="7"/>
  <c r="R19" i="7"/>
  <c r="AD19" i="7"/>
  <c r="AV19" i="7"/>
  <c r="AT18" i="7"/>
  <c r="AU18" i="7"/>
  <c r="AC18" i="7"/>
  <c r="AA18" i="7"/>
  <c r="W18" i="7"/>
  <c r="T18" i="7"/>
  <c r="R18" i="7"/>
  <c r="AD18" i="7"/>
  <c r="AV18" i="7"/>
  <c r="AT17" i="7"/>
  <c r="AU17" i="7"/>
  <c r="AC17" i="7"/>
  <c r="AA17" i="7"/>
  <c r="W17" i="7"/>
  <c r="T17" i="7"/>
  <c r="R17" i="7"/>
  <c r="AD17" i="7"/>
  <c r="AV17" i="7"/>
  <c r="AT16" i="7"/>
  <c r="AU16" i="7"/>
  <c r="AC16" i="7"/>
  <c r="AA16" i="7"/>
  <c r="W16" i="7"/>
  <c r="T16" i="7"/>
  <c r="R16" i="7"/>
  <c r="AD16" i="7"/>
  <c r="AV16" i="7"/>
  <c r="AT15" i="7"/>
  <c r="AU15" i="7"/>
  <c r="AC15" i="7"/>
  <c r="AA15" i="7"/>
  <c r="W15" i="7"/>
  <c r="T15" i="7"/>
  <c r="R15" i="7"/>
  <c r="AD15" i="7"/>
  <c r="AV15" i="7"/>
  <c r="AT14" i="7"/>
  <c r="AU14" i="7"/>
  <c r="AC14" i="7"/>
  <c r="AA14" i="7"/>
  <c r="W14" i="7"/>
  <c r="T14" i="7"/>
  <c r="R14" i="7"/>
  <c r="AD14" i="7"/>
  <c r="AV14" i="7"/>
  <c r="AT13" i="7"/>
  <c r="AU13" i="7"/>
  <c r="AC13" i="7"/>
  <c r="AA13" i="7"/>
  <c r="W13" i="7"/>
  <c r="T13" i="7"/>
  <c r="R13" i="7"/>
  <c r="AD13" i="7"/>
  <c r="AV13" i="7"/>
  <c r="AT12" i="7"/>
  <c r="AU12" i="7"/>
  <c r="AC12" i="7"/>
  <c r="AA12" i="7"/>
  <c r="W12" i="7"/>
  <c r="T12" i="7"/>
  <c r="R12" i="7"/>
  <c r="AD12" i="7"/>
  <c r="AV12" i="7"/>
  <c r="AT11" i="7"/>
  <c r="AU11" i="7"/>
  <c r="AC11" i="7"/>
  <c r="AA11" i="7"/>
  <c r="W11" i="7"/>
  <c r="T11" i="7"/>
  <c r="R11" i="7"/>
  <c r="AD11" i="7"/>
  <c r="AV11" i="7"/>
  <c r="AT10" i="7"/>
  <c r="AU10" i="7"/>
  <c r="AC10" i="7"/>
  <c r="AA10" i="7"/>
  <c r="W10" i="7"/>
  <c r="T10" i="7"/>
  <c r="R10" i="7"/>
  <c r="AD10" i="7"/>
  <c r="AV10" i="7"/>
  <c r="AT9" i="7"/>
  <c r="AU9" i="7"/>
  <c r="AC9" i="7"/>
  <c r="AA9" i="7"/>
  <c r="W9" i="7"/>
  <c r="T9" i="7"/>
  <c r="R9" i="7"/>
  <c r="AD9" i="7"/>
  <c r="AV9" i="7"/>
  <c r="AT8" i="7"/>
  <c r="AU8" i="7"/>
  <c r="AC8" i="7"/>
  <c r="AA8" i="7"/>
  <c r="W8" i="7"/>
  <c r="T8" i="7"/>
  <c r="R8" i="7"/>
  <c r="AD8" i="7"/>
  <c r="AV8" i="7"/>
  <c r="AT7" i="7"/>
  <c r="AU7" i="7"/>
  <c r="AC7" i="7"/>
  <c r="AA7" i="7"/>
  <c r="W7" i="7"/>
  <c r="T7" i="7"/>
  <c r="R7" i="7"/>
  <c r="AD7" i="7"/>
  <c r="AV7" i="7"/>
  <c r="AT6" i="7"/>
  <c r="AU6" i="7"/>
  <c r="AC6" i="7"/>
  <c r="AA6" i="7"/>
  <c r="W6" i="7"/>
  <c r="T6" i="7"/>
  <c r="R6" i="7"/>
  <c r="AD6" i="7"/>
  <c r="AV6" i="7"/>
  <c r="AT5" i="7"/>
  <c r="AU5" i="7"/>
  <c r="AC5" i="7"/>
  <c r="AA5" i="7"/>
  <c r="W5" i="7"/>
  <c r="T5" i="7"/>
  <c r="R5" i="7"/>
  <c r="AD5" i="7"/>
  <c r="AV5" i="7"/>
  <c r="AT4" i="7"/>
  <c r="AU4" i="7"/>
  <c r="AC4" i="7"/>
  <c r="AA4" i="7"/>
  <c r="W4" i="7"/>
  <c r="T4" i="7"/>
  <c r="R4" i="7"/>
  <c r="AD4" i="7"/>
  <c r="AV4" i="7"/>
  <c r="AT3" i="7"/>
  <c r="AU3" i="7"/>
  <c r="AC3" i="7"/>
  <c r="AA3" i="7"/>
  <c r="W3" i="7"/>
  <c r="T3" i="7"/>
  <c r="R3" i="7"/>
  <c r="AD3" i="7"/>
  <c r="AV3" i="7"/>
  <c r="AX2" i="7"/>
  <c r="AT2" i="7"/>
  <c r="AU2" i="7"/>
  <c r="AC2" i="7"/>
  <c r="AA2" i="7"/>
  <c r="W2" i="7"/>
  <c r="T2" i="7"/>
  <c r="R2" i="7"/>
  <c r="AD2" i="7"/>
  <c r="AV2" i="7"/>
  <c r="AU2" i="6"/>
  <c r="AV2" i="6"/>
  <c r="AY2" i="6"/>
  <c r="AU3" i="6"/>
  <c r="AV3" i="6"/>
  <c r="AY3" i="6"/>
  <c r="AU4" i="6"/>
  <c r="AV4" i="6"/>
  <c r="AY4" i="6"/>
  <c r="AU5" i="6"/>
  <c r="AV5" i="6"/>
  <c r="AY5" i="6"/>
  <c r="AU6" i="6"/>
  <c r="AV6" i="6"/>
  <c r="AY6" i="6"/>
  <c r="AU7" i="6"/>
  <c r="AV7" i="6"/>
  <c r="AY7" i="6"/>
  <c r="AU8" i="6"/>
  <c r="AV8" i="6"/>
  <c r="AY8" i="6"/>
  <c r="AU9" i="6"/>
  <c r="AV9" i="6"/>
  <c r="AY9" i="6"/>
  <c r="AU10" i="6"/>
  <c r="AV10" i="6"/>
  <c r="AY10" i="6"/>
  <c r="AU11" i="6"/>
  <c r="AV11" i="6"/>
  <c r="AY11" i="6"/>
  <c r="AU12" i="6"/>
  <c r="AV12" i="6"/>
  <c r="AY12" i="6"/>
  <c r="AU13" i="6"/>
  <c r="AV13" i="6"/>
  <c r="AY13" i="6"/>
  <c r="AU14" i="6"/>
  <c r="AV14" i="6"/>
  <c r="AY14" i="6"/>
  <c r="AU15" i="6"/>
  <c r="AV15" i="6"/>
  <c r="AY15" i="6"/>
  <c r="AU16" i="6"/>
  <c r="AV16" i="6"/>
  <c r="AY16" i="6"/>
  <c r="AU17" i="6"/>
  <c r="AV17" i="6"/>
  <c r="AY17" i="6"/>
  <c r="AU18" i="6"/>
  <c r="AV18" i="6"/>
  <c r="AY18" i="6"/>
  <c r="AU19" i="6"/>
  <c r="AV19" i="6"/>
  <c r="AY19" i="6"/>
  <c r="AU20" i="6"/>
  <c r="AV20" i="6"/>
  <c r="AY20" i="6"/>
  <c r="AU21" i="6"/>
  <c r="AV21" i="6"/>
  <c r="AY21" i="6"/>
  <c r="AU22" i="6"/>
  <c r="AV22" i="6"/>
  <c r="AY22" i="6"/>
  <c r="AU23" i="6"/>
  <c r="AV23" i="6"/>
  <c r="AY23" i="6"/>
  <c r="AU24" i="6"/>
  <c r="AV24" i="6"/>
  <c r="AY24" i="6"/>
  <c r="AU25" i="6"/>
  <c r="AV25" i="6"/>
  <c r="AY25" i="6"/>
  <c r="AU27" i="6"/>
  <c r="AV27" i="6"/>
  <c r="AY27" i="6"/>
  <c r="AU28" i="6"/>
  <c r="AV28" i="6"/>
  <c r="AY28" i="6"/>
  <c r="AU29" i="6"/>
  <c r="AV29" i="6"/>
  <c r="AY29" i="6"/>
  <c r="AU30" i="6"/>
  <c r="AV30" i="6"/>
  <c r="AY30" i="6"/>
  <c r="AU31" i="6"/>
  <c r="AV31" i="6"/>
  <c r="AY31" i="6"/>
  <c r="AU32" i="6"/>
  <c r="AV32" i="6"/>
  <c r="AY32" i="6"/>
  <c r="AU33" i="6"/>
  <c r="AV33" i="6"/>
  <c r="AY33" i="6"/>
  <c r="AU34" i="6"/>
  <c r="AV34" i="6"/>
  <c r="AY34" i="6"/>
  <c r="AU35" i="6"/>
  <c r="AV35" i="6"/>
  <c r="AY35" i="6"/>
  <c r="AU36" i="6"/>
  <c r="AV36" i="6"/>
  <c r="AY36" i="6"/>
  <c r="AU37" i="6"/>
  <c r="AV37" i="6"/>
  <c r="AY37" i="6"/>
  <c r="AU39" i="6"/>
  <c r="AV39" i="6"/>
  <c r="AY39" i="6"/>
  <c r="AU41" i="6"/>
  <c r="AV41" i="6"/>
  <c r="AY41" i="6"/>
  <c r="AU43" i="6"/>
  <c r="AV43" i="6"/>
  <c r="AY43" i="6"/>
  <c r="AU44" i="6"/>
  <c r="AV44" i="6"/>
  <c r="AY44" i="6"/>
  <c r="AU45" i="6"/>
  <c r="AV45" i="6"/>
  <c r="AY45" i="6"/>
  <c r="AU46" i="6"/>
  <c r="AV46" i="6"/>
  <c r="AY46" i="6"/>
  <c r="AU47" i="6"/>
  <c r="AV47" i="6"/>
  <c r="AY47" i="6"/>
  <c r="AU48" i="6"/>
  <c r="AV48" i="6"/>
  <c r="AY48" i="6"/>
  <c r="AU49" i="6"/>
  <c r="AV49" i="6"/>
  <c r="AY49" i="6"/>
  <c r="AU50" i="6"/>
  <c r="AV50" i="6"/>
  <c r="AY50" i="6"/>
  <c r="AU51" i="6"/>
  <c r="AV51" i="6"/>
  <c r="AY51" i="6"/>
  <c r="AU52" i="6"/>
  <c r="AV52" i="6"/>
  <c r="AY52" i="6"/>
  <c r="AU53" i="6"/>
  <c r="AV53" i="6"/>
  <c r="AY53" i="6"/>
  <c r="AU54" i="6"/>
  <c r="AV54" i="6"/>
  <c r="AY54" i="6"/>
  <c r="AU55" i="6"/>
  <c r="AV55" i="6"/>
  <c r="AY55" i="6"/>
  <c r="AU56" i="6"/>
  <c r="AV56" i="6"/>
  <c r="AY56" i="6"/>
  <c r="AU57" i="6"/>
  <c r="AV57" i="6"/>
  <c r="AY57" i="6"/>
  <c r="AU58" i="6"/>
  <c r="AV58" i="6"/>
  <c r="AY58" i="6"/>
  <c r="AU59" i="6"/>
  <c r="AV59" i="6"/>
  <c r="AY59" i="6"/>
  <c r="AU60" i="6"/>
  <c r="AV60" i="6"/>
  <c r="AY60" i="6"/>
  <c r="AU61" i="6"/>
  <c r="AV61" i="6"/>
  <c r="AY61" i="6"/>
  <c r="AU62" i="6"/>
  <c r="AV62" i="6"/>
  <c r="AY62" i="6"/>
  <c r="AU64" i="6"/>
  <c r="AV64" i="6"/>
  <c r="AY64" i="6"/>
  <c r="AU65" i="6"/>
  <c r="AV65" i="6"/>
  <c r="AY65" i="6"/>
  <c r="AY66" i="6"/>
  <c r="AY69" i="6"/>
  <c r="AY71" i="6"/>
  <c r="AY76" i="6"/>
  <c r="AY77" i="6"/>
  <c r="AY78" i="6"/>
  <c r="AY79" i="6"/>
  <c r="AY68" i="6"/>
  <c r="AY70" i="6"/>
  <c r="AY72" i="6"/>
  <c r="AY73" i="6"/>
  <c r="AY74" i="6"/>
  <c r="AY75" i="6"/>
  <c r="AY67" i="6"/>
  <c r="BO66" i="6"/>
  <c r="BG66" i="6"/>
  <c r="BE66" i="6"/>
  <c r="BD66" i="6"/>
  <c r="BC66" i="6"/>
  <c r="BB66" i="6"/>
  <c r="BA66" i="6"/>
  <c r="AR66" i="6"/>
  <c r="AQ66" i="6"/>
  <c r="AP66" i="6"/>
  <c r="AO66" i="6"/>
  <c r="Z66" i="6"/>
  <c r="W66" i="6"/>
  <c r="V66" i="6"/>
  <c r="U66" i="6"/>
  <c r="T66" i="6"/>
  <c r="R66" i="6"/>
  <c r="Q66" i="6"/>
  <c r="P66" i="6"/>
  <c r="M66" i="6"/>
  <c r="K66" i="6"/>
  <c r="J66" i="6"/>
  <c r="G66" i="6"/>
  <c r="BR65" i="6"/>
  <c r="BP65" i="6"/>
  <c r="BS65" i="6"/>
  <c r="AZ65" i="6"/>
  <c r="BF65" i="6"/>
  <c r="BJ65" i="6"/>
  <c r="AL65" i="6"/>
  <c r="AI65" i="6"/>
  <c r="AG65" i="6"/>
  <c r="N65" i="6"/>
  <c r="L65" i="6"/>
  <c r="O65" i="6"/>
  <c r="AM65" i="6"/>
  <c r="AN65" i="6"/>
  <c r="BT65" i="6"/>
  <c r="BU65" i="6"/>
  <c r="AX65" i="6"/>
  <c r="BR64" i="6"/>
  <c r="BP64" i="6"/>
  <c r="BS64" i="6"/>
  <c r="AZ64" i="6"/>
  <c r="BF64" i="6"/>
  <c r="BJ64" i="6"/>
  <c r="AL64" i="6"/>
  <c r="AI64" i="6"/>
  <c r="AG64" i="6"/>
  <c r="N64" i="6"/>
  <c r="L64" i="6"/>
  <c r="O64" i="6"/>
  <c r="AM64" i="6"/>
  <c r="AN64" i="6"/>
  <c r="BT64" i="6"/>
  <c r="BU64" i="6"/>
  <c r="AX64" i="6"/>
  <c r="BR63" i="6"/>
  <c r="BP63" i="6"/>
  <c r="BS63" i="6"/>
  <c r="AZ63" i="6"/>
  <c r="BF63" i="6"/>
  <c r="BJ63" i="6"/>
  <c r="AL63" i="6"/>
  <c r="AI63" i="6"/>
  <c r="AG63" i="6"/>
  <c r="N63" i="6"/>
  <c r="L63" i="6"/>
  <c r="O63" i="6"/>
  <c r="AM63" i="6"/>
  <c r="AN63" i="6"/>
  <c r="BT63" i="6"/>
  <c r="BU63" i="6"/>
  <c r="BR62" i="6"/>
  <c r="BP62" i="6"/>
  <c r="BS62" i="6"/>
  <c r="AZ62" i="6"/>
  <c r="BF62" i="6"/>
  <c r="BJ62" i="6"/>
  <c r="AL62" i="6"/>
  <c r="AI62" i="6"/>
  <c r="AG62" i="6"/>
  <c r="N62" i="6"/>
  <c r="L62" i="6"/>
  <c r="O62" i="6"/>
  <c r="AM62" i="6"/>
  <c r="AN62" i="6"/>
  <c r="BT62" i="6"/>
  <c r="BU62" i="6"/>
  <c r="AX62" i="6"/>
  <c r="BR61" i="6"/>
  <c r="BP61" i="6"/>
  <c r="BS61" i="6"/>
  <c r="AZ61" i="6"/>
  <c r="BF61" i="6"/>
  <c r="BJ61" i="6"/>
  <c r="AL61" i="6"/>
  <c r="AI61" i="6"/>
  <c r="AG61" i="6"/>
  <c r="N61" i="6"/>
  <c r="L61" i="6"/>
  <c r="O61" i="6"/>
  <c r="AM61" i="6"/>
  <c r="AN61" i="6"/>
  <c r="BT61" i="6"/>
  <c r="BU61" i="6"/>
  <c r="AX61" i="6"/>
  <c r="BR60" i="6"/>
  <c r="BP60" i="6"/>
  <c r="BS60" i="6"/>
  <c r="AZ60" i="6"/>
  <c r="BF60" i="6"/>
  <c r="BJ60" i="6"/>
  <c r="AL60" i="6"/>
  <c r="AI60" i="6"/>
  <c r="AG60" i="6"/>
  <c r="N60" i="6"/>
  <c r="L60" i="6"/>
  <c r="O60" i="6"/>
  <c r="AM60" i="6"/>
  <c r="AN60" i="6"/>
  <c r="BT60" i="6"/>
  <c r="BU60" i="6"/>
  <c r="AX60" i="6"/>
  <c r="BR59" i="6"/>
  <c r="BP59" i="6"/>
  <c r="BS59" i="6"/>
  <c r="AZ59" i="6"/>
  <c r="BF59" i="6"/>
  <c r="BJ59" i="6"/>
  <c r="AL59" i="6"/>
  <c r="AI59" i="6"/>
  <c r="AG59" i="6"/>
  <c r="N59" i="6"/>
  <c r="L59" i="6"/>
  <c r="O59" i="6"/>
  <c r="AM59" i="6"/>
  <c r="AN59" i="6"/>
  <c r="BT59" i="6"/>
  <c r="BU59" i="6"/>
  <c r="AX59" i="6"/>
  <c r="BR58" i="6"/>
  <c r="BP58" i="6"/>
  <c r="BS58" i="6"/>
  <c r="AZ58" i="6"/>
  <c r="BF58" i="6"/>
  <c r="BJ58" i="6"/>
  <c r="AL58" i="6"/>
  <c r="AI58" i="6"/>
  <c r="AG58" i="6"/>
  <c r="N58" i="6"/>
  <c r="L58" i="6"/>
  <c r="O58" i="6"/>
  <c r="AM58" i="6"/>
  <c r="AN58" i="6"/>
  <c r="BT58" i="6"/>
  <c r="BU58" i="6"/>
  <c r="AX58" i="6"/>
  <c r="BR57" i="6"/>
  <c r="BP57" i="6"/>
  <c r="BS57" i="6"/>
  <c r="BF57" i="6"/>
  <c r="BJ57" i="6"/>
  <c r="AL57" i="6"/>
  <c r="AI57" i="6"/>
  <c r="AG57" i="6"/>
  <c r="N57" i="6"/>
  <c r="L57" i="6"/>
  <c r="O57" i="6"/>
  <c r="AM57" i="6"/>
  <c r="AN57" i="6"/>
  <c r="BT57" i="6"/>
  <c r="BU57" i="6"/>
  <c r="AX57" i="6"/>
  <c r="BR56" i="6"/>
  <c r="BP56" i="6"/>
  <c r="BS56" i="6"/>
  <c r="AZ56" i="6"/>
  <c r="BF56" i="6"/>
  <c r="BJ56" i="6"/>
  <c r="AL56" i="6"/>
  <c r="AI56" i="6"/>
  <c r="AG56" i="6"/>
  <c r="N56" i="6"/>
  <c r="L56" i="6"/>
  <c r="O56" i="6"/>
  <c r="AM56" i="6"/>
  <c r="AN56" i="6"/>
  <c r="BT56" i="6"/>
  <c r="BU56" i="6"/>
  <c r="AX56" i="6"/>
  <c r="BR55" i="6"/>
  <c r="BP55" i="6"/>
  <c r="BS55" i="6"/>
  <c r="AZ55" i="6"/>
  <c r="BF55" i="6"/>
  <c r="BJ55" i="6"/>
  <c r="AL55" i="6"/>
  <c r="AI55" i="6"/>
  <c r="AG55" i="6"/>
  <c r="N55" i="6"/>
  <c r="L55" i="6"/>
  <c r="O55" i="6"/>
  <c r="AM55" i="6"/>
  <c r="AN55" i="6"/>
  <c r="BT55" i="6"/>
  <c r="BU55" i="6"/>
  <c r="AX55" i="6"/>
  <c r="BR54" i="6"/>
  <c r="BP54" i="6"/>
  <c r="BS54" i="6"/>
  <c r="AZ54" i="6"/>
  <c r="BF54" i="6"/>
  <c r="BJ54" i="6"/>
  <c r="AL54" i="6"/>
  <c r="AI54" i="6"/>
  <c r="AG54" i="6"/>
  <c r="N54" i="6"/>
  <c r="L54" i="6"/>
  <c r="O54" i="6"/>
  <c r="AM54" i="6"/>
  <c r="AN54" i="6"/>
  <c r="BT54" i="6"/>
  <c r="BU54" i="6"/>
  <c r="AX54" i="6"/>
  <c r="BR53" i="6"/>
  <c r="BP53" i="6"/>
  <c r="BS53" i="6"/>
  <c r="AZ53" i="6"/>
  <c r="BF53" i="6"/>
  <c r="BJ53" i="6"/>
  <c r="AL53" i="6"/>
  <c r="AI53" i="6"/>
  <c r="AG53" i="6"/>
  <c r="N53" i="6"/>
  <c r="L53" i="6"/>
  <c r="O53" i="6"/>
  <c r="AM53" i="6"/>
  <c r="AN53" i="6"/>
  <c r="BT53" i="6"/>
  <c r="BU53" i="6"/>
  <c r="AX53" i="6"/>
  <c r="BR52" i="6"/>
  <c r="BP52" i="6"/>
  <c r="BS52" i="6"/>
  <c r="AZ52" i="6"/>
  <c r="BF52" i="6"/>
  <c r="BJ52" i="6"/>
  <c r="AL52" i="6"/>
  <c r="AI52" i="6"/>
  <c r="AG52" i="6"/>
  <c r="N52" i="6"/>
  <c r="L52" i="6"/>
  <c r="O52" i="6"/>
  <c r="AM52" i="6"/>
  <c r="AN52" i="6"/>
  <c r="BT52" i="6"/>
  <c r="BU52" i="6"/>
  <c r="AX52" i="6"/>
  <c r="BR51" i="6"/>
  <c r="BP51" i="6"/>
  <c r="BS51" i="6"/>
  <c r="AZ51" i="6"/>
  <c r="BF51" i="6"/>
  <c r="BJ51" i="6"/>
  <c r="AL51" i="6"/>
  <c r="AI51" i="6"/>
  <c r="AG51" i="6"/>
  <c r="N51" i="6"/>
  <c r="L51" i="6"/>
  <c r="O51" i="6"/>
  <c r="AM51" i="6"/>
  <c r="AN51" i="6"/>
  <c r="BT51" i="6"/>
  <c r="BU51" i="6"/>
  <c r="AX51" i="6"/>
  <c r="BR50" i="6"/>
  <c r="BP50" i="6"/>
  <c r="BS50" i="6"/>
  <c r="AZ50" i="6"/>
  <c r="BF50" i="6"/>
  <c r="BJ50" i="6"/>
  <c r="AL50" i="6"/>
  <c r="AI50" i="6"/>
  <c r="AG50" i="6"/>
  <c r="N50" i="6"/>
  <c r="L50" i="6"/>
  <c r="O50" i="6"/>
  <c r="AM50" i="6"/>
  <c r="AN50" i="6"/>
  <c r="BT50" i="6"/>
  <c r="BU50" i="6"/>
  <c r="AX50" i="6"/>
  <c r="BR49" i="6"/>
  <c r="BP49" i="6"/>
  <c r="BS49" i="6"/>
  <c r="AZ49" i="6"/>
  <c r="BF49" i="6"/>
  <c r="BJ49" i="6"/>
  <c r="AL49" i="6"/>
  <c r="AI49" i="6"/>
  <c r="AG49" i="6"/>
  <c r="N49" i="6"/>
  <c r="L49" i="6"/>
  <c r="O49" i="6"/>
  <c r="AM49" i="6"/>
  <c r="AN49" i="6"/>
  <c r="BT49" i="6"/>
  <c r="BU49" i="6"/>
  <c r="AX49" i="6"/>
  <c r="BR48" i="6"/>
  <c r="BP48" i="6"/>
  <c r="BS48" i="6"/>
  <c r="AZ48" i="6"/>
  <c r="BF48" i="6"/>
  <c r="BJ48" i="6"/>
  <c r="AL48" i="6"/>
  <c r="AI48" i="6"/>
  <c r="AG48" i="6"/>
  <c r="N48" i="6"/>
  <c r="L48" i="6"/>
  <c r="O48" i="6"/>
  <c r="AM48" i="6"/>
  <c r="AN48" i="6"/>
  <c r="BT48" i="6"/>
  <c r="BU48" i="6"/>
  <c r="AX48" i="6"/>
  <c r="BR47" i="6"/>
  <c r="BP47" i="6"/>
  <c r="BS47" i="6"/>
  <c r="AZ47" i="6"/>
  <c r="BF47" i="6"/>
  <c r="BJ47" i="6"/>
  <c r="AL47" i="6"/>
  <c r="AI47" i="6"/>
  <c r="AG47" i="6"/>
  <c r="N47" i="6"/>
  <c r="L47" i="6"/>
  <c r="O47" i="6"/>
  <c r="AM47" i="6"/>
  <c r="AN47" i="6"/>
  <c r="BT47" i="6"/>
  <c r="BU47" i="6"/>
  <c r="AX47" i="6"/>
  <c r="BR46" i="6"/>
  <c r="BP46" i="6"/>
  <c r="BS46" i="6"/>
  <c r="AZ46" i="6"/>
  <c r="BF46" i="6"/>
  <c r="BJ46" i="6"/>
  <c r="AL46" i="6"/>
  <c r="AI46" i="6"/>
  <c r="AG46" i="6"/>
  <c r="N46" i="6"/>
  <c r="L46" i="6"/>
  <c r="O46" i="6"/>
  <c r="AM46" i="6"/>
  <c r="AN46" i="6"/>
  <c r="BT46" i="6"/>
  <c r="BU46" i="6"/>
  <c r="AX46" i="6"/>
  <c r="BR45" i="6"/>
  <c r="BP45" i="6"/>
  <c r="BS45" i="6"/>
  <c r="AZ45" i="6"/>
  <c r="BF45" i="6"/>
  <c r="BJ45" i="6"/>
  <c r="AL45" i="6"/>
  <c r="AI45" i="6"/>
  <c r="AG45" i="6"/>
  <c r="N45" i="6"/>
  <c r="L45" i="6"/>
  <c r="O45" i="6"/>
  <c r="AM45" i="6"/>
  <c r="AN45" i="6"/>
  <c r="BT45" i="6"/>
  <c r="BU45" i="6"/>
  <c r="AX45" i="6"/>
  <c r="BR44" i="6"/>
  <c r="BP44" i="6"/>
  <c r="BS44" i="6"/>
  <c r="AZ44" i="6"/>
  <c r="BF44" i="6"/>
  <c r="BJ44" i="6"/>
  <c r="AL44" i="6"/>
  <c r="AI44" i="6"/>
  <c r="AG44" i="6"/>
  <c r="N44" i="6"/>
  <c r="L44" i="6"/>
  <c r="O44" i="6"/>
  <c r="AM44" i="6"/>
  <c r="AN44" i="6"/>
  <c r="BT44" i="6"/>
  <c r="BU44" i="6"/>
  <c r="AX44" i="6"/>
  <c r="BR43" i="6"/>
  <c r="BP43" i="6"/>
  <c r="BS43" i="6"/>
  <c r="AZ43" i="6"/>
  <c r="BF43" i="6"/>
  <c r="BJ43" i="6"/>
  <c r="AL43" i="6"/>
  <c r="AI43" i="6"/>
  <c r="AG43" i="6"/>
  <c r="N43" i="6"/>
  <c r="L43" i="6"/>
  <c r="O43" i="6"/>
  <c r="AM43" i="6"/>
  <c r="AN43" i="6"/>
  <c r="BT43" i="6"/>
  <c r="BU43" i="6"/>
  <c r="AX43" i="6"/>
  <c r="BR42" i="6"/>
  <c r="BP42" i="6"/>
  <c r="BS42" i="6"/>
  <c r="AZ42" i="6"/>
  <c r="BF42" i="6"/>
  <c r="BJ42" i="6"/>
  <c r="AL42" i="6"/>
  <c r="AI42" i="6"/>
  <c r="AG42" i="6"/>
  <c r="N42" i="6"/>
  <c r="L42" i="6"/>
  <c r="O42" i="6"/>
  <c r="AM42" i="6"/>
  <c r="AN42" i="6"/>
  <c r="BT42" i="6"/>
  <c r="BU42" i="6"/>
  <c r="BR41" i="6"/>
  <c r="BP41" i="6"/>
  <c r="BS41" i="6"/>
  <c r="BF41" i="6"/>
  <c r="BJ41" i="6"/>
  <c r="AL41" i="6"/>
  <c r="AI41" i="6"/>
  <c r="AG41" i="6"/>
  <c r="N41" i="6"/>
  <c r="L41" i="6"/>
  <c r="O41" i="6"/>
  <c r="AM41" i="6"/>
  <c r="AN41" i="6"/>
  <c r="BT41" i="6"/>
  <c r="BU41" i="6"/>
  <c r="AX41" i="6"/>
  <c r="BR40" i="6"/>
  <c r="BP40" i="6"/>
  <c r="BS40" i="6"/>
  <c r="AZ40" i="6"/>
  <c r="BF40" i="6"/>
  <c r="BJ40" i="6"/>
  <c r="AL40" i="6"/>
  <c r="AI40" i="6"/>
  <c r="AG40" i="6"/>
  <c r="N40" i="6"/>
  <c r="L40" i="6"/>
  <c r="O40" i="6"/>
  <c r="AM40" i="6"/>
  <c r="AN40" i="6"/>
  <c r="BT40" i="6"/>
  <c r="BU40" i="6"/>
  <c r="BR39" i="6"/>
  <c r="BP39" i="6"/>
  <c r="BS39" i="6"/>
  <c r="AZ39" i="6"/>
  <c r="BF39" i="6"/>
  <c r="BJ39" i="6"/>
  <c r="AL39" i="6"/>
  <c r="AI39" i="6"/>
  <c r="AG39" i="6"/>
  <c r="N39" i="6"/>
  <c r="L39" i="6"/>
  <c r="O39" i="6"/>
  <c r="AM39" i="6"/>
  <c r="AN39" i="6"/>
  <c r="BT39" i="6"/>
  <c r="BU39" i="6"/>
  <c r="AX39" i="6"/>
  <c r="BR38" i="6"/>
  <c r="BP38" i="6"/>
  <c r="BS38" i="6"/>
  <c r="AZ38" i="6"/>
  <c r="BF38" i="6"/>
  <c r="BJ38" i="6"/>
  <c r="AL38" i="6"/>
  <c r="AI38" i="6"/>
  <c r="AG38" i="6"/>
  <c r="N38" i="6"/>
  <c r="L38" i="6"/>
  <c r="O38" i="6"/>
  <c r="AM38" i="6"/>
  <c r="AN38" i="6"/>
  <c r="BT38" i="6"/>
  <c r="BU38" i="6"/>
  <c r="BR37" i="6"/>
  <c r="BP37" i="6"/>
  <c r="BS37" i="6"/>
  <c r="AZ37" i="6"/>
  <c r="BF37" i="6"/>
  <c r="BJ37" i="6"/>
  <c r="AL37" i="6"/>
  <c r="AI37" i="6"/>
  <c r="AG37" i="6"/>
  <c r="N37" i="6"/>
  <c r="L37" i="6"/>
  <c r="O37" i="6"/>
  <c r="AM37" i="6"/>
  <c r="AN37" i="6"/>
  <c r="BT37" i="6"/>
  <c r="BU37" i="6"/>
  <c r="AX37" i="6"/>
  <c r="BR36" i="6"/>
  <c r="BP36" i="6"/>
  <c r="BS36" i="6"/>
  <c r="AZ36" i="6"/>
  <c r="BF36" i="6"/>
  <c r="BJ36" i="6"/>
  <c r="AL36" i="6"/>
  <c r="AI36" i="6"/>
  <c r="AG36" i="6"/>
  <c r="N36" i="6"/>
  <c r="L36" i="6"/>
  <c r="O36" i="6"/>
  <c r="AM36" i="6"/>
  <c r="AN36" i="6"/>
  <c r="BT36" i="6"/>
  <c r="BU36" i="6"/>
  <c r="AX36" i="6"/>
  <c r="BR35" i="6"/>
  <c r="BP35" i="6"/>
  <c r="BS35" i="6"/>
  <c r="AZ35" i="6"/>
  <c r="BF35" i="6"/>
  <c r="BJ35" i="6"/>
  <c r="AL35" i="6"/>
  <c r="AI35" i="6"/>
  <c r="AG35" i="6"/>
  <c r="N35" i="6"/>
  <c r="L35" i="6"/>
  <c r="O35" i="6"/>
  <c r="AM35" i="6"/>
  <c r="AN35" i="6"/>
  <c r="BT35" i="6"/>
  <c r="BU35" i="6"/>
  <c r="AX35" i="6"/>
  <c r="BR34" i="6"/>
  <c r="BP34" i="6"/>
  <c r="BS34" i="6"/>
  <c r="AZ34" i="6"/>
  <c r="BF34" i="6"/>
  <c r="BJ34" i="6"/>
  <c r="AL34" i="6"/>
  <c r="AI34" i="6"/>
  <c r="AG34" i="6"/>
  <c r="N34" i="6"/>
  <c r="L34" i="6"/>
  <c r="O34" i="6"/>
  <c r="AM34" i="6"/>
  <c r="AN34" i="6"/>
  <c r="BT34" i="6"/>
  <c r="BU34" i="6"/>
  <c r="AX34" i="6"/>
  <c r="BR33" i="6"/>
  <c r="BP33" i="6"/>
  <c r="BS33" i="6"/>
  <c r="AZ33" i="6"/>
  <c r="BF33" i="6"/>
  <c r="BJ33" i="6"/>
  <c r="AL33" i="6"/>
  <c r="AI33" i="6"/>
  <c r="AG33" i="6"/>
  <c r="N33" i="6"/>
  <c r="L33" i="6"/>
  <c r="O33" i="6"/>
  <c r="AM33" i="6"/>
  <c r="AN33" i="6"/>
  <c r="BT33" i="6"/>
  <c r="BU33" i="6"/>
  <c r="AX33" i="6"/>
  <c r="BR32" i="6"/>
  <c r="BP32" i="6"/>
  <c r="BS32" i="6"/>
  <c r="AZ32" i="6"/>
  <c r="BF32" i="6"/>
  <c r="BJ32" i="6"/>
  <c r="AL32" i="6"/>
  <c r="AI32" i="6"/>
  <c r="AG32" i="6"/>
  <c r="N32" i="6"/>
  <c r="L32" i="6"/>
  <c r="O32" i="6"/>
  <c r="AM32" i="6"/>
  <c r="AN32" i="6"/>
  <c r="BT32" i="6"/>
  <c r="BU32" i="6"/>
  <c r="AX32" i="6"/>
  <c r="BR31" i="6"/>
  <c r="BP31" i="6"/>
  <c r="BS31" i="6"/>
  <c r="AZ31" i="6"/>
  <c r="BF31" i="6"/>
  <c r="BJ31" i="6"/>
  <c r="AL31" i="6"/>
  <c r="AI31" i="6"/>
  <c r="AG31" i="6"/>
  <c r="N31" i="6"/>
  <c r="L31" i="6"/>
  <c r="O31" i="6"/>
  <c r="AM31" i="6"/>
  <c r="AN31" i="6"/>
  <c r="BT31" i="6"/>
  <c r="BU31" i="6"/>
  <c r="AX31" i="6"/>
  <c r="BR30" i="6"/>
  <c r="BP30" i="6"/>
  <c r="BS30" i="6"/>
  <c r="AZ30" i="6"/>
  <c r="BF30" i="6"/>
  <c r="BJ30" i="6"/>
  <c r="AL30" i="6"/>
  <c r="AI30" i="6"/>
  <c r="AG30" i="6"/>
  <c r="N30" i="6"/>
  <c r="L30" i="6"/>
  <c r="O30" i="6"/>
  <c r="AM30" i="6"/>
  <c r="AN30" i="6"/>
  <c r="BT30" i="6"/>
  <c r="BU30" i="6"/>
  <c r="AX30" i="6"/>
  <c r="BR29" i="6"/>
  <c r="BP29" i="6"/>
  <c r="BS29" i="6"/>
  <c r="AZ29" i="6"/>
  <c r="BF29" i="6"/>
  <c r="BJ29" i="6"/>
  <c r="AL29" i="6"/>
  <c r="AI29" i="6"/>
  <c r="AG29" i="6"/>
  <c r="N29" i="6"/>
  <c r="L29" i="6"/>
  <c r="O29" i="6"/>
  <c r="AM29" i="6"/>
  <c r="AN29" i="6"/>
  <c r="BT29" i="6"/>
  <c r="BU29" i="6"/>
  <c r="AX29" i="6"/>
  <c r="BR28" i="6"/>
  <c r="BP28" i="6"/>
  <c r="BS28" i="6"/>
  <c r="AZ28" i="6"/>
  <c r="BF28" i="6"/>
  <c r="BJ28" i="6"/>
  <c r="AL28" i="6"/>
  <c r="AI28" i="6"/>
  <c r="AG28" i="6"/>
  <c r="N28" i="6"/>
  <c r="L28" i="6"/>
  <c r="O28" i="6"/>
  <c r="AM28" i="6"/>
  <c r="AN28" i="6"/>
  <c r="BT28" i="6"/>
  <c r="BU28" i="6"/>
  <c r="AX28" i="6"/>
  <c r="BR27" i="6"/>
  <c r="BP27" i="6"/>
  <c r="BS27" i="6"/>
  <c r="AZ27" i="6"/>
  <c r="BF27" i="6"/>
  <c r="BJ27" i="6"/>
  <c r="AL27" i="6"/>
  <c r="AI27" i="6"/>
  <c r="AG27" i="6"/>
  <c r="N27" i="6"/>
  <c r="L27" i="6"/>
  <c r="O27" i="6"/>
  <c r="AM27" i="6"/>
  <c r="AN27" i="6"/>
  <c r="BT27" i="6"/>
  <c r="BU27" i="6"/>
  <c r="AX27" i="6"/>
  <c r="BR26" i="6"/>
  <c r="BP26" i="6"/>
  <c r="BS26" i="6"/>
  <c r="AZ26" i="6"/>
  <c r="BF26" i="6"/>
  <c r="BJ26" i="6"/>
  <c r="AL26" i="6"/>
  <c r="AI26" i="6"/>
  <c r="AG26" i="6"/>
  <c r="N26" i="6"/>
  <c r="L26" i="6"/>
  <c r="O26" i="6"/>
  <c r="AM26" i="6"/>
  <c r="AN26" i="6"/>
  <c r="BT26" i="6"/>
  <c r="BU26" i="6"/>
  <c r="BR25" i="6"/>
  <c r="BP25" i="6"/>
  <c r="BS25" i="6"/>
  <c r="AZ25" i="6"/>
  <c r="BF25" i="6"/>
  <c r="BJ25" i="6"/>
  <c r="AL25" i="6"/>
  <c r="AI25" i="6"/>
  <c r="AG25" i="6"/>
  <c r="N25" i="6"/>
  <c r="L25" i="6"/>
  <c r="O25" i="6"/>
  <c r="AM25" i="6"/>
  <c r="AN25" i="6"/>
  <c r="BT25" i="6"/>
  <c r="BU25" i="6"/>
  <c r="AX25" i="6"/>
  <c r="BR24" i="6"/>
  <c r="BP24" i="6"/>
  <c r="BS24" i="6"/>
  <c r="AZ24" i="6"/>
  <c r="BF24" i="6"/>
  <c r="BJ24" i="6"/>
  <c r="AL24" i="6"/>
  <c r="AI24" i="6"/>
  <c r="AG24" i="6"/>
  <c r="N24" i="6"/>
  <c r="L24" i="6"/>
  <c r="O24" i="6"/>
  <c r="AM24" i="6"/>
  <c r="AN24" i="6"/>
  <c r="BT24" i="6"/>
  <c r="BU24" i="6"/>
  <c r="AX24" i="6"/>
  <c r="BR23" i="6"/>
  <c r="BP23" i="6"/>
  <c r="BS23" i="6"/>
  <c r="AZ23" i="6"/>
  <c r="BF23" i="6"/>
  <c r="BJ23" i="6"/>
  <c r="AL23" i="6"/>
  <c r="AI23" i="6"/>
  <c r="AG23" i="6"/>
  <c r="N23" i="6"/>
  <c r="L23" i="6"/>
  <c r="O23" i="6"/>
  <c r="AM23" i="6"/>
  <c r="AN23" i="6"/>
  <c r="BT23" i="6"/>
  <c r="BU23" i="6"/>
  <c r="AX23" i="6"/>
  <c r="BR22" i="6"/>
  <c r="BP22" i="6"/>
  <c r="BS22" i="6"/>
  <c r="AZ22" i="6"/>
  <c r="BF22" i="6"/>
  <c r="BJ22" i="6"/>
  <c r="AL22" i="6"/>
  <c r="AI22" i="6"/>
  <c r="AG22" i="6"/>
  <c r="N22" i="6"/>
  <c r="L22" i="6"/>
  <c r="O22" i="6"/>
  <c r="AM22" i="6"/>
  <c r="AN22" i="6"/>
  <c r="BT22" i="6"/>
  <c r="BU22" i="6"/>
  <c r="AX22" i="6"/>
  <c r="BR21" i="6"/>
  <c r="BP21" i="6"/>
  <c r="BS21" i="6"/>
  <c r="AZ21" i="6"/>
  <c r="BF21" i="6"/>
  <c r="BJ21" i="6"/>
  <c r="AL21" i="6"/>
  <c r="AI21" i="6"/>
  <c r="AG21" i="6"/>
  <c r="N21" i="6"/>
  <c r="L21" i="6"/>
  <c r="O21" i="6"/>
  <c r="AM21" i="6"/>
  <c r="AN21" i="6"/>
  <c r="BT21" i="6"/>
  <c r="BU21" i="6"/>
  <c r="AX21" i="6"/>
  <c r="BR20" i="6"/>
  <c r="BP20" i="6"/>
  <c r="BS20" i="6"/>
  <c r="BF20" i="6"/>
  <c r="BJ20" i="6"/>
  <c r="AL20" i="6"/>
  <c r="AI20" i="6"/>
  <c r="AG20" i="6"/>
  <c r="N20" i="6"/>
  <c r="L20" i="6"/>
  <c r="O20" i="6"/>
  <c r="AM20" i="6"/>
  <c r="AN20" i="6"/>
  <c r="BT20" i="6"/>
  <c r="BU20" i="6"/>
  <c r="AX20" i="6"/>
  <c r="BR19" i="6"/>
  <c r="BP19" i="6"/>
  <c r="BS19" i="6"/>
  <c r="AZ19" i="6"/>
  <c r="BF19" i="6"/>
  <c r="BJ19" i="6"/>
  <c r="AL19" i="6"/>
  <c r="AI19" i="6"/>
  <c r="AG19" i="6"/>
  <c r="N19" i="6"/>
  <c r="L19" i="6"/>
  <c r="O19" i="6"/>
  <c r="AM19" i="6"/>
  <c r="AN19" i="6"/>
  <c r="BT19" i="6"/>
  <c r="BU19" i="6"/>
  <c r="AX19" i="6"/>
  <c r="BR18" i="6"/>
  <c r="BP18" i="6"/>
  <c r="BS18" i="6"/>
  <c r="AZ18" i="6"/>
  <c r="BF18" i="6"/>
  <c r="BJ18" i="6"/>
  <c r="AL18" i="6"/>
  <c r="AI18" i="6"/>
  <c r="AG18" i="6"/>
  <c r="N18" i="6"/>
  <c r="L18" i="6"/>
  <c r="O18" i="6"/>
  <c r="AM18" i="6"/>
  <c r="AN18" i="6"/>
  <c r="BT18" i="6"/>
  <c r="BU18" i="6"/>
  <c r="AX18" i="6"/>
  <c r="BR17" i="6"/>
  <c r="BP17" i="6"/>
  <c r="BS17" i="6"/>
  <c r="AZ17" i="6"/>
  <c r="BF17" i="6"/>
  <c r="BJ17" i="6"/>
  <c r="AL17" i="6"/>
  <c r="AI17" i="6"/>
  <c r="AG17" i="6"/>
  <c r="N17" i="6"/>
  <c r="L17" i="6"/>
  <c r="O17" i="6"/>
  <c r="AM17" i="6"/>
  <c r="AN17" i="6"/>
  <c r="BT17" i="6"/>
  <c r="BU17" i="6"/>
  <c r="AX17" i="6"/>
  <c r="BR16" i="6"/>
  <c r="BP16" i="6"/>
  <c r="BS16" i="6"/>
  <c r="AZ16" i="6"/>
  <c r="BF16" i="6"/>
  <c r="BJ16" i="6"/>
  <c r="AL16" i="6"/>
  <c r="AI16" i="6"/>
  <c r="AG16" i="6"/>
  <c r="N16" i="6"/>
  <c r="L16" i="6"/>
  <c r="O16" i="6"/>
  <c r="AM16" i="6"/>
  <c r="AN16" i="6"/>
  <c r="BT16" i="6"/>
  <c r="BU16" i="6"/>
  <c r="AX16" i="6"/>
  <c r="BR15" i="6"/>
  <c r="BP15" i="6"/>
  <c r="BS15" i="6"/>
  <c r="AZ15" i="6"/>
  <c r="BF15" i="6"/>
  <c r="BJ15" i="6"/>
  <c r="AL15" i="6"/>
  <c r="AI15" i="6"/>
  <c r="AG15" i="6"/>
  <c r="N15" i="6"/>
  <c r="L15" i="6"/>
  <c r="O15" i="6"/>
  <c r="AM15" i="6"/>
  <c r="AN15" i="6"/>
  <c r="BT15" i="6"/>
  <c r="BU15" i="6"/>
  <c r="AX15" i="6"/>
  <c r="BR14" i="6"/>
  <c r="BP14" i="6"/>
  <c r="BS14" i="6"/>
  <c r="AZ14" i="6"/>
  <c r="BF14" i="6"/>
  <c r="BJ14" i="6"/>
  <c r="AL14" i="6"/>
  <c r="AI14" i="6"/>
  <c r="AG14" i="6"/>
  <c r="N14" i="6"/>
  <c r="L14" i="6"/>
  <c r="O14" i="6"/>
  <c r="AM14" i="6"/>
  <c r="AN14" i="6"/>
  <c r="BT14" i="6"/>
  <c r="BU14" i="6"/>
  <c r="AX14" i="6"/>
  <c r="BR13" i="6"/>
  <c r="BP13" i="6"/>
  <c r="BS13" i="6"/>
  <c r="AZ13" i="6"/>
  <c r="BF13" i="6"/>
  <c r="BJ13" i="6"/>
  <c r="AL13" i="6"/>
  <c r="AI13" i="6"/>
  <c r="AG13" i="6"/>
  <c r="N13" i="6"/>
  <c r="L13" i="6"/>
  <c r="O13" i="6"/>
  <c r="AM13" i="6"/>
  <c r="AN13" i="6"/>
  <c r="BT13" i="6"/>
  <c r="BU13" i="6"/>
  <c r="AX13" i="6"/>
  <c r="BR12" i="6"/>
  <c r="BP12" i="6"/>
  <c r="BS12" i="6"/>
  <c r="AZ12" i="6"/>
  <c r="BF12" i="6"/>
  <c r="BJ12" i="6"/>
  <c r="AL12" i="6"/>
  <c r="AI12" i="6"/>
  <c r="AG12" i="6"/>
  <c r="N12" i="6"/>
  <c r="L12" i="6"/>
  <c r="O12" i="6"/>
  <c r="AM12" i="6"/>
  <c r="AN12" i="6"/>
  <c r="BT12" i="6"/>
  <c r="BU12" i="6"/>
  <c r="AX12" i="6"/>
  <c r="BR11" i="6"/>
  <c r="BP11" i="6"/>
  <c r="BS11" i="6"/>
  <c r="AZ11" i="6"/>
  <c r="BF11" i="6"/>
  <c r="BJ11" i="6"/>
  <c r="AL11" i="6"/>
  <c r="AI11" i="6"/>
  <c r="AG11" i="6"/>
  <c r="N11" i="6"/>
  <c r="L11" i="6"/>
  <c r="O11" i="6"/>
  <c r="AM11" i="6"/>
  <c r="AN11" i="6"/>
  <c r="BT11" i="6"/>
  <c r="BU11" i="6"/>
  <c r="AX11" i="6"/>
  <c r="BR10" i="6"/>
  <c r="BP10" i="6"/>
  <c r="BS10" i="6"/>
  <c r="BF10" i="6"/>
  <c r="BJ10" i="6"/>
  <c r="AL10" i="6"/>
  <c r="AI10" i="6"/>
  <c r="AG10" i="6"/>
  <c r="N10" i="6"/>
  <c r="L10" i="6"/>
  <c r="O10" i="6"/>
  <c r="AM10" i="6"/>
  <c r="AN10" i="6"/>
  <c r="BT10" i="6"/>
  <c r="BU10" i="6"/>
  <c r="AX10" i="6"/>
  <c r="BR9" i="6"/>
  <c r="BP9" i="6"/>
  <c r="BS9" i="6"/>
  <c r="AZ9" i="6"/>
  <c r="BF9" i="6"/>
  <c r="BJ9" i="6"/>
  <c r="AL9" i="6"/>
  <c r="AI9" i="6"/>
  <c r="AG9" i="6"/>
  <c r="N9" i="6"/>
  <c r="L9" i="6"/>
  <c r="O9" i="6"/>
  <c r="AM9" i="6"/>
  <c r="AN9" i="6"/>
  <c r="BT9" i="6"/>
  <c r="BU9" i="6"/>
  <c r="AX9" i="6"/>
  <c r="BR8" i="6"/>
  <c r="BP8" i="6"/>
  <c r="BS8" i="6"/>
  <c r="AZ8" i="6"/>
  <c r="BF8" i="6"/>
  <c r="BJ8" i="6"/>
  <c r="AL8" i="6"/>
  <c r="AI8" i="6"/>
  <c r="AG8" i="6"/>
  <c r="N8" i="6"/>
  <c r="L8" i="6"/>
  <c r="O8" i="6"/>
  <c r="AM8" i="6"/>
  <c r="AN8" i="6"/>
  <c r="BT8" i="6"/>
  <c r="BU8" i="6"/>
  <c r="AX8" i="6"/>
  <c r="BR7" i="6"/>
  <c r="BP7" i="6"/>
  <c r="BS7" i="6"/>
  <c r="AZ7" i="6"/>
  <c r="BF7" i="6"/>
  <c r="BJ7" i="6"/>
  <c r="AL7" i="6"/>
  <c r="AI7" i="6"/>
  <c r="AG7" i="6"/>
  <c r="N7" i="6"/>
  <c r="L7" i="6"/>
  <c r="O7" i="6"/>
  <c r="AM7" i="6"/>
  <c r="AN7" i="6"/>
  <c r="BT7" i="6"/>
  <c r="BU7" i="6"/>
  <c r="AX7" i="6"/>
  <c r="BR6" i="6"/>
  <c r="BP6" i="6"/>
  <c r="BS6" i="6"/>
  <c r="AZ6" i="6"/>
  <c r="BF6" i="6"/>
  <c r="BJ6" i="6"/>
  <c r="AL6" i="6"/>
  <c r="AI6" i="6"/>
  <c r="AG6" i="6"/>
  <c r="N6" i="6"/>
  <c r="L6" i="6"/>
  <c r="O6" i="6"/>
  <c r="AM6" i="6"/>
  <c r="AN6" i="6"/>
  <c r="BT6" i="6"/>
  <c r="BU6" i="6"/>
  <c r="AX6" i="6"/>
  <c r="BR5" i="6"/>
  <c r="BP5" i="6"/>
  <c r="BS5" i="6"/>
  <c r="AZ5" i="6"/>
  <c r="BF5" i="6"/>
  <c r="BJ5" i="6"/>
  <c r="AL5" i="6"/>
  <c r="AI5" i="6"/>
  <c r="AG5" i="6"/>
  <c r="N5" i="6"/>
  <c r="L5" i="6"/>
  <c r="O5" i="6"/>
  <c r="AM5" i="6"/>
  <c r="AN5" i="6"/>
  <c r="BT5" i="6"/>
  <c r="BU5" i="6"/>
  <c r="AX5" i="6"/>
  <c r="BR4" i="6"/>
  <c r="BP4" i="6"/>
  <c r="BS4" i="6"/>
  <c r="AZ4" i="6"/>
  <c r="BF4" i="6"/>
  <c r="BJ4" i="6"/>
  <c r="AL4" i="6"/>
  <c r="AI4" i="6"/>
  <c r="AG4" i="6"/>
  <c r="N4" i="6"/>
  <c r="L4" i="6"/>
  <c r="O4" i="6"/>
  <c r="AM4" i="6"/>
  <c r="AN4" i="6"/>
  <c r="BT4" i="6"/>
  <c r="BU4" i="6"/>
  <c r="AX4" i="6"/>
  <c r="BR3" i="6"/>
  <c r="BP3" i="6"/>
  <c r="BS3" i="6"/>
  <c r="AZ3" i="6"/>
  <c r="BF3" i="6"/>
  <c r="BJ3" i="6"/>
  <c r="AL3" i="6"/>
  <c r="AI3" i="6"/>
  <c r="AG3" i="6"/>
  <c r="N3" i="6"/>
  <c r="L3" i="6"/>
  <c r="O3" i="6"/>
  <c r="AM3" i="6"/>
  <c r="AN3" i="6"/>
  <c r="BT3" i="6"/>
  <c r="BU3" i="6"/>
  <c r="AX3" i="6"/>
  <c r="BR2" i="6"/>
  <c r="BP2" i="6"/>
  <c r="BS2" i="6"/>
  <c r="AZ2" i="6"/>
  <c r="BF2" i="6"/>
  <c r="BJ2" i="6"/>
  <c r="AL2" i="6"/>
  <c r="AI2" i="6"/>
  <c r="AG2" i="6"/>
  <c r="N2" i="6"/>
  <c r="L2" i="6"/>
  <c r="O2" i="6"/>
  <c r="AM2" i="6"/>
  <c r="AN2" i="6"/>
  <c r="BT2" i="6"/>
  <c r="BU2" i="6"/>
  <c r="AX2" i="6"/>
  <c r="AA64" i="5"/>
  <c r="AA63" i="5"/>
  <c r="AA62" i="5"/>
  <c r="AA61" i="5"/>
  <c r="AA60" i="5"/>
  <c r="AA59" i="5"/>
  <c r="AA58" i="5"/>
  <c r="AA57" i="5"/>
  <c r="AA56" i="5"/>
  <c r="AA55" i="5"/>
  <c r="AA54" i="5"/>
  <c r="AA53" i="5"/>
  <c r="AA52" i="5"/>
  <c r="AA51" i="5"/>
  <c r="AA50" i="5"/>
  <c r="AA49" i="5"/>
  <c r="AA48" i="5"/>
  <c r="AA47" i="5"/>
  <c r="AA46" i="5"/>
  <c r="AA45" i="5"/>
  <c r="AA44" i="5"/>
  <c r="AA43" i="5"/>
  <c r="AA42" i="5"/>
  <c r="AA41" i="5"/>
  <c r="AA40" i="5"/>
  <c r="AA39" i="5"/>
  <c r="AA38" i="5"/>
  <c r="AA37" i="5"/>
  <c r="AA36" i="5"/>
  <c r="AA35" i="5"/>
  <c r="AA34" i="5"/>
  <c r="AA33" i="5"/>
  <c r="AA32" i="5"/>
  <c r="AA31" i="5"/>
  <c r="AA30" i="5"/>
  <c r="AA29" i="5"/>
  <c r="AA28" i="5"/>
  <c r="AA27" i="5"/>
  <c r="AA26" i="5"/>
  <c r="AA25" i="5"/>
  <c r="AA24" i="5"/>
  <c r="AA23" i="5"/>
  <c r="AA22" i="5"/>
  <c r="AA21" i="5"/>
  <c r="AA20" i="5"/>
  <c r="AA19" i="5"/>
  <c r="AA18" i="5"/>
  <c r="AA17" i="5"/>
  <c r="AA16" i="5"/>
  <c r="AA15" i="5"/>
  <c r="AA14" i="5"/>
  <c r="AA13" i="5"/>
  <c r="AA12" i="5"/>
  <c r="AA11" i="5"/>
  <c r="AA10" i="5"/>
  <c r="AA9" i="5"/>
  <c r="AA8" i="5"/>
  <c r="AA7" i="5"/>
  <c r="AA6" i="5"/>
  <c r="AA5" i="5"/>
  <c r="AA4" i="5"/>
  <c r="AA3" i="5"/>
  <c r="AA2" i="5"/>
  <c r="AG67" i="3"/>
  <c r="N8" i="3"/>
  <c r="N12" i="3"/>
  <c r="N14" i="3"/>
  <c r="N19" i="3"/>
  <c r="N21" i="3"/>
  <c r="N22" i="3"/>
  <c r="N24" i="3"/>
  <c r="N25" i="3"/>
  <c r="N35" i="3"/>
  <c r="N39" i="3"/>
  <c r="N43" i="3"/>
  <c r="N38" i="3"/>
  <c r="N49" i="3"/>
  <c r="N51" i="3"/>
  <c r="N64" i="3"/>
  <c r="N65" i="3"/>
  <c r="N67" i="3"/>
  <c r="D66" i="2"/>
  <c r="E66" i="2"/>
  <c r="F66" i="2"/>
  <c r="G66" i="2"/>
  <c r="H66" i="2"/>
  <c r="I66" i="2"/>
  <c r="J66" i="2"/>
  <c r="K66" i="2"/>
  <c r="C66" i="2"/>
  <c r="A27" i="2"/>
  <c r="A64" i="2"/>
  <c r="A20" i="2"/>
  <c r="A61" i="2"/>
  <c r="A50" i="2"/>
  <c r="A47" i="2"/>
  <c r="A16" i="2"/>
  <c r="A44" i="2"/>
  <c r="A48" i="2"/>
  <c r="A6" i="2"/>
  <c r="A34" i="2"/>
  <c r="A51" i="2"/>
  <c r="A33" i="2"/>
  <c r="A12" i="2"/>
  <c r="A15" i="2"/>
  <c r="A18" i="2"/>
  <c r="A22" i="2"/>
  <c r="A31" i="2"/>
  <c r="A28" i="2"/>
  <c r="A30" i="2"/>
  <c r="A45" i="2"/>
  <c r="A37" i="2"/>
  <c r="A13" i="2"/>
  <c r="A65" i="2"/>
  <c r="A23" i="2"/>
  <c r="A58" i="2"/>
  <c r="A14" i="2"/>
  <c r="A59" i="2"/>
  <c r="A19" i="2"/>
  <c r="A11" i="2"/>
  <c r="A3" i="2"/>
  <c r="A42" i="2"/>
  <c r="A32" i="2"/>
  <c r="A54" i="2"/>
  <c r="A8" i="2"/>
  <c r="A62" i="2"/>
  <c r="A53" i="2"/>
  <c r="A49" i="2"/>
  <c r="A55" i="2"/>
  <c r="A56" i="2"/>
  <c r="A40" i="2"/>
  <c r="A38" i="2"/>
  <c r="A26" i="2"/>
  <c r="A41" i="2"/>
  <c r="A2" i="2"/>
  <c r="A36" i="2"/>
  <c r="A21" i="2"/>
  <c r="A25" i="2"/>
  <c r="A5" i="2"/>
  <c r="A29" i="2"/>
  <c r="A24" i="2"/>
  <c r="A57" i="2"/>
  <c r="A46" i="2"/>
  <c r="A52" i="2"/>
  <c r="A7" i="2"/>
  <c r="A4" i="2"/>
  <c r="A35" i="2"/>
  <c r="A39" i="2"/>
  <c r="A17" i="2"/>
  <c r="A9" i="2"/>
  <c r="A63" i="2"/>
  <c r="A60" i="2"/>
  <c r="A10" i="2"/>
  <c r="A43" i="2"/>
  <c r="W66"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2" i="2"/>
  <c r="O66" i="2"/>
  <c r="P66" i="2"/>
  <c r="Q66" i="2"/>
  <c r="R66" i="2"/>
  <c r="S66" i="2"/>
  <c r="T66" i="2"/>
  <c r="U66" i="2"/>
  <c r="V66" i="2"/>
  <c r="N66" i="2"/>
  <c r="AA66" i="2"/>
  <c r="AB66" i="2"/>
  <c r="AC66" i="2"/>
  <c r="AD66" i="2"/>
  <c r="AE66" i="2"/>
  <c r="AF66" i="2"/>
  <c r="AG66" i="2"/>
  <c r="AH66" i="2"/>
  <c r="AI66" i="2"/>
  <c r="AJ66" i="2"/>
  <c r="AK66" i="2"/>
  <c r="AL66" i="2"/>
  <c r="AM66" i="2"/>
  <c r="Z66" i="2"/>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2" i="2"/>
  <c r="AQ66" i="2"/>
  <c r="AR66" i="2"/>
  <c r="AS66" i="2"/>
  <c r="AT66" i="2"/>
  <c r="AU66" i="2"/>
  <c r="AV66" i="2"/>
  <c r="AP66" i="2"/>
  <c r="AN3" i="2"/>
  <c r="AN4" i="2"/>
  <c r="AN5" i="2"/>
  <c r="AN6" i="2"/>
  <c r="AN7" i="2"/>
  <c r="AN8" i="2"/>
  <c r="AN9" i="2"/>
  <c r="AN10" i="2"/>
  <c r="AN11" i="2"/>
  <c r="AN12" i="2"/>
  <c r="AN13" i="2"/>
  <c r="AN14" i="2"/>
  <c r="AN15" i="2"/>
  <c r="AN16" i="2"/>
  <c r="AN17" i="2"/>
  <c r="AN18" i="2"/>
  <c r="AN19" i="2"/>
  <c r="AN20" i="2"/>
  <c r="AN21" i="2"/>
  <c r="AN22" i="2"/>
  <c r="AN23" i="2"/>
  <c r="AN24" i="2"/>
  <c r="AN25" i="2"/>
  <c r="AN26" i="2"/>
  <c r="AN27" i="2"/>
  <c r="AN28" i="2"/>
  <c r="AN29" i="2"/>
  <c r="AN30" i="2"/>
  <c r="AN31" i="2"/>
  <c r="AN32" i="2"/>
  <c r="AN33" i="2"/>
  <c r="AN34" i="2"/>
  <c r="AN35" i="2"/>
  <c r="AN36" i="2"/>
  <c r="AN37" i="2"/>
  <c r="AN38" i="2"/>
  <c r="AN39" i="2"/>
  <c r="AN40" i="2"/>
  <c r="AN41" i="2"/>
  <c r="AN42" i="2"/>
  <c r="AN43" i="2"/>
  <c r="AN44" i="2"/>
  <c r="AN45" i="2"/>
  <c r="AN46" i="2"/>
  <c r="AN47" i="2"/>
  <c r="AN48" i="2"/>
  <c r="AN49" i="2"/>
  <c r="AN50" i="2"/>
  <c r="AN51" i="2"/>
  <c r="AN52" i="2"/>
  <c r="AN53" i="2"/>
  <c r="AN54" i="2"/>
  <c r="AN55" i="2"/>
  <c r="AN56" i="2"/>
  <c r="AN57" i="2"/>
  <c r="AN58" i="2"/>
  <c r="AN59" i="2"/>
  <c r="AN60" i="2"/>
  <c r="AN61" i="2"/>
  <c r="AN62" i="2"/>
  <c r="AN63" i="2"/>
  <c r="AN64" i="2"/>
  <c r="AN65" i="2"/>
  <c r="AN2" i="2"/>
  <c r="FJ67" i="3"/>
  <c r="FH67" i="3"/>
  <c r="FF67" i="3"/>
  <c r="FD67" i="3"/>
  <c r="FB67" i="3"/>
  <c r="EZ67" i="3"/>
  <c r="EX67" i="3"/>
  <c r="EV67" i="3"/>
  <c r="ET67" i="3"/>
  <c r="EP67" i="3"/>
  <c r="EN67" i="3"/>
  <c r="EL67" i="3"/>
  <c r="EJ67" i="3"/>
  <c r="EH67" i="3"/>
  <c r="EB67" i="3"/>
  <c r="DZ67" i="3"/>
  <c r="DX67" i="3"/>
  <c r="DV67" i="3"/>
  <c r="DT67" i="3"/>
  <c r="DR67" i="3"/>
  <c r="DQ67" i="3"/>
  <c r="DP67" i="3"/>
  <c r="DO67" i="3"/>
  <c r="DN67" i="3"/>
  <c r="DM67" i="3"/>
  <c r="DL67" i="3"/>
  <c r="DK67" i="3"/>
  <c r="DJ67" i="3"/>
  <c r="DI67" i="3"/>
  <c r="DH67" i="3"/>
  <c r="DG67" i="3"/>
  <c r="DE67" i="3"/>
  <c r="DC67" i="3"/>
  <c r="CY67" i="3"/>
  <c r="CU67" i="3"/>
  <c r="CS67" i="3"/>
  <c r="CQ67" i="3"/>
  <c r="CO67" i="3"/>
  <c r="CM67" i="3"/>
  <c r="CK67" i="3"/>
  <c r="CJ67" i="3"/>
  <c r="CH67" i="3"/>
  <c r="CF67" i="3"/>
  <c r="CE67" i="3"/>
  <c r="CC67" i="3"/>
  <c r="CA67" i="3"/>
  <c r="BY67" i="3"/>
  <c r="BV67" i="3"/>
  <c r="BU67" i="3"/>
  <c r="BT67" i="3"/>
  <c r="BS67" i="3"/>
  <c r="BR67" i="3"/>
  <c r="BQ67" i="3"/>
  <c r="BO67" i="3"/>
  <c r="BN67" i="3"/>
  <c r="BM67" i="3"/>
  <c r="BL67" i="3"/>
  <c r="BK67" i="3"/>
  <c r="BJ67" i="3"/>
  <c r="BH67" i="3"/>
  <c r="BG67" i="3"/>
  <c r="BE67" i="3"/>
  <c r="BC67" i="3"/>
  <c r="BA67" i="3"/>
  <c r="AX67" i="3"/>
  <c r="AW67" i="3"/>
  <c r="AU67" i="3"/>
  <c r="AT67" i="3"/>
  <c r="AR67" i="3"/>
  <c r="AQ67" i="3"/>
  <c r="AO67" i="3"/>
  <c r="AN67" i="3"/>
  <c r="AM67" i="3"/>
  <c r="AL67" i="3"/>
  <c r="AK67" i="3"/>
  <c r="AI67" i="3"/>
  <c r="AF67" i="3"/>
  <c r="AD67" i="3"/>
  <c r="X3" i="3"/>
  <c r="U3" i="3"/>
  <c r="S3" i="3"/>
  <c r="O3" i="3"/>
  <c r="M3" i="3"/>
  <c r="AA3" i="3"/>
  <c r="X4" i="3"/>
  <c r="U4" i="3"/>
  <c r="S4" i="3"/>
  <c r="O4" i="3"/>
  <c r="M4" i="3"/>
  <c r="AA4" i="3"/>
  <c r="X5" i="3"/>
  <c r="U5" i="3"/>
  <c r="S5" i="3"/>
  <c r="O5" i="3"/>
  <c r="M5" i="3"/>
  <c r="AA5" i="3"/>
  <c r="X6" i="3"/>
  <c r="U6" i="3"/>
  <c r="S6" i="3"/>
  <c r="O6" i="3"/>
  <c r="M6" i="3"/>
  <c r="AA6" i="3"/>
  <c r="X7" i="3"/>
  <c r="U7" i="3"/>
  <c r="S7" i="3"/>
  <c r="O7" i="3"/>
  <c r="M7" i="3"/>
  <c r="AA7" i="3"/>
  <c r="X8" i="3"/>
  <c r="U8" i="3"/>
  <c r="S8" i="3"/>
  <c r="O8" i="3"/>
  <c r="M8" i="3"/>
  <c r="AA8" i="3"/>
  <c r="X9" i="3"/>
  <c r="U9" i="3"/>
  <c r="S9" i="3"/>
  <c r="O9" i="3"/>
  <c r="M9" i="3"/>
  <c r="AA9" i="3"/>
  <c r="X10" i="3"/>
  <c r="U10" i="3"/>
  <c r="S10" i="3"/>
  <c r="O10" i="3"/>
  <c r="M10" i="3"/>
  <c r="AA10" i="3"/>
  <c r="X11" i="3"/>
  <c r="U11" i="3"/>
  <c r="S11" i="3"/>
  <c r="O11" i="3"/>
  <c r="M11" i="3"/>
  <c r="AA11" i="3"/>
  <c r="X12" i="3"/>
  <c r="U12" i="3"/>
  <c r="S12" i="3"/>
  <c r="O12" i="3"/>
  <c r="M12" i="3"/>
  <c r="AA12" i="3"/>
  <c r="X13" i="3"/>
  <c r="U13" i="3"/>
  <c r="S13" i="3"/>
  <c r="O13" i="3"/>
  <c r="M13" i="3"/>
  <c r="AA13" i="3"/>
  <c r="X14" i="3"/>
  <c r="U14" i="3"/>
  <c r="S14" i="3"/>
  <c r="O14" i="3"/>
  <c r="M14" i="3"/>
  <c r="AA14" i="3"/>
  <c r="X15" i="3"/>
  <c r="U15" i="3"/>
  <c r="S15" i="3"/>
  <c r="O15" i="3"/>
  <c r="M15" i="3"/>
  <c r="AA15" i="3"/>
  <c r="X16" i="3"/>
  <c r="U16" i="3"/>
  <c r="S16" i="3"/>
  <c r="O16" i="3"/>
  <c r="M16" i="3"/>
  <c r="AA16" i="3"/>
  <c r="X17" i="3"/>
  <c r="U17" i="3"/>
  <c r="S17" i="3"/>
  <c r="O17" i="3"/>
  <c r="M17" i="3"/>
  <c r="AA17" i="3"/>
  <c r="X18" i="3"/>
  <c r="U18" i="3"/>
  <c r="S18" i="3"/>
  <c r="O18" i="3"/>
  <c r="M18" i="3"/>
  <c r="AA18" i="3"/>
  <c r="X19" i="3"/>
  <c r="U19" i="3"/>
  <c r="S19" i="3"/>
  <c r="O19" i="3"/>
  <c r="M19" i="3"/>
  <c r="AA19" i="3"/>
  <c r="X20" i="3"/>
  <c r="U20" i="3"/>
  <c r="S20" i="3"/>
  <c r="O20" i="3"/>
  <c r="M20" i="3"/>
  <c r="AA20" i="3"/>
  <c r="X21" i="3"/>
  <c r="U21" i="3"/>
  <c r="S21" i="3"/>
  <c r="O21" i="3"/>
  <c r="M21" i="3"/>
  <c r="AA21" i="3"/>
  <c r="X22" i="3"/>
  <c r="U22" i="3"/>
  <c r="S22" i="3"/>
  <c r="O22" i="3"/>
  <c r="M22" i="3"/>
  <c r="AA22" i="3"/>
  <c r="X23" i="3"/>
  <c r="U23" i="3"/>
  <c r="S23" i="3"/>
  <c r="O23" i="3"/>
  <c r="M23" i="3"/>
  <c r="AA23" i="3"/>
  <c r="X24" i="3"/>
  <c r="U24" i="3"/>
  <c r="S24" i="3"/>
  <c r="O24" i="3"/>
  <c r="M24" i="3"/>
  <c r="AA24" i="3"/>
  <c r="X25" i="3"/>
  <c r="U25" i="3"/>
  <c r="S25" i="3"/>
  <c r="O25" i="3"/>
  <c r="M25" i="3"/>
  <c r="AA25" i="3"/>
  <c r="X26" i="3"/>
  <c r="U26" i="3"/>
  <c r="S26" i="3"/>
  <c r="O26" i="3"/>
  <c r="M26" i="3"/>
  <c r="AA26" i="3"/>
  <c r="X27" i="3"/>
  <c r="U27" i="3"/>
  <c r="S27" i="3"/>
  <c r="O27" i="3"/>
  <c r="M27" i="3"/>
  <c r="AA27" i="3"/>
  <c r="X28" i="3"/>
  <c r="U28" i="3"/>
  <c r="S28" i="3"/>
  <c r="O28" i="3"/>
  <c r="M28" i="3"/>
  <c r="AA28" i="3"/>
  <c r="X29" i="3"/>
  <c r="U29" i="3"/>
  <c r="S29" i="3"/>
  <c r="O29" i="3"/>
  <c r="M29" i="3"/>
  <c r="AA29" i="3"/>
  <c r="X30" i="3"/>
  <c r="U30" i="3"/>
  <c r="S30" i="3"/>
  <c r="O30" i="3"/>
  <c r="M30" i="3"/>
  <c r="AA30" i="3"/>
  <c r="X31" i="3"/>
  <c r="U31" i="3"/>
  <c r="S31" i="3"/>
  <c r="O31" i="3"/>
  <c r="M31" i="3"/>
  <c r="AA31" i="3"/>
  <c r="X32" i="3"/>
  <c r="U32" i="3"/>
  <c r="S32" i="3"/>
  <c r="O32" i="3"/>
  <c r="M32" i="3"/>
  <c r="AA32" i="3"/>
  <c r="X33" i="3"/>
  <c r="U33" i="3"/>
  <c r="S33" i="3"/>
  <c r="O33" i="3"/>
  <c r="M33" i="3"/>
  <c r="AA33" i="3"/>
  <c r="X34" i="3"/>
  <c r="U34" i="3"/>
  <c r="S34" i="3"/>
  <c r="O34" i="3"/>
  <c r="M34" i="3"/>
  <c r="AA34" i="3"/>
  <c r="X35" i="3"/>
  <c r="U35" i="3"/>
  <c r="S35" i="3"/>
  <c r="O35" i="3"/>
  <c r="M35" i="3"/>
  <c r="AA35" i="3"/>
  <c r="X36" i="3"/>
  <c r="U36" i="3"/>
  <c r="S36" i="3"/>
  <c r="O36" i="3"/>
  <c r="M36" i="3"/>
  <c r="AA36" i="3"/>
  <c r="X37" i="3"/>
  <c r="U37" i="3"/>
  <c r="S37" i="3"/>
  <c r="O37" i="3"/>
  <c r="M37" i="3"/>
  <c r="AA37" i="3"/>
  <c r="X38" i="3"/>
  <c r="U38" i="3"/>
  <c r="S38" i="3"/>
  <c r="O38" i="3"/>
  <c r="M38" i="3"/>
  <c r="AA38" i="3"/>
  <c r="X39" i="3"/>
  <c r="U39" i="3"/>
  <c r="S39" i="3"/>
  <c r="O39" i="3"/>
  <c r="M39" i="3"/>
  <c r="AA39" i="3"/>
  <c r="X40" i="3"/>
  <c r="U40" i="3"/>
  <c r="S40" i="3"/>
  <c r="O40" i="3"/>
  <c r="M40" i="3"/>
  <c r="AA40" i="3"/>
  <c r="X41" i="3"/>
  <c r="U41" i="3"/>
  <c r="S41" i="3"/>
  <c r="O41" i="3"/>
  <c r="M41" i="3"/>
  <c r="AA41" i="3"/>
  <c r="X42" i="3"/>
  <c r="U42" i="3"/>
  <c r="S42" i="3"/>
  <c r="O42" i="3"/>
  <c r="M42" i="3"/>
  <c r="AA42" i="3"/>
  <c r="X43" i="3"/>
  <c r="U43" i="3"/>
  <c r="S43" i="3"/>
  <c r="O43" i="3"/>
  <c r="M43" i="3"/>
  <c r="AA43" i="3"/>
  <c r="X44" i="3"/>
  <c r="U44" i="3"/>
  <c r="S44" i="3"/>
  <c r="O44" i="3"/>
  <c r="M44" i="3"/>
  <c r="AA44" i="3"/>
  <c r="X45" i="3"/>
  <c r="U45" i="3"/>
  <c r="S45" i="3"/>
  <c r="O45" i="3"/>
  <c r="M45" i="3"/>
  <c r="AA45" i="3"/>
  <c r="X46" i="3"/>
  <c r="U46" i="3"/>
  <c r="S46" i="3"/>
  <c r="O46" i="3"/>
  <c r="M46" i="3"/>
  <c r="AA46" i="3"/>
  <c r="X47" i="3"/>
  <c r="U47" i="3"/>
  <c r="S47" i="3"/>
  <c r="O47" i="3"/>
  <c r="M47" i="3"/>
  <c r="AA47" i="3"/>
  <c r="X48" i="3"/>
  <c r="U48" i="3"/>
  <c r="S48" i="3"/>
  <c r="O48" i="3"/>
  <c r="M48" i="3"/>
  <c r="AA48" i="3"/>
  <c r="X49" i="3"/>
  <c r="U49" i="3"/>
  <c r="S49" i="3"/>
  <c r="O49" i="3"/>
  <c r="M49" i="3"/>
  <c r="AA49" i="3"/>
  <c r="X50" i="3"/>
  <c r="U50" i="3"/>
  <c r="S50" i="3"/>
  <c r="O50" i="3"/>
  <c r="M50" i="3"/>
  <c r="AA50" i="3"/>
  <c r="X51" i="3"/>
  <c r="U51" i="3"/>
  <c r="S51" i="3"/>
  <c r="O51" i="3"/>
  <c r="M51" i="3"/>
  <c r="AA51" i="3"/>
  <c r="X52" i="3"/>
  <c r="U52" i="3"/>
  <c r="S52" i="3"/>
  <c r="O52" i="3"/>
  <c r="M52" i="3"/>
  <c r="AA52" i="3"/>
  <c r="X53" i="3"/>
  <c r="U53" i="3"/>
  <c r="S53" i="3"/>
  <c r="O53" i="3"/>
  <c r="M53" i="3"/>
  <c r="AA53" i="3"/>
  <c r="X54" i="3"/>
  <c r="U54" i="3"/>
  <c r="S54" i="3"/>
  <c r="O54" i="3"/>
  <c r="M54" i="3"/>
  <c r="AA54" i="3"/>
  <c r="X55" i="3"/>
  <c r="U55" i="3"/>
  <c r="S55" i="3"/>
  <c r="O55" i="3"/>
  <c r="M55" i="3"/>
  <c r="AA55" i="3"/>
  <c r="X56" i="3"/>
  <c r="U56" i="3"/>
  <c r="S56" i="3"/>
  <c r="O56" i="3"/>
  <c r="M56" i="3"/>
  <c r="AA56" i="3"/>
  <c r="X57" i="3"/>
  <c r="U57" i="3"/>
  <c r="S57" i="3"/>
  <c r="O57" i="3"/>
  <c r="M57" i="3"/>
  <c r="AA57" i="3"/>
  <c r="X58" i="3"/>
  <c r="U58" i="3"/>
  <c r="S58" i="3"/>
  <c r="O58" i="3"/>
  <c r="M58" i="3"/>
  <c r="AA58" i="3"/>
  <c r="X59" i="3"/>
  <c r="U59" i="3"/>
  <c r="S59" i="3"/>
  <c r="O59" i="3"/>
  <c r="M59" i="3"/>
  <c r="AA59" i="3"/>
  <c r="X60" i="3"/>
  <c r="U60" i="3"/>
  <c r="S60" i="3"/>
  <c r="O60" i="3"/>
  <c r="M60" i="3"/>
  <c r="AA60" i="3"/>
  <c r="X61" i="3"/>
  <c r="U61" i="3"/>
  <c r="S61" i="3"/>
  <c r="O61" i="3"/>
  <c r="M61" i="3"/>
  <c r="AA61" i="3"/>
  <c r="X62" i="3"/>
  <c r="U62" i="3"/>
  <c r="S62" i="3"/>
  <c r="O62" i="3"/>
  <c r="M62" i="3"/>
  <c r="AA62" i="3"/>
  <c r="X63" i="3"/>
  <c r="U63" i="3"/>
  <c r="S63" i="3"/>
  <c r="O63" i="3"/>
  <c r="M63" i="3"/>
  <c r="AA63" i="3"/>
  <c r="X64" i="3"/>
  <c r="U64" i="3"/>
  <c r="S64" i="3"/>
  <c r="O64" i="3"/>
  <c r="M64" i="3"/>
  <c r="AA64" i="3"/>
  <c r="X65" i="3"/>
  <c r="U65" i="3"/>
  <c r="S65" i="3"/>
  <c r="O65" i="3"/>
  <c r="M65" i="3"/>
  <c r="AA65" i="3"/>
  <c r="AA67" i="3"/>
  <c r="W67" i="3"/>
  <c r="V67" i="3"/>
  <c r="T67" i="3"/>
  <c r="R67" i="3"/>
  <c r="L67" i="3"/>
  <c r="H67" i="3"/>
  <c r="FK66" i="3"/>
  <c r="FI66" i="3"/>
  <c r="FG66" i="3"/>
  <c r="FE66" i="3"/>
  <c r="FC66" i="3"/>
  <c r="FA66" i="3"/>
  <c r="EY66" i="3"/>
  <c r="EW66" i="3"/>
  <c r="EU66" i="3"/>
  <c r="FM66" i="3"/>
  <c r="EQ66" i="3"/>
  <c r="EO66" i="3"/>
  <c r="EM66" i="3"/>
  <c r="EK66" i="3"/>
  <c r="EI66" i="3"/>
  <c r="EG66" i="3"/>
  <c r="ES66" i="3"/>
  <c r="EC66" i="3"/>
  <c r="EA66" i="3"/>
  <c r="DY66" i="3"/>
  <c r="DW66" i="3"/>
  <c r="DU66" i="3"/>
  <c r="DS66" i="3"/>
  <c r="DF66" i="3"/>
  <c r="DD66" i="3"/>
  <c r="DB66" i="3"/>
  <c r="CZ66" i="3"/>
  <c r="EE66" i="3"/>
  <c r="CV66" i="3"/>
  <c r="CT66" i="3"/>
  <c r="CR66" i="3"/>
  <c r="CP66" i="3"/>
  <c r="CN66" i="3"/>
  <c r="CI66" i="3"/>
  <c r="CD66" i="3"/>
  <c r="CB66" i="3"/>
  <c r="BZ66" i="3"/>
  <c r="CX66" i="3"/>
  <c r="AH66" i="3"/>
  <c r="AJ66" i="3"/>
  <c r="AP66" i="3"/>
  <c r="AE66" i="3"/>
  <c r="AV66" i="3"/>
  <c r="AS66" i="3"/>
  <c r="AY66" i="3"/>
  <c r="BB66" i="3"/>
  <c r="BD66" i="3"/>
  <c r="BF66" i="3"/>
  <c r="BI66" i="3"/>
  <c r="BP66" i="3"/>
  <c r="AC66" i="3"/>
  <c r="BX66" i="3"/>
  <c r="X66" i="3"/>
  <c r="U66" i="3"/>
  <c r="S66" i="3"/>
  <c r="O66" i="3"/>
  <c r="M66" i="3"/>
  <c r="AA66" i="3"/>
  <c r="FN66" i="3"/>
  <c r="FK65" i="3"/>
  <c r="FI65" i="3"/>
  <c r="FG65" i="3"/>
  <c r="FE65" i="3"/>
  <c r="FC65" i="3"/>
  <c r="FA65" i="3"/>
  <c r="EY65" i="3"/>
  <c r="EW65" i="3"/>
  <c r="EU65" i="3"/>
  <c r="FM65" i="3"/>
  <c r="EQ65" i="3"/>
  <c r="EO65" i="3"/>
  <c r="EM65" i="3"/>
  <c r="EK65" i="3"/>
  <c r="EI65" i="3"/>
  <c r="EG65" i="3"/>
  <c r="ES65" i="3"/>
  <c r="EC65" i="3"/>
  <c r="EA65" i="3"/>
  <c r="DY65" i="3"/>
  <c r="DW65" i="3"/>
  <c r="DU65" i="3"/>
  <c r="DS65" i="3"/>
  <c r="DF65" i="3"/>
  <c r="DD65" i="3"/>
  <c r="DB65" i="3"/>
  <c r="CZ65" i="3"/>
  <c r="EE65" i="3"/>
  <c r="CV65" i="3"/>
  <c r="CT65" i="3"/>
  <c r="CR65" i="3"/>
  <c r="CP65" i="3"/>
  <c r="CN65" i="3"/>
  <c r="CI65" i="3"/>
  <c r="CD65" i="3"/>
  <c r="CB65" i="3"/>
  <c r="BZ65" i="3"/>
  <c r="CX65" i="3"/>
  <c r="AH65" i="3"/>
  <c r="AJ65" i="3"/>
  <c r="AP65" i="3"/>
  <c r="AE65" i="3"/>
  <c r="AV65" i="3"/>
  <c r="AS65" i="3"/>
  <c r="AY65" i="3"/>
  <c r="BB65" i="3"/>
  <c r="BD65" i="3"/>
  <c r="BF65" i="3"/>
  <c r="BI65" i="3"/>
  <c r="BP65" i="3"/>
  <c r="AC65" i="3"/>
  <c r="BX65" i="3"/>
  <c r="FN65" i="3"/>
  <c r="E65" i="3"/>
  <c r="C65" i="3"/>
  <c r="FK64" i="3"/>
  <c r="FI64" i="3"/>
  <c r="FG64" i="3"/>
  <c r="FE64" i="3"/>
  <c r="FC64" i="3"/>
  <c r="FA64" i="3"/>
  <c r="EY64" i="3"/>
  <c r="EW64" i="3"/>
  <c r="EU64" i="3"/>
  <c r="FM64" i="3"/>
  <c r="EQ64" i="3"/>
  <c r="EO64" i="3"/>
  <c r="EM64" i="3"/>
  <c r="EK64" i="3"/>
  <c r="EI64" i="3"/>
  <c r="ES64" i="3"/>
  <c r="EC64" i="3"/>
  <c r="EA64" i="3"/>
  <c r="DY64" i="3"/>
  <c r="DW64" i="3"/>
  <c r="DU64" i="3"/>
  <c r="DS64" i="3"/>
  <c r="DF64" i="3"/>
  <c r="DD64" i="3"/>
  <c r="DB64" i="3"/>
  <c r="CZ64" i="3"/>
  <c r="EE64" i="3"/>
  <c r="CV64" i="3"/>
  <c r="CT64" i="3"/>
  <c r="CR64" i="3"/>
  <c r="CP64" i="3"/>
  <c r="CN64" i="3"/>
  <c r="CI64" i="3"/>
  <c r="CD64" i="3"/>
  <c r="CB64" i="3"/>
  <c r="BZ64" i="3"/>
  <c r="CX64" i="3"/>
  <c r="AH64" i="3"/>
  <c r="AJ64" i="3"/>
  <c r="AP64" i="3"/>
  <c r="AE64" i="3"/>
  <c r="AV64" i="3"/>
  <c r="AS64" i="3"/>
  <c r="AY64" i="3"/>
  <c r="BB64" i="3"/>
  <c r="BD64" i="3"/>
  <c r="BF64" i="3"/>
  <c r="BI64" i="3"/>
  <c r="BP64" i="3"/>
  <c r="AC64" i="3"/>
  <c r="BX64" i="3"/>
  <c r="FN64" i="3"/>
  <c r="C64" i="3"/>
  <c r="FK63" i="3"/>
  <c r="FI63" i="3"/>
  <c r="FG63" i="3"/>
  <c r="FE63" i="3"/>
  <c r="FC63" i="3"/>
  <c r="FA63" i="3"/>
  <c r="EY63" i="3"/>
  <c r="EW63" i="3"/>
  <c r="EU63" i="3"/>
  <c r="FM63" i="3"/>
  <c r="EQ63" i="3"/>
  <c r="EO63" i="3"/>
  <c r="EM63" i="3"/>
  <c r="EK63" i="3"/>
  <c r="EI63" i="3"/>
  <c r="EG63" i="3"/>
  <c r="ES63" i="3"/>
  <c r="EC63" i="3"/>
  <c r="EA63" i="3"/>
  <c r="DY63" i="3"/>
  <c r="DW63" i="3"/>
  <c r="DU63" i="3"/>
  <c r="DS63" i="3"/>
  <c r="DF63" i="3"/>
  <c r="DD63" i="3"/>
  <c r="DB63" i="3"/>
  <c r="CZ63" i="3"/>
  <c r="EE63" i="3"/>
  <c r="CV63" i="3"/>
  <c r="CT63" i="3"/>
  <c r="CR63" i="3"/>
  <c r="CP63" i="3"/>
  <c r="CN63" i="3"/>
  <c r="CI63" i="3"/>
  <c r="CD63" i="3"/>
  <c r="CB63" i="3"/>
  <c r="BZ63" i="3"/>
  <c r="CX63" i="3"/>
  <c r="AH63" i="3"/>
  <c r="AJ63" i="3"/>
  <c r="AP63" i="3"/>
  <c r="AE63" i="3"/>
  <c r="AV63" i="3"/>
  <c r="AS63" i="3"/>
  <c r="AY63" i="3"/>
  <c r="BB63" i="3"/>
  <c r="BD63" i="3"/>
  <c r="BF63" i="3"/>
  <c r="BI63" i="3"/>
  <c r="BP63" i="3"/>
  <c r="AC63" i="3"/>
  <c r="BX63" i="3"/>
  <c r="FN63" i="3"/>
  <c r="E63" i="3"/>
  <c r="C63" i="3"/>
  <c r="FK62" i="3"/>
  <c r="FI62" i="3"/>
  <c r="FG62" i="3"/>
  <c r="FE62" i="3"/>
  <c r="FC62" i="3"/>
  <c r="FA62" i="3"/>
  <c r="EY62" i="3"/>
  <c r="EW62" i="3"/>
  <c r="EU62" i="3"/>
  <c r="FM62" i="3"/>
  <c r="EQ62" i="3"/>
  <c r="EO62" i="3"/>
  <c r="EM62" i="3"/>
  <c r="EK62" i="3"/>
  <c r="EI62" i="3"/>
  <c r="EG62" i="3"/>
  <c r="ES62" i="3"/>
  <c r="EC62" i="3"/>
  <c r="EA62" i="3"/>
  <c r="DY62" i="3"/>
  <c r="DW62" i="3"/>
  <c r="DU62" i="3"/>
  <c r="DS62" i="3"/>
  <c r="DF62" i="3"/>
  <c r="DD62" i="3"/>
  <c r="DB62" i="3"/>
  <c r="CZ62" i="3"/>
  <c r="EE62" i="3"/>
  <c r="CV62" i="3"/>
  <c r="CT62" i="3"/>
  <c r="CR62" i="3"/>
  <c r="CP62" i="3"/>
  <c r="CN62" i="3"/>
  <c r="CI62" i="3"/>
  <c r="CD62" i="3"/>
  <c r="CB62" i="3"/>
  <c r="BZ62" i="3"/>
  <c r="CX62" i="3"/>
  <c r="AH62" i="3"/>
  <c r="AJ62" i="3"/>
  <c r="AP62" i="3"/>
  <c r="AE62" i="3"/>
  <c r="AV62" i="3"/>
  <c r="AS62" i="3"/>
  <c r="AY62" i="3"/>
  <c r="BB62" i="3"/>
  <c r="BD62" i="3"/>
  <c r="BF62" i="3"/>
  <c r="BI62" i="3"/>
  <c r="BP62" i="3"/>
  <c r="AC62" i="3"/>
  <c r="BX62" i="3"/>
  <c r="FN62" i="3"/>
  <c r="E62" i="3"/>
  <c r="C62" i="3"/>
  <c r="FK61" i="3"/>
  <c r="FI61" i="3"/>
  <c r="FG61" i="3"/>
  <c r="FE61" i="3"/>
  <c r="FC61" i="3"/>
  <c r="FA61" i="3"/>
  <c r="EY61" i="3"/>
  <c r="EW61" i="3"/>
  <c r="EU61" i="3"/>
  <c r="FM61" i="3"/>
  <c r="EQ61" i="3"/>
  <c r="EO61" i="3"/>
  <c r="EM61" i="3"/>
  <c r="EK61" i="3"/>
  <c r="EI61" i="3"/>
  <c r="ES61" i="3"/>
  <c r="EC61" i="3"/>
  <c r="EA61" i="3"/>
  <c r="DY61" i="3"/>
  <c r="DW61" i="3"/>
  <c r="DU61" i="3"/>
  <c r="DS61" i="3"/>
  <c r="DF61" i="3"/>
  <c r="DD61" i="3"/>
  <c r="DB61" i="3"/>
  <c r="CZ61" i="3"/>
  <c r="EE61" i="3"/>
  <c r="CV61" i="3"/>
  <c r="CT61" i="3"/>
  <c r="CR61" i="3"/>
  <c r="CP61" i="3"/>
  <c r="CN61" i="3"/>
  <c r="CI61" i="3"/>
  <c r="CD61" i="3"/>
  <c r="CB61" i="3"/>
  <c r="BZ61" i="3"/>
  <c r="CX61" i="3"/>
  <c r="AH61" i="3"/>
  <c r="AJ61" i="3"/>
  <c r="AP61" i="3"/>
  <c r="AE61" i="3"/>
  <c r="AV61" i="3"/>
  <c r="AS61" i="3"/>
  <c r="AY61" i="3"/>
  <c r="BB61" i="3"/>
  <c r="BD61" i="3"/>
  <c r="BF61" i="3"/>
  <c r="BI61" i="3"/>
  <c r="BP61" i="3"/>
  <c r="AC61" i="3"/>
  <c r="BX61" i="3"/>
  <c r="FN61" i="3"/>
  <c r="E61" i="3"/>
  <c r="C61" i="3"/>
  <c r="FK60" i="3"/>
  <c r="FI60" i="3"/>
  <c r="FG60" i="3"/>
  <c r="FE60" i="3"/>
  <c r="FC60" i="3"/>
  <c r="FA60" i="3"/>
  <c r="EY60" i="3"/>
  <c r="EW60" i="3"/>
  <c r="EU60" i="3"/>
  <c r="FM60" i="3"/>
  <c r="EQ60" i="3"/>
  <c r="EO60" i="3"/>
  <c r="EM60" i="3"/>
  <c r="EK60" i="3"/>
  <c r="EI60" i="3"/>
  <c r="EG60" i="3"/>
  <c r="ES60" i="3"/>
  <c r="EC60" i="3"/>
  <c r="EA60" i="3"/>
  <c r="DY60" i="3"/>
  <c r="DW60" i="3"/>
  <c r="DU60" i="3"/>
  <c r="DS60" i="3"/>
  <c r="DF60" i="3"/>
  <c r="DD60" i="3"/>
  <c r="DB60" i="3"/>
  <c r="CZ60" i="3"/>
  <c r="EE60" i="3"/>
  <c r="CV60" i="3"/>
  <c r="CT60" i="3"/>
  <c r="CR60" i="3"/>
  <c r="CP60" i="3"/>
  <c r="CN60" i="3"/>
  <c r="CI60" i="3"/>
  <c r="CD60" i="3"/>
  <c r="CB60" i="3"/>
  <c r="BZ60" i="3"/>
  <c r="CX60" i="3"/>
  <c r="AH60" i="3"/>
  <c r="AJ60" i="3"/>
  <c r="AP60" i="3"/>
  <c r="AE60" i="3"/>
  <c r="AV60" i="3"/>
  <c r="AS60" i="3"/>
  <c r="AY60" i="3"/>
  <c r="BB60" i="3"/>
  <c r="BD60" i="3"/>
  <c r="BF60" i="3"/>
  <c r="BI60" i="3"/>
  <c r="BP60" i="3"/>
  <c r="AC60" i="3"/>
  <c r="BX60" i="3"/>
  <c r="FN60" i="3"/>
  <c r="E60" i="3"/>
  <c r="C60" i="3"/>
  <c r="FK59" i="3"/>
  <c r="FI59" i="3"/>
  <c r="FG59" i="3"/>
  <c r="FE59" i="3"/>
  <c r="FC59" i="3"/>
  <c r="FA59" i="3"/>
  <c r="EY59" i="3"/>
  <c r="EW59" i="3"/>
  <c r="EU59" i="3"/>
  <c r="FM59" i="3"/>
  <c r="EQ59" i="3"/>
  <c r="EO59" i="3"/>
  <c r="EM59" i="3"/>
  <c r="EK59" i="3"/>
  <c r="EI59" i="3"/>
  <c r="EG59" i="3"/>
  <c r="ES59" i="3"/>
  <c r="EC59" i="3"/>
  <c r="EA59" i="3"/>
  <c r="DY59" i="3"/>
  <c r="DW59" i="3"/>
  <c r="DU59" i="3"/>
  <c r="DS59" i="3"/>
  <c r="DF59" i="3"/>
  <c r="DD59" i="3"/>
  <c r="DB59" i="3"/>
  <c r="CZ59" i="3"/>
  <c r="EE59" i="3"/>
  <c r="CV59" i="3"/>
  <c r="CT59" i="3"/>
  <c r="CR59" i="3"/>
  <c r="CP59" i="3"/>
  <c r="CN59" i="3"/>
  <c r="CI59" i="3"/>
  <c r="CD59" i="3"/>
  <c r="CB59" i="3"/>
  <c r="BZ59" i="3"/>
  <c r="CX59" i="3"/>
  <c r="AH59" i="3"/>
  <c r="AJ59" i="3"/>
  <c r="AP59" i="3"/>
  <c r="AE59" i="3"/>
  <c r="AV59" i="3"/>
  <c r="AS59" i="3"/>
  <c r="AY59" i="3"/>
  <c r="BB59" i="3"/>
  <c r="BD59" i="3"/>
  <c r="BF59" i="3"/>
  <c r="BI59" i="3"/>
  <c r="BP59" i="3"/>
  <c r="AC59" i="3"/>
  <c r="BX59" i="3"/>
  <c r="FN59" i="3"/>
  <c r="E59" i="3"/>
  <c r="C59" i="3"/>
  <c r="FK58" i="3"/>
  <c r="FI58" i="3"/>
  <c r="FG58" i="3"/>
  <c r="FE58" i="3"/>
  <c r="FC58" i="3"/>
  <c r="FA58" i="3"/>
  <c r="EY58" i="3"/>
  <c r="EW58" i="3"/>
  <c r="EU58" i="3"/>
  <c r="FM58" i="3"/>
  <c r="EQ58" i="3"/>
  <c r="EO58" i="3"/>
  <c r="EM58" i="3"/>
  <c r="EK58" i="3"/>
  <c r="EI58" i="3"/>
  <c r="EG58" i="3"/>
  <c r="ES58" i="3"/>
  <c r="EC58" i="3"/>
  <c r="EA58" i="3"/>
  <c r="DY58" i="3"/>
  <c r="DW58" i="3"/>
  <c r="DU58" i="3"/>
  <c r="DS58" i="3"/>
  <c r="DF58" i="3"/>
  <c r="DD58" i="3"/>
  <c r="DB58" i="3"/>
  <c r="CZ58" i="3"/>
  <c r="EE58" i="3"/>
  <c r="CV58" i="3"/>
  <c r="CT58" i="3"/>
  <c r="CR58" i="3"/>
  <c r="CP58" i="3"/>
  <c r="CN58" i="3"/>
  <c r="CI58" i="3"/>
  <c r="CD58" i="3"/>
  <c r="CB58" i="3"/>
  <c r="BZ58" i="3"/>
  <c r="CX58" i="3"/>
  <c r="AH58" i="3"/>
  <c r="AJ58" i="3"/>
  <c r="AP58" i="3"/>
  <c r="AE58" i="3"/>
  <c r="AV58" i="3"/>
  <c r="AS58" i="3"/>
  <c r="AY58" i="3"/>
  <c r="BB58" i="3"/>
  <c r="BD58" i="3"/>
  <c r="BF58" i="3"/>
  <c r="BI58" i="3"/>
  <c r="BP58" i="3"/>
  <c r="AC58" i="3"/>
  <c r="BX58" i="3"/>
  <c r="FN58" i="3"/>
  <c r="E58" i="3"/>
  <c r="C58" i="3"/>
  <c r="FK57" i="3"/>
  <c r="FI57" i="3"/>
  <c r="FG57" i="3"/>
  <c r="FE57" i="3"/>
  <c r="FC57" i="3"/>
  <c r="FA57" i="3"/>
  <c r="EY57" i="3"/>
  <c r="EW57" i="3"/>
  <c r="EU57" i="3"/>
  <c r="FM57" i="3"/>
  <c r="EQ57" i="3"/>
  <c r="EO57" i="3"/>
  <c r="EM57" i="3"/>
  <c r="EK57" i="3"/>
  <c r="EI57" i="3"/>
  <c r="EG57" i="3"/>
  <c r="ES57" i="3"/>
  <c r="EC57" i="3"/>
  <c r="EA57" i="3"/>
  <c r="DY57" i="3"/>
  <c r="DW57" i="3"/>
  <c r="DU57" i="3"/>
  <c r="DS57" i="3"/>
  <c r="DF57" i="3"/>
  <c r="DD57" i="3"/>
  <c r="DB57" i="3"/>
  <c r="CZ57" i="3"/>
  <c r="EE57" i="3"/>
  <c r="CV57" i="3"/>
  <c r="CT57" i="3"/>
  <c r="CR57" i="3"/>
  <c r="CP57" i="3"/>
  <c r="CN57" i="3"/>
  <c r="CI57" i="3"/>
  <c r="CD57" i="3"/>
  <c r="CB57" i="3"/>
  <c r="BZ57" i="3"/>
  <c r="CX57" i="3"/>
  <c r="AH57" i="3"/>
  <c r="AJ57" i="3"/>
  <c r="AP57" i="3"/>
  <c r="AE57" i="3"/>
  <c r="AV57" i="3"/>
  <c r="AS57" i="3"/>
  <c r="AY57" i="3"/>
  <c r="BB57" i="3"/>
  <c r="BD57" i="3"/>
  <c r="BF57" i="3"/>
  <c r="BI57" i="3"/>
  <c r="BP57" i="3"/>
  <c r="AC57" i="3"/>
  <c r="BX57" i="3"/>
  <c r="FN57" i="3"/>
  <c r="E57" i="3"/>
  <c r="C57" i="3"/>
  <c r="FK56" i="3"/>
  <c r="FI56" i="3"/>
  <c r="FG56" i="3"/>
  <c r="FE56" i="3"/>
  <c r="FC56" i="3"/>
  <c r="FA56" i="3"/>
  <c r="EY56" i="3"/>
  <c r="EW56" i="3"/>
  <c r="EU56" i="3"/>
  <c r="FM56" i="3"/>
  <c r="EQ56" i="3"/>
  <c r="EO56" i="3"/>
  <c r="EM56" i="3"/>
  <c r="EK56" i="3"/>
  <c r="EI56" i="3"/>
  <c r="EG56" i="3"/>
  <c r="ES56" i="3"/>
  <c r="EC56" i="3"/>
  <c r="EA56" i="3"/>
  <c r="DY56" i="3"/>
  <c r="DW56" i="3"/>
  <c r="DU56" i="3"/>
  <c r="DS56" i="3"/>
  <c r="DF56" i="3"/>
  <c r="DD56" i="3"/>
  <c r="DB56" i="3"/>
  <c r="CZ56" i="3"/>
  <c r="EE56" i="3"/>
  <c r="CV56" i="3"/>
  <c r="CT56" i="3"/>
  <c r="CR56" i="3"/>
  <c r="CP56" i="3"/>
  <c r="CN56" i="3"/>
  <c r="CI56" i="3"/>
  <c r="CD56" i="3"/>
  <c r="CB56" i="3"/>
  <c r="BZ56" i="3"/>
  <c r="CX56" i="3"/>
  <c r="AH56" i="3"/>
  <c r="AJ56" i="3"/>
  <c r="AP56" i="3"/>
  <c r="AE56" i="3"/>
  <c r="AV56" i="3"/>
  <c r="AS56" i="3"/>
  <c r="AY56" i="3"/>
  <c r="BB56" i="3"/>
  <c r="BD56" i="3"/>
  <c r="BF56" i="3"/>
  <c r="BI56" i="3"/>
  <c r="BP56" i="3"/>
  <c r="AC56" i="3"/>
  <c r="BX56" i="3"/>
  <c r="FN56" i="3"/>
  <c r="E56" i="3"/>
  <c r="FK55" i="3"/>
  <c r="FI55" i="3"/>
  <c r="FG55" i="3"/>
  <c r="FE55" i="3"/>
  <c r="FC55" i="3"/>
  <c r="FA55" i="3"/>
  <c r="EY55" i="3"/>
  <c r="EW55" i="3"/>
  <c r="EU55" i="3"/>
  <c r="FM55" i="3"/>
  <c r="EQ55" i="3"/>
  <c r="EO55" i="3"/>
  <c r="EM55" i="3"/>
  <c r="EK55" i="3"/>
  <c r="EI55" i="3"/>
  <c r="EG55" i="3"/>
  <c r="ES55" i="3"/>
  <c r="EC55" i="3"/>
  <c r="EA55" i="3"/>
  <c r="DY55" i="3"/>
  <c r="DW55" i="3"/>
  <c r="DU55" i="3"/>
  <c r="DS55" i="3"/>
  <c r="DF55" i="3"/>
  <c r="DD55" i="3"/>
  <c r="DB55" i="3"/>
  <c r="CZ55" i="3"/>
  <c r="EE55" i="3"/>
  <c r="CV55" i="3"/>
  <c r="CT55" i="3"/>
  <c r="CR55" i="3"/>
  <c r="CP55" i="3"/>
  <c r="CN55" i="3"/>
  <c r="CI55" i="3"/>
  <c r="CD55" i="3"/>
  <c r="CB55" i="3"/>
  <c r="BZ55" i="3"/>
  <c r="CX55" i="3"/>
  <c r="AH55" i="3"/>
  <c r="AJ55" i="3"/>
  <c r="AP55" i="3"/>
  <c r="AE55" i="3"/>
  <c r="AV55" i="3"/>
  <c r="AS55" i="3"/>
  <c r="AY55" i="3"/>
  <c r="BB55" i="3"/>
  <c r="BD55" i="3"/>
  <c r="BF55" i="3"/>
  <c r="BI55" i="3"/>
  <c r="BP55" i="3"/>
  <c r="AC55" i="3"/>
  <c r="BX55" i="3"/>
  <c r="FN55" i="3"/>
  <c r="E55" i="3"/>
  <c r="C55" i="3"/>
  <c r="FK54" i="3"/>
  <c r="FI54" i="3"/>
  <c r="FG54" i="3"/>
  <c r="FE54" i="3"/>
  <c r="FC54" i="3"/>
  <c r="FA54" i="3"/>
  <c r="EY54" i="3"/>
  <c r="EW54" i="3"/>
  <c r="EU54" i="3"/>
  <c r="FM54" i="3"/>
  <c r="EQ54" i="3"/>
  <c r="EO54" i="3"/>
  <c r="EM54" i="3"/>
  <c r="EK54" i="3"/>
  <c r="EI54" i="3"/>
  <c r="EG54" i="3"/>
  <c r="ES54" i="3"/>
  <c r="EC54" i="3"/>
  <c r="EA54" i="3"/>
  <c r="DY54" i="3"/>
  <c r="DW54" i="3"/>
  <c r="DU54" i="3"/>
  <c r="DS54" i="3"/>
  <c r="DF54" i="3"/>
  <c r="DD54" i="3"/>
  <c r="DB54" i="3"/>
  <c r="CZ54" i="3"/>
  <c r="EE54" i="3"/>
  <c r="CV54" i="3"/>
  <c r="CT54" i="3"/>
  <c r="CR54" i="3"/>
  <c r="CP54" i="3"/>
  <c r="CN54" i="3"/>
  <c r="CI54" i="3"/>
  <c r="CD54" i="3"/>
  <c r="CB54" i="3"/>
  <c r="BZ54" i="3"/>
  <c r="CX54" i="3"/>
  <c r="AH54" i="3"/>
  <c r="AJ54" i="3"/>
  <c r="AP54" i="3"/>
  <c r="AE54" i="3"/>
  <c r="AV54" i="3"/>
  <c r="AS54" i="3"/>
  <c r="AY54" i="3"/>
  <c r="BB54" i="3"/>
  <c r="BD54" i="3"/>
  <c r="BF54" i="3"/>
  <c r="BI54" i="3"/>
  <c r="BP54" i="3"/>
  <c r="AC54" i="3"/>
  <c r="BX54" i="3"/>
  <c r="FN54" i="3"/>
  <c r="E54" i="3"/>
  <c r="FK53" i="3"/>
  <c r="FI53" i="3"/>
  <c r="FG53" i="3"/>
  <c r="FE53" i="3"/>
  <c r="FC53" i="3"/>
  <c r="FA53" i="3"/>
  <c r="EY53" i="3"/>
  <c r="EW53" i="3"/>
  <c r="EU53" i="3"/>
  <c r="FM53" i="3"/>
  <c r="EQ53" i="3"/>
  <c r="EO53" i="3"/>
  <c r="EM53" i="3"/>
  <c r="EK53" i="3"/>
  <c r="EI53" i="3"/>
  <c r="EG53" i="3"/>
  <c r="ES53" i="3"/>
  <c r="EC53" i="3"/>
  <c r="EA53" i="3"/>
  <c r="DY53" i="3"/>
  <c r="DW53" i="3"/>
  <c r="DU53" i="3"/>
  <c r="DS53" i="3"/>
  <c r="DF53" i="3"/>
  <c r="DD53" i="3"/>
  <c r="DB53" i="3"/>
  <c r="CZ53" i="3"/>
  <c r="EE53" i="3"/>
  <c r="CV53" i="3"/>
  <c r="CT53" i="3"/>
  <c r="CR53" i="3"/>
  <c r="CP53" i="3"/>
  <c r="CN53" i="3"/>
  <c r="CI53" i="3"/>
  <c r="CD53" i="3"/>
  <c r="CB53" i="3"/>
  <c r="BZ53" i="3"/>
  <c r="CX53" i="3"/>
  <c r="AH53" i="3"/>
  <c r="AJ53" i="3"/>
  <c r="AP53" i="3"/>
  <c r="AE53" i="3"/>
  <c r="AV53" i="3"/>
  <c r="AS53" i="3"/>
  <c r="AY53" i="3"/>
  <c r="BB53" i="3"/>
  <c r="BD53" i="3"/>
  <c r="BF53" i="3"/>
  <c r="BI53" i="3"/>
  <c r="BP53" i="3"/>
  <c r="AC53" i="3"/>
  <c r="BX53" i="3"/>
  <c r="FN53" i="3"/>
  <c r="E53" i="3"/>
  <c r="C53" i="3"/>
  <c r="FK52" i="3"/>
  <c r="FI52" i="3"/>
  <c r="FG52" i="3"/>
  <c r="FE52" i="3"/>
  <c r="FC52" i="3"/>
  <c r="FA52" i="3"/>
  <c r="EY52" i="3"/>
  <c r="EW52" i="3"/>
  <c r="EU52" i="3"/>
  <c r="FM52" i="3"/>
  <c r="EQ52" i="3"/>
  <c r="EO52" i="3"/>
  <c r="EM52" i="3"/>
  <c r="EK52" i="3"/>
  <c r="EI52" i="3"/>
  <c r="EG52" i="3"/>
  <c r="ES52" i="3"/>
  <c r="EC52" i="3"/>
  <c r="EA52" i="3"/>
  <c r="DY52" i="3"/>
  <c r="DW52" i="3"/>
  <c r="DU52" i="3"/>
  <c r="DS52" i="3"/>
  <c r="DF52" i="3"/>
  <c r="DD52" i="3"/>
  <c r="DB52" i="3"/>
  <c r="CZ52" i="3"/>
  <c r="EE52" i="3"/>
  <c r="CV52" i="3"/>
  <c r="CT52" i="3"/>
  <c r="CR52" i="3"/>
  <c r="CP52" i="3"/>
  <c r="CN52" i="3"/>
  <c r="CI52" i="3"/>
  <c r="CD52" i="3"/>
  <c r="CB52" i="3"/>
  <c r="BZ52" i="3"/>
  <c r="CX52" i="3"/>
  <c r="AH52" i="3"/>
  <c r="AJ52" i="3"/>
  <c r="AP52" i="3"/>
  <c r="AE52" i="3"/>
  <c r="AV52" i="3"/>
  <c r="AS52" i="3"/>
  <c r="AY52" i="3"/>
  <c r="BB52" i="3"/>
  <c r="BD52" i="3"/>
  <c r="BF52" i="3"/>
  <c r="BI52" i="3"/>
  <c r="BP52" i="3"/>
  <c r="AC52" i="3"/>
  <c r="BX52" i="3"/>
  <c r="FN52" i="3"/>
  <c r="E52" i="3"/>
  <c r="C52" i="3"/>
  <c r="FK51" i="3"/>
  <c r="FI51" i="3"/>
  <c r="FG51" i="3"/>
  <c r="FE51" i="3"/>
  <c r="FC51" i="3"/>
  <c r="FA51" i="3"/>
  <c r="EY51" i="3"/>
  <c r="EW51" i="3"/>
  <c r="EU51" i="3"/>
  <c r="FM51" i="3"/>
  <c r="EQ51" i="3"/>
  <c r="EO51" i="3"/>
  <c r="EM51" i="3"/>
  <c r="EK51" i="3"/>
  <c r="EI51" i="3"/>
  <c r="EG51" i="3"/>
  <c r="ES51" i="3"/>
  <c r="EC51" i="3"/>
  <c r="EA51" i="3"/>
  <c r="DY51" i="3"/>
  <c r="DW51" i="3"/>
  <c r="DU51" i="3"/>
  <c r="DS51" i="3"/>
  <c r="DF51" i="3"/>
  <c r="DD51" i="3"/>
  <c r="DB51" i="3"/>
  <c r="CZ51" i="3"/>
  <c r="EE51" i="3"/>
  <c r="CV51" i="3"/>
  <c r="CT51" i="3"/>
  <c r="CR51" i="3"/>
  <c r="CP51" i="3"/>
  <c r="CN51" i="3"/>
  <c r="CI51" i="3"/>
  <c r="CD51" i="3"/>
  <c r="CB51" i="3"/>
  <c r="BZ51" i="3"/>
  <c r="CX51" i="3"/>
  <c r="AH51" i="3"/>
  <c r="AJ51" i="3"/>
  <c r="AP51" i="3"/>
  <c r="AE51" i="3"/>
  <c r="AV51" i="3"/>
  <c r="AS51" i="3"/>
  <c r="AY51" i="3"/>
  <c r="BB51" i="3"/>
  <c r="BD51" i="3"/>
  <c r="BF51" i="3"/>
  <c r="BI51" i="3"/>
  <c r="BP51" i="3"/>
  <c r="AC51" i="3"/>
  <c r="BX51" i="3"/>
  <c r="FN51" i="3"/>
  <c r="E51" i="3"/>
  <c r="C51" i="3"/>
  <c r="FK50" i="3"/>
  <c r="FI50" i="3"/>
  <c r="FG50" i="3"/>
  <c r="FE50" i="3"/>
  <c r="FC50" i="3"/>
  <c r="FA50" i="3"/>
  <c r="EY50" i="3"/>
  <c r="EW50" i="3"/>
  <c r="EU50" i="3"/>
  <c r="FM50" i="3"/>
  <c r="EQ50" i="3"/>
  <c r="EO50" i="3"/>
  <c r="EM50" i="3"/>
  <c r="EK50" i="3"/>
  <c r="EI50" i="3"/>
  <c r="EG50" i="3"/>
  <c r="ES50" i="3"/>
  <c r="EC50" i="3"/>
  <c r="EA50" i="3"/>
  <c r="DY50" i="3"/>
  <c r="DW50" i="3"/>
  <c r="DU50" i="3"/>
  <c r="DS50" i="3"/>
  <c r="DF50" i="3"/>
  <c r="DD50" i="3"/>
  <c r="DB50" i="3"/>
  <c r="CZ50" i="3"/>
  <c r="EE50" i="3"/>
  <c r="CV50" i="3"/>
  <c r="CT50" i="3"/>
  <c r="CR50" i="3"/>
  <c r="CP50" i="3"/>
  <c r="CN50" i="3"/>
  <c r="CI50" i="3"/>
  <c r="CD50" i="3"/>
  <c r="CB50" i="3"/>
  <c r="BZ50" i="3"/>
  <c r="CX50" i="3"/>
  <c r="AH50" i="3"/>
  <c r="AJ50" i="3"/>
  <c r="AP50" i="3"/>
  <c r="AE50" i="3"/>
  <c r="AV50" i="3"/>
  <c r="AS50" i="3"/>
  <c r="AY50" i="3"/>
  <c r="BB50" i="3"/>
  <c r="BD50" i="3"/>
  <c r="BF50" i="3"/>
  <c r="BI50" i="3"/>
  <c r="BP50" i="3"/>
  <c r="AC50" i="3"/>
  <c r="BX50" i="3"/>
  <c r="FN50" i="3"/>
  <c r="E50" i="3"/>
  <c r="C50" i="3"/>
  <c r="FK49" i="3"/>
  <c r="FI49" i="3"/>
  <c r="FG49" i="3"/>
  <c r="FE49" i="3"/>
  <c r="FC49" i="3"/>
  <c r="FA49" i="3"/>
  <c r="EY49" i="3"/>
  <c r="EW49" i="3"/>
  <c r="EU49" i="3"/>
  <c r="FM49" i="3"/>
  <c r="EQ49" i="3"/>
  <c r="EO49" i="3"/>
  <c r="EM49" i="3"/>
  <c r="EK49" i="3"/>
  <c r="EI49" i="3"/>
  <c r="EG49" i="3"/>
  <c r="ES49" i="3"/>
  <c r="EC49" i="3"/>
  <c r="EA49" i="3"/>
  <c r="DY49" i="3"/>
  <c r="DW49" i="3"/>
  <c r="DU49" i="3"/>
  <c r="DS49" i="3"/>
  <c r="DF49" i="3"/>
  <c r="DD49" i="3"/>
  <c r="DB49" i="3"/>
  <c r="CZ49" i="3"/>
  <c r="EE49" i="3"/>
  <c r="CV49" i="3"/>
  <c r="CT49" i="3"/>
  <c r="CR49" i="3"/>
  <c r="CP49" i="3"/>
  <c r="CN49" i="3"/>
  <c r="CI49" i="3"/>
  <c r="CD49" i="3"/>
  <c r="CB49" i="3"/>
  <c r="BZ49" i="3"/>
  <c r="CX49" i="3"/>
  <c r="AH49" i="3"/>
  <c r="AJ49" i="3"/>
  <c r="AP49" i="3"/>
  <c r="AE49" i="3"/>
  <c r="AV49" i="3"/>
  <c r="AS49" i="3"/>
  <c r="AY49" i="3"/>
  <c r="BB49" i="3"/>
  <c r="BD49" i="3"/>
  <c r="BF49" i="3"/>
  <c r="BI49" i="3"/>
  <c r="BP49" i="3"/>
  <c r="AC49" i="3"/>
  <c r="BX49" i="3"/>
  <c r="FN49" i="3"/>
  <c r="E49" i="3"/>
  <c r="C49" i="3"/>
  <c r="FK48" i="3"/>
  <c r="FI48" i="3"/>
  <c r="FG48" i="3"/>
  <c r="FE48" i="3"/>
  <c r="FC48" i="3"/>
  <c r="FA48" i="3"/>
  <c r="EY48" i="3"/>
  <c r="EW48" i="3"/>
  <c r="EU48" i="3"/>
  <c r="FM48" i="3"/>
  <c r="EQ48" i="3"/>
  <c r="EO48" i="3"/>
  <c r="EM48" i="3"/>
  <c r="EK48" i="3"/>
  <c r="EI48" i="3"/>
  <c r="EG48" i="3"/>
  <c r="ES48" i="3"/>
  <c r="EC48" i="3"/>
  <c r="EA48" i="3"/>
  <c r="DY48" i="3"/>
  <c r="DW48" i="3"/>
  <c r="DU48" i="3"/>
  <c r="DS48" i="3"/>
  <c r="DF48" i="3"/>
  <c r="DD48" i="3"/>
  <c r="DB48" i="3"/>
  <c r="CZ48" i="3"/>
  <c r="EE48" i="3"/>
  <c r="CV48" i="3"/>
  <c r="CT48" i="3"/>
  <c r="CR48" i="3"/>
  <c r="CP48" i="3"/>
  <c r="CN48" i="3"/>
  <c r="CI48" i="3"/>
  <c r="CD48" i="3"/>
  <c r="CB48" i="3"/>
  <c r="BZ48" i="3"/>
  <c r="CX48" i="3"/>
  <c r="AH48" i="3"/>
  <c r="AJ48" i="3"/>
  <c r="AP48" i="3"/>
  <c r="AE48" i="3"/>
  <c r="AV48" i="3"/>
  <c r="AS48" i="3"/>
  <c r="AY48" i="3"/>
  <c r="BB48" i="3"/>
  <c r="BD48" i="3"/>
  <c r="BF48" i="3"/>
  <c r="BI48" i="3"/>
  <c r="BP48" i="3"/>
  <c r="AC48" i="3"/>
  <c r="BX48" i="3"/>
  <c r="FN48" i="3"/>
  <c r="E48" i="3"/>
  <c r="C48" i="3"/>
  <c r="FK47" i="3"/>
  <c r="FI47" i="3"/>
  <c r="FG47" i="3"/>
  <c r="FE47" i="3"/>
  <c r="FC47" i="3"/>
  <c r="FA47" i="3"/>
  <c r="EY47" i="3"/>
  <c r="EW47" i="3"/>
  <c r="EU47" i="3"/>
  <c r="FM47" i="3"/>
  <c r="EQ47" i="3"/>
  <c r="EO47" i="3"/>
  <c r="EM47" i="3"/>
  <c r="EK47" i="3"/>
  <c r="EI47" i="3"/>
  <c r="EG47" i="3"/>
  <c r="ES47" i="3"/>
  <c r="EC47" i="3"/>
  <c r="EA47" i="3"/>
  <c r="DY47" i="3"/>
  <c r="DW47" i="3"/>
  <c r="DU47" i="3"/>
  <c r="DS47" i="3"/>
  <c r="DF47" i="3"/>
  <c r="DD47" i="3"/>
  <c r="DB47" i="3"/>
  <c r="CZ47" i="3"/>
  <c r="EE47" i="3"/>
  <c r="CV47" i="3"/>
  <c r="CT47" i="3"/>
  <c r="CR47" i="3"/>
  <c r="CP47" i="3"/>
  <c r="CN47" i="3"/>
  <c r="CI47" i="3"/>
  <c r="CD47" i="3"/>
  <c r="CB47" i="3"/>
  <c r="BZ47" i="3"/>
  <c r="CX47" i="3"/>
  <c r="AH47" i="3"/>
  <c r="AJ47" i="3"/>
  <c r="AP47" i="3"/>
  <c r="AE47" i="3"/>
  <c r="AV47" i="3"/>
  <c r="AS47" i="3"/>
  <c r="AY47" i="3"/>
  <c r="BB47" i="3"/>
  <c r="BD47" i="3"/>
  <c r="BF47" i="3"/>
  <c r="BI47" i="3"/>
  <c r="BP47" i="3"/>
  <c r="AC47" i="3"/>
  <c r="BX47" i="3"/>
  <c r="FN47" i="3"/>
  <c r="E47" i="3"/>
  <c r="C47" i="3"/>
  <c r="FK46" i="3"/>
  <c r="FI46" i="3"/>
  <c r="FG46" i="3"/>
  <c r="FE46" i="3"/>
  <c r="FC46" i="3"/>
  <c r="FA46" i="3"/>
  <c r="EY46" i="3"/>
  <c r="EW46" i="3"/>
  <c r="EU46" i="3"/>
  <c r="FM46" i="3"/>
  <c r="EQ46" i="3"/>
  <c r="EO46" i="3"/>
  <c r="EM46" i="3"/>
  <c r="EK46" i="3"/>
  <c r="EI46" i="3"/>
  <c r="EG46" i="3"/>
  <c r="ES46" i="3"/>
  <c r="EC46" i="3"/>
  <c r="EA46" i="3"/>
  <c r="DY46" i="3"/>
  <c r="DW46" i="3"/>
  <c r="DU46" i="3"/>
  <c r="DS46" i="3"/>
  <c r="DF46" i="3"/>
  <c r="DD46" i="3"/>
  <c r="DB46" i="3"/>
  <c r="CZ46" i="3"/>
  <c r="EE46" i="3"/>
  <c r="CV46" i="3"/>
  <c r="CT46" i="3"/>
  <c r="CR46" i="3"/>
  <c r="CP46" i="3"/>
  <c r="CN46" i="3"/>
  <c r="CI46" i="3"/>
  <c r="CD46" i="3"/>
  <c r="CB46" i="3"/>
  <c r="BZ46" i="3"/>
  <c r="CX46" i="3"/>
  <c r="AH46" i="3"/>
  <c r="AJ46" i="3"/>
  <c r="AP46" i="3"/>
  <c r="AE46" i="3"/>
  <c r="AV46" i="3"/>
  <c r="AS46" i="3"/>
  <c r="AY46" i="3"/>
  <c r="BB46" i="3"/>
  <c r="BD46" i="3"/>
  <c r="BF46" i="3"/>
  <c r="BI46" i="3"/>
  <c r="BP46" i="3"/>
  <c r="AC46" i="3"/>
  <c r="BX46" i="3"/>
  <c r="FN46" i="3"/>
  <c r="C46" i="3"/>
  <c r="FK45" i="3"/>
  <c r="FI45" i="3"/>
  <c r="FG45" i="3"/>
  <c r="FE45" i="3"/>
  <c r="FC45" i="3"/>
  <c r="FA45" i="3"/>
  <c r="EY45" i="3"/>
  <c r="EW45" i="3"/>
  <c r="EU45" i="3"/>
  <c r="FM45" i="3"/>
  <c r="EQ45" i="3"/>
  <c r="EO45" i="3"/>
  <c r="EM45" i="3"/>
  <c r="EK45" i="3"/>
  <c r="EI45" i="3"/>
  <c r="EG45" i="3"/>
  <c r="ES45" i="3"/>
  <c r="EC45" i="3"/>
  <c r="EA45" i="3"/>
  <c r="DY45" i="3"/>
  <c r="DW45" i="3"/>
  <c r="DU45" i="3"/>
  <c r="DS45" i="3"/>
  <c r="DF45" i="3"/>
  <c r="DD45" i="3"/>
  <c r="DB45" i="3"/>
  <c r="CZ45" i="3"/>
  <c r="EE45" i="3"/>
  <c r="CV45" i="3"/>
  <c r="CT45" i="3"/>
  <c r="CR45" i="3"/>
  <c r="CP45" i="3"/>
  <c r="CN45" i="3"/>
  <c r="CI45" i="3"/>
  <c r="CD45" i="3"/>
  <c r="CB45" i="3"/>
  <c r="BZ45" i="3"/>
  <c r="CX45" i="3"/>
  <c r="AH45" i="3"/>
  <c r="AJ45" i="3"/>
  <c r="AP45" i="3"/>
  <c r="AE45" i="3"/>
  <c r="AV45" i="3"/>
  <c r="AS45" i="3"/>
  <c r="AY45" i="3"/>
  <c r="BB45" i="3"/>
  <c r="BD45" i="3"/>
  <c r="BF45" i="3"/>
  <c r="BI45" i="3"/>
  <c r="BP45" i="3"/>
  <c r="AC45" i="3"/>
  <c r="BX45" i="3"/>
  <c r="FN45" i="3"/>
  <c r="C45" i="3"/>
  <c r="FK44" i="3"/>
  <c r="FI44" i="3"/>
  <c r="FG44" i="3"/>
  <c r="FE44" i="3"/>
  <c r="FC44" i="3"/>
  <c r="FA44" i="3"/>
  <c r="EY44" i="3"/>
  <c r="EW44" i="3"/>
  <c r="EU44" i="3"/>
  <c r="FM44" i="3"/>
  <c r="EQ44" i="3"/>
  <c r="EO44" i="3"/>
  <c r="EM44" i="3"/>
  <c r="EK44" i="3"/>
  <c r="EI44" i="3"/>
  <c r="EG44" i="3"/>
  <c r="ES44" i="3"/>
  <c r="EC44" i="3"/>
  <c r="EA44" i="3"/>
  <c r="DY44" i="3"/>
  <c r="DW44" i="3"/>
  <c r="DU44" i="3"/>
  <c r="DS44" i="3"/>
  <c r="DF44" i="3"/>
  <c r="DD44" i="3"/>
  <c r="DB44" i="3"/>
  <c r="CZ44" i="3"/>
  <c r="EE44" i="3"/>
  <c r="CV44" i="3"/>
  <c r="CT44" i="3"/>
  <c r="CR44" i="3"/>
  <c r="CP44" i="3"/>
  <c r="CN44" i="3"/>
  <c r="CI44" i="3"/>
  <c r="CD44" i="3"/>
  <c r="CB44" i="3"/>
  <c r="BZ44" i="3"/>
  <c r="CX44" i="3"/>
  <c r="AH44" i="3"/>
  <c r="AJ44" i="3"/>
  <c r="AP44" i="3"/>
  <c r="AE44" i="3"/>
  <c r="AV44" i="3"/>
  <c r="AS44" i="3"/>
  <c r="AY44" i="3"/>
  <c r="BB44" i="3"/>
  <c r="BD44" i="3"/>
  <c r="BF44" i="3"/>
  <c r="BI44" i="3"/>
  <c r="BP44" i="3"/>
  <c r="AC44" i="3"/>
  <c r="BX44" i="3"/>
  <c r="FN44" i="3"/>
  <c r="E44" i="3"/>
  <c r="C44" i="3"/>
  <c r="FK43" i="3"/>
  <c r="FI43" i="3"/>
  <c r="FG43" i="3"/>
  <c r="FE43" i="3"/>
  <c r="FC43" i="3"/>
  <c r="FA43" i="3"/>
  <c r="EY43" i="3"/>
  <c r="EW43" i="3"/>
  <c r="EU43" i="3"/>
  <c r="FM43" i="3"/>
  <c r="EQ43" i="3"/>
  <c r="EO43" i="3"/>
  <c r="EM43" i="3"/>
  <c r="EK43" i="3"/>
  <c r="EI43" i="3"/>
  <c r="ES43" i="3"/>
  <c r="EC43" i="3"/>
  <c r="EA43" i="3"/>
  <c r="DY43" i="3"/>
  <c r="DW43" i="3"/>
  <c r="DU43" i="3"/>
  <c r="DS43" i="3"/>
  <c r="DF43" i="3"/>
  <c r="DD43" i="3"/>
  <c r="DB43" i="3"/>
  <c r="CZ43" i="3"/>
  <c r="EE43" i="3"/>
  <c r="CV43" i="3"/>
  <c r="CT43" i="3"/>
  <c r="CR43" i="3"/>
  <c r="CP43" i="3"/>
  <c r="CN43" i="3"/>
  <c r="CI43" i="3"/>
  <c r="CD43" i="3"/>
  <c r="CB43" i="3"/>
  <c r="BZ43" i="3"/>
  <c r="CX43" i="3"/>
  <c r="AH43" i="3"/>
  <c r="AJ43" i="3"/>
  <c r="AP43" i="3"/>
  <c r="AE43" i="3"/>
  <c r="AV43" i="3"/>
  <c r="AS43" i="3"/>
  <c r="AY43" i="3"/>
  <c r="BB43" i="3"/>
  <c r="BD43" i="3"/>
  <c r="BF43" i="3"/>
  <c r="BI43" i="3"/>
  <c r="BP43" i="3"/>
  <c r="AC43" i="3"/>
  <c r="BX43" i="3"/>
  <c r="FN43" i="3"/>
  <c r="E43" i="3"/>
  <c r="C43" i="3"/>
  <c r="FK42" i="3"/>
  <c r="FI42" i="3"/>
  <c r="FG42" i="3"/>
  <c r="FE42" i="3"/>
  <c r="FC42" i="3"/>
  <c r="FA42" i="3"/>
  <c r="EY42" i="3"/>
  <c r="EW42" i="3"/>
  <c r="EU42" i="3"/>
  <c r="FM42" i="3"/>
  <c r="EQ42" i="3"/>
  <c r="EO42" i="3"/>
  <c r="EM42" i="3"/>
  <c r="EK42" i="3"/>
  <c r="EI42" i="3"/>
  <c r="EG42" i="3"/>
  <c r="ES42" i="3"/>
  <c r="EC42" i="3"/>
  <c r="EA42" i="3"/>
  <c r="DY42" i="3"/>
  <c r="DW42" i="3"/>
  <c r="DU42" i="3"/>
  <c r="DS42" i="3"/>
  <c r="DF42" i="3"/>
  <c r="DD42" i="3"/>
  <c r="DB42" i="3"/>
  <c r="CZ42" i="3"/>
  <c r="EE42" i="3"/>
  <c r="CV42" i="3"/>
  <c r="CT42" i="3"/>
  <c r="CR42" i="3"/>
  <c r="CP42" i="3"/>
  <c r="CN42" i="3"/>
  <c r="CI42" i="3"/>
  <c r="CD42" i="3"/>
  <c r="CB42" i="3"/>
  <c r="BZ42" i="3"/>
  <c r="CX42" i="3"/>
  <c r="AH42" i="3"/>
  <c r="AJ42" i="3"/>
  <c r="AP42" i="3"/>
  <c r="AE42" i="3"/>
  <c r="AV42" i="3"/>
  <c r="AS42" i="3"/>
  <c r="AY42" i="3"/>
  <c r="BB42" i="3"/>
  <c r="BD42" i="3"/>
  <c r="BF42" i="3"/>
  <c r="BI42" i="3"/>
  <c r="BP42" i="3"/>
  <c r="AC42" i="3"/>
  <c r="BX42" i="3"/>
  <c r="FN42" i="3"/>
  <c r="E42" i="3"/>
  <c r="C42" i="3"/>
  <c r="FK41" i="3"/>
  <c r="FI41" i="3"/>
  <c r="FG41" i="3"/>
  <c r="FE41" i="3"/>
  <c r="FC41" i="3"/>
  <c r="FA41" i="3"/>
  <c r="EY41" i="3"/>
  <c r="EW41" i="3"/>
  <c r="EU41" i="3"/>
  <c r="FM41" i="3"/>
  <c r="EQ41" i="3"/>
  <c r="EO41" i="3"/>
  <c r="EM41" i="3"/>
  <c r="EK41" i="3"/>
  <c r="EI41" i="3"/>
  <c r="ES41" i="3"/>
  <c r="EC41" i="3"/>
  <c r="EA41" i="3"/>
  <c r="DY41" i="3"/>
  <c r="DW41" i="3"/>
  <c r="DU41" i="3"/>
  <c r="DS41" i="3"/>
  <c r="DF41" i="3"/>
  <c r="DD41" i="3"/>
  <c r="DB41" i="3"/>
  <c r="CZ41" i="3"/>
  <c r="EE41" i="3"/>
  <c r="CV41" i="3"/>
  <c r="CT41" i="3"/>
  <c r="CR41" i="3"/>
  <c r="CP41" i="3"/>
  <c r="CN41" i="3"/>
  <c r="CI41" i="3"/>
  <c r="CD41" i="3"/>
  <c r="CB41" i="3"/>
  <c r="BZ41" i="3"/>
  <c r="CX41" i="3"/>
  <c r="AH41" i="3"/>
  <c r="AJ41" i="3"/>
  <c r="AP41" i="3"/>
  <c r="AE41" i="3"/>
  <c r="AV41" i="3"/>
  <c r="AS41" i="3"/>
  <c r="AY41" i="3"/>
  <c r="BB41" i="3"/>
  <c r="BD41" i="3"/>
  <c r="BF41" i="3"/>
  <c r="BI41" i="3"/>
  <c r="BP41" i="3"/>
  <c r="AC41" i="3"/>
  <c r="BX41" i="3"/>
  <c r="FN41" i="3"/>
  <c r="E41" i="3"/>
  <c r="C41" i="3"/>
  <c r="FK40" i="3"/>
  <c r="FI40" i="3"/>
  <c r="FG40" i="3"/>
  <c r="FE40" i="3"/>
  <c r="FC40" i="3"/>
  <c r="FA40" i="3"/>
  <c r="EY40" i="3"/>
  <c r="EW40" i="3"/>
  <c r="EU40" i="3"/>
  <c r="FM40" i="3"/>
  <c r="EQ40" i="3"/>
  <c r="EO40" i="3"/>
  <c r="EM40" i="3"/>
  <c r="EK40" i="3"/>
  <c r="EI40" i="3"/>
  <c r="EG40" i="3"/>
  <c r="ES40" i="3"/>
  <c r="EC40" i="3"/>
  <c r="EA40" i="3"/>
  <c r="DY40" i="3"/>
  <c r="DW40" i="3"/>
  <c r="DU40" i="3"/>
  <c r="DS40" i="3"/>
  <c r="DF40" i="3"/>
  <c r="DD40" i="3"/>
  <c r="DB40" i="3"/>
  <c r="CZ40" i="3"/>
  <c r="EE40" i="3"/>
  <c r="CV40" i="3"/>
  <c r="CT40" i="3"/>
  <c r="CR40" i="3"/>
  <c r="CP40" i="3"/>
  <c r="CN40" i="3"/>
  <c r="CI40" i="3"/>
  <c r="CD40" i="3"/>
  <c r="CB40" i="3"/>
  <c r="BZ40" i="3"/>
  <c r="CX40" i="3"/>
  <c r="AH40" i="3"/>
  <c r="AJ40" i="3"/>
  <c r="AP40" i="3"/>
  <c r="AE40" i="3"/>
  <c r="AV40" i="3"/>
  <c r="AS40" i="3"/>
  <c r="AY40" i="3"/>
  <c r="BB40" i="3"/>
  <c r="BD40" i="3"/>
  <c r="BF40" i="3"/>
  <c r="BI40" i="3"/>
  <c r="BP40" i="3"/>
  <c r="AC40" i="3"/>
  <c r="BX40" i="3"/>
  <c r="FN40" i="3"/>
  <c r="E40" i="3"/>
  <c r="C40" i="3"/>
  <c r="FK39" i="3"/>
  <c r="FI39" i="3"/>
  <c r="FG39" i="3"/>
  <c r="FE39" i="3"/>
  <c r="FC39" i="3"/>
  <c r="FA39" i="3"/>
  <c r="EY39" i="3"/>
  <c r="EW39" i="3"/>
  <c r="EU39" i="3"/>
  <c r="FM39" i="3"/>
  <c r="EQ39" i="3"/>
  <c r="EO39" i="3"/>
  <c r="EM39" i="3"/>
  <c r="EK39" i="3"/>
  <c r="EI39" i="3"/>
  <c r="ES39" i="3"/>
  <c r="EC39" i="3"/>
  <c r="EA39" i="3"/>
  <c r="DY39" i="3"/>
  <c r="DW39" i="3"/>
  <c r="DU39" i="3"/>
  <c r="DS39" i="3"/>
  <c r="DF39" i="3"/>
  <c r="DD39" i="3"/>
  <c r="DB39" i="3"/>
  <c r="CZ39" i="3"/>
  <c r="EE39" i="3"/>
  <c r="CV39" i="3"/>
  <c r="CT39" i="3"/>
  <c r="CR39" i="3"/>
  <c r="CP39" i="3"/>
  <c r="CN39" i="3"/>
  <c r="CI39" i="3"/>
  <c r="CD39" i="3"/>
  <c r="CB39" i="3"/>
  <c r="BZ39" i="3"/>
  <c r="CX39" i="3"/>
  <c r="AH39" i="3"/>
  <c r="AJ39" i="3"/>
  <c r="AP39" i="3"/>
  <c r="AE39" i="3"/>
  <c r="AV39" i="3"/>
  <c r="AS39" i="3"/>
  <c r="AY39" i="3"/>
  <c r="BB39" i="3"/>
  <c r="BD39" i="3"/>
  <c r="BF39" i="3"/>
  <c r="BI39" i="3"/>
  <c r="BP39" i="3"/>
  <c r="AC39" i="3"/>
  <c r="BX39" i="3"/>
  <c r="FN39" i="3"/>
  <c r="E39" i="3"/>
  <c r="C39" i="3"/>
  <c r="FK38" i="3"/>
  <c r="FI38" i="3"/>
  <c r="FG38" i="3"/>
  <c r="FE38" i="3"/>
  <c r="FC38" i="3"/>
  <c r="FA38" i="3"/>
  <c r="EY38" i="3"/>
  <c r="EW38" i="3"/>
  <c r="EU38" i="3"/>
  <c r="FM38" i="3"/>
  <c r="EQ38" i="3"/>
  <c r="EO38" i="3"/>
  <c r="EM38" i="3"/>
  <c r="EK38" i="3"/>
  <c r="EI38" i="3"/>
  <c r="EG38" i="3"/>
  <c r="ES38" i="3"/>
  <c r="EC38" i="3"/>
  <c r="EA38" i="3"/>
  <c r="DY38" i="3"/>
  <c r="DW38" i="3"/>
  <c r="DU38" i="3"/>
  <c r="DS38" i="3"/>
  <c r="DF38" i="3"/>
  <c r="DD38" i="3"/>
  <c r="DB38" i="3"/>
  <c r="CZ38" i="3"/>
  <c r="EE38" i="3"/>
  <c r="CV38" i="3"/>
  <c r="CT38" i="3"/>
  <c r="CR38" i="3"/>
  <c r="CP38" i="3"/>
  <c r="CN38" i="3"/>
  <c r="CI38" i="3"/>
  <c r="CD38" i="3"/>
  <c r="CB38" i="3"/>
  <c r="BZ38" i="3"/>
  <c r="CX38" i="3"/>
  <c r="AH38" i="3"/>
  <c r="AJ38" i="3"/>
  <c r="AP38" i="3"/>
  <c r="AE38" i="3"/>
  <c r="AV38" i="3"/>
  <c r="AS38" i="3"/>
  <c r="AY38" i="3"/>
  <c r="BB38" i="3"/>
  <c r="BD38" i="3"/>
  <c r="BF38" i="3"/>
  <c r="BI38" i="3"/>
  <c r="BP38" i="3"/>
  <c r="AC38" i="3"/>
  <c r="BX38" i="3"/>
  <c r="FN38" i="3"/>
  <c r="E38" i="3"/>
  <c r="C38" i="3"/>
  <c r="FK37" i="3"/>
  <c r="FI37" i="3"/>
  <c r="FG37" i="3"/>
  <c r="FE37" i="3"/>
  <c r="FC37" i="3"/>
  <c r="FA37" i="3"/>
  <c r="EY37" i="3"/>
  <c r="EW37" i="3"/>
  <c r="EU37" i="3"/>
  <c r="FM37" i="3"/>
  <c r="EQ37" i="3"/>
  <c r="EO37" i="3"/>
  <c r="EM37" i="3"/>
  <c r="EK37" i="3"/>
  <c r="EI37" i="3"/>
  <c r="EG37" i="3"/>
  <c r="ES37" i="3"/>
  <c r="EC37" i="3"/>
  <c r="EA37" i="3"/>
  <c r="DY37" i="3"/>
  <c r="DW37" i="3"/>
  <c r="DU37" i="3"/>
  <c r="DS37" i="3"/>
  <c r="DF37" i="3"/>
  <c r="DD37" i="3"/>
  <c r="DB37" i="3"/>
  <c r="CZ37" i="3"/>
  <c r="EE37" i="3"/>
  <c r="CV37" i="3"/>
  <c r="CT37" i="3"/>
  <c r="CR37" i="3"/>
  <c r="CP37" i="3"/>
  <c r="CN37" i="3"/>
  <c r="CI37" i="3"/>
  <c r="CD37" i="3"/>
  <c r="CB37" i="3"/>
  <c r="BZ37" i="3"/>
  <c r="CX37" i="3"/>
  <c r="AH37" i="3"/>
  <c r="AJ37" i="3"/>
  <c r="AP37" i="3"/>
  <c r="AE37" i="3"/>
  <c r="AV37" i="3"/>
  <c r="AS37" i="3"/>
  <c r="AY37" i="3"/>
  <c r="BB37" i="3"/>
  <c r="BD37" i="3"/>
  <c r="BF37" i="3"/>
  <c r="BI37" i="3"/>
  <c r="BP37" i="3"/>
  <c r="AC37" i="3"/>
  <c r="BX37" i="3"/>
  <c r="FN37" i="3"/>
  <c r="E37" i="3"/>
  <c r="C37" i="3"/>
  <c r="FK36" i="3"/>
  <c r="FI36" i="3"/>
  <c r="FG36" i="3"/>
  <c r="FE36" i="3"/>
  <c r="FC36" i="3"/>
  <c r="FA36" i="3"/>
  <c r="EY36" i="3"/>
  <c r="EW36" i="3"/>
  <c r="EU36" i="3"/>
  <c r="FM36" i="3"/>
  <c r="EQ36" i="3"/>
  <c r="EO36" i="3"/>
  <c r="EM36" i="3"/>
  <c r="EK36" i="3"/>
  <c r="EI36" i="3"/>
  <c r="EG36" i="3"/>
  <c r="ES36" i="3"/>
  <c r="EC36" i="3"/>
  <c r="EA36" i="3"/>
  <c r="DY36" i="3"/>
  <c r="DW36" i="3"/>
  <c r="DU36" i="3"/>
  <c r="DS36" i="3"/>
  <c r="DF36" i="3"/>
  <c r="DD36" i="3"/>
  <c r="DB36" i="3"/>
  <c r="CZ36" i="3"/>
  <c r="EE36" i="3"/>
  <c r="CV36" i="3"/>
  <c r="CT36" i="3"/>
  <c r="CR36" i="3"/>
  <c r="CP36" i="3"/>
  <c r="CN36" i="3"/>
  <c r="CI36" i="3"/>
  <c r="CD36" i="3"/>
  <c r="CB36" i="3"/>
  <c r="BZ36" i="3"/>
  <c r="CX36" i="3"/>
  <c r="AH36" i="3"/>
  <c r="AJ36" i="3"/>
  <c r="AP36" i="3"/>
  <c r="AE36" i="3"/>
  <c r="AV36" i="3"/>
  <c r="AS36" i="3"/>
  <c r="AY36" i="3"/>
  <c r="BB36" i="3"/>
  <c r="BD36" i="3"/>
  <c r="BF36" i="3"/>
  <c r="BI36" i="3"/>
  <c r="BP36" i="3"/>
  <c r="AC36" i="3"/>
  <c r="BX36" i="3"/>
  <c r="FN36" i="3"/>
  <c r="E36" i="3"/>
  <c r="C36" i="3"/>
  <c r="FK35" i="3"/>
  <c r="FI35" i="3"/>
  <c r="FG35" i="3"/>
  <c r="FE35" i="3"/>
  <c r="FC35" i="3"/>
  <c r="FA35" i="3"/>
  <c r="EY35" i="3"/>
  <c r="EW35" i="3"/>
  <c r="EU35" i="3"/>
  <c r="FM35" i="3"/>
  <c r="EQ35" i="3"/>
  <c r="EO35" i="3"/>
  <c r="EM35" i="3"/>
  <c r="EK35" i="3"/>
  <c r="EI35" i="3"/>
  <c r="ES35" i="3"/>
  <c r="EC35" i="3"/>
  <c r="EA35" i="3"/>
  <c r="DY35" i="3"/>
  <c r="DW35" i="3"/>
  <c r="DU35" i="3"/>
  <c r="DS35" i="3"/>
  <c r="DF35" i="3"/>
  <c r="DD35" i="3"/>
  <c r="DB35" i="3"/>
  <c r="CZ35" i="3"/>
  <c r="EE35" i="3"/>
  <c r="CV35" i="3"/>
  <c r="CT35" i="3"/>
  <c r="CR35" i="3"/>
  <c r="CP35" i="3"/>
  <c r="CN35" i="3"/>
  <c r="CI35" i="3"/>
  <c r="CD35" i="3"/>
  <c r="CB35" i="3"/>
  <c r="BZ35" i="3"/>
  <c r="CX35" i="3"/>
  <c r="AH35" i="3"/>
  <c r="AJ35" i="3"/>
  <c r="AP35" i="3"/>
  <c r="AE35" i="3"/>
  <c r="AV35" i="3"/>
  <c r="AS35" i="3"/>
  <c r="AY35" i="3"/>
  <c r="BB35" i="3"/>
  <c r="BD35" i="3"/>
  <c r="BF35" i="3"/>
  <c r="BI35" i="3"/>
  <c r="BP35" i="3"/>
  <c r="AC35" i="3"/>
  <c r="BX35" i="3"/>
  <c r="FN35" i="3"/>
  <c r="E35" i="3"/>
  <c r="C35" i="3"/>
  <c r="FK34" i="3"/>
  <c r="FI34" i="3"/>
  <c r="FG34" i="3"/>
  <c r="FE34" i="3"/>
  <c r="FC34" i="3"/>
  <c r="FA34" i="3"/>
  <c r="EY34" i="3"/>
  <c r="EW34" i="3"/>
  <c r="EU34" i="3"/>
  <c r="FM34" i="3"/>
  <c r="EQ34" i="3"/>
  <c r="EO34" i="3"/>
  <c r="EM34" i="3"/>
  <c r="EK34" i="3"/>
  <c r="EI34" i="3"/>
  <c r="EG34" i="3"/>
  <c r="ES34" i="3"/>
  <c r="EC34" i="3"/>
  <c r="EA34" i="3"/>
  <c r="DY34" i="3"/>
  <c r="DW34" i="3"/>
  <c r="DU34" i="3"/>
  <c r="DS34" i="3"/>
  <c r="DF34" i="3"/>
  <c r="DD34" i="3"/>
  <c r="DB34" i="3"/>
  <c r="CZ34" i="3"/>
  <c r="EE34" i="3"/>
  <c r="CV34" i="3"/>
  <c r="CT34" i="3"/>
  <c r="CR34" i="3"/>
  <c r="CP34" i="3"/>
  <c r="CN34" i="3"/>
  <c r="CI34" i="3"/>
  <c r="CD34" i="3"/>
  <c r="CB34" i="3"/>
  <c r="BZ34" i="3"/>
  <c r="CX34" i="3"/>
  <c r="AH34" i="3"/>
  <c r="AJ34" i="3"/>
  <c r="AP34" i="3"/>
  <c r="AE34" i="3"/>
  <c r="AV34" i="3"/>
  <c r="AS34" i="3"/>
  <c r="AY34" i="3"/>
  <c r="BB34" i="3"/>
  <c r="BD34" i="3"/>
  <c r="BF34" i="3"/>
  <c r="BI34" i="3"/>
  <c r="BP34" i="3"/>
  <c r="AC34" i="3"/>
  <c r="BX34" i="3"/>
  <c r="FN34" i="3"/>
  <c r="E34" i="3"/>
  <c r="C34" i="3"/>
  <c r="FK33" i="3"/>
  <c r="FI33" i="3"/>
  <c r="FG33" i="3"/>
  <c r="FE33" i="3"/>
  <c r="FC33" i="3"/>
  <c r="FA33" i="3"/>
  <c r="EY33" i="3"/>
  <c r="EW33" i="3"/>
  <c r="EU33" i="3"/>
  <c r="FM33" i="3"/>
  <c r="EQ33" i="3"/>
  <c r="EO33" i="3"/>
  <c r="EM33" i="3"/>
  <c r="EK33" i="3"/>
  <c r="EI33" i="3"/>
  <c r="EG33" i="3"/>
  <c r="ES33" i="3"/>
  <c r="EC33" i="3"/>
  <c r="EA33" i="3"/>
  <c r="DY33" i="3"/>
  <c r="DW33" i="3"/>
  <c r="DU33" i="3"/>
  <c r="DS33" i="3"/>
  <c r="DF33" i="3"/>
  <c r="DD33" i="3"/>
  <c r="DB33" i="3"/>
  <c r="CZ33" i="3"/>
  <c r="EE33" i="3"/>
  <c r="CV33" i="3"/>
  <c r="CT33" i="3"/>
  <c r="CR33" i="3"/>
  <c r="CP33" i="3"/>
  <c r="CN33" i="3"/>
  <c r="CI33" i="3"/>
  <c r="CD33" i="3"/>
  <c r="CB33" i="3"/>
  <c r="BZ33" i="3"/>
  <c r="CX33" i="3"/>
  <c r="AH33" i="3"/>
  <c r="AJ33" i="3"/>
  <c r="AP33" i="3"/>
  <c r="AE33" i="3"/>
  <c r="AV33" i="3"/>
  <c r="AS33" i="3"/>
  <c r="AY33" i="3"/>
  <c r="BB33" i="3"/>
  <c r="BD33" i="3"/>
  <c r="BF33" i="3"/>
  <c r="BI33" i="3"/>
  <c r="BP33" i="3"/>
  <c r="AC33" i="3"/>
  <c r="BX33" i="3"/>
  <c r="FN33" i="3"/>
  <c r="C33" i="3"/>
  <c r="FK32" i="3"/>
  <c r="FI32" i="3"/>
  <c r="FG32" i="3"/>
  <c r="FE32" i="3"/>
  <c r="FC32" i="3"/>
  <c r="FA32" i="3"/>
  <c r="EY32" i="3"/>
  <c r="EW32" i="3"/>
  <c r="EU32" i="3"/>
  <c r="FM32" i="3"/>
  <c r="EQ32" i="3"/>
  <c r="EO32" i="3"/>
  <c r="EM32" i="3"/>
  <c r="EK32" i="3"/>
  <c r="EI32" i="3"/>
  <c r="EG32" i="3"/>
  <c r="ES32" i="3"/>
  <c r="EC32" i="3"/>
  <c r="EA32" i="3"/>
  <c r="DY32" i="3"/>
  <c r="DW32" i="3"/>
  <c r="DU32" i="3"/>
  <c r="DS32" i="3"/>
  <c r="DF32" i="3"/>
  <c r="DD32" i="3"/>
  <c r="DB32" i="3"/>
  <c r="CZ32" i="3"/>
  <c r="EE32" i="3"/>
  <c r="CV32" i="3"/>
  <c r="CT32" i="3"/>
  <c r="CR32" i="3"/>
  <c r="CP32" i="3"/>
  <c r="CN32" i="3"/>
  <c r="CI32" i="3"/>
  <c r="CD32" i="3"/>
  <c r="CB32" i="3"/>
  <c r="BZ32" i="3"/>
  <c r="CX32" i="3"/>
  <c r="AH32" i="3"/>
  <c r="AJ32" i="3"/>
  <c r="AP32" i="3"/>
  <c r="AE32" i="3"/>
  <c r="AV32" i="3"/>
  <c r="AS32" i="3"/>
  <c r="AY32" i="3"/>
  <c r="BB32" i="3"/>
  <c r="BD32" i="3"/>
  <c r="BF32" i="3"/>
  <c r="BI32" i="3"/>
  <c r="BP32" i="3"/>
  <c r="AC32" i="3"/>
  <c r="BX32" i="3"/>
  <c r="FN32" i="3"/>
  <c r="E32" i="3"/>
  <c r="C32" i="3"/>
  <c r="FK31" i="3"/>
  <c r="FI31" i="3"/>
  <c r="FG31" i="3"/>
  <c r="FE31" i="3"/>
  <c r="FC31" i="3"/>
  <c r="FA31" i="3"/>
  <c r="EY31" i="3"/>
  <c r="EW31" i="3"/>
  <c r="EU31" i="3"/>
  <c r="FM31" i="3"/>
  <c r="EQ31" i="3"/>
  <c r="EO31" i="3"/>
  <c r="EM31" i="3"/>
  <c r="EK31" i="3"/>
  <c r="EI31" i="3"/>
  <c r="EG31" i="3"/>
  <c r="ES31" i="3"/>
  <c r="EC31" i="3"/>
  <c r="EA31" i="3"/>
  <c r="DY31" i="3"/>
  <c r="DW31" i="3"/>
  <c r="DU31" i="3"/>
  <c r="DS31" i="3"/>
  <c r="DF31" i="3"/>
  <c r="DD31" i="3"/>
  <c r="DB31" i="3"/>
  <c r="CZ31" i="3"/>
  <c r="EE31" i="3"/>
  <c r="CV31" i="3"/>
  <c r="CT31" i="3"/>
  <c r="CR31" i="3"/>
  <c r="CP31" i="3"/>
  <c r="CN31" i="3"/>
  <c r="CI31" i="3"/>
  <c r="CD31" i="3"/>
  <c r="CB31" i="3"/>
  <c r="BZ31" i="3"/>
  <c r="CX31" i="3"/>
  <c r="AH31" i="3"/>
  <c r="AJ31" i="3"/>
  <c r="AP31" i="3"/>
  <c r="AE31" i="3"/>
  <c r="AV31" i="3"/>
  <c r="AS31" i="3"/>
  <c r="AY31" i="3"/>
  <c r="BB31" i="3"/>
  <c r="BD31" i="3"/>
  <c r="BF31" i="3"/>
  <c r="BI31" i="3"/>
  <c r="BP31" i="3"/>
  <c r="AC31" i="3"/>
  <c r="BX31" i="3"/>
  <c r="FN31" i="3"/>
  <c r="E31" i="3"/>
  <c r="C31" i="3"/>
  <c r="FK30" i="3"/>
  <c r="FI30" i="3"/>
  <c r="FG30" i="3"/>
  <c r="FE30" i="3"/>
  <c r="FC30" i="3"/>
  <c r="FA30" i="3"/>
  <c r="EY30" i="3"/>
  <c r="EW30" i="3"/>
  <c r="EU30" i="3"/>
  <c r="FM30" i="3"/>
  <c r="EQ30" i="3"/>
  <c r="EO30" i="3"/>
  <c r="EM30" i="3"/>
  <c r="EK30" i="3"/>
  <c r="EI30" i="3"/>
  <c r="EG30" i="3"/>
  <c r="ES30" i="3"/>
  <c r="EC30" i="3"/>
  <c r="EA30" i="3"/>
  <c r="DY30" i="3"/>
  <c r="DW30" i="3"/>
  <c r="DU30" i="3"/>
  <c r="DS30" i="3"/>
  <c r="DF30" i="3"/>
  <c r="DD30" i="3"/>
  <c r="DB30" i="3"/>
  <c r="CZ30" i="3"/>
  <c r="EE30" i="3"/>
  <c r="CV30" i="3"/>
  <c r="CT30" i="3"/>
  <c r="CR30" i="3"/>
  <c r="CP30" i="3"/>
  <c r="CN30" i="3"/>
  <c r="CI30" i="3"/>
  <c r="CD30" i="3"/>
  <c r="CB30" i="3"/>
  <c r="BZ30" i="3"/>
  <c r="CX30" i="3"/>
  <c r="AH30" i="3"/>
  <c r="AJ30" i="3"/>
  <c r="AP30" i="3"/>
  <c r="AE30" i="3"/>
  <c r="AV30" i="3"/>
  <c r="AS30" i="3"/>
  <c r="AY30" i="3"/>
  <c r="BB30" i="3"/>
  <c r="BD30" i="3"/>
  <c r="BF30" i="3"/>
  <c r="BI30" i="3"/>
  <c r="BP30" i="3"/>
  <c r="AC30" i="3"/>
  <c r="BX30" i="3"/>
  <c r="FN30" i="3"/>
  <c r="E30" i="3"/>
  <c r="C30" i="3"/>
  <c r="FK29" i="3"/>
  <c r="FI29" i="3"/>
  <c r="FG29" i="3"/>
  <c r="FE29" i="3"/>
  <c r="FC29" i="3"/>
  <c r="FA29" i="3"/>
  <c r="EY29" i="3"/>
  <c r="EW29" i="3"/>
  <c r="EU29" i="3"/>
  <c r="FM29" i="3"/>
  <c r="EQ29" i="3"/>
  <c r="EO29" i="3"/>
  <c r="EM29" i="3"/>
  <c r="EK29" i="3"/>
  <c r="EI29" i="3"/>
  <c r="EG29" i="3"/>
  <c r="ES29" i="3"/>
  <c r="EC29" i="3"/>
  <c r="EA29" i="3"/>
  <c r="DY29" i="3"/>
  <c r="DW29" i="3"/>
  <c r="DU29" i="3"/>
  <c r="DS29" i="3"/>
  <c r="DF29" i="3"/>
  <c r="DD29" i="3"/>
  <c r="DB29" i="3"/>
  <c r="CZ29" i="3"/>
  <c r="EE29" i="3"/>
  <c r="CV29" i="3"/>
  <c r="CT29" i="3"/>
  <c r="CR29" i="3"/>
  <c r="CP29" i="3"/>
  <c r="CN29" i="3"/>
  <c r="CI29" i="3"/>
  <c r="CD29" i="3"/>
  <c r="CB29" i="3"/>
  <c r="BZ29" i="3"/>
  <c r="CX29" i="3"/>
  <c r="AH29" i="3"/>
  <c r="AJ29" i="3"/>
  <c r="AP29" i="3"/>
  <c r="AE29" i="3"/>
  <c r="AV29" i="3"/>
  <c r="AS29" i="3"/>
  <c r="AY29" i="3"/>
  <c r="BB29" i="3"/>
  <c r="BD29" i="3"/>
  <c r="BF29" i="3"/>
  <c r="BI29" i="3"/>
  <c r="BP29" i="3"/>
  <c r="AC29" i="3"/>
  <c r="BX29" i="3"/>
  <c r="FN29" i="3"/>
  <c r="E29" i="3"/>
  <c r="C29" i="3"/>
  <c r="FK28" i="3"/>
  <c r="FI28" i="3"/>
  <c r="FG28" i="3"/>
  <c r="FE28" i="3"/>
  <c r="FC28" i="3"/>
  <c r="FA28" i="3"/>
  <c r="EY28" i="3"/>
  <c r="EW28" i="3"/>
  <c r="EU28" i="3"/>
  <c r="FM28" i="3"/>
  <c r="EQ28" i="3"/>
  <c r="EO28" i="3"/>
  <c r="EM28" i="3"/>
  <c r="EK28" i="3"/>
  <c r="EI28" i="3"/>
  <c r="EG28" i="3"/>
  <c r="ES28" i="3"/>
  <c r="EC28" i="3"/>
  <c r="EA28" i="3"/>
  <c r="DY28" i="3"/>
  <c r="DW28" i="3"/>
  <c r="DU28" i="3"/>
  <c r="DS28" i="3"/>
  <c r="DF28" i="3"/>
  <c r="DD28" i="3"/>
  <c r="DB28" i="3"/>
  <c r="CZ28" i="3"/>
  <c r="EE28" i="3"/>
  <c r="CV28" i="3"/>
  <c r="CT28" i="3"/>
  <c r="CR28" i="3"/>
  <c r="CP28" i="3"/>
  <c r="CN28" i="3"/>
  <c r="CI28" i="3"/>
  <c r="CD28" i="3"/>
  <c r="CB28" i="3"/>
  <c r="BZ28" i="3"/>
  <c r="CX28" i="3"/>
  <c r="AH28" i="3"/>
  <c r="AJ28" i="3"/>
  <c r="AP28" i="3"/>
  <c r="AE28" i="3"/>
  <c r="AV28" i="3"/>
  <c r="AS28" i="3"/>
  <c r="AY28" i="3"/>
  <c r="BB28" i="3"/>
  <c r="BD28" i="3"/>
  <c r="BF28" i="3"/>
  <c r="BI28" i="3"/>
  <c r="BP28" i="3"/>
  <c r="AC28" i="3"/>
  <c r="BX28" i="3"/>
  <c r="FN28" i="3"/>
  <c r="E28" i="3"/>
  <c r="C28" i="3"/>
  <c r="FK27" i="3"/>
  <c r="FI27" i="3"/>
  <c r="FG27" i="3"/>
  <c r="FE27" i="3"/>
  <c r="FC27" i="3"/>
  <c r="FA27" i="3"/>
  <c r="EY27" i="3"/>
  <c r="EW27" i="3"/>
  <c r="EU27" i="3"/>
  <c r="FM27" i="3"/>
  <c r="EQ27" i="3"/>
  <c r="EO27" i="3"/>
  <c r="EM27" i="3"/>
  <c r="EK27" i="3"/>
  <c r="EI27" i="3"/>
  <c r="ES27" i="3"/>
  <c r="EC27" i="3"/>
  <c r="EA27" i="3"/>
  <c r="DY27" i="3"/>
  <c r="DW27" i="3"/>
  <c r="DU27" i="3"/>
  <c r="DS27" i="3"/>
  <c r="DF27" i="3"/>
  <c r="DD27" i="3"/>
  <c r="DB27" i="3"/>
  <c r="CZ27" i="3"/>
  <c r="EE27" i="3"/>
  <c r="CV27" i="3"/>
  <c r="CT27" i="3"/>
  <c r="CR27" i="3"/>
  <c r="CP27" i="3"/>
  <c r="CN27" i="3"/>
  <c r="CI27" i="3"/>
  <c r="CD27" i="3"/>
  <c r="CB27" i="3"/>
  <c r="BZ27" i="3"/>
  <c r="CX27" i="3"/>
  <c r="AH27" i="3"/>
  <c r="AJ27" i="3"/>
  <c r="AP27" i="3"/>
  <c r="AE27" i="3"/>
  <c r="AV27" i="3"/>
  <c r="AS27" i="3"/>
  <c r="AY27" i="3"/>
  <c r="BD27" i="3"/>
  <c r="BF27" i="3"/>
  <c r="BI27" i="3"/>
  <c r="BP27" i="3"/>
  <c r="AC27" i="3"/>
  <c r="BX27" i="3"/>
  <c r="FN27" i="3"/>
  <c r="FK26" i="3"/>
  <c r="FI26" i="3"/>
  <c r="FG26" i="3"/>
  <c r="FE26" i="3"/>
  <c r="FC26" i="3"/>
  <c r="FA26" i="3"/>
  <c r="EY26" i="3"/>
  <c r="EW26" i="3"/>
  <c r="EU26" i="3"/>
  <c r="FM26" i="3"/>
  <c r="EQ26" i="3"/>
  <c r="EO26" i="3"/>
  <c r="EM26" i="3"/>
  <c r="EK26" i="3"/>
  <c r="EI26" i="3"/>
  <c r="EG26" i="3"/>
  <c r="ES26" i="3"/>
  <c r="EC26" i="3"/>
  <c r="EA26" i="3"/>
  <c r="DY26" i="3"/>
  <c r="DW26" i="3"/>
  <c r="DU26" i="3"/>
  <c r="DS26" i="3"/>
  <c r="DF26" i="3"/>
  <c r="DD26" i="3"/>
  <c r="DB26" i="3"/>
  <c r="CZ26" i="3"/>
  <c r="EE26" i="3"/>
  <c r="CV26" i="3"/>
  <c r="CT26" i="3"/>
  <c r="CR26" i="3"/>
  <c r="CP26" i="3"/>
  <c r="CN26" i="3"/>
  <c r="CI26" i="3"/>
  <c r="CD26" i="3"/>
  <c r="CB26" i="3"/>
  <c r="BZ26" i="3"/>
  <c r="CX26" i="3"/>
  <c r="AH26" i="3"/>
  <c r="AJ26" i="3"/>
  <c r="AP26" i="3"/>
  <c r="AE26" i="3"/>
  <c r="AV26" i="3"/>
  <c r="AS26" i="3"/>
  <c r="AY26" i="3"/>
  <c r="BB26" i="3"/>
  <c r="BD26" i="3"/>
  <c r="BF26" i="3"/>
  <c r="BI26" i="3"/>
  <c r="BP26" i="3"/>
  <c r="AC26" i="3"/>
  <c r="BX26" i="3"/>
  <c r="FN26" i="3"/>
  <c r="E26" i="3"/>
  <c r="C26" i="3"/>
  <c r="FK25" i="3"/>
  <c r="FI25" i="3"/>
  <c r="FG25" i="3"/>
  <c r="FE25" i="3"/>
  <c r="FC25" i="3"/>
  <c r="FA25" i="3"/>
  <c r="EY25" i="3"/>
  <c r="EW25" i="3"/>
  <c r="EU25" i="3"/>
  <c r="FM25" i="3"/>
  <c r="EQ25" i="3"/>
  <c r="EO25" i="3"/>
  <c r="EM25" i="3"/>
  <c r="EK25" i="3"/>
  <c r="EI25" i="3"/>
  <c r="ES25" i="3"/>
  <c r="EC25" i="3"/>
  <c r="EA25" i="3"/>
  <c r="DY25" i="3"/>
  <c r="DW25" i="3"/>
  <c r="DU25" i="3"/>
  <c r="DS25" i="3"/>
  <c r="DF25" i="3"/>
  <c r="DD25" i="3"/>
  <c r="DB25" i="3"/>
  <c r="CZ25" i="3"/>
  <c r="EE25" i="3"/>
  <c r="CV25" i="3"/>
  <c r="CT25" i="3"/>
  <c r="CR25" i="3"/>
  <c r="CP25" i="3"/>
  <c r="CN25" i="3"/>
  <c r="CI25" i="3"/>
  <c r="CD25" i="3"/>
  <c r="CB25" i="3"/>
  <c r="BZ25" i="3"/>
  <c r="CX25" i="3"/>
  <c r="AH25" i="3"/>
  <c r="AJ25" i="3"/>
  <c r="AP25" i="3"/>
  <c r="AE25" i="3"/>
  <c r="AV25" i="3"/>
  <c r="AS25" i="3"/>
  <c r="AY25" i="3"/>
  <c r="BB25" i="3"/>
  <c r="BD25" i="3"/>
  <c r="BF25" i="3"/>
  <c r="BI25" i="3"/>
  <c r="BP25" i="3"/>
  <c r="AC25" i="3"/>
  <c r="BX25" i="3"/>
  <c r="FN25" i="3"/>
  <c r="E25" i="3"/>
  <c r="C25" i="3"/>
  <c r="FK24" i="3"/>
  <c r="FI24" i="3"/>
  <c r="FG24" i="3"/>
  <c r="FE24" i="3"/>
  <c r="FC24" i="3"/>
  <c r="FA24" i="3"/>
  <c r="EY24" i="3"/>
  <c r="EW24" i="3"/>
  <c r="EU24" i="3"/>
  <c r="FM24" i="3"/>
  <c r="EQ24" i="3"/>
  <c r="EO24" i="3"/>
  <c r="EM24" i="3"/>
  <c r="EK24" i="3"/>
  <c r="EI24" i="3"/>
  <c r="ES24" i="3"/>
  <c r="EC24" i="3"/>
  <c r="EA24" i="3"/>
  <c r="DY24" i="3"/>
  <c r="DW24" i="3"/>
  <c r="DU24" i="3"/>
  <c r="DS24" i="3"/>
  <c r="DF24" i="3"/>
  <c r="DD24" i="3"/>
  <c r="DB24" i="3"/>
  <c r="CZ24" i="3"/>
  <c r="EE24" i="3"/>
  <c r="CV24" i="3"/>
  <c r="CT24" i="3"/>
  <c r="CR24" i="3"/>
  <c r="CP24" i="3"/>
  <c r="CN24" i="3"/>
  <c r="CI24" i="3"/>
  <c r="CD24" i="3"/>
  <c r="CB24" i="3"/>
  <c r="BZ24" i="3"/>
  <c r="CX24" i="3"/>
  <c r="AH24" i="3"/>
  <c r="AJ24" i="3"/>
  <c r="AP24" i="3"/>
  <c r="AE24" i="3"/>
  <c r="AV24" i="3"/>
  <c r="AS24" i="3"/>
  <c r="AY24" i="3"/>
  <c r="BB24" i="3"/>
  <c r="BD24" i="3"/>
  <c r="BF24" i="3"/>
  <c r="BI24" i="3"/>
  <c r="BP24" i="3"/>
  <c r="AC24" i="3"/>
  <c r="BX24" i="3"/>
  <c r="FN24" i="3"/>
  <c r="E24" i="3"/>
  <c r="C24" i="3"/>
  <c r="FK23" i="3"/>
  <c r="FI23" i="3"/>
  <c r="FG23" i="3"/>
  <c r="FE23" i="3"/>
  <c r="FC23" i="3"/>
  <c r="FA23" i="3"/>
  <c r="EY23" i="3"/>
  <c r="EW23" i="3"/>
  <c r="EU23" i="3"/>
  <c r="FM23" i="3"/>
  <c r="EQ23" i="3"/>
  <c r="EO23" i="3"/>
  <c r="EM23" i="3"/>
  <c r="EK23" i="3"/>
  <c r="EI23" i="3"/>
  <c r="EG23" i="3"/>
  <c r="ES23" i="3"/>
  <c r="EC23" i="3"/>
  <c r="EA23" i="3"/>
  <c r="DY23" i="3"/>
  <c r="DW23" i="3"/>
  <c r="DU23" i="3"/>
  <c r="DS23" i="3"/>
  <c r="DF23" i="3"/>
  <c r="DD23" i="3"/>
  <c r="DB23" i="3"/>
  <c r="CZ23" i="3"/>
  <c r="EE23" i="3"/>
  <c r="CV23" i="3"/>
  <c r="CT23" i="3"/>
  <c r="CR23" i="3"/>
  <c r="CP23" i="3"/>
  <c r="CN23" i="3"/>
  <c r="CI23" i="3"/>
  <c r="CD23" i="3"/>
  <c r="CB23" i="3"/>
  <c r="BZ23" i="3"/>
  <c r="CX23" i="3"/>
  <c r="AH23" i="3"/>
  <c r="AJ23" i="3"/>
  <c r="AP23" i="3"/>
  <c r="AE23" i="3"/>
  <c r="AV23" i="3"/>
  <c r="AS23" i="3"/>
  <c r="AY23" i="3"/>
  <c r="BB23" i="3"/>
  <c r="BD23" i="3"/>
  <c r="BF23" i="3"/>
  <c r="BI23" i="3"/>
  <c r="BP23" i="3"/>
  <c r="AC23" i="3"/>
  <c r="BX23" i="3"/>
  <c r="FN23" i="3"/>
  <c r="E23" i="3"/>
  <c r="C23" i="3"/>
  <c r="FK22" i="3"/>
  <c r="FI22" i="3"/>
  <c r="FG22" i="3"/>
  <c r="FE22" i="3"/>
  <c r="FC22" i="3"/>
  <c r="FA22" i="3"/>
  <c r="EY22" i="3"/>
  <c r="EW22" i="3"/>
  <c r="EU22" i="3"/>
  <c r="FM22" i="3"/>
  <c r="EQ22" i="3"/>
  <c r="EO22" i="3"/>
  <c r="EM22" i="3"/>
  <c r="EK22" i="3"/>
  <c r="EI22" i="3"/>
  <c r="EG22" i="3"/>
  <c r="ES22" i="3"/>
  <c r="EC22" i="3"/>
  <c r="EA22" i="3"/>
  <c r="DY22" i="3"/>
  <c r="DW22" i="3"/>
  <c r="DU22" i="3"/>
  <c r="DS22" i="3"/>
  <c r="DF22" i="3"/>
  <c r="DD22" i="3"/>
  <c r="DB22" i="3"/>
  <c r="CZ22" i="3"/>
  <c r="EE22" i="3"/>
  <c r="CV22" i="3"/>
  <c r="CT22" i="3"/>
  <c r="CR22" i="3"/>
  <c r="CP22" i="3"/>
  <c r="CN22" i="3"/>
  <c r="CI22" i="3"/>
  <c r="CD22" i="3"/>
  <c r="CB22" i="3"/>
  <c r="BZ22" i="3"/>
  <c r="CX22" i="3"/>
  <c r="AH22" i="3"/>
  <c r="AJ22" i="3"/>
  <c r="AP22" i="3"/>
  <c r="AE22" i="3"/>
  <c r="AV22" i="3"/>
  <c r="AS22" i="3"/>
  <c r="AY22" i="3"/>
  <c r="BB22" i="3"/>
  <c r="BD22" i="3"/>
  <c r="BF22" i="3"/>
  <c r="BI22" i="3"/>
  <c r="BP22" i="3"/>
  <c r="AC22" i="3"/>
  <c r="BX22" i="3"/>
  <c r="FN22" i="3"/>
  <c r="E22" i="3"/>
  <c r="C22" i="3"/>
  <c r="FK21" i="3"/>
  <c r="FI21" i="3"/>
  <c r="FG21" i="3"/>
  <c r="FE21" i="3"/>
  <c r="FC21" i="3"/>
  <c r="FA21" i="3"/>
  <c r="EY21" i="3"/>
  <c r="EW21" i="3"/>
  <c r="EU21" i="3"/>
  <c r="FM21" i="3"/>
  <c r="EQ21" i="3"/>
  <c r="EO21" i="3"/>
  <c r="EM21" i="3"/>
  <c r="EK21" i="3"/>
  <c r="EI21" i="3"/>
  <c r="EG21" i="3"/>
  <c r="ES21" i="3"/>
  <c r="EC21" i="3"/>
  <c r="EA21" i="3"/>
  <c r="DY21" i="3"/>
  <c r="DW21" i="3"/>
  <c r="DU21" i="3"/>
  <c r="DS21" i="3"/>
  <c r="DF21" i="3"/>
  <c r="DD21" i="3"/>
  <c r="DB21" i="3"/>
  <c r="CZ21" i="3"/>
  <c r="EE21" i="3"/>
  <c r="CV21" i="3"/>
  <c r="CT21" i="3"/>
  <c r="CR21" i="3"/>
  <c r="CP21" i="3"/>
  <c r="CN21" i="3"/>
  <c r="CI21" i="3"/>
  <c r="CD21" i="3"/>
  <c r="CB21" i="3"/>
  <c r="BZ21" i="3"/>
  <c r="CX21" i="3"/>
  <c r="AH21" i="3"/>
  <c r="AJ21" i="3"/>
  <c r="AP21" i="3"/>
  <c r="AE21" i="3"/>
  <c r="AV21" i="3"/>
  <c r="AS21" i="3"/>
  <c r="AY21" i="3"/>
  <c r="BB21" i="3"/>
  <c r="BD21" i="3"/>
  <c r="BF21" i="3"/>
  <c r="BI21" i="3"/>
  <c r="BP21" i="3"/>
  <c r="AC21" i="3"/>
  <c r="BX21" i="3"/>
  <c r="FN21" i="3"/>
  <c r="E21" i="3"/>
  <c r="C21" i="3"/>
  <c r="FK20" i="3"/>
  <c r="FI20" i="3"/>
  <c r="FG20" i="3"/>
  <c r="FE20" i="3"/>
  <c r="FC20" i="3"/>
  <c r="FA20" i="3"/>
  <c r="EY20" i="3"/>
  <c r="EW20" i="3"/>
  <c r="EU20" i="3"/>
  <c r="FM20" i="3"/>
  <c r="EQ20" i="3"/>
  <c r="EO20" i="3"/>
  <c r="EM20" i="3"/>
  <c r="EK20" i="3"/>
  <c r="EI20" i="3"/>
  <c r="EG20" i="3"/>
  <c r="ES20" i="3"/>
  <c r="EC20" i="3"/>
  <c r="EA20" i="3"/>
  <c r="DY20" i="3"/>
  <c r="DW20" i="3"/>
  <c r="DU20" i="3"/>
  <c r="DS20" i="3"/>
  <c r="DF20" i="3"/>
  <c r="DD20" i="3"/>
  <c r="DB20" i="3"/>
  <c r="CZ20" i="3"/>
  <c r="EE20" i="3"/>
  <c r="CV20" i="3"/>
  <c r="CT20" i="3"/>
  <c r="CR20" i="3"/>
  <c r="CP20" i="3"/>
  <c r="CN20" i="3"/>
  <c r="CI20" i="3"/>
  <c r="CD20" i="3"/>
  <c r="CB20" i="3"/>
  <c r="BZ20" i="3"/>
  <c r="CX20" i="3"/>
  <c r="AH20" i="3"/>
  <c r="AJ20" i="3"/>
  <c r="AP20" i="3"/>
  <c r="AE20" i="3"/>
  <c r="AV20" i="3"/>
  <c r="AS20" i="3"/>
  <c r="AY20" i="3"/>
  <c r="BB20" i="3"/>
  <c r="BD20" i="3"/>
  <c r="BF20" i="3"/>
  <c r="BI20" i="3"/>
  <c r="BP20" i="3"/>
  <c r="AC20" i="3"/>
  <c r="BX20" i="3"/>
  <c r="FN20" i="3"/>
  <c r="E20" i="3"/>
  <c r="C20" i="3"/>
  <c r="FK19" i="3"/>
  <c r="FI19" i="3"/>
  <c r="FG19" i="3"/>
  <c r="FE19" i="3"/>
  <c r="FC19" i="3"/>
  <c r="FA19" i="3"/>
  <c r="EY19" i="3"/>
  <c r="EW19" i="3"/>
  <c r="EU19" i="3"/>
  <c r="FM19" i="3"/>
  <c r="EQ19" i="3"/>
  <c r="EO19" i="3"/>
  <c r="EM19" i="3"/>
  <c r="EK19" i="3"/>
  <c r="EI19" i="3"/>
  <c r="EG19" i="3"/>
  <c r="ES19" i="3"/>
  <c r="EC19" i="3"/>
  <c r="EA19" i="3"/>
  <c r="DY19" i="3"/>
  <c r="DW19" i="3"/>
  <c r="DU19" i="3"/>
  <c r="DS19" i="3"/>
  <c r="DF19" i="3"/>
  <c r="DD19" i="3"/>
  <c r="DB19" i="3"/>
  <c r="CZ19" i="3"/>
  <c r="EE19" i="3"/>
  <c r="CV19" i="3"/>
  <c r="CT19" i="3"/>
  <c r="CR19" i="3"/>
  <c r="CP19" i="3"/>
  <c r="CN19" i="3"/>
  <c r="CI19" i="3"/>
  <c r="CD19" i="3"/>
  <c r="CB19" i="3"/>
  <c r="BZ19" i="3"/>
  <c r="CX19" i="3"/>
  <c r="AH19" i="3"/>
  <c r="AJ19" i="3"/>
  <c r="AP19" i="3"/>
  <c r="AE19" i="3"/>
  <c r="AV19" i="3"/>
  <c r="AS19" i="3"/>
  <c r="AY19" i="3"/>
  <c r="BB19" i="3"/>
  <c r="BD19" i="3"/>
  <c r="BF19" i="3"/>
  <c r="BI19" i="3"/>
  <c r="BP19" i="3"/>
  <c r="AC19" i="3"/>
  <c r="BX19" i="3"/>
  <c r="FN19" i="3"/>
  <c r="E19" i="3"/>
  <c r="C19" i="3"/>
  <c r="FK18" i="3"/>
  <c r="FI18" i="3"/>
  <c r="FG18" i="3"/>
  <c r="FE18" i="3"/>
  <c r="FC18" i="3"/>
  <c r="FA18" i="3"/>
  <c r="EY18" i="3"/>
  <c r="EW18" i="3"/>
  <c r="EU18" i="3"/>
  <c r="FM18" i="3"/>
  <c r="EQ18" i="3"/>
  <c r="EO18" i="3"/>
  <c r="EM18" i="3"/>
  <c r="EK18" i="3"/>
  <c r="EI18" i="3"/>
  <c r="EG18" i="3"/>
  <c r="ES18" i="3"/>
  <c r="EC18" i="3"/>
  <c r="EA18" i="3"/>
  <c r="DY18" i="3"/>
  <c r="DW18" i="3"/>
  <c r="DU18" i="3"/>
  <c r="DS18" i="3"/>
  <c r="DF18" i="3"/>
  <c r="DD18" i="3"/>
  <c r="DB18" i="3"/>
  <c r="CZ18" i="3"/>
  <c r="EE18" i="3"/>
  <c r="CV18" i="3"/>
  <c r="CT18" i="3"/>
  <c r="CR18" i="3"/>
  <c r="CP18" i="3"/>
  <c r="CN18" i="3"/>
  <c r="CI18" i="3"/>
  <c r="CD18" i="3"/>
  <c r="CB18" i="3"/>
  <c r="BZ18" i="3"/>
  <c r="CX18" i="3"/>
  <c r="AH18" i="3"/>
  <c r="AJ18" i="3"/>
  <c r="AP18" i="3"/>
  <c r="AE18" i="3"/>
  <c r="AV18" i="3"/>
  <c r="AS18" i="3"/>
  <c r="AY18" i="3"/>
  <c r="BB18" i="3"/>
  <c r="BD18" i="3"/>
  <c r="BF18" i="3"/>
  <c r="BI18" i="3"/>
  <c r="BP18" i="3"/>
  <c r="AC18" i="3"/>
  <c r="BX18" i="3"/>
  <c r="FN18" i="3"/>
  <c r="E18" i="3"/>
  <c r="C18" i="3"/>
  <c r="FK17" i="3"/>
  <c r="FI17" i="3"/>
  <c r="FG17" i="3"/>
  <c r="FE17" i="3"/>
  <c r="FC17" i="3"/>
  <c r="FA17" i="3"/>
  <c r="EY17" i="3"/>
  <c r="EW17" i="3"/>
  <c r="EU17" i="3"/>
  <c r="FM17" i="3"/>
  <c r="EQ17" i="3"/>
  <c r="EO17" i="3"/>
  <c r="EM17" i="3"/>
  <c r="EK17" i="3"/>
  <c r="EI17" i="3"/>
  <c r="EG17" i="3"/>
  <c r="ES17" i="3"/>
  <c r="EC17" i="3"/>
  <c r="EA17" i="3"/>
  <c r="DY17" i="3"/>
  <c r="DW17" i="3"/>
  <c r="DU17" i="3"/>
  <c r="DS17" i="3"/>
  <c r="DF17" i="3"/>
  <c r="DD17" i="3"/>
  <c r="DB17" i="3"/>
  <c r="CZ17" i="3"/>
  <c r="EE17" i="3"/>
  <c r="CV17" i="3"/>
  <c r="CT17" i="3"/>
  <c r="CR17" i="3"/>
  <c r="CP17" i="3"/>
  <c r="CN17" i="3"/>
  <c r="CI17" i="3"/>
  <c r="CD17" i="3"/>
  <c r="CB17" i="3"/>
  <c r="BZ17" i="3"/>
  <c r="CX17" i="3"/>
  <c r="AH17" i="3"/>
  <c r="AJ17" i="3"/>
  <c r="AP17" i="3"/>
  <c r="AE17" i="3"/>
  <c r="AV17" i="3"/>
  <c r="AS17" i="3"/>
  <c r="AY17" i="3"/>
  <c r="BB17" i="3"/>
  <c r="BD17" i="3"/>
  <c r="BF17" i="3"/>
  <c r="BI17" i="3"/>
  <c r="BP17" i="3"/>
  <c r="AC17" i="3"/>
  <c r="BX17" i="3"/>
  <c r="FN17" i="3"/>
  <c r="E17" i="3"/>
  <c r="C17" i="3"/>
  <c r="FK16" i="3"/>
  <c r="FI16" i="3"/>
  <c r="FG16" i="3"/>
  <c r="FE16" i="3"/>
  <c r="FC16" i="3"/>
  <c r="FA16" i="3"/>
  <c r="EY16" i="3"/>
  <c r="EW16" i="3"/>
  <c r="EU16" i="3"/>
  <c r="FM16" i="3"/>
  <c r="EQ16" i="3"/>
  <c r="EO16" i="3"/>
  <c r="EM16" i="3"/>
  <c r="EK16" i="3"/>
  <c r="EI16" i="3"/>
  <c r="EG16" i="3"/>
  <c r="ES16" i="3"/>
  <c r="EC16" i="3"/>
  <c r="EA16" i="3"/>
  <c r="DY16" i="3"/>
  <c r="DW16" i="3"/>
  <c r="DU16" i="3"/>
  <c r="DS16" i="3"/>
  <c r="DF16" i="3"/>
  <c r="DD16" i="3"/>
  <c r="DB16" i="3"/>
  <c r="CZ16" i="3"/>
  <c r="EE16" i="3"/>
  <c r="CV16" i="3"/>
  <c r="CT16" i="3"/>
  <c r="CR16" i="3"/>
  <c r="CP16" i="3"/>
  <c r="CN16" i="3"/>
  <c r="CI16" i="3"/>
  <c r="CD16" i="3"/>
  <c r="CB16" i="3"/>
  <c r="BZ16" i="3"/>
  <c r="CX16" i="3"/>
  <c r="AH16" i="3"/>
  <c r="AJ16" i="3"/>
  <c r="AP16" i="3"/>
  <c r="AE16" i="3"/>
  <c r="AV16" i="3"/>
  <c r="AS16" i="3"/>
  <c r="AY16" i="3"/>
  <c r="BB16" i="3"/>
  <c r="BD16" i="3"/>
  <c r="BF16" i="3"/>
  <c r="BI16" i="3"/>
  <c r="BP16" i="3"/>
  <c r="AC16" i="3"/>
  <c r="BX16" i="3"/>
  <c r="FN16" i="3"/>
  <c r="E16" i="3"/>
  <c r="C16" i="3"/>
  <c r="FK15" i="3"/>
  <c r="FI15" i="3"/>
  <c r="FG15" i="3"/>
  <c r="FE15" i="3"/>
  <c r="FC15" i="3"/>
  <c r="FA15" i="3"/>
  <c r="EY15" i="3"/>
  <c r="EW15" i="3"/>
  <c r="EU15" i="3"/>
  <c r="FM15" i="3"/>
  <c r="EQ15" i="3"/>
  <c r="EO15" i="3"/>
  <c r="EM15" i="3"/>
  <c r="EK15" i="3"/>
  <c r="EI15" i="3"/>
  <c r="ES15" i="3"/>
  <c r="EC15" i="3"/>
  <c r="EA15" i="3"/>
  <c r="DY15" i="3"/>
  <c r="DW15" i="3"/>
  <c r="DU15" i="3"/>
  <c r="DS15" i="3"/>
  <c r="DF15" i="3"/>
  <c r="DD15" i="3"/>
  <c r="DB15" i="3"/>
  <c r="CZ15" i="3"/>
  <c r="EE15" i="3"/>
  <c r="CV15" i="3"/>
  <c r="CT15" i="3"/>
  <c r="CR15" i="3"/>
  <c r="CP15" i="3"/>
  <c r="CN15" i="3"/>
  <c r="CI15" i="3"/>
  <c r="CD15" i="3"/>
  <c r="CB15" i="3"/>
  <c r="BZ15" i="3"/>
  <c r="CX15" i="3"/>
  <c r="AH15" i="3"/>
  <c r="AJ15" i="3"/>
  <c r="AP15" i="3"/>
  <c r="AE15" i="3"/>
  <c r="AV15" i="3"/>
  <c r="AS15" i="3"/>
  <c r="AY15" i="3"/>
  <c r="BB15" i="3"/>
  <c r="BD15" i="3"/>
  <c r="BF15" i="3"/>
  <c r="BI15" i="3"/>
  <c r="BP15" i="3"/>
  <c r="AC15" i="3"/>
  <c r="BX15" i="3"/>
  <c r="FN15" i="3"/>
  <c r="E15" i="3"/>
  <c r="C15" i="3"/>
  <c r="FK14" i="3"/>
  <c r="FI14" i="3"/>
  <c r="FG14" i="3"/>
  <c r="FE14" i="3"/>
  <c r="FC14" i="3"/>
  <c r="FA14" i="3"/>
  <c r="EY14" i="3"/>
  <c r="EW14" i="3"/>
  <c r="EU14" i="3"/>
  <c r="FM14" i="3"/>
  <c r="EQ14" i="3"/>
  <c r="EO14" i="3"/>
  <c r="EM14" i="3"/>
  <c r="EK14" i="3"/>
  <c r="EI14" i="3"/>
  <c r="ES14" i="3"/>
  <c r="EC14" i="3"/>
  <c r="EA14" i="3"/>
  <c r="DY14" i="3"/>
  <c r="DW14" i="3"/>
  <c r="DU14" i="3"/>
  <c r="DS14" i="3"/>
  <c r="DF14" i="3"/>
  <c r="DD14" i="3"/>
  <c r="DB14" i="3"/>
  <c r="CZ14" i="3"/>
  <c r="EE14" i="3"/>
  <c r="CV14" i="3"/>
  <c r="CT14" i="3"/>
  <c r="CR14" i="3"/>
  <c r="CP14" i="3"/>
  <c r="CN14" i="3"/>
  <c r="CI14" i="3"/>
  <c r="CD14" i="3"/>
  <c r="CB14" i="3"/>
  <c r="BZ14" i="3"/>
  <c r="CX14" i="3"/>
  <c r="AH14" i="3"/>
  <c r="AJ14" i="3"/>
  <c r="AP14" i="3"/>
  <c r="AE14" i="3"/>
  <c r="AV14" i="3"/>
  <c r="AS14" i="3"/>
  <c r="AY14" i="3"/>
  <c r="BB14" i="3"/>
  <c r="BD14" i="3"/>
  <c r="BF14" i="3"/>
  <c r="BI14" i="3"/>
  <c r="BP14" i="3"/>
  <c r="AC14" i="3"/>
  <c r="BX14" i="3"/>
  <c r="FN14" i="3"/>
  <c r="E14" i="3"/>
  <c r="C14" i="3"/>
  <c r="FK13" i="3"/>
  <c r="FI13" i="3"/>
  <c r="FG13" i="3"/>
  <c r="FE13" i="3"/>
  <c r="FC13" i="3"/>
  <c r="FA13" i="3"/>
  <c r="EY13" i="3"/>
  <c r="EW13" i="3"/>
  <c r="EU13" i="3"/>
  <c r="FM13" i="3"/>
  <c r="EQ13" i="3"/>
  <c r="EO13" i="3"/>
  <c r="EM13" i="3"/>
  <c r="EK13" i="3"/>
  <c r="EI13" i="3"/>
  <c r="ES13" i="3"/>
  <c r="EC13" i="3"/>
  <c r="EA13" i="3"/>
  <c r="DY13" i="3"/>
  <c r="DW13" i="3"/>
  <c r="DU13" i="3"/>
  <c r="DS13" i="3"/>
  <c r="DF13" i="3"/>
  <c r="DD13" i="3"/>
  <c r="DB13" i="3"/>
  <c r="CZ13" i="3"/>
  <c r="EE13" i="3"/>
  <c r="CV13" i="3"/>
  <c r="CT13" i="3"/>
  <c r="CR13" i="3"/>
  <c r="CP13" i="3"/>
  <c r="CN13" i="3"/>
  <c r="CI13" i="3"/>
  <c r="CD13" i="3"/>
  <c r="CB13" i="3"/>
  <c r="BZ13" i="3"/>
  <c r="CX13" i="3"/>
  <c r="AH13" i="3"/>
  <c r="AJ13" i="3"/>
  <c r="AP13" i="3"/>
  <c r="AE13" i="3"/>
  <c r="AV13" i="3"/>
  <c r="AS13" i="3"/>
  <c r="AY13" i="3"/>
  <c r="BB13" i="3"/>
  <c r="BD13" i="3"/>
  <c r="BF13" i="3"/>
  <c r="BI13" i="3"/>
  <c r="BP13" i="3"/>
  <c r="AC13" i="3"/>
  <c r="BX13" i="3"/>
  <c r="FN13" i="3"/>
  <c r="E13" i="3"/>
  <c r="C13" i="3"/>
  <c r="FK12" i="3"/>
  <c r="FI12" i="3"/>
  <c r="FG12" i="3"/>
  <c r="FE12" i="3"/>
  <c r="FC12" i="3"/>
  <c r="FA12" i="3"/>
  <c r="EY12" i="3"/>
  <c r="EW12" i="3"/>
  <c r="EU12" i="3"/>
  <c r="FM12" i="3"/>
  <c r="EQ12" i="3"/>
  <c r="EO12" i="3"/>
  <c r="EM12" i="3"/>
  <c r="EK12" i="3"/>
  <c r="EI12" i="3"/>
  <c r="EG12" i="3"/>
  <c r="ES12" i="3"/>
  <c r="EC12" i="3"/>
  <c r="EA12" i="3"/>
  <c r="DY12" i="3"/>
  <c r="DW12" i="3"/>
  <c r="DU12" i="3"/>
  <c r="DS12" i="3"/>
  <c r="DF12" i="3"/>
  <c r="DD12" i="3"/>
  <c r="DB12" i="3"/>
  <c r="CZ12" i="3"/>
  <c r="EE12" i="3"/>
  <c r="CV12" i="3"/>
  <c r="CT12" i="3"/>
  <c r="CR12" i="3"/>
  <c r="CP12" i="3"/>
  <c r="CN12" i="3"/>
  <c r="CI12" i="3"/>
  <c r="CD12" i="3"/>
  <c r="CB12" i="3"/>
  <c r="BZ12" i="3"/>
  <c r="CX12" i="3"/>
  <c r="AH12" i="3"/>
  <c r="AJ12" i="3"/>
  <c r="AP12" i="3"/>
  <c r="AE12" i="3"/>
  <c r="AV12" i="3"/>
  <c r="AS12" i="3"/>
  <c r="AY12" i="3"/>
  <c r="BB12" i="3"/>
  <c r="BD12" i="3"/>
  <c r="BF12" i="3"/>
  <c r="BI12" i="3"/>
  <c r="BP12" i="3"/>
  <c r="AC12" i="3"/>
  <c r="BX12" i="3"/>
  <c r="FN12" i="3"/>
  <c r="E12" i="3"/>
  <c r="C12" i="3"/>
  <c r="FK11" i="3"/>
  <c r="FI11" i="3"/>
  <c r="FG11" i="3"/>
  <c r="FE11" i="3"/>
  <c r="FC11" i="3"/>
  <c r="FA11" i="3"/>
  <c r="EY11" i="3"/>
  <c r="EW11" i="3"/>
  <c r="EU11" i="3"/>
  <c r="FM11" i="3"/>
  <c r="EQ11" i="3"/>
  <c r="EO11" i="3"/>
  <c r="EM11" i="3"/>
  <c r="EK11" i="3"/>
  <c r="EI11" i="3"/>
  <c r="EG11" i="3"/>
  <c r="ES11" i="3"/>
  <c r="EC11" i="3"/>
  <c r="EA11" i="3"/>
  <c r="DY11" i="3"/>
  <c r="DW11" i="3"/>
  <c r="DU11" i="3"/>
  <c r="DS11" i="3"/>
  <c r="DF11" i="3"/>
  <c r="DD11" i="3"/>
  <c r="DB11" i="3"/>
  <c r="CZ11" i="3"/>
  <c r="EE11" i="3"/>
  <c r="CV11" i="3"/>
  <c r="CT11" i="3"/>
  <c r="CR11" i="3"/>
  <c r="CP11" i="3"/>
  <c r="CN11" i="3"/>
  <c r="CI11" i="3"/>
  <c r="CD11" i="3"/>
  <c r="CB11" i="3"/>
  <c r="BZ11" i="3"/>
  <c r="CX11" i="3"/>
  <c r="AH11" i="3"/>
  <c r="AJ11" i="3"/>
  <c r="AP11" i="3"/>
  <c r="AE11" i="3"/>
  <c r="AV11" i="3"/>
  <c r="AS11" i="3"/>
  <c r="AY11" i="3"/>
  <c r="BB11" i="3"/>
  <c r="BD11" i="3"/>
  <c r="BF11" i="3"/>
  <c r="BI11" i="3"/>
  <c r="BP11" i="3"/>
  <c r="AC11" i="3"/>
  <c r="BX11" i="3"/>
  <c r="FN11" i="3"/>
  <c r="E11" i="3"/>
  <c r="C11" i="3"/>
  <c r="FK10" i="3"/>
  <c r="FI10" i="3"/>
  <c r="FG10" i="3"/>
  <c r="FE10" i="3"/>
  <c r="FC10" i="3"/>
  <c r="FA10" i="3"/>
  <c r="EY10" i="3"/>
  <c r="EW10" i="3"/>
  <c r="EU10" i="3"/>
  <c r="FM10" i="3"/>
  <c r="EQ10" i="3"/>
  <c r="EO10" i="3"/>
  <c r="EM10" i="3"/>
  <c r="EK10" i="3"/>
  <c r="EI10" i="3"/>
  <c r="EG10" i="3"/>
  <c r="ES10" i="3"/>
  <c r="EC10" i="3"/>
  <c r="EA10" i="3"/>
  <c r="DY10" i="3"/>
  <c r="DW10" i="3"/>
  <c r="DU10" i="3"/>
  <c r="DS10" i="3"/>
  <c r="DF10" i="3"/>
  <c r="DD10" i="3"/>
  <c r="DB10" i="3"/>
  <c r="CZ10" i="3"/>
  <c r="EE10" i="3"/>
  <c r="CV10" i="3"/>
  <c r="CT10" i="3"/>
  <c r="CR10" i="3"/>
  <c r="CP10" i="3"/>
  <c r="CN10" i="3"/>
  <c r="CI10" i="3"/>
  <c r="CD10" i="3"/>
  <c r="CB10" i="3"/>
  <c r="BZ10" i="3"/>
  <c r="CX10" i="3"/>
  <c r="AH10" i="3"/>
  <c r="AJ10" i="3"/>
  <c r="AP10" i="3"/>
  <c r="AE10" i="3"/>
  <c r="AV10" i="3"/>
  <c r="AS10" i="3"/>
  <c r="AY10" i="3"/>
  <c r="BB10" i="3"/>
  <c r="BD10" i="3"/>
  <c r="BF10" i="3"/>
  <c r="BI10" i="3"/>
  <c r="BP10" i="3"/>
  <c r="AC10" i="3"/>
  <c r="BX10" i="3"/>
  <c r="FN10" i="3"/>
  <c r="E10" i="3"/>
  <c r="C10" i="3"/>
  <c r="FK9" i="3"/>
  <c r="FI9" i="3"/>
  <c r="FG9" i="3"/>
  <c r="FE9" i="3"/>
  <c r="FC9" i="3"/>
  <c r="FA9" i="3"/>
  <c r="EY9" i="3"/>
  <c r="EW9" i="3"/>
  <c r="EU9" i="3"/>
  <c r="FM9" i="3"/>
  <c r="EQ9" i="3"/>
  <c r="EO9" i="3"/>
  <c r="EM9" i="3"/>
  <c r="EK9" i="3"/>
  <c r="EI9" i="3"/>
  <c r="EG9" i="3"/>
  <c r="ES9" i="3"/>
  <c r="EC9" i="3"/>
  <c r="EA9" i="3"/>
  <c r="DY9" i="3"/>
  <c r="DW9" i="3"/>
  <c r="DU9" i="3"/>
  <c r="DS9" i="3"/>
  <c r="DF9" i="3"/>
  <c r="DD9" i="3"/>
  <c r="DB9" i="3"/>
  <c r="CZ9" i="3"/>
  <c r="EE9" i="3"/>
  <c r="CV9" i="3"/>
  <c r="CT9" i="3"/>
  <c r="CR9" i="3"/>
  <c r="CP9" i="3"/>
  <c r="CN9" i="3"/>
  <c r="CI9" i="3"/>
  <c r="CD9" i="3"/>
  <c r="CB9" i="3"/>
  <c r="BZ9" i="3"/>
  <c r="CX9" i="3"/>
  <c r="AH9" i="3"/>
  <c r="AJ9" i="3"/>
  <c r="AP9" i="3"/>
  <c r="AE9" i="3"/>
  <c r="AV9" i="3"/>
  <c r="AS9" i="3"/>
  <c r="AY9" i="3"/>
  <c r="BB9" i="3"/>
  <c r="BD9" i="3"/>
  <c r="BF9" i="3"/>
  <c r="BI9" i="3"/>
  <c r="BP9" i="3"/>
  <c r="AC9" i="3"/>
  <c r="BX9" i="3"/>
  <c r="FN9" i="3"/>
  <c r="E9" i="3"/>
  <c r="C9" i="3"/>
  <c r="FK8" i="3"/>
  <c r="FI8" i="3"/>
  <c r="FG8" i="3"/>
  <c r="FE8" i="3"/>
  <c r="FC8" i="3"/>
  <c r="FA8" i="3"/>
  <c r="EY8" i="3"/>
  <c r="EW8" i="3"/>
  <c r="EU8" i="3"/>
  <c r="FM8" i="3"/>
  <c r="EQ8" i="3"/>
  <c r="EO8" i="3"/>
  <c r="EM8" i="3"/>
  <c r="EK8" i="3"/>
  <c r="EI8" i="3"/>
  <c r="EG8" i="3"/>
  <c r="ES8" i="3"/>
  <c r="EC8" i="3"/>
  <c r="EA8" i="3"/>
  <c r="DY8" i="3"/>
  <c r="DW8" i="3"/>
  <c r="DU8" i="3"/>
  <c r="DS8" i="3"/>
  <c r="DF8" i="3"/>
  <c r="DD8" i="3"/>
  <c r="DB8" i="3"/>
  <c r="CZ8" i="3"/>
  <c r="EE8" i="3"/>
  <c r="CV8" i="3"/>
  <c r="CT8" i="3"/>
  <c r="CR8" i="3"/>
  <c r="CP8" i="3"/>
  <c r="CN8" i="3"/>
  <c r="CI8" i="3"/>
  <c r="CD8" i="3"/>
  <c r="CB8" i="3"/>
  <c r="BZ8" i="3"/>
  <c r="CX8" i="3"/>
  <c r="AH8" i="3"/>
  <c r="AJ8" i="3"/>
  <c r="AP8" i="3"/>
  <c r="AE8" i="3"/>
  <c r="AV8" i="3"/>
  <c r="AS8" i="3"/>
  <c r="AY8" i="3"/>
  <c r="BB8" i="3"/>
  <c r="BD8" i="3"/>
  <c r="BF8" i="3"/>
  <c r="BI8" i="3"/>
  <c r="BP8" i="3"/>
  <c r="AC8" i="3"/>
  <c r="BX8" i="3"/>
  <c r="FN8" i="3"/>
  <c r="E8" i="3"/>
  <c r="C8" i="3"/>
  <c r="FK7" i="3"/>
  <c r="FI7" i="3"/>
  <c r="FG7" i="3"/>
  <c r="FE7" i="3"/>
  <c r="FC7" i="3"/>
  <c r="FA7" i="3"/>
  <c r="EY7" i="3"/>
  <c r="EW7" i="3"/>
  <c r="EU7" i="3"/>
  <c r="FM7" i="3"/>
  <c r="EQ7" i="3"/>
  <c r="EO7" i="3"/>
  <c r="EM7" i="3"/>
  <c r="EK7" i="3"/>
  <c r="EI7" i="3"/>
  <c r="EG7" i="3"/>
  <c r="ES7" i="3"/>
  <c r="EC7" i="3"/>
  <c r="EA7" i="3"/>
  <c r="DY7" i="3"/>
  <c r="DW7" i="3"/>
  <c r="DU7" i="3"/>
  <c r="DS7" i="3"/>
  <c r="DF7" i="3"/>
  <c r="DD7" i="3"/>
  <c r="DB7" i="3"/>
  <c r="CZ7" i="3"/>
  <c r="EE7" i="3"/>
  <c r="CV7" i="3"/>
  <c r="CT7" i="3"/>
  <c r="CR7" i="3"/>
  <c r="CP7" i="3"/>
  <c r="CN7" i="3"/>
  <c r="CI7" i="3"/>
  <c r="CD7" i="3"/>
  <c r="CB7" i="3"/>
  <c r="BZ7" i="3"/>
  <c r="CX7" i="3"/>
  <c r="AH7" i="3"/>
  <c r="AJ7" i="3"/>
  <c r="AP7" i="3"/>
  <c r="AE7" i="3"/>
  <c r="AV7" i="3"/>
  <c r="AS7" i="3"/>
  <c r="AY7" i="3"/>
  <c r="BB7" i="3"/>
  <c r="BD7" i="3"/>
  <c r="BF7" i="3"/>
  <c r="BI7" i="3"/>
  <c r="BP7" i="3"/>
  <c r="AC7" i="3"/>
  <c r="BX7" i="3"/>
  <c r="FN7" i="3"/>
  <c r="E7" i="3"/>
  <c r="C7" i="3"/>
  <c r="FK6" i="3"/>
  <c r="FI6" i="3"/>
  <c r="FG6" i="3"/>
  <c r="FE6" i="3"/>
  <c r="FC6" i="3"/>
  <c r="FA6" i="3"/>
  <c r="EY6" i="3"/>
  <c r="EW6" i="3"/>
  <c r="EU6" i="3"/>
  <c r="FM6" i="3"/>
  <c r="EQ6" i="3"/>
  <c r="EO6" i="3"/>
  <c r="EM6" i="3"/>
  <c r="EK6" i="3"/>
  <c r="EI6" i="3"/>
  <c r="EG6" i="3"/>
  <c r="ES6" i="3"/>
  <c r="EC6" i="3"/>
  <c r="EA6" i="3"/>
  <c r="DY6" i="3"/>
  <c r="DW6" i="3"/>
  <c r="DU6" i="3"/>
  <c r="DS6" i="3"/>
  <c r="DF6" i="3"/>
  <c r="DD6" i="3"/>
  <c r="DB6" i="3"/>
  <c r="CZ6" i="3"/>
  <c r="EE6" i="3"/>
  <c r="CV6" i="3"/>
  <c r="CT6" i="3"/>
  <c r="CR6" i="3"/>
  <c r="CP6" i="3"/>
  <c r="CN6" i="3"/>
  <c r="CI6" i="3"/>
  <c r="CD6" i="3"/>
  <c r="CB6" i="3"/>
  <c r="BZ6" i="3"/>
  <c r="CX6" i="3"/>
  <c r="AH6" i="3"/>
  <c r="AJ6" i="3"/>
  <c r="AP6" i="3"/>
  <c r="AE6" i="3"/>
  <c r="AV6" i="3"/>
  <c r="AS6" i="3"/>
  <c r="AY6" i="3"/>
  <c r="BB6" i="3"/>
  <c r="BD6" i="3"/>
  <c r="BF6" i="3"/>
  <c r="BI6" i="3"/>
  <c r="BP6" i="3"/>
  <c r="AC6" i="3"/>
  <c r="BX6" i="3"/>
  <c r="FN6" i="3"/>
  <c r="E6" i="3"/>
  <c r="C6" i="3"/>
  <c r="FK5" i="3"/>
  <c r="FI5" i="3"/>
  <c r="FG5" i="3"/>
  <c r="FE5" i="3"/>
  <c r="FC5" i="3"/>
  <c r="FA5" i="3"/>
  <c r="EY5" i="3"/>
  <c r="EW5" i="3"/>
  <c r="EU5" i="3"/>
  <c r="FM5" i="3"/>
  <c r="EQ5" i="3"/>
  <c r="EO5" i="3"/>
  <c r="EM5" i="3"/>
  <c r="EK5" i="3"/>
  <c r="EI5" i="3"/>
  <c r="ES5" i="3"/>
  <c r="EC5" i="3"/>
  <c r="EA5" i="3"/>
  <c r="DY5" i="3"/>
  <c r="DW5" i="3"/>
  <c r="DU5" i="3"/>
  <c r="DS5" i="3"/>
  <c r="DF5" i="3"/>
  <c r="DD5" i="3"/>
  <c r="DB5" i="3"/>
  <c r="CZ5" i="3"/>
  <c r="EE5" i="3"/>
  <c r="CV5" i="3"/>
  <c r="CT5" i="3"/>
  <c r="CR5" i="3"/>
  <c r="CP5" i="3"/>
  <c r="CN5" i="3"/>
  <c r="CI5" i="3"/>
  <c r="CD5" i="3"/>
  <c r="CB5" i="3"/>
  <c r="BZ5" i="3"/>
  <c r="CX5" i="3"/>
  <c r="AH5" i="3"/>
  <c r="AJ5" i="3"/>
  <c r="AP5" i="3"/>
  <c r="AE5" i="3"/>
  <c r="AV5" i="3"/>
  <c r="AS5" i="3"/>
  <c r="AY5" i="3"/>
  <c r="BB5" i="3"/>
  <c r="BD5" i="3"/>
  <c r="BF5" i="3"/>
  <c r="BI5" i="3"/>
  <c r="BP5" i="3"/>
  <c r="AC5" i="3"/>
  <c r="BX5" i="3"/>
  <c r="FN5" i="3"/>
  <c r="E5" i="3"/>
  <c r="C5" i="3"/>
  <c r="FK4" i="3"/>
  <c r="FI4" i="3"/>
  <c r="FG4" i="3"/>
  <c r="FE4" i="3"/>
  <c r="FC4" i="3"/>
  <c r="FA4" i="3"/>
  <c r="EY4" i="3"/>
  <c r="EW4" i="3"/>
  <c r="EU4" i="3"/>
  <c r="FM4" i="3"/>
  <c r="EQ4" i="3"/>
  <c r="EO4" i="3"/>
  <c r="EM4" i="3"/>
  <c r="EK4" i="3"/>
  <c r="EI4" i="3"/>
  <c r="EG4" i="3"/>
  <c r="ES4" i="3"/>
  <c r="EC4" i="3"/>
  <c r="EA4" i="3"/>
  <c r="DY4" i="3"/>
  <c r="DW4" i="3"/>
  <c r="DU4" i="3"/>
  <c r="DS4" i="3"/>
  <c r="DF4" i="3"/>
  <c r="DD4" i="3"/>
  <c r="DB4" i="3"/>
  <c r="CZ4" i="3"/>
  <c r="EE4" i="3"/>
  <c r="CV4" i="3"/>
  <c r="CT4" i="3"/>
  <c r="CR4" i="3"/>
  <c r="CP4" i="3"/>
  <c r="CN4" i="3"/>
  <c r="CI4" i="3"/>
  <c r="CD4" i="3"/>
  <c r="CB4" i="3"/>
  <c r="BZ4" i="3"/>
  <c r="CX4" i="3"/>
  <c r="AH4" i="3"/>
  <c r="AJ4" i="3"/>
  <c r="AP4" i="3"/>
  <c r="AE4" i="3"/>
  <c r="AV4" i="3"/>
  <c r="AS4" i="3"/>
  <c r="AY4" i="3"/>
  <c r="BB4" i="3"/>
  <c r="BD4" i="3"/>
  <c r="BF4" i="3"/>
  <c r="BI4" i="3"/>
  <c r="BP4" i="3"/>
  <c r="AC4" i="3"/>
  <c r="BX4" i="3"/>
  <c r="FN4" i="3"/>
  <c r="E4" i="3"/>
  <c r="C4" i="3"/>
  <c r="FK3" i="3"/>
  <c r="FI3" i="3"/>
  <c r="FG3" i="3"/>
  <c r="FE3" i="3"/>
  <c r="FC3" i="3"/>
  <c r="FA3" i="3"/>
  <c r="EY3" i="3"/>
  <c r="EW3" i="3"/>
  <c r="EU3" i="3"/>
  <c r="FM3" i="3"/>
  <c r="EQ3" i="3"/>
  <c r="EO3" i="3"/>
  <c r="EM3" i="3"/>
  <c r="EK3" i="3"/>
  <c r="EI3" i="3"/>
  <c r="EG3" i="3"/>
  <c r="ES3" i="3"/>
  <c r="EC3" i="3"/>
  <c r="EA3" i="3"/>
  <c r="DY3" i="3"/>
  <c r="DW3" i="3"/>
  <c r="DU3" i="3"/>
  <c r="DS3" i="3"/>
  <c r="DF3" i="3"/>
  <c r="DD3" i="3"/>
  <c r="DB3" i="3"/>
  <c r="CZ3" i="3"/>
  <c r="EE3" i="3"/>
  <c r="CV3" i="3"/>
  <c r="CT3" i="3"/>
  <c r="CR3" i="3"/>
  <c r="CP3" i="3"/>
  <c r="CN3" i="3"/>
  <c r="CI3" i="3"/>
  <c r="CD3" i="3"/>
  <c r="CB3" i="3"/>
  <c r="BZ3" i="3"/>
  <c r="CX3" i="3"/>
  <c r="AH3" i="3"/>
  <c r="AJ3" i="3"/>
  <c r="AP3" i="3"/>
  <c r="AE3" i="3"/>
  <c r="AV3" i="3"/>
  <c r="AS3" i="3"/>
  <c r="AY3" i="3"/>
  <c r="BB3" i="3"/>
  <c r="BD3" i="3"/>
  <c r="BF3" i="3"/>
  <c r="BI3" i="3"/>
  <c r="BP3" i="3"/>
  <c r="AC3" i="3"/>
  <c r="BX3" i="3"/>
  <c r="FN3" i="3"/>
  <c r="E3" i="3"/>
  <c r="C3" i="3"/>
</calcChain>
</file>

<file path=xl/comments1.xml><?xml version="1.0" encoding="utf-8"?>
<comments xmlns="http://schemas.openxmlformats.org/spreadsheetml/2006/main">
  <authors>
    <author>Ari Wolfe</author>
  </authors>
  <commentList>
    <comment ref="EB2" authorId="0">
      <text>
        <r>
          <rPr>
            <b/>
            <sz val="9"/>
            <color indexed="81"/>
            <rFont val="Arial"/>
          </rPr>
          <t>Ari Wolfe:</t>
        </r>
        <r>
          <rPr>
            <sz val="9"/>
            <color indexed="81"/>
            <rFont val="Arial"/>
          </rPr>
          <t xml:space="preserve">
Counts if it's in header, but not footer</t>
        </r>
      </text>
    </comment>
    <comment ref="EH2" authorId="0">
      <text>
        <r>
          <rPr>
            <b/>
            <sz val="9"/>
            <color indexed="81"/>
            <rFont val="Arial"/>
          </rPr>
          <t>Ari Wolfe:</t>
        </r>
        <r>
          <rPr>
            <sz val="9"/>
            <color indexed="81"/>
            <rFont val="Arial"/>
          </rPr>
          <t xml:space="preserve">
Has to be within page (# or email in header/footer counts but anything that requires a click does not
</t>
        </r>
      </text>
    </comment>
  </commentList>
</comments>
</file>

<file path=xl/sharedStrings.xml><?xml version="1.0" encoding="utf-8"?>
<sst xmlns="http://schemas.openxmlformats.org/spreadsheetml/2006/main" count="23277" uniqueCount="3510">
  <si>
    <t>No.</t>
  </si>
  <si>
    <t>Brands</t>
  </si>
  <si>
    <t>Parent</t>
  </si>
  <si>
    <t>Country Of Origin</t>
  </si>
  <si>
    <t>Site</t>
  </si>
  <si>
    <t>TOTAL MOBILE SITES SCORE
(0-5)</t>
  </si>
  <si>
    <t>Total Iphone Score (0-2)</t>
  </si>
  <si>
    <t>Total ipad Score (0-2)</t>
  </si>
  <si>
    <t>iOS Functionality score
(0-1)</t>
  </si>
  <si>
    <t>TOTAL iOS SCORE (0-5)</t>
  </si>
  <si>
    <t>Geolocal (0-2)</t>
  </si>
  <si>
    <t>Mobile Innovation (0-3)</t>
  </si>
  <si>
    <t>TOTAL MOBILE INNOVATION SCORE 
(0-5)</t>
  </si>
  <si>
    <t xml:space="preserve">Mobile Total (0-20) </t>
  </si>
  <si>
    <t>Facebook 
(0-10)</t>
  </si>
  <si>
    <t xml:space="preserve">Twitter
(0-5) </t>
  </si>
  <si>
    <t xml:space="preserve">YouTube
(0-5) </t>
  </si>
  <si>
    <t>Traditional Scoail Media Total (0-20)</t>
  </si>
  <si>
    <t>Pinterest (0-5)</t>
  </si>
  <si>
    <t>Tumblr (0-5)</t>
  </si>
  <si>
    <t>Instagram (0-5)</t>
  </si>
  <si>
    <t>Google+ (0-5)</t>
  </si>
  <si>
    <t>Emerging Social Media (0-5)</t>
  </si>
  <si>
    <t>Social Media Total (0-20)</t>
  </si>
  <si>
    <t>Traffic</t>
  </si>
  <si>
    <t>Web Authority</t>
  </si>
  <si>
    <t>Quantitative Search (0-10)</t>
  </si>
  <si>
    <t>Google (0-5)</t>
  </si>
  <si>
    <t>Bing (0-5)</t>
  </si>
  <si>
    <t>Mobile (0-5)</t>
  </si>
  <si>
    <t>Qualitative Search (0-5)</t>
  </si>
  <si>
    <t>Search
 (0-15)</t>
  </si>
  <si>
    <t>Web Advertising (0-5)</t>
  </si>
  <si>
    <t>Innovation (0-5)</t>
  </si>
  <si>
    <t>Web
Advertising &amp; Innovation Total
(0-5)</t>
  </si>
  <si>
    <t>User Generated Content
(0-5)</t>
  </si>
  <si>
    <t>Email Marketing Content
(0-5)</t>
  </si>
  <si>
    <t>Digital Marketing Total (0-30)</t>
  </si>
  <si>
    <t>Brand Translation Visual Aesthetics (0-5)</t>
  </si>
  <si>
    <t>Brand Translation Messaging (0-5)</t>
  </si>
  <si>
    <t>Technology Score (0-5)</t>
  </si>
  <si>
    <t>Search &amp; Nav Score (0-5)</t>
  </si>
  <si>
    <t>Customer Service (0-5)</t>
  </si>
  <si>
    <t>Product Page (0-5)</t>
  </si>
  <si>
    <t>Checkout (0-5)</t>
  </si>
  <si>
    <t>Account (0-5)</t>
  </si>
  <si>
    <t>Total Site Score (0-30)</t>
  </si>
  <si>
    <t xml:space="preserve"> Site Total (0-30)</t>
  </si>
  <si>
    <t>Total Digital IQ</t>
  </si>
  <si>
    <t>ADJUSTED DIGITAL IQ</t>
  </si>
  <si>
    <t>Rank</t>
  </si>
  <si>
    <t>Class</t>
  </si>
  <si>
    <t>Percent Rank</t>
  </si>
  <si>
    <t>E-commerce Enabled</t>
  </si>
  <si>
    <t>Member?</t>
  </si>
  <si>
    <t xml:space="preserve">2011 Digital IQ </t>
  </si>
  <si>
    <t>2012-2011 Differential</t>
  </si>
  <si>
    <t>2011 Digital IQ Percent Rank</t>
  </si>
  <si>
    <t>2012-2011 % Differential</t>
  </si>
  <si>
    <t>2010 Digital IQ</t>
  </si>
  <si>
    <t>1 month Traffic Growth</t>
  </si>
  <si>
    <t>Annual Traffic Growth</t>
  </si>
  <si>
    <t>2010 - 2009 Change (%)</t>
  </si>
  <si>
    <t>Alexander McQueen</t>
  </si>
  <si>
    <t>Gucci Group (PPR)</t>
  </si>
  <si>
    <t>United Kingdom</t>
  </si>
  <si>
    <t>www.alexandermcqueen.com</t>
  </si>
  <si>
    <t>Average</t>
  </si>
  <si>
    <t>Y</t>
  </si>
  <si>
    <t>Alfred Dunhill</t>
  </si>
  <si>
    <t>Compagnie Financiere Richemont S.A</t>
  </si>
  <si>
    <t>www.dunhill.com</t>
  </si>
  <si>
    <t>Badgley Mischka</t>
  </si>
  <si>
    <t>Iconix Brand Group, Inc.</t>
  </si>
  <si>
    <t>United States</t>
  </si>
  <si>
    <t>www.badgleymischka.com</t>
  </si>
  <si>
    <t>Feeble</t>
  </si>
  <si>
    <t>n</t>
  </si>
  <si>
    <t>Balenciaga</t>
  </si>
  <si>
    <t>France</t>
  </si>
  <si>
    <t>www.balenciaga.com</t>
  </si>
  <si>
    <t>y</t>
  </si>
  <si>
    <t>Bally</t>
  </si>
  <si>
    <t>Labelux Group Inc</t>
  </si>
  <si>
    <t>Switzerland</t>
  </si>
  <si>
    <t>www.bally.com</t>
  </si>
  <si>
    <t>Challenged</t>
  </si>
  <si>
    <t>Belstaff</t>
  </si>
  <si>
    <t>http://www.belstaff.com</t>
  </si>
  <si>
    <t>NA</t>
  </si>
  <si>
    <t>Bottega Veneta</t>
  </si>
  <si>
    <t>Italy</t>
  </si>
  <si>
    <t>www.bottegaveneta.com</t>
  </si>
  <si>
    <t>Burberry</t>
  </si>
  <si>
    <t>www.burberry.com</t>
  </si>
  <si>
    <t>Genius</t>
  </si>
  <si>
    <t>Calvin Klein</t>
  </si>
  <si>
    <t>Phillips-Van Heusen</t>
  </si>
  <si>
    <t>www.calvinklein.com</t>
  </si>
  <si>
    <t>Gifted</t>
  </si>
  <si>
    <t>Catherine Malandrino</t>
  </si>
  <si>
    <t>www.catherinemalandrino.com</t>
  </si>
  <si>
    <t>Chanel</t>
  </si>
  <si>
    <t>www.chanel.com</t>
  </si>
  <si>
    <t>Chloe</t>
  </si>
  <si>
    <t>www.chloe.com</t>
  </si>
  <si>
    <t>Christian Dior</t>
  </si>
  <si>
    <t>LVMH</t>
  </si>
  <si>
    <t>www.dior.com</t>
  </si>
  <si>
    <t>Christian Louboutin</t>
  </si>
  <si>
    <t>www.christianlouboutin.com</t>
  </si>
  <si>
    <t>Coach</t>
  </si>
  <si>
    <t>Coach, Inc.</t>
  </si>
  <si>
    <t>www.coach.com</t>
  </si>
  <si>
    <t>Cole Haan</t>
  </si>
  <si>
    <t>Nike</t>
  </si>
  <si>
    <t>www.colehaan.com</t>
  </si>
  <si>
    <t>Diane von Furstenberg</t>
  </si>
  <si>
    <t>Diane Von Furstenberg</t>
  </si>
  <si>
    <t>www.dvf.com</t>
  </si>
  <si>
    <t>Dolce &amp; Gabbana</t>
  </si>
  <si>
    <t>Dolce&amp;Gabbana Holding S.r.l.</t>
  </si>
  <si>
    <t>www.dolcegabbana.com/</t>
  </si>
  <si>
    <t>Donna Karan / DKNY</t>
  </si>
  <si>
    <t>http://www.donnakaran.com/</t>
  </si>
  <si>
    <t>Emilio Pucci</t>
  </si>
  <si>
    <t>http://www.emiliopucci.com</t>
  </si>
  <si>
    <t>Ermenegildo Zegna</t>
  </si>
  <si>
    <t>http://www.zegna.com</t>
  </si>
  <si>
    <t>Escada</t>
  </si>
  <si>
    <t>Escada Group</t>
  </si>
  <si>
    <t>Germany</t>
  </si>
  <si>
    <t>http://www.escada.com/</t>
  </si>
  <si>
    <t>N</t>
  </si>
  <si>
    <t>Fendi</t>
  </si>
  <si>
    <t>http://www.fendi.com/</t>
  </si>
  <si>
    <t>Giorgio Armani</t>
  </si>
  <si>
    <t>Giorgio Armani Corporation</t>
  </si>
  <si>
    <t>http://armani.com</t>
  </si>
  <si>
    <t>Givenchy</t>
  </si>
  <si>
    <t>http://www.givenchy.com</t>
  </si>
  <si>
    <t>Gucci</t>
  </si>
  <si>
    <t>http://www.gucci.com</t>
  </si>
  <si>
    <t>Hermes</t>
  </si>
  <si>
    <t>http://www.hermes.com/</t>
  </si>
  <si>
    <t>Hugo Boss</t>
  </si>
  <si>
    <t>HUGO BOSS Group</t>
  </si>
  <si>
    <t>http://www.hugoboss.com</t>
  </si>
  <si>
    <t>Jimmy Choo</t>
  </si>
  <si>
    <t>http://www.jimmychoo.com/</t>
  </si>
  <si>
    <t>John Varvatos</t>
  </si>
  <si>
    <t>VF Corp</t>
  </si>
  <si>
    <t>http://www.johnvarvatos.com/</t>
  </si>
  <si>
    <t>Kate Spade</t>
  </si>
  <si>
    <t>Fifth &amp; Pacific</t>
  </si>
  <si>
    <t>www.katespade.com</t>
  </si>
  <si>
    <t>Lacoste</t>
  </si>
  <si>
    <t>http://www.lacoste.com/</t>
  </si>
  <si>
    <t>Lancel</t>
  </si>
  <si>
    <t>Richemont</t>
  </si>
  <si>
    <t>http://www.lancel.com</t>
  </si>
  <si>
    <t>Lanvin</t>
  </si>
  <si>
    <t>http://www.lanvin.com/</t>
  </si>
  <si>
    <t>Longchamp</t>
  </si>
  <si>
    <t>http://www.longchamp.com</t>
  </si>
  <si>
    <t>Louis Vuitton</t>
  </si>
  <si>
    <t>http://www.louisvuitton.com</t>
  </si>
  <si>
    <t xml:space="preserve">Manolo Blahnik </t>
  </si>
  <si>
    <t>http://www.manoloblahnik.com/</t>
  </si>
  <si>
    <t>Marc Jacobs</t>
  </si>
  <si>
    <t>http://www.marcjacobs.com/</t>
  </si>
  <si>
    <t>Max Mara</t>
  </si>
  <si>
    <t>Max Mara S.R.L.</t>
  </si>
  <si>
    <t>http://www.maxmara.com</t>
  </si>
  <si>
    <t>Michael Kors</t>
  </si>
  <si>
    <t>Michael Kors Inc.</t>
  </si>
  <si>
    <t>http://www.michaelkors.com/</t>
  </si>
  <si>
    <t>Missoni</t>
  </si>
  <si>
    <t>Missoni S.p.A.</t>
  </si>
  <si>
    <t>http://www.missoni.com/</t>
  </si>
  <si>
    <t>Mulberry</t>
  </si>
  <si>
    <t>http://www.mulberry.com</t>
  </si>
  <si>
    <t>Oscar de la Renta</t>
  </si>
  <si>
    <t>Oscar de la Renta Ltd.</t>
  </si>
  <si>
    <t>http://www.oscardelarenta.com/</t>
  </si>
  <si>
    <t>Paul Smith</t>
  </si>
  <si>
    <t>http://www.paulsmith.co.uk/</t>
  </si>
  <si>
    <t>Prada</t>
  </si>
  <si>
    <t>Prada S.p.A.</t>
  </si>
  <si>
    <t>http://www.prada.com</t>
  </si>
  <si>
    <t>Ralph Lauren</t>
  </si>
  <si>
    <t>Ralph Lauren Corporation</t>
  </si>
  <si>
    <t>www.ralphlauren.com</t>
  </si>
  <si>
    <t>Roberto Cavalli</t>
  </si>
  <si>
    <t>Roberto Cavalli S.p.A.</t>
  </si>
  <si>
    <t>http://www.robertocavalli.com</t>
  </si>
  <si>
    <t>Salvatore Ferragamo</t>
  </si>
  <si>
    <t>Salvatore Ferragamo Italia S.p.A.</t>
  </si>
  <si>
    <t>http://www.ferragamo.com</t>
  </si>
  <si>
    <t>Sergio Rossi</t>
  </si>
  <si>
    <t>http://www.sergiorossi.com/</t>
  </si>
  <si>
    <t>Stella McCartney</t>
  </si>
  <si>
    <t>http://www.stellamccartney.com/</t>
  </si>
  <si>
    <t>Stuart Weitzman</t>
  </si>
  <si>
    <t>Jones Group Inc.</t>
  </si>
  <si>
    <t>http://www.stuartweitzman.com/home/</t>
  </si>
  <si>
    <t>Ted Baker</t>
  </si>
  <si>
    <t>Ted Baker PLC</t>
  </si>
  <si>
    <t>http://www.tedbaker.com</t>
  </si>
  <si>
    <t>Theory</t>
  </si>
  <si>
    <t>Fast Retailing Co., Ltd</t>
  </si>
  <si>
    <t>Japan</t>
  </si>
  <si>
    <t>http://www.theory.com</t>
  </si>
  <si>
    <t>Thomas Pink</t>
  </si>
  <si>
    <t>http://www.thomaspink.com/</t>
  </si>
  <si>
    <t>Tod's</t>
  </si>
  <si>
    <t>Tod's SPA</t>
  </si>
  <si>
    <t>http://www.tods.com/</t>
  </si>
  <si>
    <t>Tommy Hilfiger</t>
  </si>
  <si>
    <t>tommy.com</t>
  </si>
  <si>
    <t>Tory Burch</t>
  </si>
  <si>
    <t>http://www.toryburch.com</t>
  </si>
  <si>
    <t>Valentino</t>
  </si>
  <si>
    <t>Valentino S.p.A</t>
  </si>
  <si>
    <t>http://www.valentino.com</t>
  </si>
  <si>
    <t>Versace</t>
  </si>
  <si>
    <t>Gianni Versace S.p.A</t>
  </si>
  <si>
    <t>http://www.versace.com</t>
  </si>
  <si>
    <t>Vivienne Westwood</t>
  </si>
  <si>
    <t>Yves Saint Laurent</t>
  </si>
  <si>
    <t>http://www.ysl.com</t>
  </si>
  <si>
    <t>Zac Posen</t>
  </si>
  <si>
    <t>Zac Posen-House of Z LLC</t>
  </si>
  <si>
    <t>`http://www.zacposen.com/</t>
  </si>
  <si>
    <t>Derek Lam</t>
  </si>
  <si>
    <t>http://dereklam.com</t>
  </si>
  <si>
    <t>Vineyard Vines</t>
  </si>
  <si>
    <t>Vineyard Vines, L.L.C.</t>
  </si>
  <si>
    <t>http://www.vineyardvines.com/</t>
  </si>
  <si>
    <t>TOTAL MOBILE SITES SCORE</t>
  </si>
  <si>
    <t>iOS Functionality score</t>
  </si>
  <si>
    <t>TOTAL MOBILE INNOVATION SCORE</t>
  </si>
  <si>
    <t>General info</t>
  </si>
  <si>
    <t>Site Technology</t>
  </si>
  <si>
    <t>Navigation and Search</t>
  </si>
  <si>
    <t>Customer service + store locator</t>
  </si>
  <si>
    <t>Product Page</t>
  </si>
  <si>
    <t>Check Out</t>
  </si>
  <si>
    <t>Account &amp; Personalization</t>
  </si>
  <si>
    <t>Brand</t>
  </si>
  <si>
    <t>Category</t>
  </si>
  <si>
    <t>Country of Origin</t>
  </si>
  <si>
    <t>Country</t>
    <phoneticPr fontId="0" type="noConversion"/>
  </si>
  <si>
    <t>Website</t>
  </si>
  <si>
    <r>
      <t>E-Comm Enabled</t>
    </r>
    <r>
      <rPr>
        <b/>
        <sz val="10"/>
        <rFont val="Arial"/>
      </rPr>
      <t xml:space="preserve"> (Y/N)</t>
    </r>
  </si>
  <si>
    <t>If non e-Comm - Do they link to 3rd party online retailers?</t>
  </si>
  <si>
    <t>What platform is the site built on?</t>
  </si>
  <si>
    <t>What technology does the site use?</t>
  </si>
  <si>
    <t>Responsive Design? (Y/N)</t>
  </si>
  <si>
    <r>
      <t>Responsive Design Points</t>
    </r>
    <r>
      <rPr>
        <b/>
        <sz val="10"/>
        <rFont val="Arial"/>
      </rPr>
      <t xml:space="preserve"> (0.75)</t>
    </r>
  </si>
  <si>
    <t>Load time</t>
  </si>
  <si>
    <t>Load Time  Pts (0-2)</t>
  </si>
  <si>
    <t>What Analytics?</t>
  </si>
  <si>
    <t>Analytics (0, .5, 1)</t>
  </si>
  <si>
    <t>Multiple Languages  (Y/N)</t>
  </si>
  <si>
    <t>Multiple Languages
 (0- 0.5)</t>
  </si>
  <si>
    <t>Flash  (Y/N)</t>
  </si>
  <si>
    <t>Prohibitive flash points
(0.5)</t>
  </si>
  <si>
    <t>Videos? (Y/N)</t>
  </si>
  <si>
    <t>Videos shareable? (Y/N)</t>
  </si>
  <si>
    <r>
      <t>Videos shareable?
 (0- 0.</t>
    </r>
    <r>
      <rPr>
        <b/>
        <sz val="10"/>
        <rFont val="Arial"/>
      </rPr>
      <t>2</t>
    </r>
    <r>
      <rPr>
        <b/>
        <sz val="10"/>
        <rFont val="Arial"/>
      </rPr>
      <t>5)</t>
    </r>
  </si>
  <si>
    <t>How are videos shareable?</t>
  </si>
  <si>
    <t>Site Technology Observations (Does Site Functionality Hamper Experience? Does it enhance user experience)</t>
  </si>
  <si>
    <t>Clicks to mainpage</t>
  </si>
  <si>
    <t>Clicks to mainpage (0.5)</t>
  </si>
  <si>
    <t>Does brand maintain 2 seprate sites for brand and e-commerce? (Y/N)</t>
  </si>
  <si>
    <t>2 sites penalty (0.25)</t>
  </si>
  <si>
    <r>
      <t>Is transition between sites seamless?</t>
    </r>
    <r>
      <rPr>
        <b/>
        <sz val="10"/>
        <rFont val="Arial"/>
      </rPr>
      <t xml:space="preserve">
(Y/N)</t>
    </r>
  </si>
  <si>
    <t>Clicks to product page?</t>
  </si>
  <si>
    <t>Clicks to Product Page (0-1)</t>
  </si>
  <si>
    <t>Product quick view functionality? (Y/N)</t>
  </si>
  <si>
    <t>Product Quick View
 (0- 0.25)</t>
  </si>
  <si>
    <t>Does brand offer filters beyond product category? (Y/N)</t>
  </si>
  <si>
    <t>Filter by price? (Y/N)</t>
  </si>
  <si>
    <t>Filter by size? (Y/N)</t>
  </si>
  <si>
    <t>Filters by ratings and/or reviews? (Y/N)</t>
  </si>
  <si>
    <t>Filter by best sellers/popularity? (Y/N)</t>
  </si>
  <si>
    <t>Additional filters beyond category
(0 - 0.25)</t>
  </si>
  <si>
    <t>Are there any sorting options? (Y/N)</t>
  </si>
  <si>
    <t>Nav sorts by price? (Y/N)</t>
  </si>
  <si>
    <r>
      <rPr>
        <b/>
        <sz val="10"/>
        <rFont val="Arial"/>
      </rPr>
      <t>Price sorting</t>
    </r>
    <r>
      <rPr>
        <b/>
        <sz val="10"/>
        <rFont val="Arial"/>
      </rPr>
      <t xml:space="preserve">
(0 - 0.25)</t>
    </r>
  </si>
  <si>
    <t>Nav sorts by "New Arrivals"? (Y/N)</t>
  </si>
  <si>
    <t>Nav sorts by ratings and/or reviews? (Y/N)</t>
  </si>
  <si>
    <r>
      <rPr>
        <b/>
        <sz val="10"/>
        <rFont val="Arial"/>
      </rPr>
      <t>Sorting Options</t>
    </r>
    <r>
      <rPr>
        <b/>
        <sz val="10"/>
        <rFont val="Arial"/>
      </rPr>
      <t xml:space="preserve">
(0 - 0.25)</t>
    </r>
  </si>
  <si>
    <t>Nav sorts by "Best Sellers"/Most Popular? (Y/N)</t>
  </si>
  <si>
    <t>View all / browse all? (Y/N)</t>
  </si>
  <si>
    <t>View All
 (0-.25)</t>
  </si>
  <si>
    <t>Navigation Observations?</t>
  </si>
  <si>
    <t>Product search? (Y/N)</t>
  </si>
  <si>
    <r>
      <rPr>
        <b/>
        <sz val="10"/>
        <rFont val="Arial"/>
      </rPr>
      <t>Product Search</t>
    </r>
    <r>
      <rPr>
        <b/>
        <sz val="10"/>
        <rFont val="Arial"/>
      </rPr>
      <t xml:space="preserve">
 (0-.25)</t>
    </r>
  </si>
  <si>
    <t>Auto-correct misspelling?</t>
  </si>
  <si>
    <t>Auto-correct
 (0-.5)</t>
  </si>
  <si>
    <t>Auto- completion?</t>
  </si>
  <si>
    <t>Auto-complete
 (0-.25)</t>
  </si>
  <si>
    <t>Does serch layout mimik product navigation? (Y/N)</t>
  </si>
  <si>
    <t>Do search results filter? (Y/N)</t>
  </si>
  <si>
    <r>
      <t>Do search results filter?</t>
    </r>
    <r>
      <rPr>
        <b/>
        <sz val="10"/>
        <rFont val="Arial"/>
      </rPr>
      <t xml:space="preserve"> (0 - .5)</t>
    </r>
  </si>
  <si>
    <r>
      <t>Search filters by brand</t>
    </r>
    <r>
      <rPr>
        <b/>
        <sz val="10"/>
        <rFont val="Arial"/>
      </rPr>
      <t xml:space="preserve"> </t>
    </r>
    <r>
      <rPr>
        <b/>
        <sz val="10"/>
        <rFont val="Arial"/>
      </rPr>
      <t>"featured" "editors picks" (brand curated)? (Y/N)</t>
    </r>
  </si>
  <si>
    <t>Search filters by ratings and/or reviews? (Y/N)</t>
  </si>
  <si>
    <t>Search filter by best sellers/popularity? (Y/N)</t>
  </si>
  <si>
    <t>Do search results sort?</t>
  </si>
  <si>
    <t>Do search results sort? (0 - .5)</t>
  </si>
  <si>
    <t>Search sorts by price? (Y/N)</t>
  </si>
  <si>
    <t>Search sorts by relevance? (Y/N)</t>
  </si>
  <si>
    <t>Search sorts by "New Arrivals"? (Y/N)</t>
  </si>
  <si>
    <t>Search sorts by brand"featured" "editors picks" (brand curated)? (Y/N)</t>
  </si>
  <si>
    <t>Search sorts by ratings and/or reviews? (Y/N)</t>
  </si>
  <si>
    <t>Search sorts by "Best Sellers"/Most Popular? (Y/N)</t>
  </si>
  <si>
    <t>Search observations</t>
  </si>
  <si>
    <t>Customer Service Dedicated Page? (Y/N)</t>
  </si>
  <si>
    <t>Customer Service page (0.5)</t>
  </si>
  <si>
    <r>
      <t>Live chat</t>
    </r>
    <r>
      <rPr>
        <b/>
        <sz val="10"/>
        <rFont val="Arial"/>
      </rPr>
      <t xml:space="preserve"> on main site</t>
    </r>
    <r>
      <rPr>
        <b/>
        <sz val="10"/>
        <rFont val="Arial"/>
      </rPr>
      <t>? (Y/N)</t>
    </r>
  </si>
  <si>
    <r>
      <t>live chat (0-.</t>
    </r>
    <r>
      <rPr>
        <b/>
        <sz val="10"/>
        <rFont val="Arial"/>
      </rPr>
      <t>7</t>
    </r>
    <r>
      <rPr>
        <b/>
        <sz val="10"/>
        <rFont val="Arial"/>
      </rPr>
      <t>5)</t>
    </r>
  </si>
  <si>
    <t>Is livechat highlighted on Product Pages?</t>
  </si>
  <si>
    <r>
      <t>Is livechat available on Product Pages?</t>
    </r>
    <r>
      <rPr>
        <b/>
        <sz val="10"/>
        <rFont val="Arial"/>
      </rPr>
      <t xml:space="preserve"> (0-.</t>
    </r>
    <r>
      <rPr>
        <b/>
        <sz val="10"/>
        <rFont val="Arial"/>
      </rPr>
      <t>5</t>
    </r>
    <r>
      <rPr>
        <b/>
        <sz val="10"/>
        <rFont val="Arial"/>
      </rPr>
      <t>)</t>
    </r>
  </si>
  <si>
    <r>
      <rPr>
        <b/>
        <sz val="10"/>
        <rFont val="Arial"/>
      </rPr>
      <t>Is livechat available 24/7</t>
    </r>
    <r>
      <rPr>
        <b/>
        <sz val="10"/>
        <rFont val="Arial"/>
      </rPr>
      <t>? (Y/N)</t>
    </r>
  </si>
  <si>
    <r>
      <rPr>
        <b/>
        <sz val="10"/>
        <rFont val="Arial"/>
      </rPr>
      <t>Is phone operator available 24/7</t>
    </r>
    <r>
      <rPr>
        <b/>
        <sz val="10"/>
        <rFont val="Arial"/>
      </rPr>
      <t>? (Y/N)</t>
    </r>
  </si>
  <si>
    <t>24/7 (0-.5)</t>
  </si>
  <si>
    <t>Personal Shopper?</t>
  </si>
  <si>
    <t>Personal Shopper (0.5)</t>
  </si>
  <si>
    <t>Is there a store locator? (Y/N)</t>
  </si>
  <si>
    <t>"Search by" criteria beyond city/state/zip? (Y/N)</t>
  </si>
  <si>
    <t>If so, what are they?</t>
  </si>
  <si>
    <t>Auto-detects location based on IP? (Y/N)</t>
  </si>
  <si>
    <t>Auto-detects location (0-.5)</t>
  </si>
  <si>
    <t>Map directions?</t>
  </si>
  <si>
    <r>
      <t>Map Directions</t>
    </r>
    <r>
      <rPr>
        <b/>
        <sz val="10"/>
        <rFont val="Arial"/>
      </rPr>
      <t xml:space="preserve"> (0-.</t>
    </r>
    <r>
      <rPr>
        <b/>
        <sz val="10"/>
        <rFont val="Arial"/>
      </rPr>
      <t>7</t>
    </r>
    <r>
      <rPr>
        <b/>
        <sz val="10"/>
        <rFont val="Arial"/>
      </rPr>
      <t>5)</t>
    </r>
  </si>
  <si>
    <t>Can you get direction without leaving site page?</t>
  </si>
  <si>
    <t>Can you get direction without leaving site page?  (0-.25)</t>
  </si>
  <si>
    <t>Results list hours?</t>
  </si>
  <si>
    <t>Results list hours (0-.5)</t>
  </si>
  <si>
    <t>Results list services/collections at locations</t>
  </si>
  <si>
    <r>
      <rPr>
        <b/>
        <sz val="10"/>
        <rFont val="Arial"/>
      </rPr>
      <t>Collections/Services</t>
    </r>
    <r>
      <rPr>
        <b/>
        <sz val="10"/>
        <rFont val="Arial"/>
      </rPr>
      <t xml:space="preserve">  (0-.25)</t>
    </r>
  </si>
  <si>
    <t>Observations</t>
  </si>
  <si>
    <r>
      <t>Customer Service Score</t>
    </r>
    <r>
      <rPr>
        <b/>
        <sz val="10"/>
        <rFont val="Arial"/>
      </rPr>
      <t xml:space="preserve"> (0-5)</t>
    </r>
  </si>
  <si>
    <t>Zoom in on image? (Y/N)</t>
  </si>
  <si>
    <r>
      <t>Zoom in on image (0-.</t>
    </r>
    <r>
      <rPr>
        <b/>
        <sz val="10"/>
        <rFont val="Arial"/>
      </rPr>
      <t>5</t>
    </r>
    <r>
      <rPr>
        <b/>
        <sz val="10"/>
        <rFont val="Arial"/>
      </rPr>
      <t>)</t>
    </r>
  </si>
  <si>
    <t># Views?</t>
  </si>
  <si>
    <t># Views (0-1)</t>
  </si>
  <si>
    <t>Product Videos?</t>
  </si>
  <si>
    <t>Product videos? (0-.5)</t>
  </si>
  <si>
    <r>
      <rPr>
        <b/>
        <sz val="10"/>
        <rFont val="Arial"/>
      </rPr>
      <t xml:space="preserve">Social </t>
    </r>
    <r>
      <rPr>
        <b/>
        <sz val="10"/>
        <rFont val="Arial"/>
      </rPr>
      <t>Sharing Capability? (Y/N)</t>
    </r>
  </si>
  <si>
    <t>Sharing Capability for a Particular Product (0-.5)</t>
  </si>
  <si>
    <t>Add this? (Y/N)</t>
  </si>
  <si>
    <t>Tumblr? (Y/N)</t>
  </si>
  <si>
    <r>
      <rPr>
        <b/>
        <sz val="10"/>
        <rFont val="Arial"/>
      </rPr>
      <t>Pinterest</t>
    </r>
    <r>
      <rPr>
        <b/>
        <sz val="10"/>
        <rFont val="Arial"/>
      </rPr>
      <t>? (Y/N)</t>
    </r>
  </si>
  <si>
    <t>Tweet product? (Y/N)</t>
  </si>
  <si>
    <r>
      <rPr>
        <b/>
        <sz val="10"/>
        <rFont val="Arial"/>
      </rPr>
      <t>The Fancy</t>
    </r>
    <r>
      <rPr>
        <b/>
        <sz val="10"/>
        <rFont val="Arial"/>
      </rPr>
      <t>? (Y/N)</t>
    </r>
  </si>
  <si>
    <t>Google +1? (Y/N)</t>
  </si>
  <si>
    <t>Email product to a friend? (Y/N)</t>
  </si>
  <si>
    <t>Other?</t>
  </si>
  <si>
    <t>FB Like a Product? (Y/N)</t>
  </si>
  <si>
    <r>
      <t>FB Share</t>
    </r>
    <r>
      <rPr>
        <b/>
        <sz val="10"/>
        <rFont val="Arial"/>
      </rPr>
      <t>/Send</t>
    </r>
    <r>
      <rPr>
        <b/>
        <sz val="10"/>
        <rFont val="Arial"/>
      </rPr>
      <t>? (Y/N)</t>
    </r>
  </si>
  <si>
    <t>FB Recommend? (Y/N)</t>
  </si>
  <si>
    <r>
      <t xml:space="preserve">FB </t>
    </r>
    <r>
      <rPr>
        <b/>
        <sz val="10"/>
        <rFont val="Arial"/>
      </rPr>
      <t>Timeline Love/Want/Got</t>
    </r>
    <r>
      <rPr>
        <b/>
        <sz val="10"/>
        <rFont val="Arial"/>
      </rPr>
      <t>? (Y/N)</t>
    </r>
  </si>
  <si>
    <t>FB Buttons (0-.25)</t>
  </si>
  <si>
    <t>User reviews?</t>
  </si>
  <si>
    <t>User reviews? (0-.5)</t>
  </si>
  <si>
    <t>User Ratings?</t>
  </si>
  <si>
    <t>User ratings? (0-.5)</t>
  </si>
  <si>
    <t>Cross sell prior to checkout? (Y/N)</t>
  </si>
  <si>
    <t>Cross sell prior to checkout (0-.5)</t>
  </si>
  <si>
    <t>Shows Recently Viewed? (Y/N)</t>
  </si>
  <si>
    <t>Stores recently viewed (0-.5)</t>
  </si>
  <si>
    <t>Store Locator from Product Page?</t>
  </si>
  <si>
    <r>
      <rPr>
        <b/>
        <sz val="10"/>
        <rFont val="Arial"/>
      </rPr>
      <t>Store Locator from Product Page?</t>
    </r>
    <r>
      <rPr>
        <b/>
        <sz val="10"/>
        <rFont val="Arial"/>
      </rPr>
      <t xml:space="preserve"> (0-.</t>
    </r>
    <r>
      <rPr>
        <b/>
        <sz val="10"/>
        <rFont val="Arial"/>
      </rPr>
      <t>2</t>
    </r>
    <r>
      <rPr>
        <b/>
        <sz val="10"/>
        <rFont val="Arial"/>
      </rPr>
      <t>5)</t>
    </r>
  </si>
  <si>
    <t>Observations (OPTIONAL)</t>
  </si>
  <si>
    <t>Product Score (0-5)</t>
  </si>
  <si>
    <t>Clicks to check out? (from product page + number of steps)</t>
  </si>
  <si>
    <r>
      <t>Clicks to Check Out (0-</t>
    </r>
    <r>
      <rPr>
        <b/>
        <sz val="10"/>
        <rFont val="Arial"/>
      </rPr>
      <t>1</t>
    </r>
    <r>
      <rPr>
        <b/>
        <sz val="10"/>
        <rFont val="Arial"/>
      </rPr>
      <t>)</t>
    </r>
  </si>
  <si>
    <t>Customer service during checkout process? (Y/N)</t>
  </si>
  <si>
    <t>CS during checkout process (0-.5)</t>
  </si>
  <si>
    <t>Cross Sell during checkout? (Y/N)</t>
  </si>
  <si>
    <t>Cross sell during checkout
(0-.5)</t>
  </si>
  <si>
    <t>In-Store Pick Up</t>
  </si>
  <si>
    <t>In-store pickup
(0-.5)</t>
  </si>
  <si>
    <t>Cart Maintained Even If You Leave Site</t>
  </si>
  <si>
    <t>Cart maintained (0-.5)</t>
  </si>
  <si>
    <t>eGift Card Sales? (Y/N)</t>
  </si>
  <si>
    <r>
      <rPr>
        <b/>
        <sz val="10"/>
        <rFont val="Arial"/>
      </rPr>
      <t>eGift Card Sales</t>
    </r>
    <r>
      <rPr>
        <b/>
        <sz val="10"/>
        <rFont val="Arial"/>
      </rPr>
      <t xml:space="preserve"> (0-.5)</t>
    </r>
  </si>
  <si>
    <r>
      <t>Observations</t>
    </r>
    <r>
      <rPr>
        <b/>
        <sz val="10"/>
        <rFont val="Arial"/>
      </rPr>
      <t xml:space="preserve"> (OPTIONAL)</t>
    </r>
  </si>
  <si>
    <r>
      <t>Checkout Score</t>
    </r>
    <r>
      <rPr>
        <b/>
        <sz val="10"/>
        <rFont val="Arial"/>
      </rPr>
      <t xml:space="preserve"> Raw (0-5)</t>
    </r>
  </si>
  <si>
    <t>Product Customization</t>
  </si>
  <si>
    <r>
      <t>Product Customization</t>
    </r>
    <r>
      <rPr>
        <b/>
        <sz val="10"/>
        <rFont val="Arial"/>
      </rPr>
      <t xml:space="preserve"> (0.5)</t>
    </r>
  </si>
  <si>
    <t>Creations shareable?</t>
  </si>
  <si>
    <t>Shareablity (0.5)</t>
  </si>
  <si>
    <t>Creations Gallery?</t>
  </si>
  <si>
    <t>Gallery (0.25)</t>
  </si>
  <si>
    <t>Facebook Connect? (Y/N)</t>
  </si>
  <si>
    <t>Facebook Connect
(0-.5)</t>
  </si>
  <si>
    <t>Wish list Management?</t>
  </si>
  <si>
    <r>
      <t>Wishlist management
(0-.</t>
    </r>
    <r>
      <rPr>
        <b/>
        <sz val="10"/>
        <rFont val="Arial"/>
      </rPr>
      <t>5)</t>
    </r>
  </si>
  <si>
    <t>Is Wishlist Shareable?</t>
  </si>
  <si>
    <r>
      <t>Is Wishlist Shareable
(0</t>
    </r>
    <r>
      <rPr>
        <b/>
        <sz val="10"/>
        <rFont val="Arial"/>
      </rPr>
      <t>.5</t>
    </r>
    <r>
      <rPr>
        <b/>
        <sz val="10"/>
        <rFont val="Arial"/>
      </rPr>
      <t>)</t>
    </r>
  </si>
  <si>
    <t>Is it  Shareable via Social?</t>
  </si>
  <si>
    <r>
      <t>Is it Shareable via Social
(0</t>
    </r>
    <r>
      <rPr>
        <b/>
        <sz val="10"/>
        <rFont val="Arial"/>
      </rPr>
      <t>.25</t>
    </r>
    <r>
      <rPr>
        <b/>
        <sz val="10"/>
        <rFont val="Arial"/>
      </rPr>
      <t>)</t>
    </r>
  </si>
  <si>
    <t>Visible Site Personalization?</t>
  </si>
  <si>
    <t>Site personalization
(0-.5)</t>
  </si>
  <si>
    <t>Stay Signed In Even If You Leave Site?</t>
  </si>
  <si>
    <r>
      <t>Stay signed in
(0-.</t>
    </r>
    <r>
      <rPr>
        <b/>
        <sz val="10"/>
        <rFont val="Arial"/>
      </rPr>
      <t>5)</t>
    </r>
  </si>
  <si>
    <r>
      <t>Account Score</t>
    </r>
    <r>
      <rPr>
        <b/>
        <sz val="10"/>
        <rFont val="Arial"/>
      </rPr>
      <t xml:space="preserve"> (0-5)</t>
    </r>
  </si>
  <si>
    <t>Total Score (0-30)</t>
  </si>
  <si>
    <t>Fashion</t>
  </si>
  <si>
    <t>Global</t>
  </si>
  <si>
    <t>N/A</t>
  </si>
  <si>
    <t>HTML5</t>
  </si>
  <si>
    <t>Google Analytics</t>
  </si>
  <si>
    <t>Nothing interesting.</t>
  </si>
  <si>
    <t>Nothing interesting</t>
  </si>
  <si>
    <t>Comprehensive product page, but nothing interesting. Store locator's in header (every page).</t>
  </si>
  <si>
    <t>Wishlist is shareable on FB, Tw, Tumblr, TheFancy</t>
  </si>
  <si>
    <t>n/a</t>
  </si>
  <si>
    <t>CREATETHE GROUP</t>
  </si>
  <si>
    <t>Email, Facebook, Twitter, Google+.</t>
  </si>
  <si>
    <t>Very cool site but is a little slow (according to Alexa).</t>
  </si>
  <si>
    <t>Can hover on "the Shop" to bring down categories to navigate without clicking or getting out of the home page. Separate page for new arrivals.</t>
  </si>
  <si>
    <t>Interesting search field.</t>
  </si>
  <si>
    <t>Map links to Google maps for directions.</t>
  </si>
  <si>
    <t>Product page features large images but zooming in isn't that effective. Bring images to full screen but it's not really that much bigger and that's considered the "zoom". Store locator's in footer (every page).</t>
  </si>
  <si>
    <t>After entering billing/payment information you can place the order (no reviewing) and the page expands (doesn't redirect to next page for next step).</t>
  </si>
  <si>
    <t>Wish list = favourites, added a couple products to favourites but it didn't save/show.</t>
  </si>
  <si>
    <t>html</t>
  </si>
  <si>
    <t xml:space="preserve">No ecommerce </t>
  </si>
  <si>
    <t>No search.</t>
  </si>
  <si>
    <t>No search options for store locator.</t>
  </si>
  <si>
    <t>No ecommerce. Can share catalog via Twitter/FB but not for a specific product, just the general catalog.</t>
  </si>
  <si>
    <t>No ecommerce.</t>
  </si>
  <si>
    <t>No account.</t>
  </si>
  <si>
    <t>No use of videos but can share photos (looks) via email/Twitter/FB.</t>
  </si>
  <si>
    <t>Can filter by scale (s/m/l) and color and there's a section for new arrivals.</t>
  </si>
  <si>
    <t>Results are separated by category and automatically display everything.</t>
  </si>
  <si>
    <t>List categories (not services) and embeds a Google map but can't get directions (should be able to). No search options for store locator.</t>
  </si>
  <si>
    <t>There's a store availability option to check if the items is in stock in stores (lists the locations). Store locator's in header.</t>
  </si>
  <si>
    <t>Can check if the item's available in store but can't pay online and pickup.</t>
  </si>
  <si>
    <t>Can share specific items in wish list.</t>
  </si>
  <si>
    <t>Yoox</t>
  </si>
  <si>
    <t>xhtml</t>
  </si>
  <si>
    <t>Email, Facebook, Pinterest, Twitter</t>
  </si>
  <si>
    <t>Flash/videos are mostly restricted to branded content in the World of Bally; doesn't hamper the shopping experience.</t>
  </si>
  <si>
    <t>Has both filtering and sorting options (price, latest arrivals; size, color).</t>
  </si>
  <si>
    <t>It doesn't auto-correct by showing you the corrected term; returned results that match the corrected term.</t>
  </si>
  <si>
    <t>Embeds a Google map but can't get directions (should be able to). No search options for store locator. Results don't list hours of operation or services/categories (maybe n/a).</t>
  </si>
  <si>
    <t>Product page automatically shows both current &amp; next view and some products have a 360 interactive view. Store locator's in header.</t>
  </si>
  <si>
    <t>Limited to 10 items in cart.</t>
  </si>
  <si>
    <t>Pretty basic account; wish list can't be shared, only printed. Nothing interesting.</t>
  </si>
  <si>
    <t>Coremetrics</t>
  </si>
  <si>
    <t>Site is a little slow and has an interesting, editorial-looking layout but requires a lot of scrolling up/down and a little harder to navigate than it should be.</t>
  </si>
  <si>
    <t>Can filter by size and color.</t>
  </si>
  <si>
    <t>Doesn't autocorrect the term but will ask if user meant the corrected term (i.e. no results for bleck, did you mean black?)</t>
  </si>
  <si>
    <t>store type:
all store types
retail
stockist</t>
  </si>
  <si>
    <t>Store locator lists store type and has embedded Google map where you'll be redirected to Google maps for directions.</t>
  </si>
  <si>
    <t>Store locator's in footer (every page); shows recently viewed as you navigate through collections.</t>
  </si>
  <si>
    <t>No wish list .</t>
  </si>
  <si>
    <t>Demandware</t>
  </si>
  <si>
    <t xml:space="preserve">Google+, Facebook, Email. </t>
  </si>
  <si>
    <t>Can filter by color and type; also has separate page for Tomas Maier's picks.</t>
  </si>
  <si>
    <t>Can filter by type, material, color, and scale. Also a see all option.</t>
  </si>
  <si>
    <t>Store locator is not very good, just a list of stores by country and if there are multiple locations in a city it's not immediately clear which location it is. Also no dedicated customer service page (just contact us).</t>
  </si>
  <si>
    <t>Store locator's in header.</t>
  </si>
  <si>
    <t>Interesting check out layout with few steps/clicks.</t>
  </si>
  <si>
    <t>Pretty basic account; wish list can't be shared.</t>
  </si>
  <si>
    <t>Email, Google+, Twitter, Facebook</t>
  </si>
  <si>
    <t>Enhances user experience with product video, branded content, social media sharing, and innovative customer serice.
Bespoke Trench offers a very customized, interactive experience.</t>
  </si>
  <si>
    <t>No comprehensive sorting/filtering, but can view all and new arrivals are on a separate page.</t>
  </si>
  <si>
    <t>No sorting/filtering but does auto-correct.</t>
  </si>
  <si>
    <t>Displays on map but doesn't provide directions; seems like it should be able to.</t>
  </si>
  <si>
    <t>Customer service links.</t>
  </si>
  <si>
    <t>Live Chat/Call Back during checkout process.</t>
  </si>
  <si>
    <t>Bespoke customized trench coat in My Burberry.</t>
  </si>
  <si>
    <t>Omniture</t>
  </si>
  <si>
    <t>Email, Facebook, Twitter.</t>
  </si>
  <si>
    <t>Ghostery found 42 trackers. Branded content is separated into calvinkleininc.com.</t>
  </si>
  <si>
    <t>No comprehensive sorting/filtering, but can quickly see different colors by clicking on the swatch without entering product page and new arrivals/best sellers are on a separate page.</t>
  </si>
  <si>
    <t>Search results can be filtered by category, size, color, price and option to view all.</t>
  </si>
  <si>
    <t>Store locator by zip code/state, shows results by store type, distance, and has a link to Yahoo map and directions. Customer service phone operator's 24 hours.</t>
  </si>
  <si>
    <t>Store locator's in footer. Also promotes ShopRunner for free 2-day shipping.</t>
  </si>
  <si>
    <t>Pretty basic account, wish list can be shared but not over social.</t>
  </si>
  <si>
    <t>Site seems to less developed than its peers.</t>
  </si>
  <si>
    <t>Filter by category, price, color, size; sort by position, name size; and can show all results.</t>
  </si>
  <si>
    <t>Advanced searcch where you can search by name, description, short description, SKU, price, collection, color, tax class, and size. Search results can be sorted by price, position, and name…like in products.</t>
  </si>
  <si>
    <t>Only 3 stores and all in NYC. Maps &amp; directions link leads to Google maps but not to the exact location.</t>
  </si>
  <si>
    <t>Store locator's in footer. Add this tab on product page links to a lot of social media (only missing the fancy). There's a compare option.</t>
  </si>
  <si>
    <t>Compare product feature is kind of interesting but the actual comparison points aren't (SKU, price, description).</t>
  </si>
  <si>
    <t>WebTrends</t>
  </si>
  <si>
    <t xml:space="preserve">Site is built with Flash and isn't very easy to navigate/user friendly; hampers. WebTrends isn't in analytics list but confirmed it's an analytics tracker with Daniella through Ghostery. </t>
  </si>
  <si>
    <t>No ecommerce. Very hard to navigate/scroll to next product because there are no visible arrows/next/back buttons.</t>
  </si>
  <si>
    <t>Region, country, address, personal locator (auto-detect).</t>
  </si>
  <si>
    <t>Embedded Google map where you can get directions within without leaving the page; shows route but doesn't provide any navigation instructions and can only take driving directions. Can download, email, and print boutique info.</t>
  </si>
  <si>
    <t>Very large product photo but can't zoom and it cuts off vertical images (thigh high boots) so it's pretty ineffective.</t>
  </si>
  <si>
    <t>A little difficult navigating/finding things on the site. No ecommerce; links to retailers. Alexa says the site loads very fast but I find it loads a little slow and the video's choppy even at normal quality.</t>
  </si>
  <si>
    <t>No ecommerce. Navigating through the catalog/collections.</t>
  </si>
  <si>
    <t>No search options but lists categories for the location, also includes department stores.</t>
  </si>
  <si>
    <t>No ecommerce. Catalog/collection browsing only so navigation/features are very limited.</t>
  </si>
  <si>
    <t>Not sure…keeps freezing.</t>
  </si>
  <si>
    <t>Hampers…site is slow and froze when I tried to share video. Slow to load.</t>
  </si>
  <si>
    <t>Can filter by category, price, color; no sorting options can see all results. Also a button to see results that match in a different "universe" (fragrance &amp; beauty).</t>
  </si>
  <si>
    <t>Category (women/men's fashion, baby, watches, jeweler, Dior phone), continent, country, region.</t>
  </si>
  <si>
    <t>Not a user friendly store search. Lists store locations on embedded Google map but no link for directions. No customer service dedicated page; there's a contact us to submit an inquiry through the online forum and a phone # provided but it's only for fragrance/beauty/jewelry.</t>
  </si>
  <si>
    <t>Store locator's in footer. Product page/navigation isn't very user friendly but the product image is big and the site looks nice.</t>
  </si>
  <si>
    <t>No sharing of videos which are all in the brand site</t>
  </si>
  <si>
    <t>seperation of sites, shopping site cleaner layout than brand site that is flash heavy</t>
  </si>
  <si>
    <t>Can also filter by heel hight and adjust size of product view</t>
  </si>
  <si>
    <t>Drop down menu of options for search</t>
  </si>
  <si>
    <t>Button allows you to email store directly from store finder</t>
  </si>
  <si>
    <t>Can also "make a note" on each product page</t>
  </si>
  <si>
    <t>Live chat only in shopping cart not in rest of checkout process</t>
  </si>
  <si>
    <t>Comprehensive account information</t>
  </si>
  <si>
    <t>XHTML 1.0 Transitional</t>
  </si>
  <si>
    <t>Site is fast with swift transitions although very visuals heavy</t>
  </si>
  <si>
    <t>No sorting options. Minimum filters, only by new arrival</t>
  </si>
  <si>
    <t>Filters for search already in search box</t>
  </si>
  <si>
    <t>Distance, product category filters</t>
  </si>
  <si>
    <t>Good store locator and map directions example</t>
  </si>
  <si>
    <t>Good product page with link to find in store and the option to pick up in store</t>
  </si>
  <si>
    <t>In store-pickup</t>
  </si>
  <si>
    <t>Facebook shareable wishlist</t>
  </si>
  <si>
    <t>There isn't much branded content or rich media on the site. It's pretty much an online shop, which functions perfectly fine but isn't much of an experience.</t>
  </si>
  <si>
    <t>Can filter by gender, category, style, size, width, color, collection; sort by featured, price, newest. No view all.</t>
  </si>
  <si>
    <t>Same sort/filters as for product navigation.</t>
  </si>
  <si>
    <t>Pretty interesting store locator interface. Shows you retail/outlet stores and has embedded directions on an embedded Google map.</t>
  </si>
  <si>
    <t>One of the few brands with ratings/reviews. Store locator's in footer.</t>
  </si>
  <si>
    <t>One of the few brands to sell gift cards online. Very few steps needed to checkout.</t>
  </si>
  <si>
    <t>Can share individual items on saved list/wish list via FB, Twitter, or email the whole list.</t>
  </si>
  <si>
    <t>Omniture, Google Analytics</t>
  </si>
  <si>
    <t>clean and fast site, rich media content on blog</t>
  </si>
  <si>
    <t>Great navigation options. One of the best in the category</t>
  </si>
  <si>
    <t>Overall easy site to navigate and search for wanted products</t>
  </si>
  <si>
    <t>Store locator live twitter feeds from all stores. Link to get directions leads to google maps</t>
  </si>
  <si>
    <t>One of the few brands with product videos</t>
  </si>
  <si>
    <t>gift card sales easy to find</t>
  </si>
  <si>
    <t>wishlist is called saved items</t>
  </si>
  <si>
    <t>fast transitions despite rich media and strong photography content</t>
  </si>
  <si>
    <t>Clean and easy navigation</t>
  </si>
  <si>
    <t>No site search</t>
  </si>
  <si>
    <t>Store locator in online store doesn't work. Mainly lists 3rd party retailers and directs to google maps</t>
  </si>
  <si>
    <t>Nothing special on page</t>
  </si>
  <si>
    <t>Nothing special</t>
  </si>
  <si>
    <t>wish list not shareable but can be sorted</t>
  </si>
  <si>
    <t>CREATETHE Group</t>
  </si>
  <si>
    <t>flash only used in videos</t>
  </si>
  <si>
    <t>No filters other than product category</t>
  </si>
  <si>
    <t>Good sorting options</t>
  </si>
  <si>
    <t>Can filter results by type of store</t>
  </si>
  <si>
    <t>Digg</t>
  </si>
  <si>
    <t>Wishlist not sharable via SM</t>
  </si>
  <si>
    <t>XHTML 1.0 Strict</t>
  </si>
  <si>
    <t>Easy page transitions</t>
  </si>
  <si>
    <t>Clean navigation with clear filters in dropdown menus</t>
  </si>
  <si>
    <t>No Search</t>
  </si>
  <si>
    <t>Very little information about stores displayed. Store locator only on brand world site and not e-comm platform</t>
  </si>
  <si>
    <t>Bookmarking</t>
  </si>
  <si>
    <t>Good shareability</t>
  </si>
  <si>
    <t>Clean checkout process</t>
  </si>
  <si>
    <t>Wishlist can be sorted</t>
  </si>
  <si>
    <t>Facebook, Twitter, Google+.</t>
  </si>
  <si>
    <t>Site is nicely designed and is pretty fast considering how rich the experience is--enhances.</t>
  </si>
  <si>
    <t>Automatically displays all results. Can filter by color/size, sort by default/price/latest arrivals.</t>
  </si>
  <si>
    <t>By brand.</t>
  </si>
  <si>
    <t>Lists brands/services, has embedded Google map but can't get directions off it. Can check in via foursquare or Facebook places though. Pretty interesting store locator API.</t>
  </si>
  <si>
    <t>Store locator's in header (every page). Fitting room feature is pretty cool (can even print measuring tape).</t>
  </si>
  <si>
    <t>Check out is one expandable page with 4 sections.</t>
  </si>
  <si>
    <t>Basic account with order history, wish list, address book, and personal details.</t>
  </si>
  <si>
    <t>No Ecomm</t>
  </si>
  <si>
    <t>Very poor navigation. No filters/sorts</t>
  </si>
  <si>
    <t>By sub-Brand</t>
  </si>
  <si>
    <t>Static lists with no additional information to hep drive store traffic</t>
  </si>
  <si>
    <t>find a store from page</t>
  </si>
  <si>
    <t>No E-Comm</t>
  </si>
  <si>
    <t>Wish list shareable via email. No account signup</t>
  </si>
  <si>
    <t>None</t>
  </si>
  <si>
    <t>Site is very non-intutive, flash heavy, messy</t>
  </si>
  <si>
    <t>Extremely limited store finder and no customer service apparently available on site</t>
  </si>
  <si>
    <t>Very simple product page, no pricing and no guiding to purchase offline</t>
  </si>
  <si>
    <t>Multiple sites for the different brands but easy to navigate and swift transtitions. Limited rich media on page</t>
  </si>
  <si>
    <t>Clean navigation</t>
  </si>
  <si>
    <t>Good search process with filters and sorts</t>
  </si>
  <si>
    <t>Can filter for specific brands</t>
  </si>
  <si>
    <t>Simple layout. Nothink extra</t>
  </si>
  <si>
    <t>Standard Yoox checkout</t>
  </si>
  <si>
    <t>Wish list not shareable but sortable</t>
  </si>
  <si>
    <t>Site is Flash based and very hard to read the text. Not engaging and very basic.</t>
  </si>
  <si>
    <t>Store locator is difficult to navigate since there's no search; also lists authorized retailers.</t>
  </si>
  <si>
    <t>FB, Twitter, email.</t>
  </si>
  <si>
    <t>Site has robust, rich media content that enhances the experience but doesn't hamper by being slow because built in HTML5.</t>
  </si>
  <si>
    <t>Can filter by style/category only; no sorting options, but can view all. Not easy to navigate through the paneled view.</t>
  </si>
  <si>
    <t>Can filter search results by category, color, material, special features; sort by relevance, price.</t>
  </si>
  <si>
    <t>Auto displays list of nearest stores based on IP if you share your location, otherwise you can perform a search but need to select your region/country first. Embedded Google map displays locations but doesn't have a link for directions like it should.</t>
  </si>
  <si>
    <t>Some products have video (apparel). Store locator's in footer so every page. Social sharing enabled and can also show you like the item by clicking the heart icon.</t>
  </si>
  <si>
    <t>Standard checkout process.</t>
  </si>
  <si>
    <t>Basic account (profile, address book, order history); no wish list.</t>
  </si>
  <si>
    <t>AT Internet</t>
  </si>
  <si>
    <t>Branded content is built in Flash and hampers user technology because it's difficult to navigate.</t>
  </si>
  <si>
    <t>Navigation is a little difficult; no sorting/filtering but there aren't that many products. Not a smooth process though.</t>
  </si>
  <si>
    <t>Customer service has a live help option where you can provide your phone number for them to call you. Store locator map is really cute; can get directions within the site and it tells you directions by car/walking. Also has a "near you" locator based on IP but it seems off.</t>
  </si>
  <si>
    <t>Ecommerce is lacking in terms of features/navigation.</t>
  </si>
  <si>
    <t>Cart isn't saved if you're inactive for a while.</t>
  </si>
  <si>
    <t>Very basic account, no wish list management.</t>
  </si>
  <si>
    <t>Webtrekk</t>
  </si>
  <si>
    <t>FB, Twitter.</t>
  </si>
  <si>
    <t>Site's pretty nice, has video and doesn't seem to be using Flash and it's not too slow.</t>
  </si>
  <si>
    <t>Can filter by brand, fit, color, size; sort by best matches, name, price; and can view all.</t>
  </si>
  <si>
    <t>Filters/sorts the same as product navigation.</t>
  </si>
  <si>
    <t>Categories, services/specials, store types.</t>
  </si>
  <si>
    <t>Pretty robust store locator that auto-detects IP location if you're willing to share. Embedded Google map with directions but links to Google Maps.</t>
  </si>
  <si>
    <t>Nice product navigation with a lot of views, good zoom (fullscreen view available), robust social sharing, reviews/ratings, sections for recommendations/recently viewed.</t>
  </si>
  <si>
    <t>Check out seems pretty streamlined and easy.</t>
  </si>
  <si>
    <t>Can share wishlist via email, Twitter, G+, FB but not sure if it's really sharing (might just be sharing the page and people might not have access to the contents).</t>
  </si>
  <si>
    <t>Venda</t>
  </si>
  <si>
    <t>html4</t>
  </si>
  <si>
    <t>Site is a little slow considering it's not very media rich (no video).</t>
  </si>
  <si>
    <t>Can filter by shoe type, occasion, colour, material, collection, heel height; no sorting options but can view all.</t>
  </si>
  <si>
    <t>Very basic store locator, just a list of location. No search; doesn't list hours/services, etc.</t>
  </si>
  <si>
    <t>Store locator's in footer. Cross sells by showing recommendations and other products from the same collection. 360 view isn't a true 360 since it's just a series of photos in multiple angles.</t>
  </si>
  <si>
    <t>Checkout is all in one page.</t>
  </si>
  <si>
    <t>No wish list. Uses Facebook connect for its Choo 24:7 community.</t>
  </si>
  <si>
    <t>Hampers it a little bit…it's pretty balanced and not much to say.</t>
  </si>
  <si>
    <t>Can filter by size/collection, sorty by price, and view all.</t>
  </si>
  <si>
    <t>Filter by category, price, size, collection, color; sort by popularity, price, alphabetically, and view all.</t>
  </si>
  <si>
    <t>Store locator has embedded Google map with link for directions that link to Google Maps.</t>
  </si>
  <si>
    <t>Zoom for product image isn't big enough; easy to shop.</t>
  </si>
  <si>
    <t>Shows whether the item's in stock.</t>
  </si>
  <si>
    <t>There's a rewards section in the account; invite a friend and you can both receive $25 credit with their first purchase.</t>
  </si>
  <si>
    <t>Like all blog posts videos are shareable on Facebook, Twitter and Google+</t>
  </si>
  <si>
    <t>Smooth transitions in a best in class site</t>
  </si>
  <si>
    <t>Easy navigation with breadcrumbs. Could include additional filters and sorts</t>
  </si>
  <si>
    <t>Excellent filtering options to really narrow down the product search</t>
  </si>
  <si>
    <t>No visible "contatc us" but customer care is quite compregensive</t>
  </si>
  <si>
    <t>One of the best product pages including ratings and reviews</t>
  </si>
  <si>
    <t>Clean checkout process with cross-sell</t>
  </si>
  <si>
    <t>Comprehensive account with credit card details etc. can make list private or public</t>
  </si>
  <si>
    <t>Variety</t>
  </si>
  <si>
    <t>Like all news posts, videos are shareable via facebook</t>
  </si>
  <si>
    <t>shopping site has no flash but wporld of lacoste is a little slow due to flash build</t>
  </si>
  <si>
    <t>Comprehensive sorting options</t>
  </si>
  <si>
    <t xml:space="preserve">Great filters and sorts for search </t>
  </si>
  <si>
    <t>Livechat not available from product page</t>
  </si>
  <si>
    <t>Can order giftcard via phone but not online</t>
  </si>
  <si>
    <t>No wishlist</t>
  </si>
  <si>
    <t>bigyouth</t>
  </si>
  <si>
    <t>site is very flash heavy and slow</t>
  </si>
  <si>
    <t>Very difficult to navigate. Not intuitive at all. Filters are called sorts and are on the bottom and not easy to find</t>
  </si>
  <si>
    <t>No search</t>
  </si>
  <si>
    <t>Displays on map but not directions enabled</t>
  </si>
  <si>
    <t>No additional views</t>
  </si>
  <si>
    <t>No account</t>
  </si>
  <si>
    <t>Brand site is flash heavy</t>
  </si>
  <si>
    <t>Minimum filters such as new arrivlas and hot picks and no sorting</t>
  </si>
  <si>
    <t>filters by size and new arrivlas</t>
  </si>
  <si>
    <t>List availble products. Store locator only on brand site not e-comm site</t>
  </si>
  <si>
    <t>Assistance form from product page</t>
  </si>
  <si>
    <t>very basic and clean</t>
  </si>
  <si>
    <t>shareabe via email only</t>
  </si>
  <si>
    <t>Clean technology and transitions</t>
  </si>
  <si>
    <t>L;imited navigation options, however, site has breadcrumbing</t>
  </si>
  <si>
    <t>No search. Only visible search was for bags and that looks more like filters than a search process</t>
  </si>
  <si>
    <t>retailer/boutique</t>
  </si>
  <si>
    <t>can email or sms store information, auto detects location</t>
  </si>
  <si>
    <t>customer service and store locator from page</t>
  </si>
  <si>
    <t>Standard checkout</t>
  </si>
  <si>
    <t>Can also compare between 2 products in wish list</t>
  </si>
  <si>
    <t>Multimedia usiness Services</t>
  </si>
  <si>
    <t>None.</t>
  </si>
  <si>
    <t>Shareable videos are on microsites, not the main page. And they also use trackers like Omniture, or Google Analytics…but not on main site where ecommerce is. All Flash so hampering.</t>
  </si>
  <si>
    <t>Can filter by whether it's sold online, subcategory, line, and color. The symphony product navigation is particularly interesting but is hampering.</t>
  </si>
  <si>
    <t>Can filter by men/women's.</t>
  </si>
  <si>
    <t>Product category.</t>
  </si>
  <si>
    <t>Embedded Google map with directions for driving that link to Google Maps.</t>
  </si>
  <si>
    <t>Pretty nice store locator.</t>
  </si>
  <si>
    <t>Pretty looking navigation but features could be more robust (live chat promo, social sharing, etc.).</t>
  </si>
  <si>
    <t>Nothing special to add.</t>
  </si>
  <si>
    <t>Can bookmark items as favorites and even give your opinions on the website.</t>
  </si>
  <si>
    <t>GoDaddy Affiliate Program</t>
  </si>
  <si>
    <t xml:space="preserve">Utterly void of content.  The site is poorly designed and unpleasant to use.  It was copyrigihted in 2007 and looks as though it hasn't been touched since then.  Most of the content doesn't load,  The only bit that does is the bio of Manolo, which is basically a CV. </t>
  </si>
  <si>
    <t>no search.</t>
  </si>
  <si>
    <t>none</t>
  </si>
  <si>
    <t>contact link opens page witn contact info and email box for the London offices.  The only telephone number provided is the UK number (+44, not 800).</t>
  </si>
  <si>
    <t>no products, no pictures.</t>
  </si>
  <si>
    <t>no account</t>
  </si>
  <si>
    <t>not</t>
  </si>
  <si>
    <t>sort by color, size, and price.  The actual search tab is kind of hidden and only visible when you hover over the word "search" in the top right, which is not highlighted and doesn't draw attention</t>
  </si>
  <si>
    <t>Can share stores via social media</t>
  </si>
  <si>
    <t>Y`</t>
  </si>
  <si>
    <t>Has a "selected for you" section on the right and then a scrolling bar at the bottom showing the whole ready to wear collection.</t>
  </si>
  <si>
    <t>The landing page once you log in is different, and offers a cartoon version of a store where you can manage your account.  Picture in dropbox.</t>
  </si>
  <si>
    <t>Random bits of the site are only in Italian, despite designating that I'm in English mode.</t>
  </si>
  <si>
    <t>There is a search but it's only for news and all of the links just redirect to their homepage.</t>
  </si>
  <si>
    <t>I clicked on the display button for the New York store and it showed me some random location on the gulf coast in Florida just opposite the state from Miami.  The info still said I was on Madison at 68th.</t>
  </si>
  <si>
    <t>Michael Kors &amp; The Neiman Marcus Group</t>
  </si>
  <si>
    <t>Email, FB, Twitter, G+. Can also embed and start a G+ Hangout.</t>
  </si>
  <si>
    <t>Site's pretty clean but Destination Kors can be a little slow.</t>
  </si>
  <si>
    <t>Filter by collection, size, type; sort by price, new arrivals. Can choose between 2 different tiled views (2 vs. 4 columns).</t>
  </si>
  <si>
    <t>More filter options than product nav, can filter by collection, size, price, color; sort by price, new arrivals.</t>
  </si>
  <si>
    <t>Store type</t>
  </si>
  <si>
    <t>Detects nearby stores by IP if you choose to share your location. Embedded Google map but no directions, not even a link.</t>
  </si>
  <si>
    <t>Product page looks like the Neiman Marcus product page…could use more views but is pretty informative.</t>
  </si>
  <si>
    <t>Customer service is in footer but should be featured more prominently during check out.</t>
  </si>
  <si>
    <t>Can create, manage, and find a wish list (based on email). Otherwise a pretty basic account…can store payment info.</t>
  </si>
  <si>
    <t>HTML 4.01 Transitional</t>
  </si>
  <si>
    <t>Site is built completely in flash and is therefore extremely slow. Directs to purchase on NET-A_PORTER</t>
  </si>
  <si>
    <t>Limited navigation features</t>
  </si>
  <si>
    <t>Very limited customer service offering</t>
  </si>
  <si>
    <t>Not really a product page but just a photo of the product</t>
  </si>
  <si>
    <t>Slower transitions due to heavy flash</t>
  </si>
  <si>
    <t>Minimal filters and no sorts</t>
  </si>
  <si>
    <t>No sorting options and very minimal filters: materials and colors</t>
  </si>
  <si>
    <t>Displays on map but no directions available</t>
  </si>
  <si>
    <t>shareable via email not SM</t>
  </si>
  <si>
    <t>need obsessed own buttons</t>
  </si>
  <si>
    <t>Google Analytics, Crazy Egg</t>
  </si>
  <si>
    <t>FB, Twitter</t>
  </si>
  <si>
    <t>E-com nav bar is a little confusing.   Most of the tabs are blogs, and I can't figure out how they're different.</t>
  </si>
  <si>
    <t>"Sign In" button remains even once you've signed in, so there's no way to see you're logged in.</t>
  </si>
  <si>
    <t>This website is horrible.  The home page is set up with some bizzare system with a left nav bar where every tab opens in a mini-window in the desktop on the page.  All of the windows are hard to use and is very frustrating.  It's hard to see all of the features of the site because they're hidden and poorly visible.  The online store is even worse, and it's almost impossible to find a product you want in the actual store, since the products, particularly accessories, are separated by categories that don't pass the common sense test. For instance mens bags can be found in three separate areas.</t>
  </si>
  <si>
    <t>Inconvenient</t>
  </si>
  <si>
    <t>no search</t>
  </si>
  <si>
    <t>surprisingly easy to check out considering how bad the rest of the site is.</t>
  </si>
  <si>
    <t>Omniture, Google Analytics, and others</t>
  </si>
  <si>
    <t>Site works really well, is easily navigable, very clean and easy to view.</t>
  </si>
  <si>
    <t>Sort by our favorites, new arrivals, price, size, color, and brand.</t>
  </si>
  <si>
    <t>I searched for "jacket" and it redirected me to a search for "outerwear".</t>
  </si>
  <si>
    <t xml:space="preserve">Once you've searched, you can filter by </t>
  </si>
  <si>
    <t>You can't go back, it redirects you to the last are you were viewing and it took me a long time to find how to go back to the home page. Also very slow. E-com powered by Yoox.</t>
  </si>
  <si>
    <t>automatically shows all products (b/c each section only has so many products)</t>
  </si>
  <si>
    <t>no store locatore.</t>
  </si>
  <si>
    <t>inconvenient layout.</t>
  </si>
  <si>
    <t>inconvenient, no map.</t>
  </si>
  <si>
    <t>locator in header</t>
  </si>
  <si>
    <t>Google Analytics, Demandware Analytics, and others.</t>
  </si>
  <si>
    <t>store location is in header.</t>
  </si>
  <si>
    <t xml:space="preserve"> Y</t>
  </si>
  <si>
    <t>wishlist shareable via FB and twitter.</t>
  </si>
  <si>
    <t>Google Analytics and others.</t>
  </si>
  <si>
    <t>sort by color, width, and heel height.</t>
  </si>
  <si>
    <t>store locator in footer</t>
  </si>
  <si>
    <t>wishlist is called "my closet"</t>
  </si>
  <si>
    <t>Omniture, Google Analytics, and others.</t>
  </si>
  <si>
    <t>Also by pattern, cut, colours, and collection.</t>
  </si>
  <si>
    <t>Really easy to get directions.</t>
  </si>
  <si>
    <t>Digg, delicious</t>
  </si>
  <si>
    <t xml:space="preserve">Google Analytics, Demandware Analytics, </t>
  </si>
  <si>
    <t>minimal.</t>
  </si>
  <si>
    <t>store locator is in footer.</t>
  </si>
  <si>
    <t>email, FB, twitter</t>
  </si>
  <si>
    <t>Mostly based around commerce, the brand content is secondary.</t>
  </si>
  <si>
    <t>view by fit, size, style, color, collar, cuff, pattern, and sleeve length.</t>
  </si>
  <si>
    <t>ratings, q&amp;a, "wear it with", recently viewed, and delivery info are all viewable in tabs under the product.</t>
  </si>
  <si>
    <t>Didn't keep my cart and reverted back to shipping to the EU.</t>
  </si>
  <si>
    <t>can also sort by color</t>
  </si>
  <si>
    <t>shows telephone number and street address but not city, state, or zip code.</t>
  </si>
  <si>
    <t>Optimost, Tealium</t>
  </si>
  <si>
    <t>Standard.</t>
  </si>
  <si>
    <t>Lists two stores in Midtown near me, one got correct directions, but one sent me to an address in Estonia (and had that address listed in the store information, even though the pin was also in midtown).</t>
  </si>
  <si>
    <t xml:space="preserve">Omniture, Google Analytics, Demandware Analytics, </t>
  </si>
  <si>
    <t>Great functionality, seamless transition between shopping and looking at the spring and fall lookbooks, brand history, and Tory's currated must-have lists.</t>
  </si>
  <si>
    <t>Sort by sie, silhouette (for all types of products), and color.</t>
  </si>
  <si>
    <t>Can sort by silhouette, size, price, collection, color.</t>
  </si>
  <si>
    <t>Map is available in new window from google maps.</t>
  </si>
  <si>
    <t>Very easy to shop, suggests the same products that are in the model picture of products (i.e. the shoes the model wears on the dress page).</t>
  </si>
  <si>
    <t>E-commerce site separate and powered by Yoox</t>
  </si>
  <si>
    <t>Good functionality, easy to manoeuvre through various content.</t>
  </si>
  <si>
    <t>Valentino only has five "show rooms" worldwide, Milan, Rome, Paris, NY, and Tokyo.  Addresses and phone numbers are listed for all, but no information is provided on where to buy their pret-a-porter or accessories collections.</t>
  </si>
  <si>
    <t>myspace, delicious, friendfeed</t>
  </si>
  <si>
    <t>powered by Yoox</t>
  </si>
  <si>
    <t>no free shipping (even on a $2500 dress)</t>
  </si>
  <si>
    <t>Basically a glorified product catalog with pretty pictures but minimal functionality.</t>
  </si>
  <si>
    <t>No sorts and filters</t>
  </si>
  <si>
    <t>Very limited product "page"</t>
  </si>
  <si>
    <t>http://www.viviennewestwood.co.uk/</t>
  </si>
  <si>
    <t>Google Analytics, Demandware Analytics, AT Internet</t>
  </si>
  <si>
    <t>Twitter, FB, Blog Parts</t>
  </si>
  <si>
    <t>Good functionality.</t>
  </si>
  <si>
    <t>Inconsistent placement of nav bar is frustrating.</t>
  </si>
  <si>
    <t>Site does not have any information on shops or where to buy.</t>
  </si>
  <si>
    <t>Only ships from the UK, so shipping on a pair of pants was $45.  Option to give $1 to Cool Earth to help save the world from climate change.</t>
  </si>
  <si>
    <t>Easy login and access to wishlist called "Things I &lt;3" on the homepage.</t>
  </si>
  <si>
    <t>You can view by color.  YSL maintains a list called "gifts ideas for him" and "gift ideas for her" and for women also has "essentials" and "exclusives" and "exocitc accessories".</t>
  </si>
  <si>
    <t>Has a button to make an appointment, and includes a large google map widget that doesn't offer directions but clearly shows the location.</t>
  </si>
  <si>
    <t>You can leave a coment for each product in your list.</t>
  </si>
  <si>
    <t>Flash</t>
  </si>
  <si>
    <t>Flash site looks cheap and tacky, but the idea of setting the site up like window shopping at a department store is clever. Has collections for collections for '11 and '12 but only videos from '11 (2 years out of date).</t>
  </si>
  <si>
    <t>Stores are department stores or specialty retailers that cary Zac Posen and link to a google maps page with the store's address (i.e. Neiman Marcus in Boca Raton).</t>
  </si>
  <si>
    <t>The product pictures are small, and the zoom is really obnoxious b/c you have to drag a tiny magnifying glass around the immage.</t>
  </si>
  <si>
    <t>The navigation bar is very chic and minimalistic but difficult to use because the sub-tabs keep disappearing and I can't figure out the difference between a couple of them.</t>
  </si>
  <si>
    <t>View products in a pop up window in the page that doesn't dim the background so it can be difficult to use.</t>
  </si>
  <si>
    <t>Derek Lam only has two stores, and they have a short bio page on each store with some pictures and the address (but no map).  Will direct to Barneys' sites, Bergdorfs' sites, and other department stores that sell Derek Lam.</t>
  </si>
  <si>
    <t>Text is all in the same size/font/color/alignment so it's easy to miss links like the size guide, international shipping, contact a personal shopper, etc.</t>
  </si>
  <si>
    <t>United  States</t>
  </si>
  <si>
    <t>link</t>
  </si>
  <si>
    <t>most content is on blog and good life, minimal vid content</t>
  </si>
  <si>
    <t>navigation is strong</t>
  </si>
  <si>
    <t>search is strong</t>
  </si>
  <si>
    <t>customer service is standard</t>
  </si>
  <si>
    <t>odd that product pages only have tweet and pin options not like</t>
  </si>
  <si>
    <t>free gift boxes</t>
  </si>
  <si>
    <t>account is standard, can search for someone else's wish ist and make pubilc on saite</t>
  </si>
  <si>
    <t>Total Mobile (0-20)</t>
  </si>
  <si>
    <t xml:space="preserve">Innovation URL </t>
  </si>
  <si>
    <t>Summary</t>
  </si>
  <si>
    <t>POINTS</t>
  </si>
  <si>
    <t>Innovation URL</t>
  </si>
  <si>
    <t>Innovation Score</t>
  </si>
  <si>
    <t>http://www.thefancy.com/brands-stores/alexander-mcqueen</t>
  </si>
  <si>
    <t>Alexander McQueen on The Fancy (542 things fancy'd, 196 contributors, 1421 followers)</t>
  </si>
  <si>
    <t>http://allfacebook.com/facebook-alfred-dunhill_b81629</t>
  </si>
  <si>
    <t>Men’s luxury fashion brand Alfred Dunhill established a Facebook campaign based on a Trafalgar event in March 2012. The event featured exclusive video incorporating projection-mapping technology, later published on the brand's Facebook page. The event marks the first time that a luxury fashion brand has showcased a full year’s collections at the same time during an international event worldwide. The event was held in Shanghai.</t>
  </si>
  <si>
    <t>http://www.luxurydaily.com/top-10-luxury-brand-multichannel-campaigns-of-h1/</t>
  </si>
  <si>
    <t>The spring/summer 2012 campaign is emphasizing its British roots by 
dedicating the ongoing “Voice” campaign to three of the country’s 
athletes who will be competing in the London Olympics. Employs social media, print advertisements 
and mobile to engage consumers and recognize real men who have overcome 
obstacles.</t>
  </si>
  <si>
    <t>http://www.luxurydaily.com/alfred-dunhill-refreshes-voice-campaign-via-multichannel-efforts/</t>
  </si>
  <si>
    <t>The new Voice campaign broke today and features actor John Hurt, architect David Adjaye, documentary maker James Marsh and artist and filmmaker Jamie Hewlett. The Voice campaign features distinguished gentlemen who have achieved great things in their chosen fields, according to Alfred Dunhill.</t>
  </si>
  <si>
    <t>http://www.dunhill.com/day8/</t>
  </si>
  <si>
    <t>Day 8; gentlemen's lifestyle-oriented; brief and interesting articles on topics like literature, photography, architecture, etc.; rich video content; directly integrated into online store; aesthetically pleasing and optimized for iPad use; no user-generated content; links to Facebook, Twitter and Youtube are difficult to see.</t>
  </si>
  <si>
    <t>http://runway.blogs.nytimes.com/2012/06/08/badgley-mischka-previews-resort-collection-via-pinterest/</t>
  </si>
  <si>
    <t xml:space="preserve">In June 2012, Badgley Mischka and Bergdorf Goodman invited those on their mailing lists to preview Badgley Mischka’s resort collection via Pinterest on Tuesday. The Badgley Mischka and Bergdorf Goodman Pinterest board, aggregated by the hashtag #BGBadgley, received over 21,000 followers, 200 repins and 164 likes after pinning 10 photos. </t>
  </si>
  <si>
    <t>http://www.thefancy.com/brands-stores/balenciaga</t>
  </si>
  <si>
    <t>Balenciaga on The Fancy (204 things fancy'd, 42 contributors, 625 followers)</t>
  </si>
  <si>
    <t>http://www.balenciaga.com/en_US/thehouse/heritage</t>
  </si>
  <si>
    <t>La Maison Balenciaga; sorts heritage photos of the brand by decade; minimal content; virtually no opportunities for user interaction; no links to other social media platforms</t>
  </si>
  <si>
    <t>http://experience.bally.com/world-of-bally/</t>
  </si>
  <si>
    <t>World of Bally; impressive collection of videos; good amount of content including heritage, brand art, etc. information; navigation is clumsy; no user-generated content; inconsistent aesthetics</t>
  </si>
  <si>
    <t>http://www.brandchannel.com/home/post/2012/08/22/Under-New-Management-Belstaff-Having-Best-Product-Placement-Year-Ever.aspx</t>
  </si>
  <si>
    <t>"Luxurious irreverance" is how Belstaff's Facebook page describes its 2012 Autumn Winter campaign video featuring Hollywood star Ewan McGregorAside from the explicit embrace of Hollywood, Belstaff, as it has long done, is impregnating the year's hottest films with its product. The Avengers, The Dark Knight Rises, The Bourne Legacy were all Number One box office hits and all featured lead characters wrapped in Belstaff jackets.</t>
  </si>
  <si>
    <t>http://chicago.racked.com/archives/2012/06/25/bottega-veneta-presents-new-exposure.php</t>
  </si>
  <si>
    <t>BV sponsors a contest for new photographers called NEW EXPOSURE.</t>
  </si>
  <si>
    <t>http://www.luxurydaily.com/bottega-veneta-flaunts-customization-via-interactive-ads/</t>
  </si>
  <si>
    <t>Italian fashion brand Bottega Veneta has developed a monogramming service for its newest campaign and is flaunting it through expandable banner ads on New York magazine’s The Cut Web site.</t>
  </si>
  <si>
    <t>http://www.luxurydaily.com/bottega-veneta-aims-at-affluent-travelers-in-multichannel-efforts/</t>
  </si>
  <si>
    <t>Italian fashion house Bottega Veneta is using multichannel efforts that include a short film, email and catalog to push its luggage and monogramming service during the summer travel season.</t>
  </si>
  <si>
    <t>http://www.luxurydaily.com/bottega-veneta-vogue-help-aspiring-photographers-via-social-contest/</t>
  </si>
  <si>
    <t>Bottega Veneta, Condé Nast’s Vogue and Red Digital Camera are partnering to host a contest for undiscovered photographers to award a prize package that includes the opportunity to work on a special project with the Italian fashion house.
The New Exposure contest let aspiring photographers enter a portfolio of their work to be reviewed by a panel of industry experts, with one winner to be announced July 11 at an event. Meanwhile, Bottega Veneta is letting its Facebook fans judge the contest as well and will announce a fan choice winner at the event.</t>
  </si>
  <si>
    <t>http://luxurysociety.com/articles/2012/01/the-latest-digital-bottega-veneta-vogue-veuve-clicquot</t>
  </si>
  <si>
    <t>Bottega Veneta has launched in early 2012 bottegaveneta.cn, a website wholly dedicated to showcasing the Bottega Veneta brand to and for the Chinese customer. Embedded within bottegaveneta.cn are tools designed to enhance the online experience for the Chinese customer. Viewers will be able to share images, wish lists and video to Sina Mini Blog or via email. The store location function will not only suggest the closest retail location, but also offer users the opportunity to email the store directly.</t>
  </si>
  <si>
    <t>http://www.thefancy.com/brands-stores/bottega-veneta</t>
  </si>
  <si>
    <t>BV on The Fancy (406 things fancy'd, 57 contributors, 437 followers)</t>
  </si>
  <si>
    <t>http://www.bottegaveneta.com/default/stories</t>
  </si>
  <si>
    <t>The World of Bottega Veneta; short blurbs on product lines, living, special projects, colloborations, artisan involvement, etc.; each story can be G+ and Liked; no user-generated content; little opportunity for interaction; little multi-media</t>
  </si>
  <si>
    <t>http://www.luxurydaily.com/burberry-marries-music-products-in-vogue-com-placement/</t>
  </si>
  <si>
    <t>Britain’s Burberry opted for a completely-digital multimedia marketing strategy for its eyewear campaign that includes music, videos and images that are now on Vogue.com.
Burberry is tapping up-and-coming British musicians for this campaign that relies on music and videos from the bands. Vogue’s audience of fashion-forward, well-off readers was probably a good choice for Burberry’s ads.</t>
  </si>
  <si>
    <t>British fashion giant Burberry used hometown London as inspiration for its autumn/winter 2012 campaign being pushed via digital, mobile, out-of-home and print outlets. The brand created a series of ‘story telling’ videos which aim to give context to the clothing and collection for the first time. According to Burberry, “it was the brand’s largest shoot production; approached on a cinematic scale.”</t>
  </si>
  <si>
    <t>http://www.psfk.com/2012/08/burberry-london-weather-alerts.html</t>
  </si>
  <si>
    <t>Partnered with The Weather Channel for advertising, including digital billboards in cities with banner images that update depending on London's weather conditions and feature different products. Weather's also the focus across all its platforms.</t>
  </si>
  <si>
    <t>http://www.luxurydaily.com/top-10-luxury-brand-multichannel-campaigns-of-h1</t>
  </si>
  <si>
    <t>The first fashion brand to livestream its runway shows, the first to sell live from the catwalk online and in-store via iPad, the one and only brand to attempt a 3D holographic film immersion for its China launch, Burberry is the most digitally advanced fashion brand in the world. Christopher Bailey, chief creative officer of this young old brand, is just as focused on the company’s digital output as he is on developing the next collection.</t>
  </si>
  <si>
    <t>http://fashionablymarketing.me/2011/11/create-google-business-pages-with-burberry-luxury-brand/</t>
  </si>
  <si>
    <t>When Google+ for Business launched in November 2011, Burberry was the first luxury retailer to launch a brand page. Less than 24 hours hours after Google announced the launch of brand pages, Burberry was already in 3500+ circles.</t>
  </si>
  <si>
    <t>http://artofthetrench.com</t>
  </si>
  <si>
    <t>The Art of the Trench; innovative and exploratory grid layout; fun playlist with artist and track listings for a more immersive experience; Facebook log-in option; completely user-driven; users can comment on and share photos; searchable by product specifications</t>
  </si>
  <si>
    <t>http://www.mediapost.com/publications/article/180873/calvin-klein-shifts-to-digital-for-bra-launch.html</t>
  </si>
  <si>
    <t>In a big switch for Calvin Klein Underwear, it says it will launch its new Push Positive bra line via digital channels, in a splashy effort featuring Dutch supermodel Lara Stone.  The black-and-white video, shot by Steven Klein, is expected to get 575 million impressions, and will begin appearing on YouTube next month. (The company intends to break it on its social media sites before then.) Overall, Calvin Klein says digital channels will  account for 70% of the global media mix, and include an interactive Facebook application which allows users to share 
personalized images. There will also be a hashtag sweepstakes on Twitter as well as Weibo.
The brand, which is a division of The Warnaco Group, will also use designated in-store stations, arming sales associated with iPads loaded 
with a special app to aid in fitting.</t>
  </si>
  <si>
    <t>http://explore.calvinklein.com/en_US</t>
  </si>
  <si>
    <t>Explore Calvin Klein; "Social" section allows users to share content and adjusts article rankings to reflect what's trending; large collection of videos but all product-focused; "News and Events" section with some photos but no articles; no user-generated content and little opportunity for interaction.</t>
  </si>
  <si>
    <t>http://blog.catherinemalandrino.com/category/blog/</t>
  </si>
  <si>
    <t xml:space="preserve">Catherine Malandrino Blog; a collection of Malandrino's personal photos from events and travel; non-navigable; no user-generated content or interaction; incohesive </t>
  </si>
  <si>
    <t>In June 2012, Bergdorf Goodman worked with Chanel to create a pinboard dedicated to the history of the Chanel Little Black Jacket. The board coincides with early promotion for the tome “The Little Black Jacket: Chanel’s Classic Revisited,” available at Bergdorf Goodman this summer. The board has attracted 29,428 followers with 27 pins.</t>
  </si>
  <si>
    <t>http://chanel-news.chanel.com/en/</t>
  </si>
  <si>
    <t>Chanel News; minimal, Tumblr-style news feed; aesthetic; photos and some articles; no user-generated content or interaction; no connectivity to social media platforms</t>
  </si>
  <si>
    <t>http://www.luxurydaily.com/top-10-digital-luxury-marketers-of-h1/</t>
  </si>
  <si>
    <t>Christian Dior announced the launch of DiorMag, an online magazine that positions the brand as an innovative storyteller, entertainer and purveyor of the height of luxury products.</t>
  </si>
  <si>
    <t>http://www.thefancy.com/brands-stores/christian-louboutin</t>
  </si>
  <si>
    <t>CL on The Fancy (266 things fancy'd, 171 contributors, 1066 followers)</t>
  </si>
  <si>
    <t>http://loubiworld.christianlouboutin.com/#/the_louboutin_times</t>
  </si>
  <si>
    <t>The Louboutin Times; pdf-style scrollable page; organized as a college; published monthly; confusing and boring; no user-generated content, interaction, photos or articles</t>
  </si>
  <si>
    <t>http://fashionablymarketing.me/2012/03/coach-marketing-mens-accessories/</t>
  </si>
  <si>
    <t>COACH announced its collaboration with the blog The Coveteur on a series of photos for its COACH Men’s Bleecker Stripe collection. The Coveteur photographed the crisp, eye-catching men’s bags in unique style all over New York City, capturing the bag in historic settings around the Big Apple. This marks the first partnership for The Coveteur focused solely on a product line.</t>
  </si>
  <si>
    <t>http://fashionablymarketing.me/2011/12/coach-partners-with-coolhunting-for-editorial-project/</t>
  </si>
  <si>
    <t>Coach has launched a fun little editorial project (loving that it’s published on Facebook) with Coolhunting and Gear Patrol for for Holiday 2011. We love these examples of how digital publications and brands are creating better online advertising campaigns. These part editorial, part recommendation guides clearly yield higher return on advertising and marketing dollars spent. Also, they can be leveraged for social content and engagement (leading to earned media coverage as well) instead of static online ad campaigns.</t>
  </si>
  <si>
    <t>http://fashionablymarketing.me/2011/11/coach-creates-cubicle-time-sink-for-the-holidays/</t>
  </si>
  <si>
    <t>On it’s Facebook page, Coach has launched the “make your own animation” app. In this somewhat complex little facebook app (that yes, falls under the classification of facebook game) you are able to create animated scenes utilizing coach handbag tags. Once you’ve created your animated masterpiece, you can share it with friends and submit it to the gallery that enables other fans to vote on it.  The three winners with the most votes will get Coach gift cards valued at $100 to $500.</t>
  </si>
  <si>
    <t>http://adage.com/article/cmo-interviews/questions-cole-haan-cmo-ivan-wicksteed/232786/</t>
  </si>
  <si>
    <t>Interview with new CMO (as of Feb 2012), Ivan Wicksteed, formerly of Converse and Coca-Cola, talking about rebranding Cole Haan with a new location in New York and a digital push with the "Subway Stories" and "Urban Explorers" campaigns.</t>
  </si>
  <si>
    <t>http://www.luxurydaily.com/ralph-lauren-hermes-take-prime-real-estate-in-inaugural-dujour-issue/</t>
  </si>
  <si>
    <t>DvF scored a key half-page ad placement in the inaugural print and online issues of status publication DuJour, delivered directly to high-net-worth homes and Gilt.com members.</t>
  </si>
  <si>
    <t>http://www.dvf.com/the-blog/blog,default,sc.html</t>
  </si>
  <si>
    <t>Lip Service; columns on news, parties, style, culture; photos and short articles; interesting content like slideshows, videos and brand heritage; connectivity to muliple social media platforms (some unique - Viddy, Foursquare); no user-generated content or interaction; integration with online shopping</t>
  </si>
  <si>
    <t>http://www.luxurydaily.com/top-10-digital-luxury-marketers-of-q2/</t>
  </si>
  <si>
    <t>Luxury Daily lists Dolce &amp; Gabbana as a "Top 10 Digital Luxury Marketer" in Q2 2012</t>
  </si>
  <si>
    <t>http://www.luxurydaily.com/dolce-gabbana-launches-video-series-for-lifestyle-push/</t>
  </si>
  <si>
    <t>Video series starring popular blogger 
Bryan Boy as an elusive employee to convey the brand 
lifestyle and reveal the identity behind the mysterious @IWork4DG 
Twitter handle.The label wanted to create a new method of 
storytelling including influencer Bryan Boy as its muse. The 30-second 
videos were released every two days, which Dolce &amp; Gabbana says 
increased its virality and built buzz.</t>
  </si>
  <si>
    <t xml:space="preserve">Dolce &amp; Gabbana’s newly retooled YouTube page not only attracts attention to social videos centered on its latest lines and collections, but includes an ecommerce option that drives traffic right back to its online store. From sleek, intuitive navigation to e-commerce integration, Dolce and Gabbana has positioned to make the most of YouTube. Like many high-end brands, the content features the latest runway footage, behind-the-scenes glimpses of the brand and narrative entertainment that draws heavily on the brand’s Italian heritage, such as “The One” starring Scarlet Johansson, a Fellini-esqe portrait of a 1960s movie star. The new official D&amp;G YouTube channel was launched in May 2012.
</t>
  </si>
  <si>
    <t>http://www.thebudgetfashionista.com/archive/online-gaming-fashion/</t>
  </si>
  <si>
    <t>DKNY is developing a social gaming Facebook app for Fashion Week - nstead, it allows members to create and guide a character through a simulated design/photography/stylist/PR career. Frequent players will be rewarded with simulated job promotions, apartment upgrades and (obviously!) shopping sprees.</t>
  </si>
  <si>
    <t>http://www.disneyrollergirl.net/video-social-media-press-release-dkny/?utm_source=feedburner&amp;utm_medium=feed&amp;utm_campaign=Feed%3A+disneyrollergirl%2Ffeed+%28Disney+Roller+Girl%29&amp;utm_content=Google+Reader</t>
  </si>
  <si>
    <t>Social media as the new press release (for London opening).</t>
  </si>
  <si>
    <t>http://notesonacity.tumblr.com</t>
  </si>
  <si>
    <t>Donna Karan's interior brand blog, "Notes on a Cityi," was named to the 10 Best Fashion, Luxury &amp; Interior Brand Blogs of 2011 by FMM. The blog bills itself as "a daily lowdown on what makes New York, New York. It's a stylish look at the city's newest cultural happenings. DKNY is taking notes so that you don't have to."</t>
  </si>
  <si>
    <t>http://www.luxurydaily.com/zegna-reinvents-facebook-marketing-through-augmented-reality-incorporation/</t>
  </si>
  <si>
    <t>Italian designer Ermenegildo Zegna is changing the way consumers see its Facebook page – literally – by incorporating an augmented reality feature that gives users secret mobile videos to future campaigns.
The brand is using the Aurasma mobile application that scans the Zegna profile picture and shows consumers a video of the upcoming contemporary art installation at MAXXI – National Museum of XXI Century Arts in Rome. This is the first time that a marketer has used Aurasma technology on Facebook, claims the vendor.</t>
  </si>
  <si>
    <t>http://www.luxurydaily.com/fendi-tory-burch-use-highly-targetable-facebook-ad-platform-to-drive-page-traffic/</t>
  </si>
  <si>
    <t>Fendi has been taking advantage of Facebook advertising spots on the right-hand side of a user’s newsfeed. Facebook offers an extensive range of targeting options to ensure luxury brands are getting face- time with their target consumers.</t>
  </si>
  <si>
    <t>http://www.thewhispered.it/en_project.php</t>
  </si>
  <si>
    <t>The Whispered Directory of Craftsmanship; a guide to the strictly handmade aspect of 'Made in Italy;' unique concept; organized by craft industry; little tie-in to the brand or products; not optimized for sharing; no user-generated content or interaction</t>
  </si>
  <si>
    <t>http://www.luxurydaily.com/neiman-marcus-incentives-purchase-via-chat/</t>
  </si>
  <si>
    <t>Partners with Neiman Marcus to incentivize Armani Beauty purchase via live chat.</t>
  </si>
  <si>
    <t xml:space="preserve">http://www.wwd.com/media-news/fashion-memopad/web-trip-6051380 http://www.luxurydaily.com/armani-taps-instagram-to-promote-brand-lifestyle/
</t>
  </si>
  <si>
    <t>Frames of Your Holiday Instagram initiative inspired by spring/summer campaign</t>
  </si>
  <si>
    <t>http://www.luxurydaily.com/armani-taps-instagram-to-promote-brand-lifestyle/</t>
  </si>
  <si>
    <t>Italian lifestyle brand Giorgio Armani is bolstering its social media presence through an Instagram effort in which consumers can upload images of them wearing their favorite sunglasses for the brand’s “Frames of Your Holiday” campaign.</t>
  </si>
  <si>
    <t>http://www.luxurydaily.com/armani-builds-social-affinity-via-second-tweet-talks/</t>
  </si>
  <si>
    <t>Giorgio Armani is looking to bolster its social media affinity through its second Tweet Talks, a discussion surrounding sports and fashion that will be hosted through Twitter.</t>
  </si>
  <si>
    <t>http://thesenseofbeing.com/en/</t>
  </si>
  <si>
    <t>The Sense of Being; official app download from site; photo feed; game with online leader board; full seasonal collection with integrated online shopping;  some video; no user-generated content or interaction; no articles</t>
  </si>
  <si>
    <t>http://www.luxurydaily.com/gucci-pushes-luxury-industry-with-shoppable-video-strategy/
http://www.luxurydaily.com/gucci-pushes-accessories-in-first-fallwinter-shoppable-video/</t>
  </si>
  <si>
    <t>Italian fashion empire Gucci released its second shoppable video this week, featuring items from its cruise spring/summer 2012 collection. The question is, why aren’t more luxury marketers looking to tap this ecommerce technology?
Italian label Gucci dedicated its first fall/winter 2012 shoppable 
video to its accessories collection and lets consumers view product 
information from the brand’s logo icons in the film.Gucci is 
asking consumers to “follow the double G” in the new 90-second video 
available on its ecommerce site that features 16 men’s and women’s items
 including bags, belts, luggage and shoes. The label is raising 
awareness with a dedicated email campaign and from its Web site 
homepage.</t>
  </si>
  <si>
    <t>http://www.fibre2fashion.com/news/company-news/gucci-group/newsdetails.aspx?news_id=112654</t>
  </si>
  <si>
    <t>Thanks to special Kinect technology, 
customers and staff will be able to interact with the images using 
simple gestures to fast-forward and rewind or freeze the images of the 
show to take in a look or detail of interest to the customer.During
 phase two, stores will also provide access to iPads running an 
application known as the Virtual Catalogue, allowing easy interaction 
with the video columns and 360-degree viewing of models to appreciate 
every detail of the products shown on the catwalk.The inclusion 
of an interactive shopping feature is an essential component. Customers 
can use a 32” high-definition screen to interact with the purses and 
products in the leather goods and lifestyle categories available in the 
store, classified by icons, materials, colors and evergreen or new 
products.</t>
  </si>
  <si>
    <t>http://www.fit4talent.com/news/gucci-announce-new-partnership-with-samsung/852/</t>
  </si>
  <si>
    <t xml:space="preserve"> Samsung's Transparent LCD Panel technology provides an unparalleled 
opportunity for Gucci Timepieces &amp; Jewelry to provide eye-catching 
images over its storefront window glass-while brilliantly displaying 
their products behind it. The modular aspects of Samsung's Tiled 
Display, coupled with its ultra-thin bezels, ensure a seamless visual 
experience when used as part of a video wall and along with Samsung's 
Transparent LCD display.
The tower of Transparent LCD screens will broadcast video content from 
Gucci Timepieces &amp; Jewelry in an animation that will be projected on
 and around a collection of watches and jewelry on display.</t>
  </si>
  <si>
    <t>http://www.gucci.com/us/worldofgucci/mosaic/new_and_noteworthy</t>
  </si>
  <si>
    <t>World of Gucci; videos, news and events, celebrities;  photos; no user-generated content or interaction; little connectivity with other social media platforms</t>
  </si>
  <si>
    <t>Hermès created a microsite called Hearts and Crafts that showcases the detailed craftsmanship and quality of its products through inside glimpses into the making of its branded products.</t>
  </si>
  <si>
    <t>http://fashionablymarketing.me/2012/08/fashion-lifestyle-brand-channels-on-to-follow-youtube/</t>
  </si>
  <si>
    <t>The luxury leather house has created a YouTube channel focused on behind-the-scenes footage of their artisan manufacturers, showing customers the care and quality that goes into the manufacturing of Hermes products. In addition, Hermès blends in artful high-end commercial, such as “Hermès black rider,” which features a spirited black dressage horse and black-clad rider to advertise its equestrian line.</t>
  </si>
  <si>
    <t>http://fashionablymarketing.me/2012/01/best-brand-blogs-of-2011/</t>
  </si>
  <si>
    <t>Hermes' interior brand blog, "Paris Mon Ami," was named to the 10 Best Fashion, Luxury &amp; Interior Brand Blogs of 2011 by FMM. The brand's online marketing strategy includes leveraging video, street style photography, emerging online fashion influencers and customer content. The content, which includes contests and videos, is simple and straightforward. Uploading personal photos gets you a chance to be featured in the brand’s highly-stylized photos and videos, a tactic all luxury brands that are afraid of digital should emulate.</t>
  </si>
  <si>
    <t>http://fashionablymarketing.me/2011/11/hermes-launches-paris-mon-ami-scarves-in-the-city-campaign/</t>
  </si>
  <si>
    <t>In December 2011, Hermès launched Scarves In the City, a special pop-up store in London at Harrod’s. Photo sessions let shoppers capture their new looks, as designed by scarf stylists. In addition to the pop-up shop, the Hermès Paris Mon Ami campaign ran an online game called ‘Scarf In the City.’ The game asks visitors to upload images of their favorite scarves in “inspiring, interesting and unique situations” in the city. The site will also posted video content and imagery.</t>
  </si>
  <si>
    <t>Hermes scored a key back-cover ad placement in the inaugural print and online issues of status publication DuJour, delivered directly to high-net-worth homes and Gilt.com members.</t>
  </si>
  <si>
    <t>http://www.luxurydaily.com/hugo-boss-debuts-collection-via-comprehensive-social-push/</t>
  </si>
  <si>
    <t>Promotes its Berlin show and collection through a cross-channel social push.</t>
  </si>
  <si>
    <t>http://www.luxurydaily.com/hugo-boss-targets-hard-to-reach-affluent-males-via-tailored-email-campaign/</t>
  </si>
  <si>
    <t>German label Hugo Boss is pulling all the stops in its email campaign for a limited-edition, racing-inspired timepiece to reach affluent males, a more difficult audience to target via email than women, experts say.</t>
  </si>
  <si>
    <t>http://www.luxurydaily.com/hugo-boss-launches-largest-digital-campaign-for-3d-runway-show/</t>
  </si>
  <si>
    <t>German fashion label Hugo Boss launched its largest digital campaign including augmented reality, print, Web, mobile and out-of-home components called New Dimension Beijing that revolves around a runway show for its Black collection set to live-stream in 3D next month.</t>
  </si>
  <si>
    <t>German fashion label Hugo Boss launched its largest digital campaign during the second quarter called New Dimension Beijing. It included augmented reality, print, Web, mobile and out-of-home components that revolved around the runway show for its Black collection live-streaming in 3D.</t>
  </si>
  <si>
    <t>http://www.luxurydaily.com/hugo-boss-reaches-masses-with-multichannel-runway-show-streaming/</t>
  </si>
  <si>
    <t>German label Hugo Boss reached as many affluent consumers as possible by streaming its runway show through Internet and mobile devices yesterday and roped watchers in with the chance to earn a shopping voucher.</t>
  </si>
  <si>
    <t>http://www.hugoboss.com/us/en/emag/magazine_showAll_1.php</t>
  </si>
  <si>
    <t>Lifestyle eMag; articles on a wide range of topics including sports, art, music, etc., user interaction opportunities like design-you-own-style apps; links to many social media platforms</t>
  </si>
  <si>
    <t>Luxury Daily lists Jimmy Choo as a "Top 10 Digital Luxury Marketer" in Q2 2012</t>
  </si>
  <si>
    <t>http://www.luxurydaily.com/jimmy-choo-pushes-ecommerce-in-evening-wear-email-guide/</t>
  </si>
  <si>
    <t xml:space="preserve">Footwear label Jimmy Choo is showing consumers how to spruce up an outfit with items from its fall/winter 2012 collection in a digital shopping guide that was the subject of an email campaign.
The label is positioning night-appropriate shoes and small bags in the “Evening Masterclass” guide that includes links to purchase each item on its commerce-enabled site. </t>
  </si>
  <si>
    <t>http://www.luxurydaily.com/jimmy-choo-continues-men’s-collection-push-in-social-video-collaboration/</t>
  </si>
  <si>
    <t>Jimmy Choo is pushing men’s footwear in its second social video collaboration with British men’s retailer Mr Porter that depicts the daily lives of London-based characters.</t>
  </si>
  <si>
    <t>http://www.luxurydaily.com/jimmy-choo-reinvents-photo-sharing-via-branded-microsite/</t>
  </si>
  <si>
    <t xml:space="preserve">Footwear label Jimmy Choo is calling on consumers to shape a user-curated fashion Web site named after its Choo 24:7 collection that may position the brand as a go-to style resource
</t>
  </si>
  <si>
    <t>http://chooconnection.jimmychoo.com</t>
  </si>
  <si>
    <t>Choo News; "Your Choo Stories" generated by users; Stylemakers street style blog; user-generated content; able to share content via Facebook and Twitter; 15th anniversary timeline</t>
  </si>
  <si>
    <t>JV scored a key half-page ad placement in the inaugural print and online issues of status publication DuJour, delivered directly to high-net-worth homes and Gilt.com members.</t>
  </si>
  <si>
    <t>JV has been taking advantage of Facebook advertising spots on the right-hand side of a user’s newsfeed. Facebook offers an extensive range of targeting options to ensure luxury brands are getting face- time with their target consumers.</t>
  </si>
  <si>
    <t xml:space="preserve">Kate Spade does really nice high-end videos, behind-the-scenes footage and candid lifestyle portraits of New York City life. What sets the brand apart, however, is the brand's YouTube channel video art. </t>
  </si>
  <si>
    <t>https://www.facebook.com/katespade/app_347236218693939?cm_mmc=ExactTarget-_-9042012%20art%20of%20the%20dot%205%20rest-_-9042012+art+of+the+dot+5+rest-_-https%3a%2f%2fwww.facebook.com%2fkatespade%2fapp_347236218693939&amp;cm_em=daniella@l2thinktank.com&amp;utm_source=email&amp;utm_medium=email&amp;utm_campaign=9042012+art+of+the+dot+5+rest&amp;utm_content=https%3a%2f%2fwww.facebook.com%2fkatespade%2fapp_347236218693939</t>
  </si>
  <si>
    <t>Kate Spade has "put dots on display from around the world" using a Facebook plug-in. The app showcases consumer generated content (photos of dots), organized geographically. A counter displays the number of uploads from each continent.</t>
  </si>
  <si>
    <t>http://fashionablymarketing.me/2012/05/kate-spade-new-york-launches-fathom-travel-site/</t>
  </si>
  <si>
    <t>Kate Spade has partnered with Fathom, a delightful, immaculately-curated travel guide, to launch its own city guides for New York, London, Los Angeles, Tokyo and Tahiti. In addition to restaurants, hotels and nightlife, the Kate Spade guides offer a packing list.</t>
  </si>
  <si>
    <t>http://fashionablymarketing.me/2012/03/how-luxury-and-premium-brands-leveraged-sxsw/</t>
  </si>
  <si>
    <t>To celebrate the launch of its Florence Broadhurst collaboration, Kate Spade is the latest brand to take the road in a large moving vehicle. The #FloBroTour cross country roadtrip/tour ended this week at SXSW where the brand hosted a live concert with Vivian Girls and announced the winners of its Battle of the Bands. During its city tours, fans could shop the mobile pop-up and participate in giveaways and Facebook activities.</t>
  </si>
  <si>
    <t>http://techcrunch.com/2012/05/08/facebook-ecommerce-offers/large-2-2/</t>
  </si>
  <si>
    <t>Early adopter of Facebook ecommerce offers, in May 2012.</t>
  </si>
  <si>
    <t>http://www.katespade.com/on/demandware.store/Sites-Kate-Site/default/Blog-Show?blogID=blogEntries</t>
  </si>
  <si>
    <t>Behind the Curtain; interesting articles organized into regular columns; archived content; high connectivity with Facebook, Twitter, Tumblr, YouTube, Google+; frequently updated; users are able to comment on and share content; other blogs featured on the site; street style photos; blog content is delivered as being equal to the shopping experience on the brand website; no-user generated content</t>
  </si>
  <si>
    <t>http://www.ignitesocialmedia.com/facebook-marketing/lacoste-facebook-fan-page-example/</t>
  </si>
  <si>
    <t>Lacoste makes excellent use of Facebook timeline. It’s a brand with an illustrious history, with products that appeal to both the sports and fashion world. Fans interested in exploring the company’s past will be able to learn about founder Rene Lacoste’s life, tennis, and the release dates of the various products they’ve become known for over the years. Lacoste’s timeline compliments the brand’s desire for an innovative future by reflecting on its successful past.</t>
  </si>
  <si>
    <t>http://www.forbes.com/sites/keithlevy/2012/06/01/the-crocodile-rocks-lacoste-evolved/</t>
  </si>
  <si>
    <t xml:space="preserve"> Over the last few years under the relatively new direction of CEO Steve Birkhold, an apparel industry veteran who joined the company in 2009, Lacoste North America has grown its business by more than 60%.  This is how: With the help of Indy agency shop JWalk in NYC, Lacoste is engaging and inspiring consumers by leveraging technology in new and innovative ways to promote the brand.  Content is king on the web and according to Charlie Walk, Chairman of JWalk, digital users are most interested in original content and they are more likely to engage with a brand that is relevant to their lifestyle.  Aligning the brand with music and talent allows them to reach the right audience in the most relevant places.  According to Walk, things like the Lacoste L!VE blog “has done it’s job” to deliver content associated with things like film, music, events, food &amp; drink, sports, and many others.   Other proprietary devices like LACOSTAGRAM was used as a photo aggregator capturing photos from Coachella on Twitter and Instagram, and then curating those into a central hub for consumers wanting to re-live or share the experience.   As far as the social network is concerned, Lacoste has the second largest Facebook fan following amongst apparel brands with nearly 10 million Facebook fans and growing. </t>
  </si>
  <si>
    <t>http://fashionablymarketing.me/2012/02/fashion-sxsw-2012/</t>
  </si>
  <si>
    <t xml:space="preserve">Lacost participated in the SXSW panel: Who eeds A Fashion Cycle? I’ve Got Social Media (March 13, 2012) Industry experts, Anthony Santagati – Lacoste USA, Nikolas Badminton – DDB, Michelle Sadlier – Michelle Sadlier – Karla Otto and Pencil Agency and Imran Amed, – Business Of Fashion, discussed the digital and technological advances in the fashion industry over the last five years, the traditional fashion cycle of trends and how production has been skewed and propelled. Panelists discussed the role of social gaming and social communities in the fashion industry. </t>
  </si>
  <si>
    <t>http://www.asiance.com/en/</t>
  </si>
  <si>
    <t>This June, Asiance was proud to assist Lacoste with the development of its first online shop in Korea. An online marketing strategy with banners and special events was launched to create a buzz among Korean consumers.</t>
  </si>
  <si>
    <t>http://www.gpj.com/newsletter/article/eau-de-lacoste-grandiose/truly-madly-deeply-12/</t>
  </si>
  <si>
    <t xml:space="preserve">or nine days in late September, Lacoste celebrated the launch of their flagship L.12.12 men’s fragrance with a multifaceted approach that included social media, dance, a live art installation and celebrity-attended party. n direct reflection of their TV commercial, the concept behind "La Machine L.12.12" was to visualize the transformation of the iconic shirt into a fragrance bottle. The transformation happened every 20 seconds using advanced logarithms. Mechanically, the shirt is consumed by the contraption, and on the virtual side, animated video sequences generated by Lacoste social media fans splashed across the surface. At the end of the digital interaction, a physical fragrance bottle appeared from "La Machine," completing the cycle of metamorphosis. The art installation remained in Vanderbilt Hall for nine days to take full advantage of the highly-trafficked area.
The launch lived online as well - Social Media participants were able to watch their contribution live and share their 20 seconds of fame with friends via Facebook, Twitter and YouTube. “Making of” videos were also shared on YouTube to extend the life of the launch and generate anticipation. And the current Locoste.com/l1212 allows you to metamorphose your profile photo into a series of Locaste polos to share on Facebook.    </t>
  </si>
  <si>
    <t>http://www.fashionotes.com/content/2012/06/lacoste-making-a-change/</t>
  </si>
  <si>
    <t>Their Facebook page has also done a fantastic job at making Lacoste’s message cohesive and bringing fans together.  Lacoste has the second largest Facebook fan following amongst apparel brands with nearly 10 million + Facebook fans.</t>
  </si>
  <si>
    <t>http://www.thefancy.com/brands-stores/lacoste</t>
  </si>
  <si>
    <t>Lanvin was named by FMM as one of the top 20 brands to follow on YouTube. These are their observations: It’s really refreshing to see a couture brand’s fun side. Lanvin’s channel focuses on behind-the-scenes footage—a peek behind the curtain with the French fashion house, and it seems like everyone is smiling. Our favorite? Of course, the brand’s viral video from the fall, featuring models dancing to Pitbull.</t>
  </si>
  <si>
    <t>http://fashionablymarketing.me/2011/02/second-annual-fashion-awards-nominees/</t>
  </si>
  <si>
    <t>Lanvin was among five fashion brands nominated by the Style Coalition and TheFind for Best Online Video in the 2nd Annual Fashion 2.0 Awards. Winners</t>
  </si>
  <si>
    <t>http://www.ft.com/cms/s/2/48ca0440-e882-11e1-8397-00144feab49a.html#axzz25XZ2M7bz</t>
  </si>
  <si>
    <t xml:space="preserve">
“It’s all about individuals with individuality,” Alber Elbaz has said of the new Lanvin fashion campaign, which uses “real” people or, as the rest of the “real” world knows them, people who aren’t models. It’s a smart approach: not only are street-style blogs attracting as much interest as the catwalk, but when globalisation threatens uniqueness, a sense of character is appealing. Lanvin’s image is of a brand that caters to women of different ages and sizes (ie not just size zero) and these characters – aged 18 to 81 and found through a street casting in New York – capitalise on that. A video of the shoot was released this week, in which the hitherto anonymous models reveal quirky elements of their personalities.</t>
  </si>
  <si>
    <t>http://www.thefancy.com/brands-stores/lanvin</t>
  </si>
  <si>
    <t>http://fashionablymarketing.me/2011/10/longchamp-luxury-marketing-video/</t>
  </si>
  <si>
    <t xml:space="preserve"> To present its new leather goods collection named Balzane, Longchamp takes us on a restless race through Paris with Audrey Marnay chasing the new Balzane Bag. Through a series of videos (built in annotations), users are invited to seek the new Fall Winter 2011 it bag by Longchamp, following clues shared by three fashion bloggers: French Eleonore Bridge (Le Bolg de la Méchante), Chinese Jing Wang, and American Rumy Neely (Fashion Toast). A few days after the video was released, select Lonchamp clients received a Pass Balzane from their local Longchamp store. From September 15th until October 1st, a key chain was offered for any purchase of a bag from the new collection. For a luxury brand, this is a good example of complementarity CRM, Brand Content/Video and Social Media strategies.</t>
  </si>
  <si>
    <t>http://www.luxurydaily.com/louis-vuitton-creates-interactive-online-demo-to-push-travel-bags/</t>
  </si>
  <si>
    <t>Louis Vuitton is showing consumers how to pack all three of the label’s classic bags with a virtual demonstration and do-it-yourself experience called the Art of Packing which it is pushing within the travel section of its Web site and via social media.</t>
  </si>
  <si>
    <t>http://www.luxurydaily.com/louis-vuitton-hypes-runway-show-via-all-digital-travel-campaign/
http://luxurysociety.com/articles/2012/07/the-latest-digital-lanvin-graff-marc-jacobs</t>
  </si>
  <si>
    <t>French label Louis Vuitton is creating buzz for its upcoming Shanghai fashion show via an all-digital initiative that follows a photographer from the brand’s base in Paris to the show’s set.
The label is looking to engage its consumers in the days leading up to its next runway show July 19 by posting daily videos and images taken by photographer and blogger Todd Selby while he is traveling by train. The Louis Vuitton Express campaign is hosted on a microsite and the label is spreading the content via social media.</t>
  </si>
  <si>
    <t>http://www.luxurydaily.com/christian-louboutin-most-sought-after-footwear-brand-study/</t>
  </si>
  <si>
    <r>
      <t xml:space="preserve">In Digital Luxury Group study conducted in December of 2011, Bally, Kurt Geiger and </t>
    </r>
    <r>
      <rPr>
        <b/>
        <u/>
        <sz val="10"/>
        <color indexed="63"/>
        <rFont val="Arial"/>
      </rPr>
      <t>Manolo Blahnik</t>
    </r>
    <r>
      <rPr>
        <sz val="10"/>
        <color theme="1"/>
        <rFont val="Arial"/>
        <family val="2"/>
      </rPr>
      <t xml:space="preserve"> rounded out the most-searched for brands with 6.07 percent, 4.81 percent and </t>
    </r>
    <r>
      <rPr>
        <b/>
        <u/>
        <sz val="10"/>
        <color indexed="63"/>
        <rFont val="Arial"/>
      </rPr>
      <t xml:space="preserve">4.6 </t>
    </r>
    <r>
      <rPr>
        <sz val="10"/>
        <color theme="1"/>
        <rFont val="Arial"/>
        <family val="2"/>
      </rPr>
      <t>percent, respectively.</t>
    </r>
  </si>
  <si>
    <t>http://www.refinery29.com/lane-crawford-manolo-blahnik-collaboration</t>
  </si>
  <si>
    <t>Manolo Blahnik celebrated its legacy by paring with lanecrawford.com to reissue iconoic styles, now available through Lane Crawford's website.  The exclusive reissued collection from the past 40 years of Manolo styles is available both at the Hong Kong store and online.</t>
  </si>
  <si>
    <t>http://highfashionsocial.wordpress.com/     and       http://www.luxurydaily.com/39061/</t>
  </si>
  <si>
    <t>Neiman Marcus first began using foursquare in late 2011 in conjunction with its shoe and handbag event. Through the foursquare challenge, consumers who checked-in at a Neiman Marcus location were alerted if they were within the vicinity of a Nancy Gonzalez clutch and where to search for it. Those who found the hidden treasures got to keep the clutch.  Then just last month Neiman Marcus decided again to use foursquare in a digital scavenger hunt in partnership with Manolo Blahnik. Through the Blahnik Book Foursquare Hunt, customers who checked-in to a Neiman Marcus store were provided  instructions by the foursquare app on where to find a placard hidden within the retail area. The first customer who found the hidden placard would win the coveted Manolo’s New Shoes book written by Blahnik himself with contributions from industry names like Grace Coddington and Suzy Menkes.</t>
  </si>
  <si>
    <t>http://fashionablymarketing.me/2011/04/green-fashion-marketing-eco-friendly/                             http://www.ladyandtheblog.com/2011/10/26/hey-fish-feet-manolo-blahnik-creating-eco-line-made-out-of-tilapia-skin/</t>
  </si>
  <si>
    <t>(4/2011) Online Shoppers are increasingly demanding eco-friendly fashion, and in response new innovative brands and established prestige brands alike are attempting to meet this online demand. "Net-A-Porter’s recent Runway to Green featured sustainable clothing from luxury veterans Gucci, Prada, Burberry, Marc Jacobs, Manolo Blahnik, Jason Wu, Rachel Roy, Michael Kors, and Tommy Hilfiger. The collaboration helped raise awareness about the impact of the fashion industry on the environment.  Each designer was invited to design and create a piece of eco-friendly fashion that is sold via Net-A-Porter’s site. Consumers were able to support an important cause while still purchasing from their favorite labels."</t>
  </si>
  <si>
    <t>http://luxurysociety.com/articles/2012/07/the-latest-digital-lanvin-graff-marc-jacobs</t>
  </si>
  <si>
    <t>Marc Jacobs Intl. has launched a page on China’s Sina Weibo, a platform similar to Twitter. The account currently features images from events and the new collection. “We strive to use it as a medium to share high-quality images, videos and other stories with our fans,” revealed digital director Daniel Plenge to Luxury Daily. “It is a great way to engage with consumers on a personal level, while simultaneously developing and moulding the brand image."</t>
  </si>
  <si>
    <t>http://mashable.com/2012/07/25/luxury-brands-digital-consumer-experienc/
http://fashionablymarketing.me/2012/07/marc-jacobs-leverages-social-for-luxury-consumer-engagement/</t>
  </si>
  <si>
    <t>Social media overlay over livestreaming the show resulting in 90 million impressons on Twitter (#marcjacobslive, @marcjacobsintl) and made it the #8 most talked about topic on Twitter worldwide; no show's every done this. It lead to a 20% click through rate.</t>
  </si>
  <si>
    <t>http://fashionablymarketing.me/2012/04/fashion-blogger-facebook-timeline/</t>
  </si>
  <si>
    <t>Marc Jacobs-The BB Bag: Marc Jacobs became the first noted designer to collaborate with a fashion blogger when he sent The BB Bag, named after Bryan Boy, down the runway. This was pretty major cause it was the first time a collaboration like this took place and it really stuck in the minds of the press.</t>
  </si>
  <si>
    <t>http://www.thefancy.com/brands-stores/marc-jacobs</t>
  </si>
  <si>
    <t>http://fashionablymarketing.me/2012/02/inside-nyfw-the-fashion-2-0-awards/?utm_source=feedburner&amp;utm_medium=feed&amp;utm_campaign=Feed%3A+fashionmarketing+%28FMM%3A+Digital+Technology%2C+Social+Media+and+Fashion+Marketing%29</t>
  </si>
  <si>
    <t>Marc Jacobs won the 2012 Fashion 2.0 Award in February of 2012 for Best Website, presented by Style Coalition. Fashion 2.0 Awards are the first industry-recognized distinction honoring the most innovative fashion brands for their outstanding achievements and communication strategies across a variety of digital media channels. Nominees were chosen by an online community of industry influencers and fashion fans; winners were voted on by the public.</t>
  </si>
  <si>
    <t>http://www.psfk.com/2011/12/marc-jacobs-launches-holiday-album-with-photos-of-fans-followers.html      &amp;   http://fashionablymarketing.me/2012/01/marc-jacobs-creates-photo-sharing-success-with-marcfam/?utm_source=feedburner&amp;utm_medium=feed&amp;utm_campaign=Feed%3A+fashionmarketing+%28FMM%3A+Digital+Technology%2C+Social+Media+and+Fashion+Marketing%29</t>
  </si>
  <si>
    <t xml:space="preserve">Marc Jacobs engaged consumers in December 2011 with  a campaign that invited fans to share holiday pictures in online photo albums, tagged with #MarcFam on Instagram, Twitter, or in Foursquare check-ins. Tagging adds the photos to the Marc Jacobs website, and users were able to view, zoom, and vote for photos to determine who would win MJ products. Inkeeping with the brand ethos, the campaign aimed to encourage consumers to express their eccentricities, as the brand itself does. </t>
  </si>
  <si>
    <t>http://www.luxurydaily.com/luxury-brands-ushered-in-the-new-year-with-social-video/</t>
  </si>
  <si>
    <t>Fashion house Marc Jacobs Intl. reinforced its consumer-curated holiday campaign with a branded New Year video as well.
Marc Jacobs sent an email to its newsletter subscribers asking them to celebrate the New Year with #MarcFam.
The hashtag was an integral part of its holiday campaign, which asked consumers to take pictures of themselves and post them on the brand’s social network.
The video features Marc Jacobs employees jumping around in mounds of colorful tissue paper, blowing noisemakers, wearing New Year’s Eve accessories and holding champagne bottles.</t>
  </si>
  <si>
    <t>http://www.marcbymarc.dk/blog/</t>
  </si>
  <si>
    <t xml:space="preserve">The Marc by Marc Jacobs blog uses a minimalist template, but allows for location searching, newsletter sign-up, links to associated pages, and information about company staff, news, and products. There is no opportunity for UGC or integration across platforms. </t>
  </si>
  <si>
    <t>http://www.fashion-style.becomegorgeous.com/fashion_news/michael_kors_launches_video_series_living_the_kors_life-8073.html
http://kfsalama.com/fashion-and-luxury/michael-kors-and-his-digital-red-carpet/</t>
  </si>
  <si>
    <t>“Michael Kors will amp up its digital presence this week with the redesign of Destination Kors and the introduction of new digital video and content series, “Living the Kors Life.” The editorial content arm of the brand’s digital flagship launched last year but, as of today, the overhauled site is mobile optimized for the first time. Kors’ social media channels — including Facebook, Twitter, Pinterest, Instagram and Weibo — will all cross promote the brand’s editorial content.”</t>
  </si>
  <si>
    <t>Luxury Daily lists Michael Kors as a "Top 10 Digital Luxury Marketer" in Q2 2012</t>
  </si>
  <si>
    <t>http://www.luxurydaily.com/michael-kors-channels-hollywood-glamour-for-multichannel-fallautumn-2012/</t>
  </si>
  <si>
    <t>The AW13 Hollywood Glamour campaign will be released via international multichannel efforts including print, mobile and social media.</t>
  </si>
  <si>
    <t>Michael Kors held a contest that let consumers enter to win one item per
 day until Mother’s Day via a Facebook app that, for the first time for 
the brand, was mobile-compatible
Next, Michael Kors invited consumers to its new location on Manhattan’s 
Madison Avenue via email and a social video starring blogger Man 
Repeller.</t>
  </si>
  <si>
    <t>http://www.luxurydaily.com/michael-kors-hits-high-note-with-fashion%E2%80%99s-night-out-karaoke-contest/</t>
  </si>
  <si>
    <t>Michael Kors hits high note with Fashion’s Night Out karaoke contest</t>
  </si>
  <si>
    <t>http://www.fashionotes.com/content/2012/08/michael-kors-x-instagram/ http://www.luxurydaily.com/michael-kors-taps-instagram-users-for-limited-edition-watch-push/</t>
  </si>
  <si>
    <t>Michael Kors is leveraging social media to promote their new mobile contest, giving fans the chance to win a limited-edition MK timepiece. To enter, the luxury brand is encouraging their social media friends to submit photos rocking their favorite MK watch.</t>
  </si>
  <si>
    <t>http://www.luxurydaily.com/missoni-extends-youth-line-to-china-via-ecommerce-site/</t>
  </si>
  <si>
    <t>"Italian label Missoni is using Shangpin.com as its exclusive Chinese retailer to tap into one of the fastest-growing luxury markets in the world.
The high-end ecommerce site now has exclusive rights to the M Missoni brand to offer products from the designer’s youth-oriented collection to the Asian luxury market. This is M Missoni’s first ecommerce partnership in China, with experts agreeing that it is a good move at a time when luxury product consumption is on the rise."</t>
  </si>
  <si>
    <t>http://www.luxurydaily.com/top-10-social-media-luxury-marketers-of-2011/</t>
  </si>
  <si>
    <t xml:space="preserve">In an effort to promote Missoni's partnership with Target, the two brands launched a Tumblr  called "All the Way Up Here" that released exclusive photos of the new collection. The brand has also released sneak peeks of its campaign on Facebook and Twitter. MIssoni also introduced several apps that allowed consumers to take photos and transform them from applying Missoni-esque zig-zag stripes to the images. (see additional link in spreadsheet) </t>
  </si>
  <si>
    <t>http://fashionista.com/2011/09/missoni-for-target-shopping-frenzy-crashes-retailers-site-within-hours-of-going-live/?utm_source=feedburner&amp;utm_medium=feed&amp;utm_campaign=Feed%3A+fashionistacom+%28Fashionista%29</t>
  </si>
  <si>
    <t>Missoni for Target crashed the retailer's site within hours of going live. At 6:04 am, Target tweeted that the online exclusives were now available for purchase on their site; by 6:46 am, the entire collection was up on their site–But a mere hour later, tweeters were reporting issues with the site, and by 10:00 am the retailer began responding to complaints and acknowledged the site was down. At 10:30 am, the retailer confirmed that “the overwhelming demand for #MissoniforTarget ended up taking our site down</t>
  </si>
  <si>
    <t>http://www.luxurydaily.com/chanel-mulberry-net-a-porter-inspire-gifting-with-curated-branded-wish-lists/</t>
  </si>
  <si>
    <t>"(November 2011) Mulberry gave shoppers a chance to win their digital wish list in a move that will likely increase sales and loyalty without harmful discounts or savings. Other luxury labels such as Chanel, Net-A-Porter and Saks Fifth Avenue have created wish lists to help affluent consumers find the perfect gift, be it for themselves or a loved one. After placing items in her wish list, a consumer can enter the contest through a window on the right-hand side of the screen by telling Mulberry why she thinks she deserves to win this year and the brand will choose the winner at its discretion.
The brand has been spreading the word about the wish list giveaway through email blasts and social media."</t>
  </si>
  <si>
    <t>http://blog.mulberry.com/</t>
  </si>
  <si>
    <t xml:space="preserve">The Mulberry Blog incorporates social media integration (linking to twitter, facebook, youtube, an rss feed, and email to encourage engagement). It also includes the live twitter feed that constantly updates about local events/news (i.e. FNO). It links directly to the official site where products can be purchased, and provides a wide variety of descriptive content. There is no UGC, but it is searchable and provides detailed information about new products, events, etc. </t>
  </si>
  <si>
    <t>http://theboard.oscardelarenta.com/</t>
  </si>
  <si>
    <t>Oscar de la Renta was named by Luxury Daily one of the top 10 digital luxury marketers of H1 on August 7, 2012. U.S. label Oscar de la Renta upped its Web savvy during the first quarter through the launch of The Board, an interactive Web site where consumers could upload images to inspire Mr. de la Renta and the team as they worked on the Resort collection slated to show in May.
Consumers can upload anything they like onto the Board including vintage photographs, fabrics and color schemes.
The Board allows Oscar de la Renta to interact with consumers and have them communicate with one another through social media functionality using Facebook, Twitter and Pinterest. Clicking on one of the options puts the brand product on the users’ Facebook page for their friends to see.
Another aspect of the new platform is that consumers do not have to leave the Facebook page to see a product.</t>
  </si>
  <si>
    <t>http://nymag.com/daily/fashion/2012/04/oscar-de-la-renta-live-pinned-its-bridal-show.html</t>
  </si>
  <si>
    <t>The fashion house posted images ahead of, during, and after its 2013 bridal show on Monday to a special Pinterest board</t>
  </si>
  <si>
    <t>Luxury Daily lists Oscar de la Renta as a "Top 10 Digital Luxury Marketer" in Q2 2012</t>
  </si>
  <si>
    <t>http://mashable.com/2012/05/21/oscar-de-la-renta-the-fancy/</t>
  </si>
  <si>
    <t>After releasing a range of affordably priced accessories and fragrance products exclusively through its Facebook shop, Oscar de la Renta is now testing social media users’ appetites for more expensive merchandise. Shortly after debuting at ODLR’s Resort 2013 show in Manhattan (and online) Monday afternoon, the company made available a sequined baseball tee for $2,490 on the website of Pinterest rival The Fancy.</t>
  </si>
  <si>
    <t>Shop OscarPR Looks</t>
  </si>
  <si>
    <t>http://www.luxurydaily.com/oscar-de-la-renta-uses-site-relaunch-to-fine-tune-f-commerce/</t>
  </si>
  <si>
    <t>Oscar de la Renta is boosting brand affinity, connectivity and online transactions through its new Web site that features unique social media interactivity, videos and exclusive content.
The new OscardelaRenta.com was debuted earlier this week and includes styling tips, videos, commerce and behind-the-scenes elements. The new site also has interactive elements that intertwine the buying and social media experience for a new kind of ecommerce.</t>
  </si>
  <si>
    <t>http://www.thefancy.com/OscarPRgirl</t>
  </si>
  <si>
    <t>http://georgeandruby.com/</t>
  </si>
  <si>
    <t>The childrenswear blog has a live twitter feed, option to sign up for notifications, and interesting child-specific content that evokes the unique voice of the Head of Creative at Oscar de la Renta, including personal photos of her children and recommendations about parenting-related topics. Social media integration is extensive, linking to the twitter feed and allowing users to share via twitter, pinterest, faceboo, google+, email, etc. UGC is not available.</t>
  </si>
  <si>
    <t xml:space="preserve">http://www.jingdaily.com/social-media-explosion-gives-brands-a-second-chance-in-china/20439/   </t>
  </si>
  <si>
    <t>Paul Smith, which had to pull out of the Chinese market five years ago, has harnessed the power of Chinese social media platforms like Jipang, Youku, and Sina Weibo to recapture the Chinese customer base. The brand is  slated to open its first mainland China flagship, a 5,000 square foot (465 square meter) “megastore” in Shanghai, this December.
As Jing Daily noted this May, Paul Smith hopes to open 20 China locations within the next five years, in addition to its Shanghai anchor store.</t>
  </si>
  <si>
    <t>http://fashionablymarketing.me/2012/05/mr-porter-launches-capsule-collections/</t>
  </si>
  <si>
    <t>Paul Smith is one of five brands that created exclusive collections for MR PORTER, the leading retail destination for men's style, for Summer 2012. The collection is inspired by the 1965 book "Take Ivy."</t>
  </si>
  <si>
    <t>http://www.thefancy.com/brands-stores/paul-smith</t>
  </si>
  <si>
    <t>http://www.paulsmith.co.uk/paul-smith-blog/</t>
  </si>
  <si>
    <t xml:space="preserve">The blog is very simplistically designed, featuring a series of posts with individual related images and opportunities to like, tweet, or google+1 each post. No UGC or interactivity is available. The blog does offer shop locator searches, the ability to sign in and sign up for email updates, search, and contact through a message template and various phone contacts. It also links directly to the online store, product information, Paul Smith's video archive and both an "opinion" and "blog" page (the distinction between which is unclear). The content is not particularly well curated. </t>
  </si>
  <si>
    <t>http://www.luxurydaily.com/top-10-luxury-brand-social-videos-of-h1/</t>
  </si>
  <si>
    <t>Video is considered to be perhaps the second-best medium behind physical, one-on-one brand interactions being used by luxury marketers. Prada was named by Luxury Daily as on of the top 10 luxury brands using social videos in the first half of 2012. Prada presented “A Therapy,” a short film directed by Roman Polanski starring Helena Bonham Carter, a psychiatry patient, and Ben Kingsley, her psychiatrist, that demonstrates how the brand’s items are recognizable and coveted by everyone. In the film, the patient analyzes a dream she had and says it signifies that she is lonely. The psychiatrist has not said a word, but has focused his attention on the purple Prada jacket hanging by the door.
The film ends frozen on Mr. Kingsley, who is pulling the jacket’s collar up to his face. The phrase “Prada suits everyone” appears on the screen in front of this image before the closing credits.</t>
  </si>
  <si>
    <t>http://www.luxurydaily.com/prada-shares-digital-art-to-draw-eyes-to-collection/</t>
  </si>
  <si>
    <t xml:space="preserve">On April 25, 2012 Prada released a microsite for the Prada Parallel Universes campaign presenting digital animations by graphic designer/artist Vahram Muratyan with drawings of Prada's spring/summer men's and women's accessories. Teaser images were released via Facebook on starting April 24th with mysterious explanations to peak consumers' interest. </t>
  </si>
  <si>
    <t>http://mashable.com/2012/07/10/ralph-lauren-organizes-facebook-send-off-for-olympic-athletes/?utm_source=feedburner&amp;utm_medium=feed&amp;utm_campaign=Feed%3A+Mashable+%28Mashable%29</t>
  </si>
  <si>
    <t>At seaports and airports, in small towns and in large cities, Americans have long gathered to send their native athletes off to the Olympic Games in various capitals of the world. For the 2012 Olympic Games in London, Ralph Lauren is aiming to get more fans involved by organizing a digital send-off through Facebook.
From Tuesday until Sept. 9, users can write a message and upload photos from their Facebook albums, hard drives and webcams to “cheer” on athletes through Ralph Lauren’s as well as Macy’s Facebook Pages. Cheers can also be uploaded through the mobile version of Facebook’s website.
Those messages will be showcased on Ralph Lauren’s Facebook app and screened to U.S. athletes during team processing and throughout the USA House in London.</t>
  </si>
  <si>
    <t>http://www.niemanlab.org/2012/08/you-can-thank-ralph-lauren-for-free-access-to-the-new-york-times-ipad-app-well-some-of-it/</t>
  </si>
  <si>
    <t>Much of the Times’ iPad app will be free to access for almost two weeks. For the second year in a row, Ralph Lauren is doing an ad takeover of the app. Just like last time, the free access it provides will be to some of the sections you might imagine the makers of Polo to be interested in: Sports, Fashion, Travel, Home &amp; Garden, and T Magazine. The sponsorship is tied to the Olympics and will feature ads with U.S. Olympians, which will partner well with the Times’ special Olympics section.</t>
  </si>
  <si>
    <t>http://www.mobilemarketer.com/cms/news/strategy/11908.html</t>
  </si>
  <si>
    <t>Ralph Lauren has used mobile as a way to bridge online commerce with in-store experiences, allowing the luxury brand to pave the way with today's modern and affluent consumers.The retailer has both mobile apps for its brands as well as a mobile Web site. By using mobile, the company has been able to target consumers of particular brands and tie their mobile experience to an in-store engagement.To help users interact with Ralph Lauren’s RLX brand, the retailer tapped mobile with an engaging iPad app that users could play with to see the clothes in the collection.According to Mr. Lauren, Ralph Lauren was one of the first retailers to place QR codes on its print advertising materials when the technology was fairly new to both the United States and Europe after learning about the mobile bar codes on a trip to Japan.</t>
  </si>
  <si>
    <t>http://www.luxurydaily.com/ralph-lauren-launches-second-generation-mobile-site/</t>
  </si>
  <si>
    <t>Lifestyle brand Ralph Lauren has launched a new mobile-optimized site that now includes content such as its branded magazine, a style guide using recent campaign images and backstage videos.The new mobile site was re-launched on an entirely new platform to offer mobile shoppers extended products and content, according to Ralph Lauren.</t>
  </si>
  <si>
    <t>http://www.thefancy.com/brands-stores/ralph-lauren</t>
  </si>
  <si>
    <t>http://RobertoCavalliBlog.com/</t>
  </si>
  <si>
    <t xml:space="preserve">As of January 26 2012, Roberto Cavalli began blogging prodigiously, addressing readers with affectionate exuberance and posting photos of himself while travelling. "While many designers outsource their blogs and Twitter feeds to PR teams, there's a candid authenticity to Cavalli's posts that suggests the words are all his own — or at least, those of a very talented, insightful ghost writer." He has also started tweeting frequently, accruing 35, 778 followers. The blog fetaures a translatorm links to his twitter feed, PInterest, facebook, and various Cavalli-related sites.  No UGC or interactivity. </t>
  </si>
  <si>
    <t>http://www.bloginity.com/2012/08/salvatore-ferragamo-online-trunk-show-fw-rtw-2012/
http://houston.culturemap.com/newsdetail/08-13-12-ferragamo-launches-digital-trunk-show-for-fallwinter-collection/</t>
  </si>
  <si>
    <t>Ferragamo launched a digital trunk show featuring the fall/winter collection. Click on the site to see model Lily Kwong in the full collection. Or use a cool "Style Yourself" feature that allows you to mix and match styles on a digital mannequin that looks like a paper doll. Choose from multiple images of shoes, handbags, coats, slacks, blouses and dresses to create your own look.</t>
  </si>
  <si>
    <t>Salvatore Ferragamo aimed for younger consumers during the first quarter through a digital campaign called Girls About Town that included a dedicated Tumblr and contest. - http://thegirlsabouttown.tumblr.com/</t>
  </si>
  <si>
    <t>http://www.luxurydaily.com/cartier-ferragamo-ramp-up-global-marketing-through-new-york-times-china/</t>
  </si>
  <si>
    <t>Brands including Cartier, Salvatore Ferragamo and Bloomingdale’s are stepping up their marketing through advertisements on The New York Times China, a new site that was launched yesterday.</t>
  </si>
  <si>
    <t>http://www.luxurydaily.com/ferragamo-first-to-tap-the-louvre-for-live-streaming-resort-show/</t>
  </si>
  <si>
    <t>Italian label Salvatore Ferragamo is distinguishing itself from competitors by being the first brand to tap the Louvre museum in Paris to show its 2013 resort collection next week, also giving consumers a look inside with a live-stream on its Web site.</t>
  </si>
  <si>
    <t>http://www.tedbakerblog.com/</t>
  </si>
  <si>
    <t>Blog: Muse and Views</t>
  </si>
  <si>
    <t>http://www.tedbakerblog.com/2012/08/taking-manhattan-by-storm-ted-baker-5th-avenue-now-open/</t>
  </si>
  <si>
    <t>Highlights in store included Ted’s collaboration with Instaprint- the only machine in the world which prints a mini poloroid instantly from Instagram with a simple ‘#Ted5thAve’. Customers chose their props from a selection of glasses, top hats and moustaches, and stepped into Ted’s 1920s gold and black Instagram Booth</t>
  </si>
  <si>
    <t>http://www.nma.co.uk/news/thomas-pink-unites-in-store-and-online-customer-data-in-multi-channel-drive/4002669.article</t>
  </si>
  <si>
    <t>Thomas Pink unites in-store and online customer data in multi-channel drive</t>
  </si>
  <si>
    <t>http://www.luxurydaily.com/tod’s-launches-italian-modernism-multichannel-autumnwinter-campaign/</t>
  </si>
  <si>
    <t>Italian leather brand Tod’s released its fall/winter 2012 multichannel advertising campaign that features images of the ideal male and female customers who mirror the brand DNA.</t>
  </si>
  <si>
    <t>http://www.drapersonline.com/news/womenswear/news/tory-burch-to-launch-international-ecommerce/5037756.article
http://www.wwd.com/media-news/digital/tory-burch-releasing-iphone-ipad-app-5973240?gnewsid=c332df6747bbe7938bac4967bd46c1a1</t>
  </si>
  <si>
    <t>Launching international ecommerce.</t>
  </si>
  <si>
    <t>http://www.thesocialstiletto.com/2012/07/04/brand-spotlight-tory-burch/</t>
  </si>
  <si>
    <t>Highlights of how Tory Burch is doing well at digital marketing.</t>
  </si>
  <si>
    <t>http://www.fastcompany.com/1843892/the-best-brand-content-fashion-edition
http://racked.com/archives/2012/07/30/the-best-content-being-created-by-fashion-brands-according-to-fast-company.php</t>
  </si>
  <si>
    <t>Fast Co named it as 1 of 8 fashion brands creating best online content for its aggressive digital-first strategy that generates more revenue than any 
physical store. Reasons why? Tory Burch is perhaps the only fashion brand to have an editor-in-chief position within the company, and the Tory blog is a great example of exploring brand lifestyle.</t>
  </si>
  <si>
    <t>http://www.wwd.com/fashion-news/fashion-scoops/discoveredd-taps-influencers-6018667</t>
  </si>
  <si>
    <t xml:space="preserve">DISCOVEREDD TAPS INFLUENCERS: Tastemakers in the fashion industry such as Amy Smilovic, Tory Burch, Charlotte Tilbury, Mary Katrantzou and Lorraine Candy have been tapped by social discovery platform Discoveredd to appear in a new “Spotlight” feature. </t>
  </si>
  <si>
    <t>http://www.drapersonline.com/news/womenswear/news/tory-burch-to-launch-international-ecommerce/5037756.article#</t>
  </si>
  <si>
    <t>Tory Burch is gearing up to launch international ecommerce as the US footwear and womenswear brand unveils a wave of digital activity.</t>
  </si>
  <si>
    <t>Luxury marketers such as Fendi, L’Occitane, John Varvatos, Tory Burch and BMW have been using Facebook ads to help increase brand awareness, build social networks and bring in Web site traffic.</t>
  </si>
  <si>
    <t>http://www.toryburch.com/blog-post/blog-post,default,pg.html?bpid=64397</t>
  </si>
  <si>
    <t>In New York, DJ Cassidy will be taking over our Meatpacking District boutique while our Madison Avenue flagship will feature Instagram star Liz Eswein — plus an Instagram printer. L.A. revelers, you’re getting face time with Revenge actress and Ring My Bell blogger Ashley Madekwe. Join us! And join the conversation on Twitter, Facebook, Pinterest and Instagram: #TBFNO</t>
  </si>
  <si>
    <t>http://www.toryburch.com/blog/torys-blog,default,pg.html</t>
  </si>
  <si>
    <t>Blog</t>
  </si>
  <si>
    <t>http://mashable.com/2011/12/05/valentino-virtual-museum/</t>
  </si>
  <si>
    <t>Valentino Garavani and Giancarlo Giammetti have unveiled a project that has absorbed them for much of the past two years: a 3D virtual showcase for the archives of the Italian fashion house they built, Valentino. The virtual museum comes as a downloadable desktop application for Macs and PCs. (Notably, much of the content is stored in the cloud.)</t>
  </si>
  <si>
    <t>http://racked.com/archives/2012/01/24/versace-yellow-diamond-free-samples-10-off-dailycandy-deals.php</t>
  </si>
  <si>
    <t>Versace giving away Yellow Diamond fragrance samples via Facebook campaign.</t>
  </si>
  <si>
    <t>http://www.activeresistance.co.uk/getalife/</t>
  </si>
  <si>
    <t>http://www.thefrontrowview.com/2012/07/yves-saint-laurent-team-up-with.html</t>
  </si>
  <si>
    <t>YSL Beauty created a Facebook-exclusive eyeshadow palette.</t>
  </si>
  <si>
    <t>Study</t>
  </si>
  <si>
    <t>Study Brand::BrandStudyNumber</t>
  </si>
  <si>
    <t>Study Brand::Country</t>
  </si>
  <si>
    <t>Study Brand::Website</t>
  </si>
  <si>
    <t>Account used for email sign up?</t>
  </si>
  <si>
    <t>Email List Sign up?_Y_N_</t>
  </si>
  <si>
    <t>Date of Sign Up</t>
  </si>
  <si>
    <t>Signup Category</t>
  </si>
  <si>
    <t>Is signup in top half of the page? _Y_N_</t>
  </si>
  <si>
    <t>Is there an Email Sign Up Pop Up?_Y_N_</t>
  </si>
  <si>
    <t>Is there an Email Sign Up Pop Up?_Y_N_ Score</t>
  </si>
  <si>
    <t>Signup without leaving homepage _no links_? _Y_N_</t>
  </si>
  <si>
    <t>Signup without leaving homepage _no links_? _Y_N_ Score</t>
  </si>
  <si>
    <t>Ease of signup score _0_0.5_</t>
  </si>
  <si>
    <t>Asks for Country?_Y_N_</t>
  </si>
  <si>
    <t>Asks for Local Language? _Y_N_</t>
  </si>
  <si>
    <t>Is customization offered? _Y_N_</t>
  </si>
  <si>
    <t>Customization Description _capture if can sign up for sister co.s _brands_</t>
  </si>
  <si>
    <t>Can you sign up for mobile alerts concurrently? _Y_N_</t>
  </si>
  <si>
    <t>Can you sign up for sister brands_co.s concurrently? _Y_N_</t>
  </si>
  <si>
    <t>Is confirmation required? _Y_N_</t>
  </si>
  <si>
    <t>Are gifts _ incentives offered for signing up? _Y_N_</t>
  </si>
  <si>
    <t>Email Sign Up Observations</t>
  </si>
  <si>
    <t>Account used for account sign up?</t>
  </si>
  <si>
    <t>Does the site offer account sign up? _Y_N_</t>
  </si>
  <si>
    <t>Does account registration offer option to receive e_mail newsletters_promotions?_Y_N_</t>
  </si>
  <si>
    <t>Asks for Country account? _Y_N_</t>
  </si>
  <si>
    <t>Asks for Local Language account? _Y_N_</t>
  </si>
  <si>
    <t>Is confirmation required? _Y_N_Account</t>
  </si>
  <si>
    <t>Account Sign Up Observations</t>
  </si>
  <si>
    <t>Can you sign up for mobile alerts concurrently account? _Y_N_</t>
  </si>
  <si>
    <t>Mobile Sign Up Score_0_0.25_</t>
  </si>
  <si>
    <t>Are gifts_ incentives for account signing up? _Y_N_Account</t>
  </si>
  <si>
    <t>Incentives Offered Score_0_0.25_NEW</t>
  </si>
  <si>
    <t>Is Customization Offered? _Y_N_ Account</t>
  </si>
  <si>
    <t>Customization Description Account_capture if can sign up for sister co.s _brands_</t>
  </si>
  <si>
    <t>Customization Score _0_0.25_</t>
  </si>
  <si>
    <t>Email Sign Up Score_NEW (0-1.25)</t>
  </si>
  <si>
    <t>Final Email Sign-Up Score (0-1)</t>
  </si>
  <si>
    <t>Automatic Welcome Email Sent? _Y_N_</t>
  </si>
  <si>
    <t>Personalized?_Y_N_</t>
  </si>
  <si>
    <t>Branded? _Y_N_</t>
  </si>
  <si>
    <t>Automatic Welcome Email in Local Language?_Y_N_</t>
  </si>
  <si>
    <t>Data Collection Starts</t>
  </si>
  <si>
    <t>Data Collection Ends</t>
  </si>
  <si>
    <t># Days</t>
  </si>
  <si>
    <t># Weeks</t>
  </si>
  <si>
    <t>Total Emails Sent  _not including welcome_</t>
  </si>
  <si>
    <t>Emails Per Day</t>
  </si>
  <si>
    <t>Emails Per Week</t>
  </si>
  <si>
    <t>Email Frequency Score _0_1_</t>
  </si>
  <si>
    <t>Does email layout replicate web nav? _Y_N_</t>
  </si>
  <si>
    <t>Send to friend option? _Y_N_</t>
  </si>
  <si>
    <t>Shareable via social media? _Y_N_</t>
  </si>
  <si>
    <t>Consistency between all emails? _Y_N_</t>
  </si>
  <si>
    <t>Viewable on mobile? _Y_N_</t>
  </si>
  <si>
    <t>Mobile viewing score 0.5</t>
  </si>
  <si>
    <t>Links to social media? _Y_N_</t>
  </si>
  <si>
    <t>Links to Local social media? _Y_N_</t>
  </si>
  <si>
    <t>Email Content Observations</t>
  </si>
  <si>
    <t>TOTAL EMAIL CONTENT _ FREQUENCY SCORE  1.5</t>
  </si>
  <si>
    <t>Overall Observations</t>
  </si>
  <si>
    <t>Are the Emails in local language?_Y_N_Misc</t>
  </si>
  <si>
    <t>Is the Content Market Targeted?_is the content different than the global account?_Y_N_</t>
  </si>
  <si>
    <t>Observations Bonus_Score _0_0.5_</t>
  </si>
  <si>
    <t>Triggered emails for abandoned cart?</t>
  </si>
  <si>
    <t>Abandoned cart points (0.5)</t>
  </si>
  <si>
    <t>Offer to encourage conversion?</t>
  </si>
  <si>
    <t>Incentives (0.25)</t>
  </si>
  <si>
    <t>Total Innovation (0-1.25)</t>
  </si>
  <si>
    <t>TOTAL EMAIL SCORE</t>
  </si>
  <si>
    <t>Email Adjusted (0-5)</t>
  </si>
  <si>
    <t>Digital IQ: Fashion 2012</t>
  </si>
  <si>
    <t>http://www.alexandermcqueen.com/alexandermcqueen/en_US</t>
  </si>
  <si>
    <t>williamnjohnson2012@gmail.com</t>
  </si>
  <si>
    <t>Yes</t>
  </si>
  <si>
    <t>PII box on hompage</t>
  </si>
  <si>
    <t>No</t>
  </si>
  <si>
    <t>Alexander McQueen Womenswear, Menswear; McQ Womenswear, Menswear.</t>
  </si>
  <si>
    <t>Confirmation sent immediately after.</t>
  </si>
  <si>
    <t>awilliamnjohnson2012@gmail.com</t>
  </si>
  <si>
    <t>Full</t>
  </si>
  <si>
    <t>Only sent the welcome email.</t>
  </si>
  <si>
    <t>http://www.dunhill.com</t>
  </si>
  <si>
    <t>Only sent welcome email.</t>
  </si>
  <si>
    <t>http://www.badgleymischka.com</t>
  </si>
  <si>
    <t>Link to new page</t>
  </si>
  <si>
    <t>No account sign up; maybe because there's no ecommerce.</t>
  </si>
  <si>
    <t>http://www.balenciaga.com/en_US/</t>
  </si>
  <si>
    <t>Only sent welcome</t>
  </si>
  <si>
    <t>http://www.bally.com/index.aspx?sitecode=BALLY_US</t>
  </si>
  <si>
    <t>Email input only</t>
  </si>
  <si>
    <t>Confirmation sent immediately after; roll over the newsletter brings pop up window to input only email address to sign up for newsletter.</t>
  </si>
  <si>
    <t>After registering, code for 10% off and free shipping given although not known ahead of time. Confirmation sent immediately after.</t>
  </si>
  <si>
    <t>About new products and competitions (what's in your suitcase)</t>
  </si>
  <si>
    <t>Good branding, link to download the Bally app, link to customer care and contact us.</t>
  </si>
  <si>
    <t>http://www.bottegaveneta.com</t>
  </si>
  <si>
    <t>Men's and/or Women's.</t>
  </si>
  <si>
    <t>Men's products and/or Women's products.</t>
  </si>
  <si>
    <t>http://us.burberry.com/store/?c=US&amp;selected=y</t>
  </si>
  <si>
    <t>No separate email sign up; only account.</t>
  </si>
  <si>
    <t>Confirmation received immediately; no separate email list, together with account sign up.</t>
  </si>
  <si>
    <t>Really good graphic with areas linking to youtube, twitter, facebook, burberry.com, and the art of the trench site.</t>
  </si>
  <si>
    <t>http://www.calvinklein.com</t>
  </si>
  <si>
    <t>Pop up with email input only to sign up for newsletter. Also email input only field at the top.</t>
  </si>
  <si>
    <t>http://www.catherinemalandrino.com</t>
  </si>
  <si>
    <t>Can only sign up for newsletter in ecommerce, confirmation required (sent immediately), and after confirmed update sent immediately.</t>
  </si>
  <si>
    <t>Account sign up's only in ecommerce, confirmation required (sent immediately).</t>
  </si>
  <si>
    <t>http://www.chanel.com</t>
  </si>
  <si>
    <t>Fashion/accessories; fragrance/makeup/skincare; fine jewelry/watches.</t>
  </si>
  <si>
    <t>Account sign up only in ecommerce (fragrance, makeup, skincare). Confirmation sent immediately after.</t>
  </si>
  <si>
    <t>http://www.chloe.com</t>
  </si>
  <si>
    <t>Can only see the newsletter sign up link if you hover on the bottom panel (hard to find). Confirmation sent same day.</t>
  </si>
  <si>
    <t>No account sign up, only email; maybe because there's no ecommerce.</t>
  </si>
  <si>
    <t>Language preference</t>
  </si>
  <si>
    <t>http://www.dior.com/home/en_us/</t>
  </si>
  <si>
    <t>Fragrance &amp; Beauty, and/or Fashion &amp; Accessories.</t>
  </si>
  <si>
    <t>Email only input form with options for customized newsletter topics.</t>
  </si>
  <si>
    <t>No separate account sign up, email newsletter only; maybe because there's no ecommerce.</t>
  </si>
  <si>
    <t>Fragrance and Beauty / Fashion and Accessories</t>
  </si>
  <si>
    <t>no emails sent</t>
  </si>
  <si>
    <t>http://us.christianlouboutin.com/</t>
  </si>
  <si>
    <t>No email only sign up; account only.</t>
  </si>
  <si>
    <t>Partial</t>
  </si>
  <si>
    <t>One email with a fantastic moving graphic that works on mobile showing the new app.</t>
  </si>
  <si>
    <t>http://www.coach.com</t>
  </si>
  <si>
    <t>After submitting email to sign up, pop up thanking you and link register for an account. Confirmation sent shortly after.</t>
  </si>
  <si>
    <t>Confirmation sent shortly after.</t>
  </si>
  <si>
    <t>http://www.colehaan.com</t>
  </si>
  <si>
    <t>Only asks for zip, gender and email address to sign up.</t>
  </si>
  <si>
    <t>Only need full name, zip, gender, email, password, and security q/a to sign up; confirmation sent shortly after.</t>
  </si>
  <si>
    <t>http://www.dvf.com</t>
  </si>
  <si>
    <t>Fashion &amp; Home Collection.</t>
  </si>
  <si>
    <t>Confirmation sent immediately with $50 off $250+ more code (but not advertised beforehand).</t>
  </si>
  <si>
    <t>$50 off $250+ code for signing up; confirmation sent immediately after with code. Same email (DVF Insider) as email sign up. No option to opt into emails, seems automatic/required.</t>
  </si>
  <si>
    <t>Ready-to-wear, fragrance/beauty, home collection, accessories, luggage.</t>
  </si>
  <si>
    <t>http://www.dolcegabbana.com/</t>
  </si>
  <si>
    <t>No email only sign up; only for an account.</t>
  </si>
  <si>
    <t>Confirmation sent shortly; account gives access to multiple sites (including career portal). Can't opt in/out of email newsletter, it's included.</t>
  </si>
  <si>
    <t>Email input only field at top of page and also in a pop up.</t>
  </si>
  <si>
    <t>DKNY &amp; Donna Karan New York.</t>
  </si>
  <si>
    <t>http://www.emiliopucci.com/home.asp?tskay=8D8F600C&amp;memory=1</t>
  </si>
  <si>
    <t>Confirmation sent immediately.</t>
  </si>
  <si>
    <t>Confirmation sent immediately; no option to opt in/out of email newsletter, seems to be included/required.</t>
  </si>
  <si>
    <t>Content features one or two products with links to "shop now".</t>
  </si>
  <si>
    <t>http://www.zegna.com/en/north-america/</t>
  </si>
  <si>
    <t>Newsletter link at top of page links to anchor email input only field on home page.</t>
  </si>
  <si>
    <t>Account sign up only in ecommerce. Confirmation sent immediately; no option to opt in/out of email newletter, seems to be included/required.</t>
  </si>
  <si>
    <t>Links to download app, store locator, and customer care</t>
  </si>
  <si>
    <t>http://www.escada.com/en/</t>
  </si>
  <si>
    <t>No account sign up, maybe because there's no ecommerce.</t>
  </si>
  <si>
    <t>http://www.fendi.com/#/en</t>
  </si>
  <si>
    <t>Can only pick Female or Male.</t>
  </si>
  <si>
    <t>Email about new campaign photos highlighting Karl Lagerfeld as photographer and one email about Fendi Kinds.</t>
  </si>
  <si>
    <t>http://www.armani.com/us</t>
  </si>
  <si>
    <t>Confirmation sent immediately; no option to opt in/out of email newsletter, seems included/required.</t>
  </si>
  <si>
    <t>Links to sale, featured product, and separate links to all of Armani's lines.</t>
  </si>
  <si>
    <t>Really good graphics and links to sites.</t>
  </si>
  <si>
    <t>No email sign up.</t>
  </si>
  <si>
    <t>No account sign up (no ecommerce), not even email sign up.</t>
  </si>
  <si>
    <t>http://www.gucci.com/us/home</t>
  </si>
  <si>
    <t>"find a store" link, app link, note on free shipping from gucci.com</t>
  </si>
  <si>
    <t>Emails usually highlight one specific product line.</t>
  </si>
  <si>
    <t>http://www.hermes.com/index_us.html</t>
  </si>
  <si>
    <t>Can choose newsletter region (USA).</t>
  </si>
  <si>
    <t>One email about their new video campaign with links to online store, locate a store, and Hermes lifestyle website.</t>
  </si>
  <si>
    <t>Good linking in email.</t>
  </si>
  <si>
    <t>http://www.hugoboss.com/us/en/collection.php?wk=ws.flippage
http://store-us.hugoboss.com/</t>
  </si>
  <si>
    <t>Mens: New Arrivals, Sale, Apparel, Shoes &amp; Accessories; Womens: New Arrivals, Sale, Apparel, Shoes &amp; Accessories; Brands: Boss Black, Green, Orange, Hugo.</t>
  </si>
  <si>
    <t>Confirmation sent immediately; automatically opted into email newsletter, can opt out when signed in.</t>
  </si>
  <si>
    <t>Amazing linking to facebook, twitter, youtube, app, a full website's worth of footer (help and contact, shipping information, return info, size charts, store locator, career info, press services, and a full header featuring all of their brands.</t>
  </si>
  <si>
    <t>http://us.jimmychoo.com/en/us/page/home/</t>
  </si>
  <si>
    <t>Confirmation sent immediately; communication options/customization available after register and logging in.</t>
  </si>
  <si>
    <t>Post/email, HTML/text.</t>
  </si>
  <si>
    <t>Features a look or product and then includes another link (like mens or british flag special) smaller at the bottom.</t>
  </si>
  <si>
    <t>Confirmation sent immediately with free shipping offer (always have free domestic shipping).</t>
  </si>
  <si>
    <t>Confirmation sent immediately (same as for email newsletter).</t>
  </si>
  <si>
    <t>HTML/text.</t>
  </si>
  <si>
    <t>http://www.katespade.com</t>
  </si>
  <si>
    <t>15% off for joining mailing list; confirmation with code sent shortly after.</t>
  </si>
  <si>
    <t>Confirmation sent shortly after along with separate welcome email with 15% off code (not advertised beforehand).</t>
  </si>
  <si>
    <t>Categories: everything, men, women, kids, L!VE, shoes</t>
  </si>
  <si>
    <t>Sign up asks for zip code, country, and birthday (optional). Welcome email sent soon after advertising free shipping to sign up for an account (but it's standard, not a true incentive).</t>
  </si>
  <si>
    <t>Option to sign up for emails shows after completing account sign up; welcome email comes soon after.</t>
  </si>
  <si>
    <t>good linking, emails about sales.</t>
  </si>
  <si>
    <t>Sales are shareable, others are not.  All emails include a section called "visit a lacoste boutique n ear you" which already found four lacoste boutiques near me in NYC and included their addresses and telephone numbers.</t>
  </si>
  <si>
    <t>Welcome email (in French) sent shortly after. Address, country, zip code and birthday are asked for but optional.</t>
  </si>
  <si>
    <t>No account sign up, probably because site's not e-commerce enabled.</t>
  </si>
  <si>
    <t>The one welcome email was not only in french, but started "Chere Madame, Cher Monsieur" and was three lines.  It could not have been more cold and generic.</t>
  </si>
  <si>
    <t>Embedded pop up for register for enewsletter, also shows when you click the newsletter link...stay on homepage; required to choose country.</t>
  </si>
  <si>
    <t>Receive account and email list sign up confirmation emails shortly after (faster than thru email sign up alone). Sign up is on the ecommerce page.</t>
  </si>
  <si>
    <t>There is only one list but has potential to expand for more customization.</t>
  </si>
  <si>
    <t>http://www.longchamp.com/en/home-en-249.html</t>
  </si>
  <si>
    <t>Receive sign up confirmation email immediately with link to complete registration with more details like address (only email input on main page to sign up initially).</t>
  </si>
  <si>
    <t>Option to subscribe to emails. Confirmation email sent immediately with login info.</t>
  </si>
  <si>
    <t>one email about the new collection.</t>
  </si>
  <si>
    <t>http://www.louisvuitton.com/front/#/eng_US/dispatch</t>
  </si>
  <si>
    <t>In "My Newsletter" it looks like there are different languages but there's no where to change it. Receive confirmation immediately.</t>
  </si>
  <si>
    <t>Can opt into email list, asks for country; confirmation email sent immediately after.</t>
  </si>
  <si>
    <t>Form to input email and when you hit the "subscribe" button a screen asking for more details, like country, pops up; confirmation sent immediately.</t>
  </si>
  <si>
    <t>Option to opt into email list; confirmation sent immediately for both email and account.</t>
  </si>
  <si>
    <t>http://www.maxmara.com/en/Home-Page</t>
  </si>
  <si>
    <t>No email only sign up; only account.</t>
  </si>
  <si>
    <t>Have to sign up for an account to be on the email list. Confirmation's required but the link returns an error.</t>
  </si>
  <si>
    <t>9 choices for personal interests, 5 forms of communications (phone, text, mobile, email, mail), and 5 occupation choices.</t>
  </si>
  <si>
    <t>Offered free shipping with first order but you don't know that until after signing up. Confirmation sent immediately after.</t>
  </si>
  <si>
    <t>No option to opt into email list, ask for country for billing address.</t>
  </si>
  <si>
    <t>Emails focused on women's line, feature one or two products.</t>
  </si>
  <si>
    <t>Free shipping in welcome email.  Find a store near you link in footer.</t>
  </si>
  <si>
    <t>http://www.missoni.com/ing.html</t>
  </si>
  <si>
    <t>No account sign up.</t>
  </si>
  <si>
    <t>no email signup</t>
  </si>
  <si>
    <t>Can sign up for new season launches &amp; latest arrivals and/or the latest stories from the blog.</t>
  </si>
  <si>
    <t>Pretty basic sign up area.</t>
  </si>
  <si>
    <t>Confirmation email sent same day.</t>
  </si>
  <si>
    <t>Confirmation sent shortly.</t>
  </si>
  <si>
    <t>Nothing special to note.</t>
  </si>
  <si>
    <t>After signing up, can manage content preferences for 12 email lists.</t>
  </si>
  <si>
    <t>Confirmation email sent shortly.</t>
  </si>
  <si>
    <t>http://www.prada.com/en/language/change?cc=US</t>
  </si>
  <si>
    <t>Nothing special to report; a little difficult to find the sign up link.</t>
  </si>
  <si>
    <t>No direct way to sign up; have to shop through ecommerce first; may even need to complete checkout.</t>
  </si>
  <si>
    <t>The one email is about new arrivals</t>
  </si>
  <si>
    <t>http://www.ralphlauren.com</t>
  </si>
  <si>
    <t>Free shipping offered after signing up; confirmation sent immediately.</t>
  </si>
  <si>
    <t>Nothing special to note. Confirmation sent shortly with free shipping offer that's not advertise beforehand.</t>
  </si>
  <si>
    <t>Country list is in Italian.</t>
  </si>
  <si>
    <t>Have to go to ecommerce site to sign up; confirmation sent immediately after.</t>
  </si>
  <si>
    <t>Free shipping until July 20th with an email they sent about their ecom site redesign.  Send promos on Cavalli and Just Cavalli and sales.</t>
  </si>
  <si>
    <t>No emails sent to newsletter account, only to account signup account.</t>
  </si>
  <si>
    <t>http://www.ferragamo.com/webapp/wcs/stores/servlet/TopCategories_31150_35551?rememberStore=Y</t>
  </si>
  <si>
    <t>Just name and email to sign up; confirmation sent immediately.</t>
  </si>
  <si>
    <t>Option to opt into new product/news emails; confirmation sent shortly.</t>
  </si>
  <si>
    <t>http://www.sergiorossi.com/us/en/eStore/women/women-shoes-SpringSummer2012-Collection/Pumps.aspx</t>
  </si>
  <si>
    <t>No separate email sign up.</t>
  </si>
  <si>
    <t>Option to opt into emails; confirmation sent shortly after.</t>
  </si>
  <si>
    <t>Feature a product theme</t>
  </si>
  <si>
    <t>http://www.stellamccartney.com/en/index.html#!%7B%22countrycode%22:%22US%22%7D</t>
  </si>
  <si>
    <t>Confirmation sent same day.</t>
  </si>
  <si>
    <t>Need to go into account mailing preferences to sign up for newsletters; confirmation sent same day.</t>
  </si>
  <si>
    <t>2 options: news &amp; events, and kids after signing in and updating preferences.</t>
  </si>
  <si>
    <t>http://international.stuartweitzman.com/default.aspx?languageid=1</t>
  </si>
  <si>
    <t>williamnjohnsones2012@gmail.com</t>
  </si>
  <si>
    <t xml:space="preserve">just language.  THIS ENTRY IS FOR THE SPANISH NEWSLETTER OPTION.  </t>
  </si>
  <si>
    <t>Highlights all kinds of products (usually one per email).</t>
  </si>
  <si>
    <t>Welcome email doesn't display.</t>
  </si>
  <si>
    <t>http://www.tedbaker-london.com/?sr=NA</t>
  </si>
  <si>
    <t>Event &amp; store openings; special offers &amp; promotions; news/products/latest trends for Men or Women; and birthday treat.</t>
  </si>
  <si>
    <t>Can sign up for text notifications; confirmation sent immediately after where you can see what lists you're signed up for with a link to change preferences.</t>
  </si>
  <si>
    <t>Can immediately choose communication and newsletter preferences as you create your account.</t>
  </si>
  <si>
    <t>Email, mobile, direct mail communication. Event &amp; store openings; special offers &amp; promotions; news/products/latest trends for Men or Women; and birthday treat.</t>
  </si>
  <si>
    <t>Sent a birthday 10% discount email, email about a new store opening in New York.</t>
  </si>
  <si>
    <t>PII box with email only submission.</t>
  </si>
  <si>
    <t>Doesn't ask for country since it's the US site; only name, email, password, and security question required to sign up.</t>
  </si>
  <si>
    <t>Sales and new collection promos.</t>
  </si>
  <si>
    <t>http://www.us.thomaspink.com/</t>
  </si>
  <si>
    <t>Email only form when you click the submit button links to a new page asking for name and country.</t>
  </si>
  <si>
    <t>New registration link directly on site. Can change communication preferences after signing in. Confirmation sent shortly.</t>
  </si>
  <si>
    <t>A lot of customization: menswear (3) - collar size (pull down for size, 2), size (pull down for size, 6); womenswear (pull down for size, 8); stores &amp; events (pull down for preferred store, 5). Frequency (weekly, monthly, less often), email options, and communication methods (all, SMS, email, post).</t>
  </si>
  <si>
    <t>no emails sent.</t>
  </si>
  <si>
    <t>http://www.tods.com/us/</t>
  </si>
  <si>
    <t>Have to check off the box to subscribe to the newsletter. Confirmation sent immediately after and confirmation required.</t>
  </si>
  <si>
    <t>No option to opt into email newsletter when registering but when you sign in it's automatically checked off.</t>
  </si>
  <si>
    <t>http://usa.tommy.com</t>
  </si>
  <si>
    <t>Pop up with 20% off next order for email sign up. Confirmation sent shortly after with one-time use coupon code.</t>
  </si>
  <si>
    <t>No option to opt into emails.</t>
  </si>
  <si>
    <t>Welcome email offers 20% off first purchase.  Link to "my account" in email nav bar.  Many emails about sales.  Some emails feature a specific product or trend and link to shop the trend.</t>
  </si>
  <si>
    <t>UPDATE ON DATE 2- No emails sent, despite three attempts to sign up for williamnjohnson2012@gmail.com</t>
  </si>
  <si>
    <t>Features one product or line.</t>
  </si>
  <si>
    <t>Welcome email offers 10% off and free standard shipping. Footer has full about us, "on the go" (find a boutique, mobile site), press, and customer service lists of links.  One email included a gif changing looks for the "fall weekend" series.</t>
  </si>
  <si>
    <t>http://store.valentino.com/areas/corners/sh.asp?tskay=B60ACEA7&amp;gender=&amp;sts=VALENTINO&amp;mm=112</t>
  </si>
  <si>
    <t>After inputting email, pop up with options for Valentino or Red Valentino.</t>
  </si>
  <si>
    <t>Separate direct link to register for an account on site.</t>
  </si>
  <si>
    <t>Can pick Red Valentino or Valentino but need to click a link as you sign up. Confirmation sent immediately after.</t>
  </si>
  <si>
    <t>Links to FB, Twitter, Youtube and Pinterest.</t>
  </si>
  <si>
    <t>Free shipping on orders for July.  Customer service link in footer.</t>
  </si>
  <si>
    <t>Newsletter button at bottom that pulls up sign up with Flash. Asks for language for the newsletter but not country or any other personal information, except name.</t>
  </si>
  <si>
    <t>No account sign up; maybe because there's no e-commerce (except for home).</t>
  </si>
  <si>
    <t>Store locator in email.</t>
  </si>
  <si>
    <t>http://www.viviennewestwood.co.uk</t>
  </si>
  <si>
    <t>Newsletter button links to new page to sign up; basic form. Confirmation sent same day.</t>
  </si>
  <si>
    <t>Sign up for an account by initiating checkout process in ecommerce or clicking login; confirmation sent shortly after.</t>
  </si>
  <si>
    <t>http://www.ysl.com/en_US</t>
  </si>
  <si>
    <t>Can choose between women's and men's.</t>
  </si>
  <si>
    <t>Only in welcome email</t>
  </si>
  <si>
    <t>http://www.zacposen.com/</t>
  </si>
  <si>
    <t>Email format: HTML or text.</t>
  </si>
  <si>
    <t>Confirmation for both newsletter and account sent immediately after.</t>
  </si>
  <si>
    <t>Truly hideous welcome email.  All emails look like the design team were accountants rather than an exclusive fashion house.</t>
  </si>
  <si>
    <t>sportswear2012emailsignup@gmail.com</t>
  </si>
  <si>
    <t>Took less than 1 second to complete</t>
  </si>
  <si>
    <t>sportswear2012acctsignup@gmail.com</t>
  </si>
  <si>
    <t>Avergae</t>
  </si>
  <si>
    <t>StanDev</t>
  </si>
  <si>
    <t>Min</t>
  </si>
  <si>
    <t>Max</t>
  </si>
  <si>
    <t>Unit1 (AVERAGE - 0)</t>
  </si>
  <si>
    <t>Unit2 (AVERAGE- MAX)</t>
  </si>
  <si>
    <t>cutoff1</t>
  </si>
  <si>
    <t>cutoff2</t>
  </si>
  <si>
    <t>cutoff3</t>
  </si>
  <si>
    <t>cutoff4</t>
  </si>
  <si>
    <t>cutoff5</t>
  </si>
  <si>
    <t>cutoff6</t>
  </si>
  <si>
    <t>cutoff7</t>
  </si>
  <si>
    <t>cutoff8</t>
  </si>
  <si>
    <t>Study Brand::Brand</t>
  </si>
  <si>
    <t>Facebook Page? _Y_N_</t>
  </si>
  <si>
    <t>Account Level</t>
  </si>
  <si>
    <t>Account Type</t>
  </si>
  <si>
    <t>Multiple Facebook Pages? _Y_N_</t>
  </si>
  <si>
    <t>Facebook Page Name</t>
  </si>
  <si>
    <t>Facebook URL</t>
  </si>
  <si>
    <t>Collection Date 1</t>
  </si>
  <si>
    <t># Likes Date 1</t>
  </si>
  <si>
    <t># Talking About This Date 1</t>
  </si>
  <si>
    <t>Are fans allowed to post on wall? _Y?N_</t>
  </si>
  <si>
    <t>Score _0_.50_</t>
  </si>
  <si>
    <t>Does Brand Respond? _Y_N_</t>
  </si>
  <si>
    <t>_Score 0_0.5</t>
  </si>
  <si>
    <t>Comments on Wall_ Brand's Activity _ Interaction with Fans</t>
  </si>
  <si>
    <t>Brand Page Wall Score _0_1_</t>
  </si>
  <si>
    <t>Estimated Brand Posts Per Week</t>
  </si>
  <si>
    <t>Brand Post Frequency Score _0_1_</t>
  </si>
  <si>
    <t>Collection Date 2</t>
  </si>
  <si>
    <t># Likes Date 2</t>
  </si>
  <si>
    <t>Likes Score _0_2_</t>
  </si>
  <si>
    <t># Talking About This Date 2</t>
  </si>
  <si>
    <t>Days Elapsed</t>
  </si>
  <si>
    <t>Likes Absolute Growth</t>
  </si>
  <si>
    <t>Likes Absolute Growth Score _0_0.5</t>
  </si>
  <si>
    <t>Likes % Growth</t>
  </si>
  <si>
    <t xml:space="preserve">Likes % Growth Score _0_0.5_ </t>
  </si>
  <si>
    <t>TOTAL SIZE _ GROWTH SCORE 5 (Wall posts and frequency, responsiveness etc.)</t>
  </si>
  <si>
    <t>Soliciting User Generated Content? _Y_N_</t>
  </si>
  <si>
    <t>Running A Sampling _ Give_Away Program? _Y_N_</t>
  </si>
  <si>
    <t>Running A Contest_ Sweeps? _Y_N_</t>
  </si>
  <si>
    <t>Couponing_Promotion? _Y_N_</t>
  </si>
  <si>
    <t>Customer Service? _Y_N_</t>
  </si>
  <si>
    <t>Programming Score  _0_1_</t>
  </si>
  <si>
    <t>_Link_to_Brand's_or_3rd_Pary_E_Commerce_Site?__off_FB___info__custom_tab__or_post___Y_N_</t>
  </si>
  <si>
    <t>Facebook Commerce _ complete the process within FB?</t>
  </si>
  <si>
    <t>Commerce Score _0_1_</t>
  </si>
  <si>
    <t>Innovation points (0-1)</t>
  </si>
  <si>
    <t>Commerce Notes</t>
  </si>
  <si>
    <t>Interactivity: Like Interaction Rate</t>
  </si>
  <si>
    <t>Interactivity: Comment Interaction Rate</t>
  </si>
  <si>
    <t>Interactivity: Shares Interaction Rate</t>
  </si>
  <si>
    <t>Interactivity: Overall Interaction Rate</t>
  </si>
  <si>
    <t>Interactivity: Overall Interaction Rate Score x 2</t>
  </si>
  <si>
    <t>TOTAL INNOVATION _ INTERACTIVITY SCORE _0_5_</t>
  </si>
  <si>
    <t>TOTAL FACEBOOK SCORE (0-10)</t>
  </si>
  <si>
    <t>Main</t>
  </si>
  <si>
    <t xml:space="preserve">Brand - Global </t>
  </si>
  <si>
    <t>http://www.facebook.com/BrandMcQueen</t>
  </si>
  <si>
    <t>No interaction with fans.  AMQ regularly posts featured posts taking up the whole timeline, mostly about the collections, especially AW12.  They regularly post pictures of magazine covers and celebrity appearences in Alexander Mcqueen.</t>
  </si>
  <si>
    <t>Links to Brand/3rd Party Site - Generic</t>
  </si>
  <si>
    <t>Brand regularly links to currated product pages on it's e-commerce site (i.e. a specific look, the handbags page, etc.) but does not to specific product pages.</t>
  </si>
  <si>
    <t>http://www.facebook.com/AlfredDunhill</t>
  </si>
  <si>
    <t>Comments on almost all user posts, even liking the less-substantive ones.  Responds with comments or recommendations, including detailed answers, to questions from fans.  Shares a lot of photos from ad campaigns with questions like "How do you wear your blazer?" or "What is your wardrobe staple?"  The Trafalgar event and a fashion show event they held in a pub were particularly highlighted.</t>
  </si>
  <si>
    <t>Links to Brand/3rd Party Site - Specific</t>
  </si>
  <si>
    <t>The facebook page features pictures of a lot of products, especially high quality studio pictures, but doesn't always put links up to buy something.  The page seems as focused on brand image and customer service as driving sales to their website.</t>
  </si>
  <si>
    <t>http://www.facebook.com/BadgleyMischka</t>
  </si>
  <si>
    <t>Plenty of opportunities to engage, none of them taken.  Email signup tab.</t>
  </si>
  <si>
    <t>About link to website (no ecommerce). Pictures of products link to pinterest page.  Some products link to Neiman Marcus site.</t>
  </si>
  <si>
    <t>BALENCIAGA</t>
  </si>
  <si>
    <t>http://www.facebook.com/Balenciaga</t>
  </si>
  <si>
    <t>No interaction, posts campaigns, some pictures from the archives, an announcement about their live-stream for the FW12 show, and a couple of photos from the Cannes, Prometheus and Dark Knight Rises red carpets.  Not overly interesting.</t>
  </si>
  <si>
    <t>Links to product pages on websites, but also includes the general link in the info for the picture.  Products being linked to are bags and shoes only, mostly bags.</t>
  </si>
  <si>
    <t>http://www.facebook.com/Bally</t>
  </si>
  <si>
    <t>No interaction.  Bally's posts are varied, from product photos with ecommerce links to fashion show information to news about it's new twitter and pinterest accounts.  Bally posts a lot of featured posts.  Bally has a tab for "downloads" where you can get bally backgrounds and other things for your computer, based on their vintage advertisements, if you like them on facebook.</t>
  </si>
  <si>
    <t>Just started running a contest sweeps on Pinterest, with publicity through Facebook.  The campaign is called "What's in your suitcase", and solicits ugc on Pinterest.</t>
  </si>
  <si>
    <t>http://www.facebook.com/belstaff</t>
  </si>
  <si>
    <t>No interaction.  Posts focus on product campaigns and brand history/image/heritage, and Belstff in the press.  Many uploads from the archives that are integrated with the timeline to create an image of brand history and development.  One tab is an instagram viewing app, which shows photos from the instagram that include pictures of the Diamond Jubilee and of photoshoots.  A new tab, called Belstaff House, features brand essays and lifestyle pieces, just launched.</t>
  </si>
  <si>
    <t>No links to commerce.  Belstaff does not have a website or e-commerce, and the link sends to a placeholder photo saying "relaunching in fall 2012".</t>
  </si>
  <si>
    <t>http://www.facebook.com/bottegaveneta</t>
  </si>
  <si>
    <t>No interaction.  Posts feature campaigns, products in full-timeline pictures, and celebrities on red carpets with Bottega Veneta things.  Good integration around their "New Exposures" campaign with Vogue, featured in several posts and a tab, with videos of the campaign and bios of the finalists.  Interesting "Travel Well" tab, but it only features their video "Viaggio Notturno", which is good but not worth the tab.</t>
  </si>
  <si>
    <t>Pictures of products feature links to collection pages (handbags, men's shoes, etc.). Most photos are of entire collections, so this makes sense for their photography approach.</t>
  </si>
  <si>
    <t>http://www.facebook.com/Burberry</t>
  </si>
  <si>
    <t xml:space="preserve">Featured posts of London, product posts, campaigns/ads, Prorsum show highlights.  Features bands that Burberry promotes for lifestyle building (even more so in the Burberry Acoustic tab).  Features founding and important points in history throughout timeline. </t>
  </si>
  <si>
    <t>Linkns to relevant product pages in online store (i.e. clutches, umbrellas, etc.).</t>
  </si>
  <si>
    <t>http://www.facebook.com/CalvinKlein</t>
  </si>
  <si>
    <t>Responded once or twice to negative customer service posts.  Posts are mostly campaign/magazine photos or product photos.  "World of Calvin Klein" tab has twitter, youtube widgets and bios of the creative directors, info on beauty and latest products.</t>
  </si>
  <si>
    <t>Links to products or relevant pages.  Sweepstakes to win $1000 for a new fall wardrobe.</t>
  </si>
  <si>
    <t>http://www.facebook.com/OfficialCatherineMalandrino</t>
  </si>
  <si>
    <t>No interaction.  Posts are either product photos and the occasional celebrity-wearing-CM, or random photos from CM's daily life, almost more fitting for an instagram or twitter account.</t>
  </si>
  <si>
    <t>Links to specific product pages on website.</t>
  </si>
  <si>
    <t>CHANEL</t>
  </si>
  <si>
    <t>http://www.facebook.com/chanel</t>
  </si>
  <si>
    <t>No interaction.  Posts from all over the Chanel universe- promo videos about COCO Mademoiselle, Little Black Dress tour videos and locations, couture show videos, Karl Lagerfeld interview and behind the scenes photos, etc.  Love Letters tab features writing letters and sharing emoticons based on Chanel Beauty's new advertising campaign that draws faces with the cases.  Chromatic app shows watch collection.  No19 Poudre is all about the new fragrance, including an interview with the designer.  House Rules tab shows rules for engaging in the Chanel FB, but no engagement is allowed, so I'm not sure why it's there.</t>
  </si>
  <si>
    <t>No photos of products.  Link to Chanel.com, where you can purchase beauty and fragrance products.</t>
  </si>
  <si>
    <t>ChloÃ©</t>
  </si>
  <si>
    <t>http://www.facebook.com/chloe.fashion.bags.perfume</t>
  </si>
  <si>
    <t>Has interaction.  Mostly product/runway photos and campaigns.  Chloe has a photo contest for France Germany and the UK for Eau de Chloe.  Links to catalogue but not e-ccommerce.</t>
  </si>
  <si>
    <t>Responds to questions by customers, good customer service, no commerce but will direct in comments to relevant commerce locations (i.e. a specific authorized online retailer in Nigeria or a close boutique.)</t>
  </si>
  <si>
    <t>Dior</t>
  </si>
  <si>
    <t>http://www.facebook.com/Dior</t>
  </si>
  <si>
    <t>No interaction.  Most posts are photos from campaigns and celebrities wearing dior.  Many pormotions for DiorMag, as well.</t>
  </si>
  <si>
    <t>No commerce, little to no information on products.</t>
  </si>
  <si>
    <t>http://www.facebook.com/christianlouboutin</t>
  </si>
  <si>
    <t>Mostly posts product photos, many uploaded from instagram with links to the instagram viewer.  Louboutin allows fans to post, but does not answer them, even when they are questions about product care or where to buy certain products.  There is no editing of brand posts, and the brand posts are being spammed by some Christian conversion page.</t>
  </si>
  <si>
    <t>No commerce.</t>
  </si>
  <si>
    <t>http://www.facebook.com/Coach</t>
  </si>
  <si>
    <t>Promoting new pinterest board and sales, features celebrities wearing the product, and posts pictures with details about specific bags/collections/limited editions very frequently.  Brand responds to user posts, but only to the negative reviews/problems.  DATE 2- new custom tab for their color tag campaign.</t>
  </si>
  <si>
    <t>Links to specific product lines.</t>
  </si>
  <si>
    <t>http://www.facebook.com/colehaan</t>
  </si>
  <si>
    <t>Regularly features people in their photos, many of which look like they're from instagram.  Tabs feature twitter and instagram widgets.  Pictures include campaigns and features from magazines.  Brand responds to some but not all of the customer-service posts on it's wall.  They responded to a good review and a bad review of their customer service process, but ignored a question on where to buy a product in Taiwan.  Some product links are to blogger reviews or features and not to colehaan.com</t>
  </si>
  <si>
    <t>Links to product line pages but not to specific product pages.</t>
  </si>
  <si>
    <t>DVF - Diane von Furstenberg</t>
  </si>
  <si>
    <t>http://www.facebook.com/dvf</t>
  </si>
  <si>
    <t>Regularly post about product campaigns or celebrities wearing products, and then link to the specific product page (see the Duchess of Cambridge with clutch), or to a line's page (see wrap dress post).  Allows others to post, but there are no posts by others (were they removed?), but regularly responds to comments by fans on DVF's own posts.</t>
  </si>
  <si>
    <t>Links to specific products featured in posts from celebrity looks, as well as general pages from DVF posts about new lines.</t>
  </si>
  <si>
    <t>http://www.facebook.com/DolceGabbana</t>
  </si>
  <si>
    <t>Posts mainly relate to campaigns, some posts about celebrities wearing Dolce and Gabbana.  No interaction- allows fans to posts but it looks like they remove any posts, and they don't respond to any of their posts.</t>
  </si>
  <si>
    <t>Links either link to a blog or to the Dolce and Gabbana homepage, not to specific product or line pages (even when post highlights a specific product).  Features Olympic product line.</t>
  </si>
  <si>
    <t>DKNY</t>
  </si>
  <si>
    <t>http://www.facebook.com/DKNY</t>
  </si>
  <si>
    <t>Responds to questions, although has not had any questions to respond to in over a month.  Posts are mainly about DKNY Campaigns, new products, and occasionally celebrities wearing DKNY. Nothing overly interesting.</t>
  </si>
  <si>
    <t>Links to products featured in posts.  Some links go to general site but most go to a line's page.</t>
  </si>
  <si>
    <t>EMILIO PUCCI - The official page</t>
  </si>
  <si>
    <t>http://www.facebook.com/181745850266</t>
  </si>
  <si>
    <t>Posts are mostly about celebrities wearing Pucci, Pucci in magazines/in the news, and about campaigns.  No interaction, and only one brand response was found.  World of Pucci tab gives updates on social media handles and allows email sign up.</t>
  </si>
  <si>
    <t>Zegna</t>
  </si>
  <si>
    <t>http://www.facebook.com/ErmenegildoZegna</t>
  </si>
  <si>
    <t xml:space="preserve">First observation- advertizing for their app in their cover photo.  No responses on posts by users, no comments on posts.  Very few Zegna posts- only go back to July 2, 2012.  The few posts that are there relate to campaigns, runway shows, and magazine covers.  </t>
  </si>
  <si>
    <t>ESCADA</t>
  </si>
  <si>
    <t>http://www.facebook.com/ESCADA</t>
  </si>
  <si>
    <t>Don't allow posts but respond to questions in comments.  Custom tabs include a tab for the fashion show video, an app to explore the fragrance collection, and a tab for "especially escada" game, which looks cool but only links to the Escada fragrance website.  Posts are mostly behind-the-scenes or product photos. No posts before July 5, 2012.</t>
  </si>
  <si>
    <t>Shows results of a contest but nothing to do with running the contest.  Escada doesn't have e-commerce.  Links to escada site.</t>
  </si>
  <si>
    <t>http://www.facebook.com/Fendi</t>
  </si>
  <si>
    <t>Tabs for Fendi Japan, The Whispered (Fendi x Maseratti), "Fashion Forward" (the most recent show), Fendi Eyewear.  Posts about Baguettemania (Baguette aneversary campaign), celebrities wearing Fendi, campaigns for fragrances.</t>
  </si>
  <si>
    <t>ARMANI</t>
  </si>
  <si>
    <t>http://www.facebook.com/ARMANI</t>
  </si>
  <si>
    <t>promoting #ArmaniTweetTalks and #FRAMESOFLIFE, posts videos of and updates on runway shows,pictures of models on the runway and back stage, and editorials for specific collections</t>
  </si>
  <si>
    <t>No links to e-commerce.  Link to armani.com in about.</t>
  </si>
  <si>
    <t>http://www.facebook.com/Givenchy</t>
  </si>
  <si>
    <t>Occasionally responds to questions, mostly shortly and sporadically.  Mostly product, runway, and red carpet photos.  Not particularly interesting.  No custom tabs.</t>
  </si>
  <si>
    <t>http://www.facebook.com/GUCCI</t>
  </si>
  <si>
    <t>Gucci Heritage tab allows you to sign up for exclusive emails, vote for your favorite classic bags, and see Gucci history pieces. The Timepieces and Jewelry tab shows an artisan video, allows voting for favorites, and email signup.  The Art &amp; Film tab shows celebrities dressed in Gucci and highlights the Gucci Tribeca Documentary Fund.  Posts are mostly celebrities, campaign photos, or product photos.  Two posts highlighted live streams of fashion shows, one in Milan and one in Shanghai.</t>
  </si>
  <si>
    <t>Links to specific products and curated lists of products on gucci.com.</t>
  </si>
  <si>
    <t>http://www.facebook.com/hermes</t>
  </si>
  <si>
    <t>All about lifestyle: videos of artisans at work, campaigns, wallpapers, and random art pieces for Hermes.  Custom tab about time pieces, a general connection to social media tab, and one called "Les Mains d'Hermes" linking to a new documentary on their website.  Also includes random art in Hermes' distinct style that is available for download as a wallpaper.</t>
  </si>
  <si>
    <t>Links to Hermes.com (not any specific part- sends to the very first page asking you to select the shop or the world of Hermes page).</t>
  </si>
  <si>
    <t>HUGO BOSS</t>
  </si>
  <si>
    <t>http://www.facebook.com/hugoboss</t>
  </si>
  <si>
    <t>"style sharper" tab lets you create a pair of sunglasses and share it (no commerce). Tab with link to fashion show/soundtrack download. "Jobs" tab.  boss teams tab. "Hugo Boss Talk" tab with links to social media, interviews with employees in the creation process.  Posts from instagram, shows, Formula 1 sponsored driver, products.  "Repin and win" sweepstakes.</t>
  </si>
  <si>
    <t>"lucky time" winners, free download of show soundtrack, some links to e-commerce but not many.</t>
  </si>
  <si>
    <t>JIMMY CHOO</t>
  </si>
  <si>
    <t>http://www.facebook.com/JimmyChoo</t>
  </si>
  <si>
    <t>Used timeline feature to show when they started using Pinterest and Instagram.  Uploaded a special video for 1m likes.  Special tab for stylemakers competition.  Good integration with new products on their online shop.  Holiday pictures for New Year, Chinese New Year, Valentines Day, July 4.  No interaction, all fan posts must have been removed even though the feature is still enabled.</t>
  </si>
  <si>
    <t>Links to jimmychoo.com section for specific product groups (i.e. boots, strappy-sandals, mens trainers).  Using a promoted post to highlight their newsletter.</t>
  </si>
  <si>
    <t>http://www.facebook.com/JohnVarvatos</t>
  </si>
  <si>
    <t>Pinterest, instagram tabs with apps showing those sites.  Posts are almost entirely photos and many focus on music.  None are overly interesting.  No interaction- the feature is enabled but there are no fan posts and no responses.</t>
  </si>
  <si>
    <t>Links to general JV site but not specific products (even when pictures are of specific products).  Ran one give-away in recent posts for tickets for a band's show.</t>
  </si>
  <si>
    <t>Kate Spade New York</t>
  </si>
  <si>
    <t>http://www.facebook.com/katespade</t>
  </si>
  <si>
    <t>"What do you think?" tab for product reviews.  "Ownership" tab lets you buy Kate Spade stock directly from them with no fees.  "Join our team" tab posts job openings.  "around the world" tab links to FB pages for New York, Hong Kong, Brazil, Japan, and Thailand.  "world of kate spade" tab shows updates from Twitter, Tumblr, and Youtube feeds.  Posts focus on products but also include sales, happy weekend greetings, and lifestyle posts from their blog.  Brand responds to posts occasionally, but not within the last two weeks.</t>
  </si>
  <si>
    <t>Links to specific products on site.  Has regular sale notes or coupons for in-store.</t>
  </si>
  <si>
    <t>http://www.facebook.com/Lacoste</t>
  </si>
  <si>
    <t>Promoting across facebook pages (special for the masters sending to lacoste golf). Tab with ilnk to other social media.  Tab makes profile pictures, wallpapers, and screensavers.</t>
  </si>
  <si>
    <t>Links to generic e-commerce site.</t>
  </si>
  <si>
    <t>http://www.facebook.com/Lancel</t>
  </si>
  <si>
    <t>Product images, louvre store opening, Father's day photos, Shanghai store opening.  Posts are almost entirely in French.  Lancel posted a warning about fake sites.</t>
  </si>
  <si>
    <t>Links to Lancel site, but Lancel does not enable ecommerce.</t>
  </si>
  <si>
    <t>LANVIN</t>
  </si>
  <si>
    <t>http://www.facebook.com/LANVINofficial</t>
  </si>
  <si>
    <t>"Lanvin Today" tab links to interesting parts of Lanvin's website.  "Lanvin Welcome" tab is virtually the same.  Posts are of red carpet, collections, and parties.  Includes founding in 1889 in the timeline.  Featured Lanvin's new platform launch celebrating the creative director's 10 year anniversary with Lanvin in a big post.</t>
  </si>
  <si>
    <t>Links to home page of e-commerce site in posts.</t>
  </si>
  <si>
    <t>http://www.facebook.com/longchamp</t>
  </si>
  <si>
    <t>Tab for "My Le Pilage" to create your own customized le pilage bag sounds interesting but doesn't work.  Also includes tab for "Oh! my bag", their new quirky ad campaign.  Posts are mostly product pictures from their website or celebrities wearing longchamp products, also include their new ad campaign.  Featured a rainbow bag for gay pride season.  Feature founding in 1948 on timeline.</t>
  </si>
  <si>
    <t>Many, many product photos but no links to Longchamp's e-commerce enabled site.</t>
  </si>
  <si>
    <t>http://www.facebook.com/LouisVuitton</t>
  </si>
  <si>
    <t>"Core Values" tab features video about journeys, "Island Maison" tab features interactive content on their new store in Marina Bay, Singapore, and "Etoile Maison" features interactive content on their new store in Rome (both flagships.  Cover photo features their Shanghai maison opening and the publicity train trip the photographers took from Paris to Shanghai.  Posts are of campaigns, blog posts, store openings and events, and special collections but do not feature specific products (unless they're part of a collaboration).</t>
  </si>
  <si>
    <t>Link to LV's site in about but no specific products because no specific products are featured in the posts.</t>
  </si>
  <si>
    <t>Manolo Blahnik</t>
  </si>
  <si>
    <t>http://www.facebook.com/12426871921</t>
  </si>
  <si>
    <t xml:space="preserve">Some product photos.  Some photos of celebrities wearing Manolo Blahnik shoes posted by fans.  No cover photo, no social media integration. </t>
  </si>
  <si>
    <t>Link in about to Manolo Blahnik site but not visible from home page.  No commerce.</t>
  </si>
  <si>
    <t/>
  </si>
  <si>
    <t>Marc Jacobs Intl</t>
  </si>
  <si>
    <t>http://www.facebook.com/marcjacobsintl</t>
  </si>
  <si>
    <t>Tabs for youtube and instagram.  There's a store locator tab that will find stores in/around your zip code.  Posts range from producr photos, runway photos, behind the scenes pictures, and news on Marc Jacobs (the person). Brand responds rarely.  One tab also includes a list of charitable projects supported by Marc Jacobs.</t>
  </si>
  <si>
    <t>Occasional product with link to relevant page on marcjacobs.com</t>
  </si>
  <si>
    <t>http://www.facebook.com/maxmara</t>
  </si>
  <si>
    <t>Posts are mostly of products and campaigns or celebrities/magazines. Brand responds to fan questions very rarely.  There is a tab for "Max Mara's 60 Years of Italian Fashion Sweepstakes" but it has ended and no longer works. app called "The Cube" looks interesting but won't load.</t>
  </si>
  <si>
    <t>http://www.facebook.com/michaelkors</t>
  </si>
  <si>
    <t>Has tabs with widgets for Destination Kors (blog), and a thank you for 1m likes, as well as a casting call for MK's upcoming store opening in Taipei.  Posts are mostly campaigns and pictures of Michael Kors himself backstage.  Many posts are in 1st person.</t>
  </si>
  <si>
    <t>Links to specific product pages when relevant. Promoting YouTube/Twitter contest for someone to perform at Fashoin's Night Out (#mkfno #korskaraoke).</t>
  </si>
  <si>
    <t>http://www.facebook.com/missoni</t>
  </si>
  <si>
    <t>Posts every few days; mostly photos of celebrity/press coverage.</t>
  </si>
  <si>
    <t>No fcommerce and main site has no ecommerce.</t>
  </si>
  <si>
    <t>MULBERRY</t>
  </si>
  <si>
    <t>http://www.facebook.com/Mulberry</t>
  </si>
  <si>
    <t>Mostly products and campaign photos with some instagram photos.  Two posts feature their campaign video for fall, one posts promotes their new pinterest.  Featured Valentines Day and Chinese New Year posts.  One tab features a signup for their email list.</t>
  </si>
  <si>
    <t>Links to specific product pages.</t>
  </si>
  <si>
    <t>http://www.facebook.com/oscardelarenta</t>
  </si>
  <si>
    <t>Posts about jewelry give-away, George &amp; Ruby, a new blog for their childrens line, product posts and behind the scenes from shows.  Tabs for Bauble Book, Esprit D'Oscar, and Live in Love (with email signup and facebook comment stream).</t>
  </si>
  <si>
    <t>Partial F-commerce</t>
  </si>
  <si>
    <t>Links to products occasionally, tab to shop "the bauble book" in-app (checkkout in facebook), only for the one product.</t>
  </si>
  <si>
    <t>http://www.facebook.com/paulsmithdesign</t>
  </si>
  <si>
    <t>Several posts promoting Olympics and events in London.  Auction for Paul Smith's Crown designed for Harrods' window display for the Jubilee- all proceeds to charity.  Post features Instagram feed.  Otherh posts feature shows and art events in London.  Features founding in timeline.  "Paul Smith World" features sales, email signup, blog, shoes, collabs, jeans, and exhibitions.  Posts occasionally feature musicians Paul Smith likes.</t>
  </si>
  <si>
    <t>Links to product pages where relevant (not frequent).</t>
  </si>
  <si>
    <t>http://www.facebook.com/Prada</t>
  </si>
  <si>
    <t>Posts mostly photos promoting shows, campaigns, and sailing sponsorships.  several posts promoting "A Therapy", a prada film with Helena Bonham Carter and Ben Kingsley by Roman Polanski.  Tabs feature app with photos of Prada phone, video promoting Prada Candy, menswear show, and link to 24 hour museum.</t>
  </si>
  <si>
    <t>Link to prada.com in about.  No commerce.</t>
  </si>
  <si>
    <t>http://www.facebook.com/RalphLauren</t>
  </si>
  <si>
    <t>Allows posts by others but there are none.  Posts about team USA, including a promotion to send a message to your team members.  Other posts feature products, campaigns, and sponsored sports events.  "Ralph Lauren Rally" app sends messages to US Olympics team.</t>
  </si>
  <si>
    <t>Links to line pages on RL website.</t>
  </si>
  <si>
    <t>http://www.facebook.com/RobertoCavalli</t>
  </si>
  <si>
    <t>Post highlighting the auction of Cavalli's crown for Harrods' window display for the Diamond Jubilee.  "Store" tab has an email sign-up and a link to the men's and women's online stores.  "Celebrities Hall" tab has pictures in albums by Red Carpet, Celebrities Style, Roberto Cavalli Events, and Roberto Cavalli with....  The Glam Gallery tab is coming soon, and say sit will offer exclusives on dresses for the red carpet.  Posts feature dresses, Home collection, Men's collection, and perfume collection.</t>
  </si>
  <si>
    <t>Links specifically to Fragrance, only once. As of round 2, now links to new ecommerce store. Promotes it by asking fans to upload prints in order to get 20% off the new collection for the new Just Cavalli online store.</t>
  </si>
  <si>
    <t>http://www.facebook.com/SalvatoreFerragamo</t>
  </si>
  <si>
    <t>No custom tabs.  Post highlighting the Ferragamo's designs for the San Marino Olympic team.  Also features several posts for an event and a tribute to Marilyn Monroe.  Featured posts with links to watch live shows.</t>
  </si>
  <si>
    <t>No commerce.  Link to ferragamo.com</t>
  </si>
  <si>
    <t>http://www.facebook.com/sergiorossi.official</t>
  </si>
  <si>
    <t>Posts daily except weekends usually of celebrity/press coverage, products, interviews with the Creative Director; original content's usually photos, sometimes video.</t>
  </si>
  <si>
    <t>Links to specific product pages</t>
  </si>
  <si>
    <t>http://www.facebook.com/stellamccartney</t>
  </si>
  <si>
    <t>Comments on user posts and questions, although not in the last month.  Using custom posts.  Regularly posts about celebrities, behind the scenes, and features on what Stella is doing.  Custom tab features info about the new fragrance.</t>
  </si>
  <si>
    <t>Advertises sales in featured posts.</t>
  </si>
  <si>
    <t>http://www.facebook.com/stuart.weitzman</t>
  </si>
  <si>
    <t>No custom tabs. Many posts are posted from instagram, others are product photos.  Featuring stories about shoe closets/storage in line with their "a little obsessed with shoes" tagline.  Brand responds to questions and customer service issues posted by fans/customers.</t>
  </si>
  <si>
    <t>Links to specific lists, i.e. color-block heels, or bags.</t>
  </si>
  <si>
    <t>http://www.facebook.com/TedBaker</t>
  </si>
  <si>
    <t>Custom tabs for instagram, twitter, and youtube widgets.  Responds regularly and immediately to questions/customer service issues posted by fans.  Posts about events, store openings, products and sales.</t>
  </si>
  <si>
    <t>Responds promptly and thoroughly to posts by fans.</t>
  </si>
  <si>
    <t>http://www.facebook.com/theory</t>
  </si>
  <si>
    <t>Featured post about new pinterest account.  Featuring celebrities in Theory clothes, posts about end of season sales.  Special featured post of a shoot with Bloomingdales.  Custom tabs for instagram widget and collab with Theyskens.  Promotion of private shopping night with Ellen's Run.</t>
  </si>
  <si>
    <t>Links to special collection page on site, not specific products (no specific products featured in posts).</t>
  </si>
  <si>
    <t>http://www.facebook.com/ThomasPink</t>
  </si>
  <si>
    <t>"Enter to Win" tab for a photo competition to win a trip to London.  Youtube channel widget in custom tab.  Store locator app.  Posts about celebrities wearing Thoas Pink, new products and sales, new store opening, and events.  Post for Mother's Day and new twitter handle.  Doesn't allow posts but regularly responds to questions in comment threads.</t>
  </si>
  <si>
    <t>Links to specific products when relevant, sale pages when relevant.</t>
  </si>
  <si>
    <t>http://www.facebook.com/tods</t>
  </si>
  <si>
    <t>Posts about every other day of products, heritage, ad campaign; usually photos but sometimes video.</t>
  </si>
  <si>
    <t>Links to specfic collection pages but uusally to generic main site ecommerce.</t>
  </si>
  <si>
    <t>http://www.facebook.com/tommyhilfiger</t>
  </si>
  <si>
    <t>Product, red carpet, and Tommy at events photos, brand news, and new collection posts.  Replies occasionally but thoroughly.   Several custom tabs with collection photos, looks, Hilfiger Denim concerts, Tommy Girl photos and product sharing.</t>
  </si>
  <si>
    <t>Regularly shows specific products but only links to general site.</t>
  </si>
  <si>
    <t>http://www.facebook.com/toryburch</t>
  </si>
  <si>
    <t>Posts nearly everyday of product photos, Facebook fan exclusive promotions, news, and lifestyle, brand videos.</t>
  </si>
  <si>
    <t>Facebook shop lets fans browse and add products to their cart but checkout needs to be completed on the main site ecommerce page.</t>
  </si>
  <si>
    <t>http://www.facebook.com/valentino</t>
  </si>
  <si>
    <t xml:space="preserve">promoting #MyValentinaNights, posts pictures of runway shows and new designs by collection, posts Youtube ads, and features celebrities wearing the product </t>
  </si>
  <si>
    <t>some links do not work, but the ones that do sometimes redirect to the collection and sometimes to specific product (perfume). Valentina Nights Instagram contest cross promoted on Facebook and encouraging fan participation.</t>
  </si>
  <si>
    <t>Official Versace</t>
  </si>
  <si>
    <t>http://www.facebook.com/versace</t>
  </si>
  <si>
    <t>No custom tabs.  Promotion for new pinterest page.  Link to live feed of men's fashion show.  Posts mostly feature magazine/celebrity appearances and photos from the runway.</t>
  </si>
  <si>
    <t>Link to home collection e-commerce enabled shop in About. Otherwise Versace does not have e-commerce.</t>
  </si>
  <si>
    <t>http://www.facebook.com/203975576014</t>
  </si>
  <si>
    <t>Posts every few days with photos of campaigns/events/interviews/press hits, and videos of runway shows/behind-the-scenes; some use of featured posts.</t>
  </si>
  <si>
    <t>Links to main (generic) site for ecommerce.</t>
  </si>
  <si>
    <t>http://www.facebook.com/ysl</t>
  </si>
  <si>
    <t>Posts only include three b/w pictures of the house for their couture show and a picture of their box with the new name.</t>
  </si>
  <si>
    <t>link in about to ysl online shop.</t>
  </si>
  <si>
    <t>http://www.facebook.com/officialzacposen</t>
  </si>
  <si>
    <t>Many posts from instagram and product photos.  Status updates are mostly from twitter.  No interaction.  Custom tab for most recent show.</t>
  </si>
  <si>
    <t>http://www.facebook.com/DEREKLAM</t>
  </si>
  <si>
    <t>Photos from events, collections, instagram,celebrities, and magazines.  Email list signup tab.</t>
  </si>
  <si>
    <t>No commerce but links to Constant Contact email marketing which links to site for ecommerce and also to site.</t>
  </si>
  <si>
    <t>http://www.facebook.com/vineyardvines</t>
  </si>
  <si>
    <t xml:space="preserve">Brand thanks fans for suggestions, answers questions and likes posts to the wall, including uploaded photos. </t>
  </si>
  <si>
    <t>Study Brand::Study</t>
  </si>
  <si>
    <t>Geo_Local: Hierarchy</t>
  </si>
  <si>
    <t>Geo_Local: Foursquare Account? _Y_N_</t>
  </si>
  <si>
    <t>Geo_Local: Foursquare Person_Page? _Person_Page_</t>
  </si>
  <si>
    <t>Geo_Local: Foursquare Account URL</t>
  </si>
  <si>
    <t>Collection Date</t>
  </si>
  <si>
    <t>Geo_Local: Foursquare Account Likes</t>
  </si>
  <si>
    <t>Likes Score (0.5)</t>
  </si>
  <si>
    <t>Geo_Local: Total Number Of Tips</t>
  </si>
  <si>
    <t>Tips Score (0.5)</t>
  </si>
  <si>
    <t>Geo_Local: Last Active Tip?_date</t>
  </si>
  <si>
    <t>Geo_Local: Observations</t>
  </si>
  <si>
    <t>Geo_Local: Foursquare Presence in NYC? _Y_N_</t>
  </si>
  <si>
    <t>Geo_Local: # NYC Fourquare Locations Counted</t>
  </si>
  <si>
    <t>Geo_Local # NYC Specials</t>
  </si>
  <si>
    <t>Geo_Local: # NYC Foursquare Check ins</t>
  </si>
  <si>
    <t>Geo_Local: Avg # NYC Foursquare check ins per location</t>
  </si>
  <si>
    <t>Checkins Score (0.5)</t>
  </si>
  <si>
    <t>Geo_Local: # NYC Foursquare Tips</t>
  </si>
  <si>
    <t>Tips per Location</t>
  </si>
  <si>
    <t>Geo_Local: Foursquare NYC SUBscore _0_2_</t>
  </si>
  <si>
    <t>Person</t>
  </si>
  <si>
    <t>https://foursquare.com/user/16950773</t>
  </si>
  <si>
    <t>not used yet</t>
  </si>
  <si>
    <t>Page</t>
  </si>
  <si>
    <t>https://foursquare.com/balenciaga</t>
  </si>
  <si>
    <t>No tips</t>
  </si>
  <si>
    <t>https://foursquare.com/burberry</t>
  </si>
  <si>
    <t>one tip from London</t>
  </si>
  <si>
    <t>https://foursquare.com/user/3267172</t>
  </si>
  <si>
    <t>https://foursquare.com/chanel</t>
  </si>
  <si>
    <t>https://foursquare.com/coach</t>
  </si>
  <si>
    <t>https://foursquare.com/colehaaninsider</t>
  </si>
  <si>
    <t>https://foursquare.com/user/2539031</t>
  </si>
  <si>
    <t>unused</t>
  </si>
  <si>
    <t>https://foursquare.com/dolcegabbana</t>
  </si>
  <si>
    <t>Many updates from restaurants</t>
  </si>
  <si>
    <t>https://foursquare.com/p/escada-americas/16834787</t>
  </si>
  <si>
    <t>Lengthy about blurb</t>
  </si>
  <si>
    <t>https://foursquare.com/armaniexchange</t>
  </si>
  <si>
    <t>links to social and website</t>
  </si>
  <si>
    <t>https://foursquare.com/gucci</t>
  </si>
  <si>
    <t>All in English, some updates on shows, museum opening, new flagship store opening.</t>
  </si>
  <si>
    <t>https://foursquare.com/hugoboss</t>
  </si>
  <si>
    <t>Updates from night clubs, restaurants, cafes, bars, and sometimes product promotions at stores.</t>
  </si>
  <si>
    <t>https://foursquare.com/p/kate-spade-new-york/12448905</t>
  </si>
  <si>
    <t>not used</t>
  </si>
  <si>
    <t>https://foursquare.com/lacoste</t>
  </si>
  <si>
    <t>Not updated in a year.  Updates from all over, not related to stores.</t>
  </si>
  <si>
    <t>https://foursquare.com/louisvuitton</t>
  </si>
  <si>
    <t>Posts in many languages, is very active,tips are relevant to City Guides.</t>
  </si>
  <si>
    <t>https://foursquare.com/marcjacobs</t>
  </si>
  <si>
    <t>8/6/12</t>
  </si>
  <si>
    <t>Not updated in over a year, features blurbs from Marc Jacobs' travels</t>
  </si>
  <si>
    <t>https://foursquare.com/p/michael-kors/20499330</t>
  </si>
  <si>
    <t>https://foursquare.com/odlr4sq</t>
  </si>
  <si>
    <t>Links to social, all tips made in same week all over the country and Madrid.</t>
  </si>
  <si>
    <t>https://foursquare.com/stellamccartney</t>
  </si>
  <si>
    <t>promotion about new fragrance, pop-up store in LA, new store opening in Dallas, collab with Swarovski.</t>
  </si>
  <si>
    <t>https://foursquare.com/theory__</t>
  </si>
  <si>
    <t>Mostly about restaurants.</t>
  </si>
  <si>
    <t>https://foursquare.com/p/tommy-hilfiger/12181326</t>
  </si>
  <si>
    <t>Account Name</t>
  </si>
  <si>
    <t>Presence?</t>
  </si>
  <si>
    <t>Multiple Pages?_Y_N_</t>
  </si>
  <si>
    <t>Does brand maintain separate account for individual properties_regions?_Y_N_</t>
  </si>
  <si>
    <t>Instagram User Name</t>
  </si>
  <si>
    <t>Links to Website _Y_N_</t>
  </si>
  <si>
    <t>Links to Social _Y_N_</t>
  </si>
  <si>
    <t>Photos</t>
  </si>
  <si>
    <t>Followers</t>
  </si>
  <si>
    <t>Following</t>
  </si>
  <si>
    <t>Photos Date 2</t>
  </si>
  <si>
    <t>Followers Date 2</t>
  </si>
  <si>
    <t>Followers Score (1)</t>
  </si>
  <si>
    <t>Following Date 2</t>
  </si>
  <si>
    <t>Photo Growth</t>
  </si>
  <si>
    <t>Photos per Day</t>
  </si>
  <si>
    <t>Photo Post Frequency Score (0-1)</t>
  </si>
  <si>
    <t>Follower Growth Absolute</t>
  </si>
  <si>
    <t>Abs Growth Score (0.5)</t>
  </si>
  <si>
    <t>Follower Growth %</t>
  </si>
  <si>
    <t>% Growth Score (0.5)</t>
  </si>
  <si>
    <t>Content Notes</t>
  </si>
  <si>
    <t>Innovation (0.5)</t>
  </si>
  <si>
    <t>Total Score (0-3.5)</t>
  </si>
  <si>
    <t>Adjusted Instagram Score (0-5)</t>
  </si>
  <si>
    <t>http://www.alexandermcqueen.com</t>
  </si>
  <si>
    <t>worldmcqueen</t>
  </si>
  <si>
    <t>Photos from SS13 Men's presentation in Milan</t>
  </si>
  <si>
    <t>badgleymischka</t>
  </si>
  <si>
    <t>Photos behind the scenes, products, events.</t>
  </si>
  <si>
    <t>http://www.balenciaga.com</t>
  </si>
  <si>
    <t>_balenciaga</t>
  </si>
  <si>
    <t>Product photos.</t>
  </si>
  <si>
    <t>Balenciaga New York</t>
  </si>
  <si>
    <t>balenciaga_newyork</t>
  </si>
  <si>
    <t>Photos of celebrities and product.</t>
  </si>
  <si>
    <t>http://www.bally.com</t>
  </si>
  <si>
    <t>belstaff</t>
  </si>
  <si>
    <t>Out of the archives Friday series; photos of culture, products, company</t>
  </si>
  <si>
    <t>http://www.burberry.com</t>
  </si>
  <si>
    <t>burberry</t>
  </si>
  <si>
    <t>Photos of culture/weather, behind the scenes, ad campaign.</t>
  </si>
  <si>
    <t>Calvin Klein (http://web.stagram.com/n/calvinkleinck/)</t>
  </si>
  <si>
    <t>catherine_malandrino</t>
  </si>
  <si>
    <t>Only one photo of view from her studio.</t>
  </si>
  <si>
    <t>Coco Chanel</t>
  </si>
  <si>
    <t>chanelofficial</t>
  </si>
  <si>
    <t>Photos of behind the scenes/runway.</t>
  </si>
  <si>
    <t>http://www.dior.com</t>
  </si>
  <si>
    <t>http://www.christianlouboutin.com</t>
  </si>
  <si>
    <t>louboutinworld</t>
  </si>
  <si>
    <t>Mostly photos of product.</t>
  </si>
  <si>
    <t>coach</t>
  </si>
  <si>
    <t>Thowback Thursday series, photos of product, culture.</t>
  </si>
  <si>
    <t>colehaan</t>
  </si>
  <si>
    <t>Behind the scenes of ad campaign shoot, photos of product, culture, events.</t>
  </si>
  <si>
    <t>DVF (http://web.stagram.com/n/dvf/)</t>
  </si>
  <si>
    <t>dolcegabbanaofficial</t>
  </si>
  <si>
    <t>Mostly photos of live events.</t>
  </si>
  <si>
    <t>Donna Karan DKNY (http://web.stagram.com/n/donnakarandkny/)</t>
  </si>
  <si>
    <t>Ermenegildo Zenga</t>
  </si>
  <si>
    <t>zegnaofficial</t>
  </si>
  <si>
    <t>Photos of product, celebrities, and camapaigns.</t>
  </si>
  <si>
    <t>*Fendi</t>
  </si>
  <si>
    <t>fendi</t>
  </si>
  <si>
    <t>Photos of product and ad campaign.</t>
  </si>
  <si>
    <t>armani</t>
  </si>
  <si>
    <t>#FRAMESOFLIFE campaign, product/ad/celebrity photos.</t>
  </si>
  <si>
    <t>givenchyofficial</t>
  </si>
  <si>
    <t>Mostly product photos.</t>
  </si>
  <si>
    <t>gucci</t>
  </si>
  <si>
    <t>Photos of product, runway, company news.</t>
  </si>
  <si>
    <t>Hermès Paris</t>
  </si>
  <si>
    <t>hermes_paris</t>
  </si>
  <si>
    <t>Product photos; poor descriptions.</t>
  </si>
  <si>
    <t>http://www.hugoboss.com/</t>
  </si>
  <si>
    <t>hugoboss</t>
  </si>
  <si>
    <t>Pinterest contest, live music festival.</t>
  </si>
  <si>
    <t>jimmy_choo_hq</t>
  </si>
  <si>
    <t>Product photos and event coverage.</t>
  </si>
  <si>
    <t>John Varvatos (http://web.stagram.com/n/johnvarvatos/)</t>
  </si>
  <si>
    <t>katespadeny (http://web.stagram.com/n/katespadeny)</t>
  </si>
  <si>
    <t>Lacoste (http://web.stagram.com/n/lacoste/)</t>
  </si>
  <si>
    <t>lanvinofficial</t>
  </si>
  <si>
    <t>Behind the scenes, events, company news.</t>
  </si>
  <si>
    <t>Longchamp (http://web.stagram.com/n/longchamp_jp/)</t>
  </si>
  <si>
    <t>louisvuittonhq</t>
  </si>
  <si>
    <t>Only 1 photo of Marc Jacobs.</t>
  </si>
  <si>
    <t>manoloblahniknyc</t>
  </si>
  <si>
    <t>marcjacobsintl</t>
  </si>
  <si>
    <t>michaelkors</t>
  </si>
  <si>
    <t>MISSONI</t>
  </si>
  <si>
    <t>missoniofficial</t>
  </si>
  <si>
    <t>mulberry_editor</t>
  </si>
  <si>
    <t>Behind the scenes and event coverage.</t>
  </si>
  <si>
    <t>oscarprgirl (http://web.stagram.com/n/oscarprgirl/)</t>
  </si>
  <si>
    <t>paulsmithdesign</t>
  </si>
  <si>
    <t>Behind the scenes and runway coverage.</t>
  </si>
  <si>
    <t>ralphlaurenexclusive</t>
  </si>
  <si>
    <t>Campaign/product photos</t>
  </si>
  <si>
    <t>Ferragamo Official</t>
  </si>
  <si>
    <t>ferragamoofficial</t>
  </si>
  <si>
    <t>campaign photos, some runway photos, some product photos.</t>
  </si>
  <si>
    <t>stella_mccartney</t>
  </si>
  <si>
    <t>Mostly event coverage.</t>
  </si>
  <si>
    <t>http://www.stuartweitzman.com</t>
  </si>
  <si>
    <t>stuart_weitzman</t>
  </si>
  <si>
    <t>product photos</t>
  </si>
  <si>
    <t>Theory__</t>
  </si>
  <si>
    <t>theory__</t>
  </si>
  <si>
    <t>Store/lifestyle photos</t>
  </si>
  <si>
    <t>http://tommy.com</t>
  </si>
  <si>
    <t>tommyhilfiger</t>
  </si>
  <si>
    <t>In-store and event photos</t>
  </si>
  <si>
    <t>toryburch</t>
  </si>
  <si>
    <t>lifestyle and travel photos from Tory</t>
  </si>
  <si>
    <t>maisonvalentino (http://web.stagram.com/n/maisonvalentino/)</t>
  </si>
  <si>
    <t>versace_official</t>
  </si>
  <si>
    <t>Photos from the collecti/the shows</t>
  </si>
  <si>
    <t>viviennewestwoodofficial</t>
  </si>
  <si>
    <t>Photos from shows and of Vivienne in appearences</t>
  </si>
  <si>
    <t>viviennewestwoodusa</t>
  </si>
  <si>
    <t>Product photos from store</t>
  </si>
  <si>
    <t>YSL</t>
  </si>
  <si>
    <t>yves_saint_laurent</t>
  </si>
  <si>
    <t>Interesting brand photos, not updated in 6mon.</t>
  </si>
  <si>
    <t>zac_posen (http://web.stagram.com/n/zac_posen)</t>
  </si>
  <si>
    <t>dereklamnyc</t>
  </si>
  <si>
    <t>lots of behind the scenes in the studio</t>
  </si>
  <si>
    <t>vineyardvines</t>
  </si>
  <si>
    <t>iOS Functionality: Hierarchy</t>
  </si>
  <si>
    <t>iOS: iPhone _or_ iPad</t>
  </si>
  <si>
    <t>iOS Functionality Custom # 1 _Y_N_</t>
  </si>
  <si>
    <t>Score _0.25_</t>
  </si>
  <si>
    <t>iOS Functionality Custom # 2 _Y_N_</t>
  </si>
  <si>
    <t>_Score _0.25_</t>
  </si>
  <si>
    <t>iOS Functionality Custom # 3 _Y_N_</t>
  </si>
  <si>
    <t>__Score _0.25_</t>
  </si>
  <si>
    <t>iOS Functionality Custom # 4 _Y_N_</t>
  </si>
  <si>
    <t>___Score _0.25_</t>
  </si>
  <si>
    <t>iOS Functionality Score</t>
  </si>
  <si>
    <t>Neither</t>
  </si>
  <si>
    <t>iPhone</t>
  </si>
  <si>
    <t>iPad</t>
  </si>
  <si>
    <t>Sub-complt</t>
  </si>
  <si>
    <t>iPad: Hierarchy</t>
  </si>
  <si>
    <t>iPad: iPad app? _Y_N_</t>
  </si>
  <si>
    <t>iPad: iTunes URL</t>
  </si>
  <si>
    <t>iPad: iPad Score _0_1_</t>
  </si>
  <si>
    <t>iPad: Type of App</t>
  </si>
  <si>
    <t>iPad: iPad App Name</t>
  </si>
  <si>
    <t>iPad: iPad App Promoted on Website? _Y_N_</t>
  </si>
  <si>
    <t>iPad: Promotion Score</t>
  </si>
  <si>
    <t>iPad: iPad App Cost</t>
  </si>
  <si>
    <t>iPad: iPad App Description</t>
  </si>
  <si>
    <t>iPad: iPad app e_commerce enabled? _Y_N_</t>
  </si>
  <si>
    <t>iPad: E_Comm Score</t>
  </si>
  <si>
    <t>iPad: iPad App Rating</t>
  </si>
  <si>
    <t>iPad: iPad App Rating Label</t>
  </si>
  <si>
    <t>iPad: iPad # of Ratings</t>
  </si>
  <si>
    <t>iPad: iPad # of Ratings Label</t>
  </si>
  <si>
    <t>iPad: iPad # of Reviews</t>
  </si>
  <si>
    <t>iPad: iPad # of Reviews Label</t>
  </si>
  <si>
    <t>iPad: iPad App Rating SUBscore _0_5_</t>
  </si>
  <si>
    <t>iPad: Multiple iPad apps? _Y_N_</t>
  </si>
  <si>
    <t>Total iPad Score</t>
  </si>
  <si>
    <t>iPad Functionality _and_ Performance Observations</t>
  </si>
  <si>
    <t>Low</t>
  </si>
  <si>
    <t>http://itunes.apple.com/us/app/chanel-j12/id479871318?mt=8</t>
  </si>
  <si>
    <t>Chanel J12 ®</t>
  </si>
  <si>
    <t>Discover the CHANEL J12 application dedicated to the latest models of the collection:
-J12 Chromatic, an exclusive watch in titanium ceramic, with a unique color and brightness.
-J12 Marine, an authentic diving watch.
-J12 Rétrograde Mystérieuse, an Haute Horlogerie time piece with a calibre exclusively designed for CHANEL by Renaud et Papi Manufacture (APRP SA).</t>
  </si>
  <si>
    <t>0</t>
  </si>
  <si>
    <t>Videos and information for the 3 latest models of the J12 collection; not particularly innovative or interesting. Videos take a long time to load.</t>
  </si>
  <si>
    <t>http://itunes.apple.com/us/app/dknyfx/id540936479?mt=8</t>
  </si>
  <si>
    <t>DKNYfx</t>
  </si>
  <si>
    <t>Don't just hover - discover! Bring DKNY to life with DKNYfx. Download and open the DKNYfx app on your iPhone, iPod touch, or iPad, and hover over select DKNY images where you see the DKNYfx logo and bring them to life launching exclusive video content and more, utilizing Aurasma technology.</t>
  </si>
  <si>
    <t>Very innovative and cool but doesn't take the concept as far as Alfred Dunhill.</t>
  </si>
  <si>
    <t>http://itunes.apple.com/us/app/a-x-stylepad-for-ipad/id447877552?mt=8</t>
  </si>
  <si>
    <t>A|X Stylepad for iPad</t>
  </si>
  <si>
    <t>A|X Stylepad - Now updated with the new A|X Armani Exchange Summer 2012 Campaign.
Now you can be a part of the captivating world of A|X. Create your own Armani
Exchange Style Board by selecting a background, adding A|X models, writing
your own message, and even adding your own photo! Share your Style Board
with friends via Facebook, Twitter or Email.
Create new Style Boards with updated backgrounds, model images and colors.
Download Style Boards to your computer.</t>
  </si>
  <si>
    <t>2.5</t>
  </si>
  <si>
    <t>Create a style board with the app loaded with ad campaign images; not all that interesting or fun. Seems to crash at times.</t>
  </si>
  <si>
    <t>http://itunes.apple.com/us/app/gucci-style/id334876990?mt=8</t>
  </si>
  <si>
    <t>GUCCI STYLE</t>
  </si>
  <si>
    <t>SUMMER 2012 ISSUE
Long summer days. Endless summer fashion. The new issue of GUCCI STYLE, the cutting-edge magazine for the iPhone and the iPad from Gucci, is available. From what to wear to the beach to what’s happening on the red carpet in Cannes to how to spend your vacation, this issue is all about high summer style.
GUCCI STYLE delivers Italian chic with just one click. Video-rich content means a slightly longer download time, but we promise, it’ll be worth the wait.
In This Issue You’ll Find:
-The perfect summer accessories for him and her, in our moving image feature filmed on location in the South of France
-Beach-ready swimwear for him and her
-Adorable children’s looks for the young trendsetters in your life
-A sneak peek of Gucci’s participation in this year’s Cannes Film Festival, including an exclusive video, narrated by Martin Scorsese, on Gucci and The Film Foundation’s restoration of Sergio Leone’s Once Upon A Time In America
-Gucci Flora Garden, a new collection of fresh, delicate fragrances for her
-The movie-buff’s travel guide to the French Riviera
-The ultimate summer road trip soundtrack, with songs personally selected by Gucci creative director Frida Giannini
- An interactive interview you control with Chinese actress and new Gucci ambassador, Li Bing Bing
-The new GUCCI STYLE archive. Now curate content from past issues
-Gucci’s Facebook, Tumblr and Twitter feeds all in one place
-Streaming of the Men’s SS 2013 fashion show live from Milan as well as VOD of past runway shows
Read, shop and share anytime, any place.
DOWNLOAD OUR MAGAZINE APP NOW</t>
  </si>
  <si>
    <t>High</t>
  </si>
  <si>
    <t>http://itunes.apple.com/us/app/lacoste-l!ve-us/id435479920?mt=8</t>
  </si>
  <si>
    <t>Lacoste L!VE US</t>
  </si>
  <si>
    <t>Experience Lacoste L!VE on your i-PAD.
Discover Lacoste L!VE.
A new collection, a new state of mind, a new way to be in tune with today's energy and vibes.
The Lacoste L!VE application, essential for both night or day. To adopt without moderation.
Join the Lacoste L!VE party, experience the video interactions and browse through the photo album.
Watch the Making-Of video of the campaign, as well as interviews of Mark Hunter, aka the Cobrasnake, and Felipe Oliveira Baptista, Creative Director of Lacoste.
Discover the Lacoste L!VE product collection and head to the Lacoste L!VE online boutique.
Find the Lacoste L!VE Boutique closest to you.
Enjoy the Lacoste L!VE music playlist, exclusive screensavers and an interactive Ping-Pong game.</t>
  </si>
  <si>
    <t>eMagazine with a blend of text and video. Pretty well done for an emag.</t>
  </si>
  <si>
    <t>http://itunes.apple.com/us/app/louis-vuitton-100-legendary/id516001520?mt=8</t>
  </si>
  <si>
    <t>Louis Vuitton 100 Legendary Trunks</t>
  </si>
  <si>
    <t>Embark on an epic journey around the world and discover the secrets behind some of the most exquisite and unique trunks created by Louis Vuitton for explorers, magicians, movie stars, maharajas ….
Adapted from the book Louis Vuitton: 100 Legendary Trunks and packed with videos, sound clips, unpublished texts and documents, this application brings together the finest cases, boxes and other trunks crafted by Louis Vuitton, from 1854 to the present day. These exceptional pieces bear witness as much to the elegant art of travel as to the passionate adventures of their owners.
Louis Vuitton’s luggage creations have been taken aboard mythical trains and transatlantic ocean liners, automobiles and the world’s first airplanes, crossing borders and withstanding the test of time, accompanying adventurers, trend-setters, crowned heads of state, artists and pleasure-seekers of all kinds, from Savorgnan de Brazza to Sharon Stone, Ernest Hemingway to Queen Elizabeth II, and Jeanne Lanvin to Takashi Murakami.
Take full advantage of the interactive possibilities offered by the iPad and explore:
-A reference content for hours of browsing pleasure
-100 emblematic trunks, each with its own story to tell
-More than 1,000 illustrations and unpublished documents
-40 videos and sound clips
-360-degree views of 10 very special trunks
-Texts available in four languages (French, English, Simplified Chinese and Japanese)
-Six ways to browse the universe of the trunks:
oA chronological presentation of the trunks placed in the context of world history
oA completely immersive and easy-to-use panorama of trunks
oA portrait gallery of famous travelers, past and present
oA random journey of discovery, exploring trunks and incredible places
oA section entirely dedicated to the art and craftsmanship of the trunk-maker
oA treasure trunk showcasing the application’s latest additions as they are released: new multimedia content and unpublished materials
-Social sharing via e-mail, Twitter or Facebook
Due to the size of the application, wireless downloading is required.
Once downloaded, the application may be enjoyed even without an Internet connection.</t>
  </si>
  <si>
    <t>5</t>
  </si>
  <si>
    <t>Adaptation of the book with videos with social sharing capabilities.</t>
  </si>
  <si>
    <t>http://itunes.apple.com/us/app/s-max-mara-for-ipad/id389047000?mt=8</t>
  </si>
  <si>
    <t>'S Max Mara for iPad</t>
  </si>
  <si>
    <t>Can you Decode the Cube?
Discover the ‘S Max Mara Cube, an innovative, functional jacket that does not compromise on luxury and elegance.
In the debut app from Italian luxury fashion brand Max Mara, discover the world of ‘S Max Mara through a Rubik’s Cube-style game .
Through the Cube Lookbook, explore the unique beauty of the ‘S Max Mara Cube, a collection so versatile, there are countless ways to wear it. View the many different coordinating components and discover all of the ways the Cube can be customized.
Download the official ‘S Max Mara app to your iPad or iPhone, and experience the dynamic world of Max Mara.
“Rubiks ® used by kind permission of Seven Towns Limited”. (www.rubiks.com)</t>
  </si>
  <si>
    <t>3</t>
  </si>
  <si>
    <t>Avg</t>
  </si>
  <si>
    <t>Rubiks cube game to unlock looks, cube lookbook, videos (links to YT), and store locator. Not really a long-time use app.</t>
  </si>
  <si>
    <t>http://itunes.apple.com/us/app/mulberry/id403223687?mt=8</t>
  </si>
  <si>
    <t>Mulberry would like to introduce to you our newest tool to help you shop-on-the-go; the sophisticated shopping environment of our app, specifically adapted for both the iPhone and iPad.
The app gives you the ability to shop straight from our seasonal looks and catwalk videos, as well as browse the entire range of Mulberry products from wherever you are. You can also find your way to any of the Mulberry stores with our handy nearest store locator and keep up with all our latest news via the Mulberry blog.
With the Mulberry app you can:
-Browse our complete collection of bags, shoes and ready-to-wear
-Create and share wish lists on the go
-Watch our seasonal videos and shop directly from the lookbook
-Locate your nearest store and find out their details
-Keep up with the latest Mulberry news via the blog
For more handy hints on how to use the app, visit www.mulberry.com/app</t>
  </si>
  <si>
    <t>4</t>
  </si>
  <si>
    <t>Nice shoppable app with other content too.</t>
  </si>
  <si>
    <t>http://itunes.apple.com/us/app/ralph-lauren-rlx/id420949986?mt=8</t>
  </si>
  <si>
    <t>Ralph Lauren RLX</t>
  </si>
  <si>
    <t>RLX introduces the first interactive fashion experience of its kind.
View highlights from the Spring 2011 RLX collection at the convergence of technology, fashion and art with cutting-edge multi-touch functionality, a built-in accelerometer and assisted GPS technology that test the RLX tenets of Luxury, Performance and Technology.
The new RLX iPad application lets you experience the world’s most technologically advanced fabrics and designs in ways never before imagined, using the most technologically advanced tools ever created. Shift your center of gravity to glide through a virtual showroom, exhale to set light-as-air fabric in motion, swipe a fingertip to render vivid color or gently tap to capture perfect form in midair. Agility, power, speed and comfort are played out through a host of experiences, controlled by you, that demonstrate why RLX is the ultimate apparel for modern living.</t>
  </si>
  <si>
    <t>4.5</t>
  </si>
  <si>
    <t>http://itunes.apple.com/us/app/stellas-world/id453072866?mt=8</t>
  </si>
  <si>
    <t>Stella's World</t>
  </si>
  <si>
    <t xml:space="preserve">Welcome to the 2012 edition of Stella's World where you can browse through news, photos, videos and interactive features about Stella McCartney.
Stella's World Support
What's New in Version 1.3
In this new release of Stella’s World, the official iPad app of Stella McCartney, comes a host of exciting new features and content!
New Content:
* Detailed view of Summer, Autumn, Fall 2012 Collections
* Hi-Res images and Video
* Featured content of famed photographer Viviane Sassen
* Stella McCartney for Addidas
* In Store Art
* Stella Kids 2012
New Features:
Brand new interface! All of the beautiful content is displayed as part of an easy to browse mosaic. With new gesture controls, you can quickly zoom in and out of each content section.
Watch exclusive videos of Stella and the 2012 collection.
Swipe left and right to view all of the content within the app.
</t>
  </si>
  <si>
    <t>3.5</t>
  </si>
  <si>
    <t>Photos/video of seasonal collections, ad campaigns. Store locator isn't efficient.</t>
  </si>
  <si>
    <t>http://itunes.apple.com/us/app/th-us-womens/id512054692?mt=8</t>
  </si>
  <si>
    <t>TH US Women's</t>
  </si>
  <si>
    <t>Tommy Hilfiger Fit Guide
Women Twill Guide</t>
  </si>
  <si>
    <t>A number of ways to dress for the spring/summer; really wasn't taken as far as it could've been. Could've easily linked to ecommerce or made shoppable. Also don't see any guides for fit or twill.</t>
  </si>
  <si>
    <t>http://itunes.apple.com/us/app/th-us-mens/id512045078?mt=8</t>
  </si>
  <si>
    <t>TH US Men's</t>
  </si>
  <si>
    <t>Tommy Hilfiger Fit Guide
Men Chinos and Denim Fit Guide</t>
  </si>
  <si>
    <t>Shows different cuts of denim/chinos for a male model. Doesn't act like a real fit guide even though it gives you specs; pretty useless.</t>
  </si>
  <si>
    <t>http://itunes.apple.com/us/app/tory-daily/id531525679?mt=8</t>
  </si>
  <si>
    <t>Tory Daily</t>
  </si>
  <si>
    <t xml:space="preserve">Welcome to Tory Daily. Tory Burch’s first iPad and iPhone app, featuring acclaimed content from the Tory Blog, exclusive products, and mobile shopping — always with free shipping. Push notifications deliver daily curated stories and video on style, culture, travel, entertaining, music and philanthropy from our celebrated contributing editors.
Read More:
DOWNLOAD TORY DAILY FOR:
STYLE
Tips, trends and must-haves from Tory and our contributing stylists, bloggers and editors.
CULTURE
The latest from artists, authors, actors, directors and gallerists.
TRAVEL
Where to stay, eat, shop and go (kids included) from Tory’s City Guides, plus our tastemakers’ getaways.
ENTERTAINING
Décor, menus, recipes and party advice from great hosts, chefs, restaurateurs and our favorite foodies.
MUSIC
Weekly playlists, dispatches from major music fests and news on up-and-coming musicians.
EXPERTS
Our contributors weigh in on finance, philanthropy, entrepreneurship, art, health, humor and how to live the good life.
EXCLUSIVE PRODUCTS
Access to surprise limited-edition items, previews and special products, only for app users.
SHOPPING
Simple, fast and easy.
FREE U.S. SHIPPING — ALWAYS
Every time you shop through Tory Daily, standard shipping is on us.
STORE LOCATOR
Find a Tory Burch Boutique near you, wherever you are.
SPECIAL FEATURES
Techies will love Tory Daily for:
• Customizable Push Notifications: What you want, when you want.
• iCloud Syncing: Favorite stories and videos synced across all devices.
• Dynamic Content: Something new every day.
Tory Daily Support
What's New in Version 1.1
- New home button on iPhone
- Modified date formatting
</t>
  </si>
  <si>
    <t>iPad friendly type of blog content with store locator and embeds ecommerce within to shop.</t>
  </si>
  <si>
    <t>http://itunes.apple.com/us/app/valentino/id390437987?mt=8</t>
  </si>
  <si>
    <t>Experience the Valentino world through the iPad application: Collections, Fashion Shows and more about your favorite brand.
Established in 1960 by Valentino Garavani, is lead and designed today by Maria Grazia Chiuri and Pierpaolo Piccioli.
One of the best known fashion brands worldwide, Valentino offers a wide range of luxury products from Haute Couture and Prêt-à-Porter to an extensive accessories collection that includes bags, shoes, small leather goods, belts, eyewear, watches and parfums.</t>
  </si>
  <si>
    <t>Collections, fashion shows, ad campaigns, store locator and email newsletter sign up. Not particularly innovative or engaging.</t>
  </si>
  <si>
    <t>http://itunes.apple.com/us/app/vanitas-tile/id504807855?mt=8</t>
  </si>
  <si>
    <t>Vanitas Tile</t>
  </si>
  <si>
    <t>VANITAS Versace Home Ceramic Collections by GARDENIA ORCHIDEA</t>
  </si>
  <si>
    <t>Photo gallery of tiles but can play with the lighting. Not all that interesting though.</t>
  </si>
  <si>
    <t>http://itunes.apple.com/us/app/dunhill-a.r./id461707176?mt=8</t>
  </si>
  <si>
    <t>dunhill A.R.</t>
  </si>
  <si>
    <t>The dunhill Aurasma app weaves the physical and virtual worlds together. Advertising images seamlessly come to life and with one tap, users can shop the latest collection from the dunhill online store.</t>
  </si>
  <si>
    <t>Hard to use/figure out, but when you do it's very innovative and interesting. Can create your own "auras" or when view Dunhill's and shop or view featured content with one tap.</t>
  </si>
  <si>
    <t>http://itunes.apple.com/us/app/dunhill-day-8/id401113586?mt=8</t>
  </si>
  <si>
    <t>dunhill Day 8</t>
  </si>
  <si>
    <t>DAY 8 is a unique, online platform created and managed
by dunhill to showcase some of the most inspiring and
fascinating content the web has to offer.
DAY 8 lives on dunhill.com and as a FREE iPad app. DAY 8 is not a blog, nor an e-zine, it is the world viewed through the dunhill eye. Content takes the form of images, articles and film housed within an online interface.
Always reflecting the dunhill brand pillars of creativity, elegance, travel, culture &amp; intelligence, the editorial stance for DAY 8 is simple:
Created or curated content – always engaging. Interesting is not good enough. It must inspire and fascinate.</t>
  </si>
  <si>
    <t>Day 8's also on the website but has rich content with interesting stories, like an ezine.</t>
  </si>
  <si>
    <t>http://itunes.apple.com/us/app/zegna-live/id491007795?mt=8</t>
  </si>
  <si>
    <t>Zegna LIVE</t>
  </si>
  <si>
    <t>Fashion show and exclusive contents live streamed on iPhone and iPad
With the project Zegna Live, Z Zegna will stream the most interesting contents for its clients and fashion followers,
creating a preferential path into the world of exclusivity, style and avant-garde that will mark the launch of each new Z Zegna Collection brought to stage during the season’s fashion shows.
The app will feature:
- Fashion Show Live Streaming
- Exclusive videos of Z Zegna Creative Director Paul Surridge
- Catwalk and Backstage Pictures
During the Live Streaming of the show, you'll be able to purchase exclusive Spring Summer 2013 Collection Items.
You can also publish your favorite looks, access product informations and details about the looks that will be exclusively sold as part of the show.</t>
  </si>
  <si>
    <t>Can purchase items when the show's livestreamed but that's the only interesting thing. Afterwards, it's just video of the show and behind the scenes coverage that can be shared via social media.</t>
  </si>
  <si>
    <t>http://itunes.apple.com/us/app/zegna-instore/id444370629?mt=8</t>
  </si>
  <si>
    <t>Zegna InStore</t>
  </si>
  <si>
    <t>Zegna in_STORE is the new, virtual 3D-boutique by Ermenegildo Zegna where fine Italian craftsmanship meets ecommerce.
A retail experience unlike any other, Zegna in_STORE combines a 3D virtual store with touchscreen functionality to provide an engaging, modern, and intuitive way to shop Ermenegildo Zegna anywhere in the world.
Via seamless 3D navigation you will be immersed into Zegna’s world in a brand-new way, selecting elegantly displayed items.
Milla Jovovich is your guide. Let her escort you through this unique luxury experience of online retail discovering the Ermenegildo Zegna collection and the new Zegna Sport and ZZegna floors!</t>
  </si>
  <si>
    <t>Pretty interesting way to shop for products; can also shop in a more efficient layout too but this can be a little fun for a while since it's simulates shopping in-person at a brick &amp; mortar shop.</t>
  </si>
  <si>
    <t>http://itunes.apple.com/us/app/emag/id387707560?mt=8</t>
  </si>
  <si>
    <t>eMAG</t>
  </si>
  <si>
    <t>The HUGO BOSS eMAG is now available for the iPad. The Online Magazine as well as HUGO BOSS TV are featured in this brand new application which has been optimized for the interaction opportunities of the iPad. Current contents are:
- HUGO Fashion Show
- Inverviews with Jessica Alba and Ewan McGregor
- Latest Campaign Videos
- Behind-the-Scenes Footage</t>
  </si>
  <si>
    <t>2</t>
  </si>
  <si>
    <t>Supposed to show product collections, have video footage, blog content, and interviews...but everything's empty; not working.</t>
  </si>
  <si>
    <t>http://itunes.apple.com/us/app/hugo-boss-sailing/id413285020?mt=8</t>
  </si>
  <si>
    <t>HUGO BOSS Sailing</t>
  </si>
  <si>
    <t>The official iOS application of Alex Thomson Racing / HUGO BOSS sailing. Keep up to date with news, videos, images and connect with Alex on Facebook and Twitter.</t>
  </si>
  <si>
    <t>Updates of the racing team including Facebook status, video, photos. Can track on a map &amp; see rankings. Not particularly innovative or exciting.</t>
  </si>
  <si>
    <t>http://itunes.apple.com/us/app/missoniart-hd/id416087957?mt=8</t>
  </si>
  <si>
    <t>MissoniArt HD</t>
  </si>
  <si>
    <t>What in the world is more unmistakable than Missoni's colorful textures and patterns?
With this app you become the creator of the most famous designs in the world using the Missoni themes.
Transform your pictures into perfect Missoni masterpieces.
Create, save and share your "Missonized" images.
This is the iPad version.</t>
  </si>
  <si>
    <t>Filter for photos but unlike other similar apps, the filters actually make sense since the filters are using recognizable Missoni patterns.</t>
  </si>
  <si>
    <t>http://itunes.apple.com/us/app/my-hotel-missoni/id441402492?mt=8</t>
  </si>
  <si>
    <t>My Hotel Missoni</t>
  </si>
  <si>
    <t>A state-of-the-art iPhone app that provide Hotel Missoni guests access to a wide variety of hotel services and local information – before, during and after their stay.
From booking a table at the hotel’s restaurant Cucina, having luggage picked up from your room, ordering room service, stocking the minibar, or simply ordering a taxi – it’s all just a few touches away. And there’s no need to even be in the hotel.
Local hot spots, sites to see, places to visit are all right there and interact with maps to ensure they’re easy to find.
The new Hotel Missoni app uses mobile, location-based technology to deliver hotel services and amenities and provides guests with the ideal travel companion.</t>
  </si>
  <si>
    <t>Only for Edinburgh location right now and have to be a guest to access, or register. But have access to a variety of amenities, including ordering room service, shopping the gift shore, spa services, and a taxi all through the app. It's really convenient and a cool way to increase the luxury experience of the hotel stay.</t>
  </si>
  <si>
    <t>http://itunes.apple.com/us/app/an-italian-dream/id407777253?mt=8</t>
  </si>
  <si>
    <t>AN ITALIAN DREAM</t>
  </si>
  <si>
    <t>Discover the Tod’s new application ‘An Italian Dream’ – an artistic celebration of the quality and tradition of “Made in Italy” craftsmanship.
Dancing on Teatro alla Scala’s famous stage and throughout the theatre’s balconies and corridors, thirteen ballet dancers from Teatro alla Scala directed by Matthias Zentner and choreographed by Gianluca Schiavoni, interpret the passion and creative talent of the Tod’s artisans, giving voice to the skillful selection of the leather; the precise hand cutting of the pieces; the meticulous piecing together, and the intricate sewing of the parts to form the whole. The result mirrors the exclusivity, quality and iconic creativity that goes into the multiple phases of making a Tod’s product.
Discover the unique art video, the behind the scenes video, the inimitable world of Tod’s craftsmanship tradition and the app’s exclusive contents of An Italian Dream.</t>
  </si>
  <si>
    <t>Story and videos about Italian craftmanship, and its interpretation by the ballet. Not that innovative.</t>
  </si>
  <si>
    <t>http://itunes.apple.com/us/app/tods-dbag/id407967077?mt=8</t>
  </si>
  <si>
    <t>TOD'S DBAG</t>
  </si>
  <si>
    <t>Discover the D-Bag collection through the lives of 6 women. A journey into 6 different personalities and stories. From the most spectacular destinations around the globe to an insider guide for art and entertainment. "My Life is in This Bag" reflects every woman’s notion of who they are. By getting a snapshot of what is in a woman’s bag you discover the personality of the individual. Link to your favorite D-Bag directly to a product page for interaction and product detail. Locate the closest store from your current location if you get the urge to splurge....</t>
  </si>
  <si>
    <t>6 different D-bags that you can see the specs for and zoom in and rotate. Has a store locator but isn't very user friendly. App isn't that engaging or innovative.</t>
  </si>
  <si>
    <t>iPhone: Hierarchy</t>
  </si>
  <si>
    <t>iPhone: iPhone app? _Y_N_</t>
  </si>
  <si>
    <t>iPhone: iTunes URL</t>
  </si>
  <si>
    <t>iPhone: iPhone Score _0_1_</t>
  </si>
  <si>
    <t>iPhone: Type of App</t>
  </si>
  <si>
    <t>iPhone: iPhone App Name</t>
  </si>
  <si>
    <t>iPhone: iPhone Rediect to app from mobile site? _Y_N_</t>
  </si>
  <si>
    <t>iPhone: iPhone App Promoted on Website? _Y_N_</t>
  </si>
  <si>
    <t>iPhone: iPhone Promotion Score</t>
  </si>
  <si>
    <t>iPhone: iPhone App Cost</t>
  </si>
  <si>
    <t>iPhone: iPhone App Description</t>
  </si>
  <si>
    <t>iPhone: iPhone app e_commerce enabled? _Y_N_</t>
  </si>
  <si>
    <t>iPhone: iPhone e_commerce score</t>
  </si>
  <si>
    <t>iPhone: iPhone App Rating</t>
  </si>
  <si>
    <t>iPhone: iPhone App Rating Label</t>
  </si>
  <si>
    <t>iPhone: iPhone # of Ratings</t>
  </si>
  <si>
    <t>iPhone: iPhone # of Ratings Label</t>
  </si>
  <si>
    <t>iPhone: iPhone # of Reviews</t>
  </si>
  <si>
    <t>iPhone: iPhone # of Reviews Label</t>
  </si>
  <si>
    <t>iPhone: iPhone App Rating SUBscore _0_1_</t>
  </si>
  <si>
    <t>iPhone: Multiple iPhone apps? _Y_N_</t>
  </si>
  <si>
    <t>Total iPhone Score</t>
  </si>
  <si>
    <t>http://itunes.apple.com/us/app/dior/id315312415?mt=8</t>
  </si>
  <si>
    <t>With the Dior iPhone app, keep up-to-date with all of Dior's latest news:
Gain access to the videos of the latest fashion shows and numerous films. Receive personalised information to help you choose the right products to enhance your beauty, and exclusive expert advice from the Dior Pro-Team Make-Up Artists.
News, app section has video tutorials for beauty with an option to download the video/share/see the product for more info (redirect to purchase), &amp; store locator.</t>
  </si>
  <si>
    <t>http://itunes.apple.com/us/app/louboutin/id521150327?mt=8</t>
  </si>
  <si>
    <t>Louboutin</t>
  </si>
  <si>
    <t>Red Sole Fans Rejoice - the definitive guide for Louboutin lovers worldwide has arrived.
Explore the full Men’s and Women’s collections and then create a wish list of your favourite styles to share with friends. Watch insider videos about the latest news, find the nearest boutique anywhere in the world and incase of an emergency… break the glass to find out where to take your shoes for attention.
Current collection to add to wish list/share, evolution from sketches to final product for 20th anniversary, news, store locator, video's interactive can change person/products and flip for interviews.</t>
  </si>
  <si>
    <t>http://itunes.apple.com/us/app/shop-lacoste/id364292445?mt=8</t>
  </si>
  <si>
    <t>Shop Lacoste</t>
  </si>
  <si>
    <t>Lacoste lovers will be able to get all-access shopping wherever you are, at any time of the day.
Features include:
- The ability to very quickly browse, search and purchase products available on Lacoste.com using a simple, yet stylish, interface.
- Lacoste clients have full access to their existing cart, payment and shipping options.
- All purchases made on the Lacoste mobile application are routed through secure servers.
Easy way to shop for Lacoste items.</t>
  </si>
  <si>
    <t>http://itunes.apple.com/us/app/snapshots-by-longchamp/id428214833?mt=8</t>
  </si>
  <si>
    <t>Snapshots by Longchamp</t>
  </si>
  <si>
    <t>Experience the FARAWAY effect, taken from the movie dedicated to the new Longchamp’s collection, designed by Kate Moss. Apply the super 8 effect on your own pictures, and share them easily. © Longchamp 2011
Can take photos and apply filters to new/existing photos to share/save. Not that interesting.</t>
  </si>
  <si>
    <t>http://itunes.apple.com/us/app/s-max-mara-for-iphone/id389878028?mt=8</t>
  </si>
  <si>
    <t>'S Max Mara for iPhone</t>
  </si>
  <si>
    <t>http://itunes.apple.com/us/app/parisienne-ysl/id473920261?mt=8</t>
  </si>
  <si>
    <t>PARISIENNE YSL</t>
  </si>
  <si>
    <t>Yves Saint Laurent invites you to discover trendy places around the world thanks to its location detector.
Across the world, you’d like to discover a new restaurant, a place to relax, or a place for shopping ... Yves Saint Laurent invites you to live like a PARISIENNE wherever you are ...
With augmented reality places you can detect "PARISIENNE" places recommended by Yves Saint Laurent. You can also submit yours and comment. An alert option allows you to stay informed when a new place is published.
PARISIENNE by Yves Saint Laurent. Living and loving in the moment...
Learn more about the Parisienne fragrance and take a quiz for which one suits you. Geolocal feature allows you to see recommendations of trendy places nearby in select cities with options to add and receive alerts.</t>
  </si>
  <si>
    <t>http://itunes.apple.com/us/app/chanel-fashion/id409934435?mt=8</t>
  </si>
  <si>
    <t>CHANEL FASHION</t>
  </si>
  <si>
    <t>Video and looks of the latest show
CHANEL NEWS - Fashion news and behind the scenes features
Contact information for all CHANEL boutiques.
News, video footage of the show and looks, and a retail store locator; nothing particularly interesting/innovative.</t>
  </si>
  <si>
    <t>http://itunes.apple.com/us/app/kylie/id429402484?mt=8</t>
  </si>
  <si>
    <t>Kylie</t>
  </si>
  <si>
    <t>Get in touch with Kylie, the star is now at your fingertips and her worldwide tour is directly reported to you. You are just a few steps away from: discovering the stage wardrobe Dolce&amp;Gabbana has created for Kylie Minogue’s "Les Folies Tour", following your star by keeping up to date with her latest news, getting inside her fitting room with Domenico Dolce and Stefano Gabbana... and much more. A new mobile experience for a unique, collective happening of music, dance and fashion.
The application is currently only available in English and is iPhone and iPod Touch fully compatible.
News, tour dates, sketches of her stage outfits that can be saved, videos, photos of fittings that can be saved, and official professional photos that can also be saved/copied.</t>
  </si>
  <si>
    <t>http://itunes.apple.com/us/app/dolce-gabbana/id414448432?mt=8</t>
  </si>
  <si>
    <t>Dolce&amp;Gabbana</t>
  </si>
  <si>
    <t xml:space="preserve">The “Dolce&amp;Gabbana Mobile Fashion Channel” represents a direct
communication channel between the company and its customers: its
concept is to realize a new way of interaction and contact with the
Dolce&amp;Gabbana audience, using mobile devices in order to follow the
users in their real life.
“Dolce&amp;Gabbana Mobile Fashion Channel” provides a new mobile
experience that combines a fashion-oriented interface with a unique
selection of
Dolce&amp;Gabbana branded content.
The “Dolce&amp;Gabbana Mobile Fashion Channel” is currently only available
in English and is iPhone and iPod Touch fully compatible.
Crashes a lot/easily. Store locator, news, men/women's looks that can be saved in favorites. News includes feeds from Swide mag &amp; social media (redirects to Safari, not integrated/embedded but can be shared); nothing that innovative/interesting. </t>
  </si>
  <si>
    <t>http://itunes.apple.com/us/app/dkny-cozy/id338871740?mt=8</t>
  </si>
  <si>
    <t>DKNY Cozy</t>
  </si>
  <si>
    <t>Twist it. Tie it. Wrap it. Download it.
The DKNY Cozy is the chic and sophisticated wardrobe solution for the modern woman on the go, now available with an electronic stylist via the new DKNY Cozy iPhone App. Developed to provide DKNY Cozy enthusiasts a step by step instructional tool, the App, like the DKNY Cozy itself, is a versatile solution for changing your style to suit any mood. Polish off your look for the office, dress it up for a cocktail party, or just throw it on for an easy layering piece, the DKNY Cozy is your perfect fashion companion. And the DKNY Cozy App is your personal stylist.
"To me, the Cozy is the modern scarf you can wear day to evening -- only it's even more versatile. It can be the new jacket, the new sweater, the new wrap. You personalize it according to your mood. It can be wrapped around the body every which way, or it can be worn like a scarf, with one or both sides hanging loose. The Cozy becomes the quintessential piece in your wardrobe because there are so many ways of wearing it."
- Donna Karan 
Cozy cardigan looks with tutorial videos that can be shared, and store locator.</t>
  </si>
  <si>
    <t>http://itunes.apple.com/us/app/donna-karan/id325311429?mt=8</t>
  </si>
  <si>
    <t>Donna Karan</t>
  </si>
  <si>
    <t>“With me, it’s never just about the clothes. It’s about a lifestyle and commonality that I share with my consumer. This iPhone application is the modern evolution of the time I spend with my customers in the dressing room."
- Donna Karan
In this new unique vehicle of woman to woman communication, Donna Karan talks fashion and personal passions, sharing everything from items she loves and chats about with friends, to her recent vacation photos from Africa and Bali.
QR code reader, store locator, collections, campaign video, stories of inspiring women, travel, Q&amp;A area where people can submit questions to be answered by Donna Karan.</t>
  </si>
  <si>
    <t>http://itunes.apple.com/us/app/a-x-stylepad/id443986088?mt=8</t>
  </si>
  <si>
    <t>A|X Stylepad</t>
  </si>
  <si>
    <t>A|X Stylepad - Now updated with the new A|X Armani Exchange Summer 2012 Campaign.
Now you can be a part of the captivating world of A|X. Create your own Armani
Exchange Style Board by selecting a background, adding A|X models, writing
your own message, and even adding your own photo! Share your Style Board
with friends via Facebook, Twitter, SMS or Email.
Create new Style Boards with updated backgrounds, model images and colors.
Download Style Boards to your computer.</t>
  </si>
  <si>
    <t>http://itunes.apple.com/us/app/eapp7/id546023550?mt=8</t>
  </si>
  <si>
    <t>EAPP7</t>
  </si>
  <si>
    <t>It's here, the first EA7 App for mobile devices. The app is an interactive experience in which sport and lifestyle are married in perfect Armani style.
It's divided in 3 sections: BEA7, LIVEA7, GAMEA7.
BEA7 - Train like the champions. Training and diet suggestions from athletes themselves with a special inclusion of outfits adapted your actual weather conditions.
LIVEA7 - Live your sense of being. 7 bloggers selected from 7 of the most dynamic metropolis share their exclusive suggestions on sport, hotels, shopping, food and relax to help you experience these cities EA7 style.
GAMEA7 - Support your national team with your sense of being. It's our virtual game where everyone can play to support their nation. The scope of the game is to earn the most points simply by checking in wherever you are. The country that collections the most points will take the podium along with a special surprise.
Can be a fun app to come back to, particularly the LIVEA7 section. And GAMEA7 encourages use to coincide with national pride for the Olympics.</t>
  </si>
  <si>
    <t>http://itunes.apple.com/us/app/giorgio-armani-acqua-for-life/id426516503?mt=8</t>
  </si>
  <si>
    <t>Giorgio Armani Acqua For Life</t>
  </si>
  <si>
    <t>Walk as far as you can without letting the drop slide off the screen. It’s not easy, but a small effort compared to the millions of children who walk miles every day to access something we take for granted. Once you’ve carried a drop, “Like” the campaign on Facebook and Giorgio Armani will donate $1* to support the UNICEF Tap Project.
App keeps crashing; probably because it's from 2011. Play the game &amp; "like" the FB campaign and GA donates money to UNICEF.</t>
  </si>
  <si>
    <t>http://itunes.apple.com/us/app/hugo-boss/id336828564?mt=8</t>
  </si>
  <si>
    <t>HUGO BOSS iPhone App
Discover the world of HUGO BOSS!
Explore the new looks and trends
from BOSS Black, BOSS Orange and HUGO
mens and womens collections.
Watch the latest fashion shows and
behind the scenes footage
and find out which items fit into your wardrobe with the color matching feature.
Register to receive exclusive event updates and information from HUGO BOSS.
QR code/marker reader for app. Has a store locator and can sign up for email newsletter for local store. Color matching tool is interesting.</t>
  </si>
  <si>
    <t>http://itunes.apple.com/us/app/amble-with-louis-vuitton/id415902307?mt=8</t>
  </si>
  <si>
    <t>Amble with Louis Vuitton</t>
  </si>
  <si>
    <t>The Amble application by Louis Vuitton offers new ways of capturing your travel memories and sharing them with your friends.
Create your own unique tours: the Ambles. Take personal pictures, notes, videos and sounds along your way. And save the spots you like most, anywhere in the world.
You can also find inspiration from other Amblers or Friends of the House, perfect to inject more uniqueness into your walks. And if you are more of an urban explorer, the Louis Vuitton City Guides—available in both English and French languages—will lead you through their selection of exceptional and new cities: Barcelona, Beirut, Berlin, Los Angeles, London, Madrid, Milan, New York, Paris, Rome and Tokyo.
Available in English only and allowing you to save your personal information directly from louisvuittonamble.com or from your iPhone, Amble is the perfect companion for an everyday walk or exploratory trip. Let augmented reality lead you, record your travel experiences, visit your favorite celebrity’s spots—it’s everything you need to create unforgettable journeys. Whether you want to remember a walk you particularly enjoyed or need to prepare a visit to a new destination, with Amble you will always be ready to explore the world.
Please Note: "Continued use of GPS running in the background can dramatically decrease battery life."
Need account to really use app; sign up process has option for email newsletter. City guides cost money ($14.99). Celebrities have ambles shared that you can explore and create your own, complete with photos/videos; can be synced with microsite. Pretty fun and engaging.</t>
  </si>
  <si>
    <t>http://itunes.apple.com/us/app/louis-vuitton-kusama-studio/id530579379?mt=8</t>
  </si>
  <si>
    <t>Louis Vuitton Kusama Studio</t>
  </si>
  <si>
    <t>Imagine yourself or your friends covered with dots, reinterpreted as abstract waves. This is how renowned Japanese artist Yayoi Kusama sees the world, and now you can too with the Louis Vuitton Kusama Studio app.
As part of an exclusive collaboration with the artist, Louis Vuitton has created a unique app that turns Kusama’s obsessions and signature visions into visual effects which you can easily apply to your own pictures.
After reinterpreting images of yourself or your friends while referencing Kusama’s art, you can share your pictures in a public gallery included in the application, on Facebook and Twitter, and on the minisite specifically created for the application.
An internationally acclaimed artist today, Yayoi Kusama started her career as an avant-garde painter in Tokyo in the 1950’s and became a leading figure of New York’s contemporary art scene in the 1960’s. Obsessed with repetition, pattern and accumulations, Kusama developed her own artistic style: a cross between pop art, surrealism, and minimalism.
Learn more about the collaboration at http://www.louisvuittonkusama.com
Download the app to play!
Features:
- Works with photos taken with your iPhone camera, or pre-existing photos from your iPhone camera roll
- 2 effects available to transform your picture inspired by Kusama’s art: dots and waves
- A gradual and interactive transformation process
- Interactive with friends through a feature where you can give and receive ‘likes’
- Share results to a public gallery, private gallery in the app and on the Louis Vuitton-Kusama minisite
- Share with friends via Facebook and Twitter
Minimum device and OS required: iPhone 3GS / iOS 4.3
App where you can apply filters to new/existing photos and share socially. Need an account to save images; not that innovative.</t>
  </si>
  <si>
    <t>http://itunes.apple.com/us/app/missoniart/id415898226?mt=8</t>
  </si>
  <si>
    <t>MissoniΑrt</t>
  </si>
  <si>
    <t>What in the world is more unmistakable than Missoni's colorful textures and patterns?
With this app you become the creator of the most famous designs in the world using the Missoni themes.
Transform your pictures into perfect Missoni masterpieces.
Create, save and share your "Missonized" images.
This is version for iPhone 4.</t>
  </si>
  <si>
    <t>http://itunes.apple.com/us/app/missoniart-s/id416088140?mt=8</t>
  </si>
  <si>
    <t>MissoniArt S</t>
  </si>
  <si>
    <t>What in the world is more unmistakable than Missoni's colorful textures and patterns?
With this app you become the creator of the most famous designs in the world using the Missoni themes.
Transform your pictures into perfect Missoni masterpieces.
Create, save and share your "Missonized" images.
This is the iPhone 3GS version.</t>
  </si>
  <si>
    <t>http://itunes.apple.com/us/app/missoni-collection-winter/id392248290?mt=8</t>
  </si>
  <si>
    <t>Missoni Collection Winter 2011</t>
  </si>
  <si>
    <t>The Missoni Collection App will keep you update on Missoni world, wherever you are. You would see the entire Woman and Man Summer Collection 2011: Lookbook, Advertising Campaign, News, Fashion Show and Stores Addresses.</t>
  </si>
  <si>
    <t>http://itunes.apple.com/us/app/ralph-lauren-collection-spring/id294067384?mt=8</t>
  </si>
  <si>
    <t>Ralph Lauren Collection – Spring 2012/Fall 2012 Fashion Shows</t>
  </si>
  <si>
    <t>Experience the glamorous world of Ralph Lauren Collection.
Preview styles and accessories from the Fall 2012 Ralph Lauren Collection before they arrive in stores. Watch video highlights from our most recent runway shows. Get up close to the styles with our Lookbook feature, including details on each piece, and discover the trends.
Explore Ralph Lauren’s iconic Ricky bag in a full 360-degree view, and find a Ralph Lauren store anywhere in the world with our location-based global store locator.
Browse our video library, the Ralph Lauren Watch and Jewelry Co. site and RL Magazine to explore the stories behind the World of Ralph Lauren.
Video and looks from runway season collection; not that innovative.</t>
  </si>
  <si>
    <t>http://itunes.apple.com/us/app/rugby-ralph-lauren-make-your/id330035307?mt=8</t>
  </si>
  <si>
    <t>Rugby Ralph Lauren Make Your Own</t>
  </si>
  <si>
    <t>Design, share and purchase your own rugby shirt, polo shirt, or sweater with your iPhone or iPod Touch.
Make it yours. Put your face on a Rugby model, then change the hairstyle, skin color and tone to create your own personal style. Choose a Rugby Make Your Own shirt or sweater, customize it with unique Rugby patches and then frame the complete style against your choice of of backgrounds for the ultimate “Make Your Own” experience.
Share your style and browse the work of others via Facebook Connect, email or in the Make Your Own Rugby Gallery which is accessible at Rugby.com, the Rugby app and on interactive Rugby store windows at our New York City and San Francisco store locations.
View, rate and purchase posted designs in the Make Your Own Rugby Gallery.
Check out the gallery daily for the best design in the “Today’s Best” section.
Can customize a Rugy shirt, polo, or sweater and share/purchase. App keeps crashing, won't stay open long enough to be played with.</t>
  </si>
  <si>
    <t>Misc. Mobile Innovation: Hierarchy</t>
  </si>
  <si>
    <t>Misc. Mobile Innovation: Mobile Innovation #1 Link</t>
  </si>
  <si>
    <t>Misc. Mobile Innovation: Date of Innovation</t>
  </si>
  <si>
    <t>Misc. Mobile Innovation: Mobile Innovation # 1 Summary</t>
  </si>
  <si>
    <t>Score</t>
  </si>
  <si>
    <t>Misc. Mobile Innovation: Mobile Innovation #2 Link</t>
  </si>
  <si>
    <t>_Misc. Mobile Innovation: Date of Innovation</t>
  </si>
  <si>
    <t>Misc. Mobile Innovation: Mobile Innovation # 2 Summary</t>
  </si>
  <si>
    <t>Misc. Mobile Innovation: Mobile Innovation #3 Link</t>
  </si>
  <si>
    <t>__Misc. Mobile Innovation: Date of Innovation</t>
  </si>
  <si>
    <t>Misc. Mobile Innovation: Mobile Innovation # 3 Summary</t>
  </si>
  <si>
    <t>_Misc. Mobile Innovation: Mobile Innovation #3 Link</t>
  </si>
  <si>
    <t>___Misc. Mobile Innovation: Date of Innovation</t>
  </si>
  <si>
    <t>_Misc. Mobile Innovation: Mobile Innovation # 3 Summary</t>
  </si>
  <si>
    <t>Mobile Innovation Total (0-5)</t>
  </si>
  <si>
    <t>http://www.luxurydaily.com/alfred-dunhill-tries-on-aurasma-to-integrate-mobile-video-and-traditonal-ads/</t>
  </si>
  <si>
    <t>Alfred Dunhill implements augmented reality for mobile devices in advertisements.</t>
  </si>
  <si>
    <t>0.5</t>
  </si>
  <si>
    <t>http://play.google.com/store/apps/details?id=com.aurasma.skinned.dunhill_ar&amp;feature=search_result</t>
  </si>
  <si>
    <t>Android App</t>
  </si>
  <si>
    <t>1</t>
  </si>
  <si>
    <t>http://www.luxurydaily.com/burberry-pushes-big-ticket-items-via-pandora-mobile-ads/</t>
  </si>
  <si>
    <t>Burberry is pushing its straight-off-the-runway men’s items as well as big-ticket apparel, accessories and coats from ads in the Pandora iPhone application.</t>
  </si>
  <si>
    <t>0.25</t>
  </si>
  <si>
    <t>http://www.luxurydaily.com/burberry-spreads-mobile-reach-via-tv-guide-app/</t>
  </si>
  <si>
    <t>Burberry is bolstering its mobile marketing through a banner ad in the TV Guide application that links to its mobile commerce site.</t>
  </si>
  <si>
    <t>http://www.luxurydaily.com/chanel-awarded-top-mobile-site-for-availability-reliability-study/</t>
  </si>
  <si>
    <t>Chanel’s mobile-optimized Web site in France has received the top honors in a study by Keynote Systems that lauds the fashion label for its simple, sleek site that showed its design elegance while remaining completely available to customers.</t>
  </si>
  <si>
    <t>http://www.luxurydaily.com/dior-continues-fragrance-push-in-summer-focused-app/</t>
  </si>
  <si>
    <t>French fashion house Christian Dior is sticking with its upbeat, summer-focused campaign for the Dior Addict fragrance in an iPhone application that shares campaign components such as images, videos and quotes by the designer.</t>
  </si>
  <si>
    <t>http://www.luxurydaily.com/christian-louboutin-shows-collections-sketches-in-first-app/</t>
  </si>
  <si>
    <t>Christian Louboutin is showcasing collections and designer sketches in its first iPhone application that acts as a to-go guide to the brand.</t>
  </si>
  <si>
    <t>http://www.luxurydaily.com/top-10-luxury-brand-mobile-apps-of-h1/</t>
  </si>
  <si>
    <t>Louboutin's app was rated in the top 10 apps of H1</t>
  </si>
  <si>
    <t>http://www.mobilecommercedaily.com/2012/03/07/coach-aims-to-increase-mobile-sales-via-qr-code-initiative</t>
  </si>
  <si>
    <t>American designer Coach is placing QR codes on its mailers that not only promote its Kristin satchel, but direct shoppers to the company’s mobile site where they can buy it.</t>
  </si>
  <si>
    <t>http://www.luxurydaily.com/cole-haan-tackles-multichannel-marketing-through-subway-series-campaign/</t>
  </si>
  <si>
    <t>Mobile optimized subway stories campaign</t>
  </si>
  <si>
    <t>http://play.google.com/store/apps/details?id=com.dolcegabbana&amp;feature=search_result</t>
  </si>
  <si>
    <t>http://www.fashionotes.com/content/2012/07/dkny’s-new-app/</t>
  </si>
  <si>
    <t>DKNY released an augmented reality app, DKNYfx.</t>
  </si>
  <si>
    <t>http://play.google.com/store/apps/details?id=com.aurasma.skinned.dknyfx&amp;feature=search_result</t>
  </si>
  <si>
    <t>Zegna is changing the way consumers see its Facebook page by incorporating an augmented reality feature that gives users secret mobile videos to future campaigns.</t>
  </si>
  <si>
    <t>http://www.luxurydaily.com/zegna-enhances-customer-contact-via-live-streaming-fashion-show-app/</t>
  </si>
  <si>
    <t>Italian label Ermenegildo Zegna is continuing its efforts in new technology with its latest iPad and iPhone mobile application that will live-stream fashion shows and accept immediate mobile transactions</t>
  </si>
  <si>
    <t>http://www.luxurydaily.com/zegna-offers-exclusive-mcommerce-via-live-streaming-app/</t>
  </si>
  <si>
    <t>Zegna is launching a new application today for the iPhone and iPad that will offer two exclusiev products following the live streaming of its spring/summer 2013 show.</t>
  </si>
  <si>
    <t>http://www.luxurydaily.com/fendi-extends-product-reach-glorified-mobile-lookbook/</t>
  </si>
  <si>
    <t>Fendi is extending its product reach to the mobile space with a glorified lookbook, smartphone and tablet-optimized Web site.</t>
  </si>
  <si>
    <t>http://www.luxurydaily.com/armani-pushes-emporio-lifestyle-via-ea7-apps/</t>
  </si>
  <si>
    <t>Giorgio Armani is selling the lifestyle of its Emporio Armani brand through Android and Apple applications that give consumers tips on how to shop, dine and play in European cities.</t>
  </si>
  <si>
    <t>http://www.luxurydaily.com/the-pros-and-cons-of-mobile-bar-codes/</t>
  </si>
  <si>
    <t>Gucci uses QR codes in watch campaign.</t>
  </si>
  <si>
    <t>http://www.luxurydaily.com/gucci-combines-physical-mobile-commerce-via-digital-store-in-store/</t>
  </si>
  <si>
    <t>Gucci is working with Samsung Electronics to offer an immersive in-store experience devoted to the label’s timepieces and jewelry that combines physical and mobile commerce.</t>
  </si>
  <si>
    <t>http://www.luxurydaily.com/gucci-tries-digital-qr-codes-for-watch-push/</t>
  </si>
  <si>
    <t>Gucci is pushing the new timepieces in its I-Gucci Sport collection with QR codes on digital images and video.</t>
  </si>
  <si>
    <t>http://www.internetretailer.com/2012/04/12/gucci-outfits-its-store-employees-iphones</t>
  </si>
  <si>
    <t>4.12.12</t>
  </si>
  <si>
    <t>This is why Gucci is outfitting staff at select stores in the U.S., Europe and Asia with iPhone 4S devices, so staff members can roam the floor helping customers and check them out on the devices anywhere in the store.</t>
  </si>
  <si>
    <t>http://www.luxurydaily.com/hugo-boss-targets-london-via-branded-mobile-city-guide/</t>
  </si>
  <si>
    <t>Hugo Boss is making a mobile city guide of London available when you scan a QR code.</t>
  </si>
  <si>
    <t>Hugo Boss launched its largest digital campaign during the second quarter called New Dimension Beijing. It included augmented reality, print, Web, mobile and out-of-home components that revolved around the runway show for its Black collection live-streaming in 3D.</t>
  </si>
  <si>
    <t>http://www.luxurydaily.com/hugo-boss-builds-community-drives-foot-traffic-with-international-foursquare-contest/</t>
  </si>
  <si>
    <t>Hugo Boss is driving in-store traffic and increasing its social media fan base with a mobile check-in-based contest through which fans can win a New York shopping experience.</t>
  </si>
  <si>
    <t>http://www.mobilecommercedaily.com/2012/02/16/kate-spade-strengthens-mobile-strategy-with-shoppable-ad-campaign</t>
  </si>
  <si>
    <t>Kate Spade is running mobile commerce-enabled ads as a way to drive sales for its new spring collection.</t>
  </si>
  <si>
    <t>http://www.mobilecommercedaily.com/2011/11/30/lacoste-ramps-up-mcommerce-strategy-via-new-mobile-site</t>
  </si>
  <si>
    <t>Lacoste is letting fashion-savvy consumers browse and buy the season’s latest looks via a new mobile-optimized site.</t>
  </si>
  <si>
    <t>http://www.mobilecommercedaily.com/2012/08/23/lacoste-personalizes-mobile-shopping-with-commerce-enabled-bar-codes</t>
  </si>
  <si>
    <t>Lacoste is equipping its static print ads with a custom QR code that lets readers shop the latest looks from the retailer’s fall collection. The QR code-enabled ads are being used as part of Lacoste’s fall/winter 2012 campaign for its Unconventional Chic line of products. The ads are running in the September issue of Elle magazine.</t>
  </si>
  <si>
    <t>http://en.vogue.fr/fashion/fashion-websites/diaporama/digital-fashion-week-of-june-18/8689/image/541223</t>
  </si>
  <si>
    <t>Lanvin launches mobile site optimized for iPhone and iPad.</t>
  </si>
  <si>
    <t>http://www.luxurydaily.com/louis-vuitton-dodges-flash-through-mobile-optimization/</t>
  </si>
  <si>
    <t>French apparel and accessories brand Louis Vuitton created a tablet-friendly version of its Web site, likely in an attempt to connect with Apple users whose devices do not accommodate Flash.</t>
  </si>
  <si>
    <t>http://www.luxurydaily.com/louis-vuitton-pushes-kusama-collection-via-augmented-reality-app/
http://mashable.com/2012/06/21/trends-consumer-experience-economy/</t>
  </si>
  <si>
    <t>Louis Vuitton is raising awareness for its handbag collaboration with Japanese artist Yayoi Kusama with a mobile application that uses augmented reality, photo sharing and push notifications.</t>
  </si>
  <si>
    <t>http://www.behance.net/gallery/S-Max-Mara-Decode-the-Cube-Campaign/4992789</t>
  </si>
  <si>
    <t>various dates/updates (March 2012 recent)</t>
  </si>
  <si>
    <t xml:space="preserve">Max Mara has updated the company’s first iApp, Decode the Cube, with images from the Summer Cube.  This is the first Cube collection designed for the Spring Summer season. 
Decode the Cube is an interactive puzzle that tests a players memory. Images from the Spring Summer 2011 Cube campaign are shown once then scrambled leaving the user to solve the game by rotating sections to solve the puzzle. </t>
  </si>
  <si>
    <t>http://fashionscollective.com/FashionAndLuxury/05/how-michael-kors-drives-engagement-thru-mobile-friendly-facebook-apps/</t>
  </si>
  <si>
    <t xml:space="preserve">Facebook page can detect if accessing thru desktop/mobile with launch of "What She Wants" Mother's Day campaign. </t>
  </si>
  <si>
    <t>http://www.luxurydaily.com/michael-kors-ups-mobile-efforts-for-mother%E2%80%99s-day-campaign/</t>
  </si>
  <si>
    <t>This is the first time that the Michael Kors brand is making its Facebook app mobile-compatible, probably to reach a wider, on-the-go audience.
Items featured in the contest will have “enter to win” and “buy” options linked to the brand’s ecommerce site.
In addition, the brand is using mobile call-outs on windows in select stores to further promote the contest.</t>
  </si>
  <si>
    <t>http://play.google.com/store/apps/details?id=air.it.missoni.missoniart&amp;feature=search_result</t>
  </si>
  <si>
    <t>http://www.l2thinktank.com/prada-gets-animated-with-parallel-universes-campaign/2012/</t>
  </si>
  <si>
    <t>Perhaps the most innovative part of the new campaign is how successfully Prada has integrated the components across its platforms. The Parallel Universes microsite, which is accessible through the main site, is even mobile-optimized. For a brand that in 2011 came in 96th and 44th, respectively, in Facebook Digital IQ® and Fashion Digital IQ® (“the biggest digital disappointment in luxury”), this campaign and its promotion are huge digital leaps forward.</t>
  </si>
  <si>
    <t>http://www.luxurydaily.com/ferragamo-misses-the-mark-with-mobile-ads-lacks-mobile-site/</t>
  </si>
  <si>
    <t>0.75</t>
  </si>
  <si>
    <t>Ralph Lauren has used mobile as a way to bridge online commerce with in-store experiences, allowing the luxury brand to pave the way with today's modern and affluent consumers.
The retailer has both mobile apps for its brands as well as a mobile Web site. By using mobile, the company has been able to target consumers of particular brands and tie their mobile experience to an in-store engagement.
To help users interact with Ralph Lauren’s RLX brand, the retailer tapped mobile with an engaging iPad app that users could play with to see the clothes in the collection.
According to Mr. Lauren, Ralph Lauren was one of the first retailers to place QR codes on its print advertising materials when the technology was fairly new to both the United States and Europe after learning about the mobile bar codes on a trip to Japan.</t>
  </si>
  <si>
    <t>Lifestyle brand Ralph Lauren has launched a new mobile-optimized site that now includes content such as its branded magazine, a style guide using recent campaign images and backstage videos.
The new mobile site was re-launched on an entirely new platform to offer mobile shoppers extended products and content, according to Ralph Lauren.</t>
  </si>
  <si>
    <t>Ferragamo placed ads in the NY Times iPhone app but missing out on mobile commerce sales by not optimizing site for mobile (Flash site).</t>
  </si>
  <si>
    <t>http://www.luxurydaily.com/stella-mccartney-debuts-fragrance-through-360-degree-geo-targeted-campaign/</t>
  </si>
  <si>
    <t>British label Stella McCartney is introducing L.IL.Y, its first fragrance in almost a decade through a mobile application, Web effort and partnership with London-based department store Selfridges including augmented reality, video and user interaction.
Stella McCartney will debut the fragrance via the Aurasma augmented reality app where consumers can use their smartphones or Selfridges-provided iPads to access content. There are also two televisions in the windows that change content and video based on passer-by motion.</t>
  </si>
  <si>
    <t>Stella McCartney has released the latest version of Stella’s World for iPad, featuring updated imagery and video content, including the recently launched fragrance L.i.l.y. The app launches a brand new interface for the brand, where all content is displayed as part of an easy to browse mosaic. With new gesture controls, you can quickly zoom in and out of each content section.</t>
  </si>
  <si>
    <t>http://play.google.com/store/apps/details?id=com.phonegap.lily&amp;feature=search_result</t>
  </si>
  <si>
    <t>http://www.luxurydaily.com/tod%E2%80%99s-launches-italian-modernism-multichannel-autumnwinter-campaign/</t>
  </si>
  <si>
    <t>Tod’s has also paired its print ads with email, social video and mobile efforts.</t>
  </si>
  <si>
    <t>http://www.mobilecommercedaily.com/2011/08/09/tommy-hilfiger-taps-mobile-bar-codes-to-bolster-online-sales</t>
  </si>
  <si>
    <t>In September issue, Glamour readers offered 20% off next purchase through mobile bar codes on static ads.</t>
  </si>
  <si>
    <t>http://www.mobilecommercedaily.com/2012/04/24/tory-burch-gears-up-for-spring-via-targeted-timely-mobile-ads</t>
  </si>
  <si>
    <t>Running mobile ads within Pandora's iPhone app to shop spring trends.</t>
  </si>
  <si>
    <t>http://pretty-innovative.com/2012/06/20/tory-burch-ups-the-ante-on-digital-presence/</t>
  </si>
  <si>
    <t>Recently launched first ever app for both iPhone &amp; iPad; free shipping for shopping on the app.</t>
  </si>
  <si>
    <t>Sites: Hierarchy</t>
  </si>
  <si>
    <t>Is there a Mobile Website? _N_ NM_ YDNR_ Y_</t>
  </si>
  <si>
    <t>Mobile Website Score</t>
  </si>
  <si>
    <t>Mobile Website URL</t>
  </si>
  <si>
    <t>Mobile Site Functionality Ecommerce Enabled? Y_N</t>
  </si>
  <si>
    <t>Score _0 _ 1</t>
  </si>
  <si>
    <t>Mobile Site Functionality Mobile Site Search  _Y_N_</t>
  </si>
  <si>
    <t>_Score _0 _ 0.5_</t>
  </si>
  <si>
    <t>Mobile Site Functionality Promo App  _Y_N_</t>
  </si>
  <si>
    <t>__Score _0 _ 0.5_</t>
  </si>
  <si>
    <t>Mobile Site Functionality Retail Location Finder  _Y_N_</t>
  </si>
  <si>
    <t>___Score _0 _ 0.5_</t>
  </si>
  <si>
    <t>Site Functionality _ Performance Observations</t>
  </si>
  <si>
    <t>Site Functionality Score</t>
  </si>
  <si>
    <t>TOTAL MOBILE SITES SCORE _0_5_</t>
  </si>
  <si>
    <t>NM</t>
  </si>
  <si>
    <t>http://www.burberry.com/store/mobile/tier1/global/regionSelection.jsp</t>
  </si>
  <si>
    <t>http://mobile.chanel.com/</t>
  </si>
  <si>
    <t>Fashion's closed off, only for beauty; links to social media (FB, Twitter, YT); pop up with tip to add site to home screen</t>
  </si>
  <si>
    <t>http://www.chloe.com/iphone/en</t>
  </si>
  <si>
    <t>Link to Facebook; no dedicated service page but store locations list phone numbers with a button to call</t>
  </si>
  <si>
    <t>http://mobile.coach.com/mt/www.coach.com/online/handbags/Home-10551-10051?un_jtt_redirect#un_jtt_addtohome_hidden</t>
  </si>
  <si>
    <t>Very well done mobile site</t>
  </si>
  <si>
    <t>http://www.colehaan.com/colehaan/home.jsp</t>
  </si>
  <si>
    <t>URL doesn't change but it's a mobile-optimized site</t>
  </si>
  <si>
    <t>http://www.dvf.com/</t>
  </si>
  <si>
    <t>URL doesn't change but it's a well-done mobile-optimized site</t>
  </si>
  <si>
    <t>http://www.dolcegabbana.mobi/deg/xhtml/index_iphone/index.jsp</t>
  </si>
  <si>
    <t>App download buttons &amp; social media page (FB, YT, etc...a lot)</t>
  </si>
  <si>
    <t>http://mobile.emiliopucci.com/#home
http://m.emiliopucci.com/us/</t>
  </si>
  <si>
    <t>Ecommerce redirects to m.emiliopucci.com; main mobile site has store locator, customer service, &amp; links to social media (FB, Twitter)</t>
  </si>
  <si>
    <t>http://mobile.fendi.com/</t>
  </si>
  <si>
    <t>http://m.armani.com/us/</t>
  </si>
  <si>
    <t>http://mobile.hugoboss.com/portal/hpg/start.do;jsessionid=F58643DFBEA12E478D40010DD1D2DFB7.portal2b?l=en_US</t>
  </si>
  <si>
    <t>http://www.johnvarvatos.com/mobile</t>
  </si>
  <si>
    <t>http://m.katespade.com/mt/www.katespade.com/on/demandware.store/Sites-Kate-Site/default/Home-ShopHome?un_jtt_redirect</t>
  </si>
  <si>
    <t>Really well-done mobile site with everything right on the main page, including links to social media (FB, tumblr, Twitter, YT, Pinterest).</t>
  </si>
  <si>
    <t>http://m.lacoste.com/</t>
  </si>
  <si>
    <t>Interesting interface with sliding menu, online shop is in separate page. Both pages link to social media (FB, Twitter, FourSquare; main page has even more).</t>
  </si>
  <si>
    <t>http://mobile.lancel.com/</t>
  </si>
  <si>
    <t>http://m.lanvin.com/</t>
  </si>
  <si>
    <t>Estore link redirects to main site with ecommerce.</t>
  </si>
  <si>
    <t>http://m.louisvuitton.com/mobile/eng_E1/home</t>
  </si>
  <si>
    <t>Mobile site has no ecommerce, basically a magazine/news source, store locator, customer service. Links to Facebook &amp; Twitter.</t>
  </si>
  <si>
    <t>http://www.paulsmith.co.uk/mobile/shop/home/</t>
  </si>
  <si>
    <t>Very complete mobile site.</t>
  </si>
  <si>
    <t>http://m.ralphlauren.com/</t>
  </si>
  <si>
    <t>Well-done mobile site with everything needed on main page, including links to FB/Twitter and dynamic content.</t>
  </si>
  <si>
    <t>http://www.robertocavalli.com/mobile/mobileIndex.plp</t>
  </si>
  <si>
    <t>Mobile site doesn't have ecommerce, links to main site to shop.</t>
  </si>
  <si>
    <t>http://www.ferragamo.com/webapp/wcs/stores/FerragamoStorefrontAssetStore/mobile/smartphone/index.html?seoURL=TopCategories_31150_35551#homePage</t>
  </si>
  <si>
    <t>https://www.ferragamo.com/webapp/wcs/stores/FerragamoStorefrontAssetStore/mobile/smartphone/index.html?seoURL=TopCategories_31150_35551#homePage</t>
  </si>
  <si>
    <t>http://www.stellamccartney.com/on/demandware.store/Sites-SMC-Site/default/mHome-Show</t>
  </si>
  <si>
    <t>Pretty nice mobile site with links to Twitter/FB.</t>
  </si>
  <si>
    <t>http://www.stuartweitzman.com/mobile/</t>
  </si>
  <si>
    <t>http://m.tedbaker.com/</t>
  </si>
  <si>
    <t>Socialise with Ted area for social media.</t>
  </si>
  <si>
    <t>http://www.toryburch.com/</t>
  </si>
  <si>
    <t>Same URL as main site but very well done mobile site that also links to blog and the app.
https://www.toryburch.com/</t>
  </si>
  <si>
    <t>http://m.viviennewestwood.co.uk/</t>
  </si>
  <si>
    <t>Well-done mobile site with everything needed on main page, including links to social media (Twitter/FB/YT).</t>
  </si>
  <si>
    <t>http://www.ysl.com/on/demandware.store/Sites-YS_US-Site/en_US/mHome-Show</t>
  </si>
  <si>
    <t>Good mobile site with everything on main page, including links to social media (Twitter/YT/FB).</t>
  </si>
  <si>
    <t>Digital IQ: Fashion 2013</t>
  </si>
  <si>
    <t>average</t>
  </si>
  <si>
    <t>Pinterest URL</t>
  </si>
  <si>
    <t>Links to Website</t>
  </si>
  <si>
    <t>Links to Social</t>
  </si>
  <si>
    <t># of Followers Date 1</t>
  </si>
  <si>
    <t>Following Date 1</t>
  </si>
  <si>
    <t># of Boards Date 1</t>
  </si>
  <si>
    <t># of Pins Date 1</t>
  </si>
  <si>
    <t># of Likes Date 1</t>
  </si>
  <si>
    <t># of Boards Date 2</t>
  </si>
  <si>
    <t># of Likes Date 2</t>
  </si>
  <si>
    <t># of Followers Date 2</t>
  </si>
  <si>
    <t>Followers Score - 1</t>
  </si>
  <si>
    <t xml:space="preserve">Absolute Growth </t>
  </si>
  <si>
    <t>Absolute Growth Score - 0.5</t>
  </si>
  <si>
    <t>% Growth</t>
  </si>
  <si>
    <t>% Growth Score - 0.5</t>
  </si>
  <si>
    <t># of Pins Date 2</t>
  </si>
  <si>
    <t># Pins Score (0.5)</t>
  </si>
  <si>
    <t>Days Elappsed</t>
  </si>
  <si>
    <t>Pin Growth</t>
  </si>
  <si>
    <t>Pins Per Day</t>
  </si>
  <si>
    <t>Pin Frequency Score (0-1)</t>
  </si>
  <si>
    <t>Adds Prices to Pins?_Y_N_</t>
  </si>
  <si>
    <t>Pricing (0.25)</t>
  </si>
  <si>
    <t>Board Dedicated to UGC?_Y_N_</t>
  </si>
  <si>
    <t>UGC (0.25)</t>
  </si>
  <si>
    <t>Total Score</t>
  </si>
  <si>
    <t>final score 0-5</t>
  </si>
  <si>
    <t>http://pinterest.com/badgleymischka</t>
  </si>
  <si>
    <t>http://pinterest.com/balenciagaparis</t>
  </si>
  <si>
    <t>Balenciaga Paris</t>
  </si>
  <si>
    <t>http://pinterest.com/ballyofficial</t>
  </si>
  <si>
    <t>Bally Switzerland</t>
  </si>
  <si>
    <t>http://pinterest.com/burberry</t>
  </si>
  <si>
    <t>http://pinterest.com/cmalandrino</t>
  </si>
  <si>
    <t>http://pinterest.com/dior</t>
  </si>
  <si>
    <t>http://pinterest.com/louboutinshoes</t>
  </si>
  <si>
    <t>http://pinterest.com/coach</t>
  </si>
  <si>
    <t>http://pinterest.com/colehaan</t>
  </si>
  <si>
    <t>http://pinterest.com/dvf</t>
  </si>
  <si>
    <t>DVF</t>
  </si>
  <si>
    <t>http://pinterest.com/dolcegabbana</t>
  </si>
  <si>
    <t>http://pinterest.com/dknyprgirl/</t>
  </si>
  <si>
    <t>dkny pr girl</t>
  </si>
  <si>
    <t>http://pinterest.com/emiliopucci</t>
  </si>
  <si>
    <t>http://pinterest.com/zegnaofficial</t>
  </si>
  <si>
    <t>http://pinterest.com/escadafashion</t>
  </si>
  <si>
    <t>http://pinterest.com/fendiofficial</t>
  </si>
  <si>
    <t>http://pinterest.com/armani</t>
  </si>
  <si>
    <t>ARMANI Official</t>
  </si>
  <si>
    <t>http://pinterest.com/givenchy</t>
  </si>
  <si>
    <t xml:space="preserve"> http://pinterest.com/gucci</t>
  </si>
  <si>
    <t>http://pinterest.com/hugoboss</t>
  </si>
  <si>
    <t>http://pinterest.com/jimmychoohq</t>
  </si>
  <si>
    <t>http://pinterest.com/johnvarvatos</t>
  </si>
  <si>
    <t>http://pinterest.com/katespadeny</t>
  </si>
  <si>
    <t>kate spade new york</t>
  </si>
  <si>
    <t>http://pinterest.com/lacoste</t>
  </si>
  <si>
    <t>http://pinterest.com/lanvinofficial</t>
  </si>
  <si>
    <t>LANVIN Paris</t>
  </si>
  <si>
    <t>http://pinterest.com/longchampparis</t>
  </si>
  <si>
    <t>http://pinterest.com/louisvuitton</t>
  </si>
  <si>
    <t>http://pinterest.com/marcjacobsintl</t>
  </si>
  <si>
    <t>http://pinterest.com/michaelkors</t>
  </si>
  <si>
    <t>http://pinterest.com/mmissoni</t>
  </si>
  <si>
    <t>M Missoni</t>
  </si>
  <si>
    <t>http://pinterest.com/mulberry</t>
  </si>
  <si>
    <t>http://pinterest.com/oscarprgirl/</t>
  </si>
  <si>
    <t>OscarPRGirl</t>
  </si>
  <si>
    <t>http://pinterest.com/paulsmithdesign</t>
  </si>
  <si>
    <t>Paul Smith Design</t>
  </si>
  <si>
    <t>http://pinterest.com/ralphlauren</t>
  </si>
  <si>
    <t>http://pinterest.com/robertocavalli</t>
  </si>
  <si>
    <t>http://pinterest.com/ferragamosocial</t>
  </si>
  <si>
    <t>Salvatore Ferragamo Official</t>
  </si>
  <si>
    <t>http://pinterest.com/stellamccartney</t>
  </si>
  <si>
    <t>http://pinterest.com/tedbaker</t>
  </si>
  <si>
    <t>http://pinterest.com/theorypin</t>
  </si>
  <si>
    <t>http://pinterest.com/thomaspink</t>
  </si>
  <si>
    <t>http://pinterest.com/tommyhilfiger/</t>
  </si>
  <si>
    <t>8.29.12</t>
  </si>
  <si>
    <t>http://pinterest.com/toryburch</t>
  </si>
  <si>
    <t>http://pinterest.com/valentino</t>
  </si>
  <si>
    <t>http://pinterest.com/versaceofficial</t>
  </si>
  <si>
    <t>http://pinterest.com/followwestwood</t>
  </si>
  <si>
    <t>http://pinterest.com/ysl</t>
  </si>
  <si>
    <t>http://pinterest.com/zacposen</t>
  </si>
  <si>
    <t>http://pinterest.com/dereklam/</t>
  </si>
  <si>
    <t>Tumblr  Y_N?</t>
  </si>
  <si>
    <t>Tumblr URL</t>
  </si>
  <si>
    <t>Ave. # posts per day</t>
  </si>
  <si>
    <t>Daily Posts Percent Rank (0-1)</t>
  </si>
  <si>
    <t>Posts Shareable on SM? _Y_N_</t>
  </si>
  <si>
    <t>SM Shareability Notes</t>
  </si>
  <si>
    <t>SM Shareability 0.5</t>
  </si>
  <si>
    <t>Overall Observations _innovations_ content_ posting frequency_ etc._</t>
  </si>
  <si>
    <t>Innovation Score _0.5_</t>
  </si>
  <si>
    <t>Total Tumblr  (0-2)</t>
  </si>
  <si>
    <t>Adjusted Tumblr Score (0-5)</t>
  </si>
  <si>
    <t>http://alexandermcqueen-.tumblr.com/</t>
  </si>
  <si>
    <t>http://ballyofficial.tumblr.com</t>
  </si>
  <si>
    <t>No interaction or shareability enabled.</t>
  </si>
  <si>
    <t>All product photos, link to relevant part of online shop but site has minimal customization, boring theme, and no frequency in updates.</t>
  </si>
  <si>
    <t>http://bottegaveneta.tumblr.com</t>
  </si>
  <si>
    <t>Bottega Veneta - When Your Own Initials Are Enough</t>
  </si>
  <si>
    <t>diverse content from videos, photo shoots, ads, andquotes/promos.  Background is the brand's signature weave.
Includes publicity for a "vote for your favorite photographer" campaign with each photographer's works for BV, their bio and a link to vote for them on the campaign site (a partnership with Vogue)</t>
  </si>
  <si>
    <t>http://burberry.tumblr.com/</t>
  </si>
  <si>
    <t>Art of the Trench Tumblr</t>
  </si>
  <si>
    <t>http://calvinklein.tumblr.com</t>
  </si>
  <si>
    <t>FB, Twitter, Pinterest, very easy to do.</t>
  </si>
  <si>
    <t>Features tabs for three hashtags, most of posts are pictures of the store and old and new pictures from their underwear (mostly men's) campaigns.</t>
  </si>
  <si>
    <t>http://chanel.tumblr.com</t>
  </si>
  <si>
    <t>CC</t>
  </si>
  <si>
    <t>minimal, difficult to use.</t>
  </si>
  <si>
    <t>http://leaudechloe.tumblr.com/</t>
  </si>
  <si>
    <t>L'eau de Chloe</t>
  </si>
  <si>
    <t>http://dvf.tumblr.com</t>
  </si>
  <si>
    <t>The Studio</t>
  </si>
  <si>
    <t>Only photos, most about inspiration/image.  Some pictures of DVF patterns or clothes.</t>
  </si>
  <si>
    <t>http://dolcegabbana.tumblr.com</t>
  </si>
  <si>
    <t>Mostly pictures of DG in advertisements and magazine appearences (Tatler, Elle China, etc.)</t>
  </si>
  <si>
    <t>http://dknyprgirl.tumblr.com/</t>
  </si>
  <si>
    <t>Twitter</t>
  </si>
  <si>
    <t>http://armani.tumblr.com/</t>
  </si>
  <si>
    <t>Armani</t>
  </si>
  <si>
    <t>http://gucci.tumblr.com</t>
  </si>
  <si>
    <t>FB, Twitter, permalink</t>
  </si>
  <si>
    <t>Pictures of clothes, bags, and shoes.  Pictures of clothes, men's and women's, from fashion shows are the most popular.</t>
  </si>
  <si>
    <t>http://katespadeny.tumblr.com</t>
  </si>
  <si>
    <t>FB, Twitter, Google+</t>
  </si>
  <si>
    <t>Many photos taken with Instagram.  Some product photos, mostly a photoblog about NY.</t>
  </si>
  <si>
    <t>http://lacoste.tumblr.com</t>
  </si>
  <si>
    <t>Shows pictures by color.  About hal of the pictures are relevant to th</t>
  </si>
  <si>
    <t>http://marcjacobs.tumblr.com</t>
  </si>
  <si>
    <t>Random pictures from all over.  Very sparse page.</t>
  </si>
  <si>
    <t>http://oscarprgirl.tumblr.com</t>
  </si>
  <si>
    <t>Oscar PR Girl</t>
  </si>
  <si>
    <t>FB, Twitter, Pinterest</t>
  </si>
  <si>
    <t>Pictures of Oscar clothes, a few random photos.  Good integration, but boring content.</t>
  </si>
  <si>
    <t>http://stella-kids.tumblr.com</t>
  </si>
  <si>
    <t>Stella McCartney Kids</t>
  </si>
  <si>
    <t>Cute content with GIFs for kids, a cut-out headband, and cute photos.</t>
  </si>
  <si>
    <t>http://tommyhilfiger.tumblr.com</t>
  </si>
  <si>
    <t>TH Prep World</t>
  </si>
  <si>
    <t>Mostly vintage pictures of TH ads.  Links to other interesting tumblrs (vogue).  Well designed.</t>
  </si>
  <si>
    <t>http://toryburch.tumblr.com</t>
  </si>
  <si>
    <t>Torypedia</t>
  </si>
  <si>
    <t xml:space="preserve">Younger pictures of Tory and things that inspire her. Feels more like a personal tumblr than a commercial one. </t>
  </si>
  <si>
    <t>http://blog.redvalentino.com/</t>
  </si>
  <si>
    <t>REDValentino</t>
  </si>
  <si>
    <t>Sub</t>
  </si>
  <si>
    <t>http://viviennewestwood.tumblr.com</t>
  </si>
  <si>
    <t>Features Vivienne and quotes.  First post was July 13.</t>
  </si>
  <si>
    <t>http://zacposen.tumblr.com</t>
  </si>
  <si>
    <t>Mostly random photos.</t>
  </si>
  <si>
    <t>http://donnasjournal.tumblr.com/</t>
  </si>
  <si>
    <t>Donna's Journal</t>
  </si>
  <si>
    <t>Twitter Account _Y_N_</t>
  </si>
  <si>
    <t>Multiple Twitter Accounts? _Y_N_</t>
  </si>
  <si>
    <t>Does Brand Maintain Separate Account for Individual Properties_Regions? _Y_N_</t>
  </si>
  <si>
    <t>Twitter Handle 2</t>
  </si>
  <si>
    <t>Twitter URL</t>
  </si>
  <si>
    <t>Verified Account? _Y_N_</t>
  </si>
  <si>
    <t>DATE 1</t>
  </si>
  <si>
    <t># @Replies last 100 tweets</t>
  </si>
  <si>
    <t>@Replies Score _0_0.25_</t>
  </si>
  <si>
    <t># @mentions last 100 tweets</t>
  </si>
  <si>
    <t>@mention score_0_0.25_</t>
  </si>
  <si>
    <t>#hashtags last 100 tweets</t>
  </si>
  <si>
    <t>Hashtag Score (0.25)</t>
  </si>
  <si>
    <t># RTs last 100 Tweets</t>
  </si>
  <si>
    <t>RT Score _0_0.25_</t>
  </si>
  <si>
    <t>#media in last 100 tweets</t>
  </si>
  <si>
    <t>Media Score (0.25)</t>
  </si>
  <si>
    <t>Links to SM in Tweet stream  _Y_N_</t>
  </si>
  <si>
    <t>Links to SM Score  _0_0.25_</t>
  </si>
  <si>
    <t>Content Total Score (1.5)</t>
  </si>
  <si>
    <t>How would you describe the content overall?</t>
  </si>
  <si>
    <t>Briefly describe any innovations observed</t>
  </si>
  <si>
    <t>Is Brand Utilizing Promoted Tweets?_Y_N_</t>
  </si>
  <si>
    <t>Bonus: Innovation _ Voice Score 0.5</t>
  </si>
  <si>
    <t>Deals _ Offers _Y_N_</t>
  </si>
  <si>
    <t>Contests _Y_N_</t>
  </si>
  <si>
    <t>Events _Y_N_</t>
  </si>
  <si>
    <t>Customer Service _Y_N_</t>
  </si>
  <si>
    <t>Study::Twitter: Custom #1 Label Value</t>
  </si>
  <si>
    <t>Custom #1</t>
  </si>
  <si>
    <t>DATE 2</t>
  </si>
  <si>
    <t># Observation Days</t>
  </si>
  <si>
    <t># Followers Date 1</t>
  </si>
  <si>
    <t># Tweets Date 1</t>
  </si>
  <si>
    <t># Tweets Date 2</t>
  </si>
  <si>
    <t># Followers Date 2A</t>
  </si>
  <si>
    <t># Followers Score (1)</t>
  </si>
  <si>
    <t>Followers Absolute Growth Over Period</t>
  </si>
  <si>
    <t>Followers Absolute Growth Score  _0_0.5_</t>
  </si>
  <si>
    <t>Follower Growth % Score (0.5)</t>
  </si>
  <si>
    <t>Increase in # Tweets</t>
  </si>
  <si>
    <t>Average Tweets Per Day</t>
  </si>
  <si>
    <t>Tweet Frequency Score (0.5)</t>
  </si>
  <si>
    <t>TOTAL TWITTER SCORE</t>
  </si>
  <si>
    <t>http://www.twitter.com/WorldMcQueen</t>
  </si>
  <si>
    <t>Mostly tweets about their new shows or celebrities wearing McQueen.</t>
  </si>
  <si>
    <t>nothing innovative.</t>
  </si>
  <si>
    <t>e-Commerce</t>
  </si>
  <si>
    <t>http://www.twitter.com/Alfred_Dunhill</t>
  </si>
  <si>
    <t>Tweets quotes almost daily. Tweets vary and mostly promote something happening in the Dunhill universe (launches, shows, new stores, etc.)</t>
  </si>
  <si>
    <t>nothing particularly innovative.</t>
  </si>
  <si>
    <t>http://www.twitter.com/BadgleyMischka</t>
  </si>
  <si>
    <t>Lots of photos from events and some tweets about people wearing their dresses and brand publicity.</t>
  </si>
  <si>
    <t>http://www.twitter.com/BALENCIAGA</t>
  </si>
  <si>
    <t>Has an exclusive USA offer for two colors of one of their bags.  Others include show tweets, product tweets, and backstage/behind the scenes.</t>
  </si>
  <si>
    <t>Exclusive offers for bags.</t>
  </si>
  <si>
    <t>http://www.twitter.com/bally_swiss</t>
  </si>
  <si>
    <t>Mostly features products, occasionally celebrities.</t>
  </si>
  <si>
    <t>http://www.twitter.com/Belstaff</t>
  </si>
  <si>
    <t>Lots of tweets about the Olympics.  Several tweets for the new batman movie and about Ewan McGreggor.</t>
  </si>
  <si>
    <t>Following current events well.</t>
  </si>
  <si>
    <t>http://www.twitter.com/veneta_bottega</t>
  </si>
  <si>
    <t>Lots of people talking about Bottega Veneta.  Otherwise talking about celebrities.  Little of incorporation with other socials.  Not very interesting.</t>
  </si>
  <si>
    <t>http://www.twitter.com/Burberry</t>
  </si>
  <si>
    <t>Lots of tweets about the London weather, celebrities, campaigns, and products.</t>
  </si>
  <si>
    <t>Lots about London</t>
  </si>
  <si>
    <t>http://www.twitter.com/CalvinKlein</t>
  </si>
  <si>
    <t>Mostly about products.</t>
  </si>
  <si>
    <t>http://www.twitter.com/MalandrinoBuzz</t>
  </si>
  <si>
    <t>Mostly about collections and CM's life with restaurants/events that she goes to.  Lots of buzz about the flag dress around July 4.</t>
  </si>
  <si>
    <t>Mentions restaurants and says whether they were good.</t>
  </si>
  <si>
    <t>http://www.twitter.com/CHANEL</t>
  </si>
  <si>
    <t>Lots of photos and videos.  Tweets are about shows, openings, celebrities, and occasionally products.</t>
  </si>
  <si>
    <t>http://www.twitter.com/Chloe_fashion</t>
  </si>
  <si>
    <t>Lots of interaction.</t>
  </si>
  <si>
    <t>http://www.twitter.com/Dior</t>
  </si>
  <si>
    <t>mostly relates to shows and celebrities, some campaign information.  Long string of play-by-play tweets about the couture show.</t>
  </si>
  <si>
    <t>First tweet is a promoted tweet about Dior on Pinterest.</t>
  </si>
  <si>
    <t>http://www.twitter.com/louboutinworld</t>
  </si>
  <si>
    <t>Mostly instagram photos of products.</t>
  </si>
  <si>
    <t>http://www.twitter.com/coach</t>
  </si>
  <si>
    <t>Mostly pictures of products from instagram or product news.</t>
  </si>
  <si>
    <t>http://www.twitter.com/colehaan</t>
  </si>
  <si>
    <t>Lots of product photos, event photos, and lifestyle updates asking questions ?(what are your pics for restaurant week? RT if you're beach bumming this weekend. etc..)</t>
  </si>
  <si>
    <t>Asking for interaction.</t>
  </si>
  <si>
    <t>http://www.twitter.com/dvf</t>
  </si>
  <si>
    <t>Lots of personal tweets form Diane, incl live from London and motivational tweets.  Ends a lot of tweets "love Diane"</t>
  </si>
  <si>
    <t>Lots of motivational tweets about how to be a better person.</t>
  </si>
  <si>
    <t>http://www.twitter.com/dolcegabbana</t>
  </si>
  <si>
    <t>Wide-ranging brand publicity, including Bryanboy collab, Red Carpet, promos, adverts, links to new collection of t-shirts,</t>
  </si>
  <si>
    <t>Lots of interaction, particularly with Swide.</t>
  </si>
  <si>
    <t>http://www.twitter.com/dkny</t>
  </si>
  <si>
    <t>Random.  Follows the life of the PR girl in her work for DKNY, features some products, but pretty random.</t>
  </si>
  <si>
    <t>http://www.twitter.com/EmilioPucci</t>
  </si>
  <si>
    <t>Celebrities and products, regularly links to shopping. Some posts about uthe creative director.</t>
  </si>
  <si>
    <t>http://www.twitter.com/ZegnaHQ</t>
  </si>
  <si>
    <t>Mostly to do with show/product lines, provides some suggestions about how to wear things.</t>
  </si>
  <si>
    <t>http://www.twitter.com/ESCADAmericasPR</t>
  </si>
  <si>
    <t>Celebrity/every day shots of clothes with some comments about other events.</t>
  </si>
  <si>
    <t>http://www.twitter.com/armani</t>
  </si>
  <si>
    <t xml:space="preserve">EA7 App promotion, tweets about Team Italia for the Olympics, lots of photos from events, promotions for Batman and Magic Mike (which Armani supplied), promotion for their instagram "frames of life" campaign, </t>
  </si>
  <si>
    <t>Enormous volume and variety in promotions and brand activity.</t>
  </si>
  <si>
    <t>http://www.twitter.com/GIVENCHY_NEWS</t>
  </si>
  <si>
    <t>http://www.twitter.com/gucci</t>
  </si>
  <si>
    <t>Products (specific ecommerce), campaigns, press/celebrity coverage, store openings/news.</t>
  </si>
  <si>
    <t>Links to ecommerce (specific).</t>
  </si>
  <si>
    <t>http://www.twitter.com/_HermesParis</t>
  </si>
  <si>
    <t>Official but has not started tweeting yet.</t>
  </si>
  <si>
    <t>http://www.twitter.com/hugoboss</t>
  </si>
  <si>
    <t>http://www.twitter.com/jimmychooltd</t>
  </si>
  <si>
    <t>Mostly about products/sales with pictures.</t>
  </si>
  <si>
    <t>http://www.twitter.com/johnvarvatos</t>
  </si>
  <si>
    <t>Sponsored music/store opening news, as well as behind the scenes and fashion show news.</t>
  </si>
  <si>
    <t>http://www.twitter.com/katespadeny</t>
  </si>
  <si>
    <t>Brand news, behind the scenes in-store, event news, and a constant stream of lifestyle updates from the girl who'se doing this.</t>
  </si>
  <si>
    <t>Monday music playlist.</t>
  </si>
  <si>
    <t>http://www.twitter.com/LACOSTE</t>
  </si>
  <si>
    <t>http://www.twitter.com/lancel</t>
  </si>
  <si>
    <t>Customer service and brand news.  All in french.</t>
  </si>
  <si>
    <t>http://www.twitter.com/LANVINofficial</t>
  </si>
  <si>
    <t>Mostly interacting with fans, some posts about new collection and new campaign.</t>
  </si>
  <si>
    <t>Responds to fans random "we love you" posts.</t>
  </si>
  <si>
    <t>http://www.twitter.com/longchamp_us</t>
  </si>
  <si>
    <t>New campaign, new products.</t>
  </si>
  <si>
    <t>http://www.twitter.com/LouisVuitton</t>
  </si>
  <si>
    <t>Celebrity news, store news, collections, travel news.</t>
  </si>
  <si>
    <t>https://twitter.com/ManoloBlahnik</t>
  </si>
  <si>
    <t>?</t>
  </si>
  <si>
    <t>http://www.twitter.com/MarcJacobsIntl</t>
  </si>
  <si>
    <t>http://www.twitter.com/michaelkors</t>
  </si>
  <si>
    <t>personal voice, promotes products, project runway.</t>
  </si>
  <si>
    <t>http://www.twitter.com/missoni_spa</t>
  </si>
  <si>
    <t xml:space="preserve">News from Angela Missoni, celebrities wearing missoni, inspiration for the collection, Missoni in magazines, new store news, </t>
  </si>
  <si>
    <t>Retweets from MissoniUK, MissoniSpain, and M Maccapani Missoni so that you can see the entire Missoni universe.</t>
  </si>
  <si>
    <t>http://www.twitter.com/Mulberry_Editor</t>
  </si>
  <si>
    <t>General brand news, Mulberry in magazines, new San Francisco store opening.</t>
  </si>
  <si>
    <t>http://www.twitter.com/oscarprgirl</t>
  </si>
  <si>
    <t>Products, celebrity news, quotes from Oscar, random lifestyle insights, behind the scenes from shows.</t>
  </si>
  <si>
    <t>insight into the brand/quotes form Oscar/tumblr</t>
  </si>
  <si>
    <t>http://www.twitter.com/paulsmithdesign</t>
  </si>
  <si>
    <t>Olympics updates, celebrities with Paul Smith, news about Paul, lifestyle news.</t>
  </si>
  <si>
    <t>We like Wednesday: music/things that Paul Smith likes every Wednesday.  "Ask Paul a question about his show" where Paul answered some questions about the show.</t>
  </si>
  <si>
    <t>http://www.twitter.com/RalphLauren</t>
  </si>
  <si>
    <t>Mostly all Olympics coverage.</t>
  </si>
  <si>
    <t>Promoted post of US Olympic team and a lot of Olympics coverage using #Olympics &amp; #TeamUSA hashtags. Cross promotion with #RLRally on Facebook.</t>
  </si>
  <si>
    <t>http://www.twitter.com/roberto_cavalli</t>
  </si>
  <si>
    <t>Press/celebrity coverage, ad campaigns, the designer's thoughts, links to blog.</t>
  </si>
  <si>
    <t>Nothing that innovative/interesting.</t>
  </si>
  <si>
    <t>http://www.twitter.com/Ferragamo</t>
  </si>
  <si>
    <t>Press/celebrity coverage with photos.</t>
  </si>
  <si>
    <t>Links to social media but nothing innovative and content isn't that interesting.</t>
  </si>
  <si>
    <t>https://twitter.com/sergiorossi</t>
  </si>
  <si>
    <t>http://www.twitter.com/StellaMcCartney</t>
  </si>
  <si>
    <t>Participates in the #musicmonday hashtag trend, Olympics, celebrity/press coverage.</t>
  </si>
  <si>
    <t>Olympic coverage since the brand designed Britain's uniforms.</t>
  </si>
  <si>
    <t>http://www.twitter.com/Stuart_Weitzman</t>
  </si>
  <si>
    <t>Celebrity/press coverage, product/collection links.</t>
  </si>
  <si>
    <t>#obsessedwith hashtag usage , linking to ecommerce.</t>
  </si>
  <si>
    <t>http://www.twitter.com/Ted_baker</t>
  </si>
  <si>
    <t>Customer service, news, links to collection/products.</t>
  </si>
  <si>
    <t>Tweet a photo with Ted Baker's BT Artbox to win a 250-pound shopping spree.</t>
  </si>
  <si>
    <t>http://www.twitter.com/theory__</t>
  </si>
  <si>
    <t>Event coverage photos, press/celebrity coverage with photos, links to the collection/products.</t>
  </si>
  <si>
    <t>Links to social media and live event coverage and ecommerce.</t>
  </si>
  <si>
    <t>http://www.twitter.com/Thomas_Pink_</t>
  </si>
  <si>
    <t>Contests, links to collection/products, customer service, press/celebrity coverage.</t>
  </si>
  <si>
    <t>Hampton Jitney competition's chance to win $1,000 gift card by tweeting a photo if you spot the customized Hampton Jitney. Also has contest to win 20 pound voucher by sharing a photo of PINK Morgan.</t>
  </si>
  <si>
    <t>http://www.twitter.com/TommyHilfiger</t>
  </si>
  <si>
    <t>Brand ambassador Keegan Bradley at The Open coverage, a little press/celebrity coverage</t>
  </si>
  <si>
    <t>Links to social media.</t>
  </si>
  <si>
    <t>http://www.twitter.com/toryburch</t>
  </si>
  <si>
    <t>Tweets are lifestyle (travel, music, Olympics, women in business) with links to blog. Also some press/celebrity coverage.</t>
  </si>
  <si>
    <t>Links to social media, including blog. Expected a lot more links to other platforms, contests, promotions, and links to the ecommerce site.</t>
  </si>
  <si>
    <t>http://www.twitter.com/maisonvalentino</t>
  </si>
  <si>
    <t>Contests, press/celebrity, event/runway coverage.</t>
  </si>
  <si>
    <t>Promoting Instagram contest with hashtag #MyValentinaNights, fans take photos of a city by night in the spirit of Valentina with the hashtag to win  a weekend in Rome.</t>
  </si>
  <si>
    <t>http://www.twitter.com/versace</t>
  </si>
  <si>
    <t>Press/celebrity tweets with photos of coverage.</t>
  </si>
  <si>
    <t>Tweets linking to social media and a little of coverage for events like Atelier Versace at Paris Fashion Week.</t>
  </si>
  <si>
    <t>http://www.twitter.com/FollowWestwood</t>
  </si>
  <si>
    <t>A lot of tweets &amp; photos of press coverage/celebrities and also some political.</t>
  </si>
  <si>
    <t>Links to social media and ecommerce (specific); could be live tweeting the runway shows but isn't.</t>
  </si>
  <si>
    <t>http://www.twitter.com/ysl</t>
  </si>
  <si>
    <t>Very boring...barely tweets and just photos.</t>
  </si>
  <si>
    <t>Not innovative at all.</t>
  </si>
  <si>
    <t>http://www.twitter.com/zac_posen</t>
  </si>
  <si>
    <t>Pretty boring tweets; most media tweets are of photos with celebrity coverage.</t>
  </si>
  <si>
    <t>None really.</t>
  </si>
  <si>
    <t>http://www.twitter.com/DerekLamNYC</t>
  </si>
  <si>
    <t>Event photos,, RT and conversing with other brands. Links to email marketing.</t>
  </si>
  <si>
    <t>Links to social media and has coverage of events and links to Constant Contact email newsletters that redirect to ecommerce.</t>
  </si>
  <si>
    <t>http://www.twitter.com/vineyardvines</t>
  </si>
  <si>
    <t>STUDY</t>
  </si>
  <si>
    <t>BRAND</t>
  </si>
  <si>
    <t>WEBSITE</t>
  </si>
  <si>
    <t>SEARCH TERMS</t>
  </si>
  <si>
    <t>Reddit: Results</t>
    <phoneticPr fontId="3" type="noConversion"/>
  </si>
  <si>
    <r>
      <t xml:space="preserve">Reddit: Results </t>
    </r>
    <r>
      <rPr>
        <b/>
        <sz val="10"/>
        <color indexed="8"/>
        <rFont val="Calibri"/>
        <family val="2"/>
      </rPr>
      <t>Score</t>
    </r>
  </si>
  <si>
    <r>
      <t>IceRocket</t>
    </r>
    <r>
      <rPr>
        <b/>
        <sz val="10"/>
        <color indexed="8"/>
        <rFont val="Calibri"/>
        <family val="2"/>
      </rPr>
      <t>:</t>
    </r>
    <r>
      <rPr>
        <b/>
        <sz val="10"/>
        <color indexed="8"/>
        <rFont val="Calibri"/>
        <family val="2"/>
      </rPr>
      <t xml:space="preserve">  Recent Posts</t>
    </r>
  </si>
  <si>
    <r>
      <t>IceRocket</t>
    </r>
    <r>
      <rPr>
        <b/>
        <sz val="10"/>
        <color indexed="8"/>
        <rFont val="Calibri"/>
        <family val="2"/>
      </rPr>
      <t>:</t>
    </r>
    <r>
      <rPr>
        <b/>
        <sz val="10"/>
        <color indexed="8"/>
        <rFont val="Calibri"/>
        <family val="2"/>
      </rPr>
      <t xml:space="preserve"> Recent Posts Score</t>
    </r>
  </si>
  <si>
    <t>UBERVU:Sentiment</t>
    <phoneticPr fontId="3" type="noConversion"/>
  </si>
  <si>
    <t xml:space="preserve">UBERVU: % Positive </t>
    <phoneticPr fontId="3" type="noConversion"/>
  </si>
  <si>
    <t>UBERVU:Mentions</t>
  </si>
  <si>
    <t>UBERVU:Sentiment Scoring_0_1_</t>
  </si>
  <si>
    <t>TOTAL USER GEN SCORE_0_5_</t>
  </si>
  <si>
    <t>ID</t>
  </si>
  <si>
    <t>Fairly Positive</t>
  </si>
  <si>
    <t>Mostly Positive</t>
  </si>
  <si>
    <t>Bally Shoes</t>
  </si>
  <si>
    <t>Chloe Bag</t>
  </si>
  <si>
    <t>Mostly Negative</t>
  </si>
  <si>
    <t>Coach Bags</t>
  </si>
  <si>
    <t>http://www.dolcegabban.com</t>
  </si>
  <si>
    <t>http://www.donnakaran.com</t>
  </si>
  <si>
    <t>http://www.escada.com</t>
  </si>
  <si>
    <t>http://www.fendi.com</t>
  </si>
  <si>
    <t>Slightly Positive</t>
  </si>
  <si>
    <t>http://www.armani.com</t>
  </si>
  <si>
    <t>http://www.hermes.com</t>
  </si>
  <si>
    <t>Hermes Bags</t>
  </si>
  <si>
    <t>http://www.jimmychoo.com</t>
  </si>
  <si>
    <t>http://www.johnvarvatos.com</t>
  </si>
  <si>
    <t>http://www.lacoste.com</t>
  </si>
  <si>
    <t>http://www.lanvin.com</t>
  </si>
  <si>
    <t>Vuitton</t>
  </si>
  <si>
    <t>http://www.manoloblahnik.com</t>
  </si>
  <si>
    <t>http://www.marcjacobs.com</t>
  </si>
  <si>
    <t>http://www.michaelkors.com</t>
  </si>
  <si>
    <t>http://www.missoni.com</t>
  </si>
  <si>
    <t>Mulberry Bags</t>
  </si>
  <si>
    <t>http://www.oscardelarenta.com</t>
  </si>
  <si>
    <t>http://www.paulsmith.co.uk</t>
  </si>
  <si>
    <t>Paul Smith Clothing</t>
  </si>
  <si>
    <t>Ferragamo</t>
  </si>
  <si>
    <t>http://www.sergiorossi.com</t>
  </si>
  <si>
    <t>http://www.stellamccartney.com</t>
  </si>
  <si>
    <t>Extremely Positive</t>
  </si>
  <si>
    <t>Theyskens</t>
  </si>
  <si>
    <t>http://www.thomaspink.com</t>
  </si>
  <si>
    <t>http://www.tods.com</t>
  </si>
  <si>
    <t>Tod's Shoes</t>
  </si>
  <si>
    <t>http://www.tommy.com</t>
  </si>
  <si>
    <t>Valentino Dress</t>
  </si>
  <si>
    <t>http://www.zacposen.com</t>
  </si>
  <si>
    <t>http://www.dereklam.com</t>
  </si>
  <si>
    <t>vineyard vines</t>
  </si>
  <si>
    <t>Status</t>
  </si>
  <si>
    <t>_Symbol</t>
  </si>
  <si>
    <t>Network 1</t>
  </si>
  <si>
    <t>Network 2</t>
  </si>
  <si>
    <t>Network 3</t>
  </si>
  <si>
    <t>Network 4</t>
  </si>
  <si>
    <t>Network 5</t>
  </si>
  <si>
    <t>Network 6</t>
  </si>
  <si>
    <t>Network 7</t>
  </si>
  <si>
    <t>Network 8</t>
  </si>
  <si>
    <t>Network 9</t>
  </si>
  <si>
    <t>Network 10</t>
  </si>
  <si>
    <t>Network 11</t>
  </si>
  <si>
    <t>Network 12</t>
  </si>
  <si>
    <t>Network 13</t>
  </si>
  <si>
    <t>Network 14</t>
  </si>
  <si>
    <t>Network 15</t>
  </si>
  <si>
    <t>Network 16</t>
  </si>
  <si>
    <t>Network 17</t>
  </si>
  <si>
    <t>Network 18</t>
  </si>
  <si>
    <t>Network 19</t>
  </si>
  <si>
    <t>Network 20</t>
  </si>
  <si>
    <t>Network 21</t>
  </si>
  <si>
    <t>Network 22</t>
  </si>
  <si>
    <t>Network 23</t>
  </si>
  <si>
    <t>Type 1</t>
  </si>
  <si>
    <t>Type 2</t>
  </si>
  <si>
    <t>Type 3</t>
  </si>
  <si>
    <t>Type 4</t>
  </si>
  <si>
    <t>Type 5</t>
  </si>
  <si>
    <t>Type 6</t>
  </si>
  <si>
    <t>Type 7</t>
  </si>
  <si>
    <t>Type 8</t>
  </si>
  <si>
    <t>Type 9</t>
  </si>
  <si>
    <t>Type 10</t>
  </si>
  <si>
    <t>Type 11</t>
  </si>
  <si>
    <t>Type 12</t>
  </si>
  <si>
    <t>Type 13</t>
  </si>
  <si>
    <t>Type 14</t>
  </si>
  <si>
    <t>Type 15</t>
  </si>
  <si>
    <t>Type 16</t>
  </si>
  <si>
    <t>Type 17</t>
  </si>
  <si>
    <t>Type 18</t>
  </si>
  <si>
    <t>Type 19</t>
  </si>
  <si>
    <t>Type 20</t>
  </si>
  <si>
    <t>Type 21</t>
  </si>
  <si>
    <t>Type 22</t>
  </si>
  <si>
    <t>Type 23</t>
  </si>
  <si>
    <t>Retargetting Count</t>
  </si>
  <si>
    <t>Retargeting Score</t>
  </si>
  <si>
    <t>MIXRANK: On Mixrank?</t>
  </si>
  <si>
    <t>MIXRANK: Number of Ads</t>
  </si>
  <si>
    <t>MIXRANK: Ad Score</t>
  </si>
  <si>
    <t>MIXRANK: Banner _Y_N_</t>
  </si>
  <si>
    <t>MIXRANK: Banner Score</t>
  </si>
  <si>
    <t>Moat: Count of Visible Ads</t>
  </si>
  <si>
    <t>Moat: Score _0_1_</t>
  </si>
  <si>
    <t>FINAL SCORE _0_5_</t>
  </si>
  <si>
    <t>XiTi</t>
  </si>
  <si>
    <t>Analytics</t>
  </si>
  <si>
    <t>ChartBeat</t>
  </si>
  <si>
    <t>AdRoll</t>
  </si>
  <si>
    <t>DoubleClick</t>
  </si>
  <si>
    <t>DoubleClick Floodlight</t>
  </si>
  <si>
    <t>Google AdWords Conversion</t>
  </si>
  <si>
    <t>Right Media</t>
  </si>
  <si>
    <t>Retargeting</t>
  </si>
  <si>
    <t>Adserver</t>
  </si>
  <si>
    <t>Ad Exchange</t>
  </si>
  <si>
    <t>Crazy Egg</t>
  </si>
  <si>
    <t>Google +1</t>
  </si>
  <si>
    <t>Audience Insight</t>
  </si>
  <si>
    <t>Bookmarking/Sharing</t>
  </si>
  <si>
    <t>Brightcove</t>
  </si>
  <si>
    <t>Other</t>
  </si>
  <si>
    <t>Acerno</t>
  </si>
  <si>
    <t>Facebook Social Plugins</t>
  </si>
  <si>
    <t>Google AdWords</t>
  </si>
  <si>
    <t>NetMining</t>
  </si>
  <si>
    <t>Quantcast</t>
  </si>
  <si>
    <t>Rocket Fuel</t>
  </si>
  <si>
    <t>Rubicon</t>
  </si>
  <si>
    <t>Tribal Fusion</t>
  </si>
  <si>
    <t>ATG Recommendations</t>
  </si>
  <si>
    <t>Facebook Connect</t>
  </si>
  <si>
    <t>Bluelithium</t>
  </si>
  <si>
    <t>Chango</t>
  </si>
  <si>
    <t>ChannelAdvisor</t>
  </si>
  <si>
    <t>ClearSaleing</t>
  </si>
  <si>
    <t>Fetchback</t>
  </si>
  <si>
    <t>Gomez</t>
  </si>
  <si>
    <t>iPerceptions</t>
  </si>
  <si>
    <t>LeadBack</t>
  </si>
  <si>
    <t>Media6 Degrees</t>
  </si>
  <si>
    <t>mediaFORGE</t>
  </si>
  <si>
    <t>MediaMath</t>
  </si>
  <si>
    <t>Microsoft Atlas</t>
  </si>
  <si>
    <t>Monetate</t>
  </si>
  <si>
    <t>SpecificClick</t>
  </si>
  <si>
    <t>ValueClick Mediaplex</t>
  </si>
  <si>
    <t>AdPlan</t>
  </si>
  <si>
    <t>24/7 Real Media</t>
  </si>
  <si>
    <t>AdBrite</t>
  </si>
  <si>
    <t>AdMeld</t>
  </si>
  <si>
    <t>Burst Media</t>
  </si>
  <si>
    <t>Contextweb</t>
  </si>
  <si>
    <t>Criteo</t>
  </si>
  <si>
    <t>interclick</t>
  </si>
  <si>
    <t>Invite Media</t>
  </si>
  <si>
    <t>OpenX</t>
  </si>
  <si>
    <t>PubMatic</t>
  </si>
  <si>
    <t>Turn</t>
  </si>
  <si>
    <t>Undertone Networks</t>
  </si>
  <si>
    <t>Marin Search</t>
  </si>
  <si>
    <t>AddThis</t>
  </si>
  <si>
    <t>ShareThis</t>
  </si>
  <si>
    <t>Convertro</t>
  </si>
  <si>
    <t>Steel House Media</t>
  </si>
  <si>
    <t>Channel Intelligence</t>
  </si>
  <si>
    <t>LivePerson</t>
  </si>
  <si>
    <t>TagMan</t>
  </si>
  <si>
    <t>ConvergeTrack</t>
  </si>
  <si>
    <t>Optimost</t>
  </si>
  <si>
    <t>33Across</t>
  </si>
  <si>
    <t>YouTube Channel? _Y_N_</t>
  </si>
  <si>
    <t>Multiple YouTube Channels? _Y_N_</t>
  </si>
  <si>
    <t>YouTube URL</t>
  </si>
  <si>
    <t>Top Ad 1</t>
  </si>
  <si>
    <t>Top Ad 2</t>
  </si>
  <si>
    <t>Top Ad 3</t>
  </si>
  <si>
    <t>Top Ad 4</t>
  </si>
  <si>
    <t>Top Ad 5</t>
  </si>
  <si>
    <t>Bottom Ad 1</t>
  </si>
  <si>
    <t>Bottom Ad 2</t>
  </si>
  <si>
    <t>Is there a display Advertisment?_Y_N_</t>
  </si>
  <si>
    <t>Advertisment Brand</t>
  </si>
  <si>
    <t>Advertisment Link</t>
  </si>
  <si>
    <t># Brand Ads</t>
  </si>
  <si>
    <t># Competitor Ads</t>
  </si>
  <si>
    <t>Total Ads</t>
  </si>
  <si>
    <t>Brand Ad Real Estate %</t>
  </si>
  <si>
    <t>Ad Real Estate Score (0.5)</t>
  </si>
  <si>
    <t>Competitor Ad Real Estate</t>
  </si>
  <si>
    <t>Brand Competative Purchasing on Search?_Y_N_</t>
  </si>
  <si>
    <t>Ad Notes</t>
  </si>
  <si>
    <t>Is the Brand's Main Channel Highlighted in 1st Page of Search Results?_Y_N_</t>
  </si>
  <si>
    <t>Channel in Search Results Score (0.5)</t>
  </si>
  <si>
    <t>Brand 1st Page Results</t>
  </si>
  <si>
    <t>Total 1st Page Results</t>
  </si>
  <si>
    <t>% Search Real Estate</t>
  </si>
  <si>
    <t>Search Real Estate Score (0-1)</t>
  </si>
  <si>
    <t>URL Brand 1st Result</t>
  </si>
  <si>
    <t>Title 1st Result</t>
  </si>
  <si>
    <t>First Result: Does Description Link to Brand_3rd Party E_Commerce Site NON SPECIFIC?_Y_N_</t>
  </si>
  <si>
    <t>Brand Video 1 Score (0.25)</t>
  </si>
  <si>
    <t>First Result: Does Description Link to Brand_3rd Party E_Commerce Site SPECIFIC?_Y_N_</t>
  </si>
  <si>
    <t>Brand Video 1 Score (0.5)</t>
  </si>
  <si>
    <t>First Result: Sidebar Ad</t>
  </si>
  <si>
    <t>First Result: Brand Ads</t>
  </si>
  <si>
    <t>First Result: Competitor Ads</t>
  </si>
  <si>
    <t>Channel Experience: Channel Observations</t>
  </si>
  <si>
    <t>Channel Experience: Channel Innovation Score (0-0.5)</t>
  </si>
  <si>
    <t>Channel Experience: Date 1</t>
  </si>
  <si>
    <t>Channel Experience: # Subscribers Date 1</t>
  </si>
  <si>
    <t>Channel Experience: # Video Uploads Date 1</t>
  </si>
  <si>
    <t>Channel Experience: # Upload Views Date1</t>
  </si>
  <si>
    <t>Channel Experience: Date 2</t>
  </si>
  <si>
    <t>Channel Experience: # Subscribers Date 2</t>
  </si>
  <si>
    <t>Channel Experience: # Video Uploads Date 2</t>
  </si>
  <si>
    <t>Channel Experience: URL Most Viewed Date 2</t>
  </si>
  <si>
    <t>Channel Experience: Title Most Viewed Date 2</t>
  </si>
  <si>
    <t>Channel Experience: Date Most Viewed Posted</t>
  </si>
  <si>
    <t>Channel Experience: Views per day Date 2</t>
  </si>
  <si>
    <t>Channel Experience: Most Viewed: Ad?</t>
  </si>
  <si>
    <t>Channel Experience: Most Viewed: Brand Ads?</t>
  </si>
  <si>
    <t>Channel Experience: Most Viewed: Competitor Ads?</t>
  </si>
  <si>
    <t>Off Channel Experience: URL Most Viewed non_Brand Date 2</t>
  </si>
  <si>
    <t>Off Channel Experience: Title Most Viewed non_Brand Date 2</t>
  </si>
  <si>
    <t>Off Channel Experience: Date Most Viewed non_Brand Posted</t>
  </si>
  <si>
    <t>Off Channel Experience: Views Most Viewed non_Brand: Posted</t>
  </si>
  <si>
    <t>Off Channel Experience: Views Per Day</t>
  </si>
  <si>
    <t>Off Channel Experience: Most Viewed non_Brand: Display Ad</t>
  </si>
  <si>
    <t>Off Channel Experience: Most Viewed non_Brand: Ad</t>
  </si>
  <si>
    <t>Off Channel Experience: Most Viewed non_Brand: Brand Ad?</t>
  </si>
  <si>
    <t>Off Channel Experience: Most Viewed non_Brand: Competitor Ad?</t>
  </si>
  <si>
    <t>Brand Advertising on Video Score (0.5)</t>
  </si>
  <si>
    <t>Subscriber Growth Absolute</t>
  </si>
  <si>
    <t>Subscriber % Growth</t>
  </si>
  <si>
    <t>Channel Growth Absolute</t>
  </si>
  <si>
    <t>Video Uploads Growth Absolute</t>
  </si>
  <si>
    <t>Video Upload % Growth</t>
  </si>
  <si>
    <t>Views Per Upload</t>
  </si>
  <si>
    <t>Channel Experience: # Upload views Date 2</t>
  </si>
  <si>
    <t>Scoring Upload Views Score (0.5)</t>
  </si>
  <si>
    <t>Upload Views Growth Absolute</t>
  </si>
  <si>
    <t>Scoring Upload Views Abs Score (0.25)</t>
  </si>
  <si>
    <t>Upload Views % Growth</t>
  </si>
  <si>
    <t>Scoring Upload Views Growth % Score (0.25)</t>
  </si>
  <si>
    <t>Weeks elappsed</t>
  </si>
  <si>
    <t>Uploads per Week</t>
  </si>
  <si>
    <t>Scoring Upload Frequency Score (0.25)</t>
  </si>
  <si>
    <t>Channel Experience: Views of Most Viewed Date 2</t>
  </si>
  <si>
    <t>Scoring # of Views Most Viewed Score (0.25)</t>
  </si>
  <si>
    <t>TOTAL YOUTUBE SCORE (0-5)</t>
  </si>
  <si>
    <t>http://www.youtube.com/McQueenworld</t>
  </si>
  <si>
    <t>DisneyParks</t>
  </si>
  <si>
    <t>Hydroxatone</t>
  </si>
  <si>
    <t>mTV</t>
  </si>
  <si>
    <t>Nothing to note; 2 top, 1 bottom, and 1 display ad...none competitor/brand.</t>
  </si>
  <si>
    <t>http://www.youtube.com/watch?v=W5wXXJpQyxg</t>
  </si>
  <si>
    <t>Alexander McQueen | Autumn/Winter 2012 | Campaign Film</t>
  </si>
  <si>
    <t>Basic YouTube channel with link to site, some playlists and a Runway Video stream.</t>
  </si>
  <si>
    <t>http://www.youtube.com/watch?v=N8Qxok6HRjM&amp;feature=plcp</t>
  </si>
  <si>
    <t>McQ | Autumn/Winter 2012 | Runway Show</t>
  </si>
  <si>
    <t>http://www.youtube.com/watch?v=pUvFTc2mlNY</t>
  </si>
  <si>
    <t>**Official Premiere** Lady Gaga - Bad Romance at Alexander McQueen's Plato's Atlantis</t>
  </si>
  <si>
    <t>NBC Olympics</t>
  </si>
  <si>
    <t>http://www.youtube.com/AlfredDunhill</t>
  </si>
  <si>
    <t>12</t>
  </si>
  <si>
    <t>Trafalgar by Alfred Dunhill</t>
  </si>
  <si>
    <t>JustinBieberSomeday</t>
  </si>
  <si>
    <t>Basic channel witih links to site, social media (G+, FB, Twitter), &amp; feed of playlists.</t>
  </si>
  <si>
    <t>http://www.youtube.com/watch?v=5WGMOGVCTcY&amp;feature=plcp</t>
  </si>
  <si>
    <t>'For The Love' by Alfred Dunhill</t>
  </si>
  <si>
    <t>http://www.youtube.com/watch?v=5s3Y1NA29tA</t>
  </si>
  <si>
    <t>Henry Cavill - Dunhill Black</t>
  </si>
  <si>
    <t>http://www.youtube.com/BadgleyMischka</t>
  </si>
  <si>
    <t>http://www.youtube.com/watch?v=-5VbxBz3RUA</t>
  </si>
  <si>
    <t>Badgley Mischka - Fall 2012 Runway Show</t>
  </si>
  <si>
    <t>Basic channel linking to site, feed of uploaded videos, and a playlist of runway videos.</t>
  </si>
  <si>
    <t>http://www.youtube.com/watch?v=CdqMQ1k9LBw&amp;feature=plcp</t>
  </si>
  <si>
    <t>Annie Leibovitz shoots the Badgley Mischka campaign</t>
  </si>
  <si>
    <t>http://www.youtube.com/watch?v=DvZ4dNNQi1I</t>
  </si>
  <si>
    <t>New! Top 10 Wedding Dress Trends, Fall 2012 -- The Knot</t>
  </si>
  <si>
    <t>http://www.youtube.com/BalenciagaSA</t>
  </si>
  <si>
    <t>LOUISVUITTON</t>
  </si>
  <si>
    <t>Ya Los Angeles</t>
  </si>
  <si>
    <t>shoelinedotcom</t>
  </si>
  <si>
    <t>Cartier</t>
  </si>
  <si>
    <t>VIZIOusa</t>
  </si>
  <si>
    <t>2 top/3 side ads &amp; 2 bottom...2 competitor (Louis Vuitton) ads (top/bottom).</t>
  </si>
  <si>
    <t>http://www.youtube.com/watch?v=wRL9DEdfbsQ</t>
  </si>
  <si>
    <t>Balenciaga - Video Resort 2012</t>
  </si>
  <si>
    <t>Basic channel with link to site and not much else.</t>
  </si>
  <si>
    <t>http://www.youtube.com/watch?v=0oSutj1Wqg4&amp;feature=plcp</t>
  </si>
  <si>
    <t>BALENCIAGA FALL/WINTER 2012-13 PRE COLLECTION - THE VIDEO</t>
  </si>
  <si>
    <t>http://www.youtube.com/watch?v=FHJfutCugkA</t>
  </si>
  <si>
    <t>Tips for shopping on Ebay - Part II - Balenciaga</t>
  </si>
  <si>
    <t>NBC</t>
  </si>
  <si>
    <t>http://www.youtube.com/BallySwiss</t>
  </si>
  <si>
    <t>AbstractSoles</t>
  </si>
  <si>
    <t>amiclubwear</t>
  </si>
  <si>
    <t>jumpman23</t>
  </si>
  <si>
    <t>okabashibrands</t>
  </si>
  <si>
    <t>9</t>
  </si>
  <si>
    <t>http://www.youtube.com/watch?v=FEI0k_0tzmA</t>
  </si>
  <si>
    <t>Bally Shoes Made To Order Material &amp; Colour</t>
  </si>
  <si>
    <t>Custom banner on channel with email sign up, links to ecommerce. Channel also links to social media (FB, Twitter, Pinterest)&amp; site, with organized playlists.</t>
  </si>
  <si>
    <t>http://www.youtube.com/watch?v=0rr66mPc_oM&amp;feature=plcp</t>
  </si>
  <si>
    <t>Bally Interactive Experience</t>
  </si>
  <si>
    <t>http://www.youtube.com/watch?v=J66omlv0_PU</t>
  </si>
  <si>
    <t>Bally Autumn Winter 2010</t>
  </si>
  <si>
    <t>http://www.youtube.com/belstaffengland</t>
  </si>
  <si>
    <t>ScooterDepotDotUS</t>
  </si>
  <si>
    <t>HOTWHEELS</t>
  </si>
  <si>
    <t>http://www.youtube.com/watch?v=6F_Gf39KJB0</t>
  </si>
  <si>
    <t>Belstaff's Autumn/Winter 2012 Presentation</t>
  </si>
  <si>
    <t>Jill Milan</t>
  </si>
  <si>
    <t>Very basic channel; only 1 video upload and not even a link to the site.</t>
  </si>
  <si>
    <t>http://www.youtube.com/watch?v=E0YE4NnakNQ&amp;feature=plcp</t>
  </si>
  <si>
    <t>The Legends of Belstaff</t>
  </si>
  <si>
    <t>http://www.youtube.com/watch?v=Ubh-un3k_UQ</t>
  </si>
  <si>
    <t>Belstaff FW07 Backstage (Milan) - Mathias Lauridsen</t>
  </si>
  <si>
    <t>http://www.youtube.com/BottegaVeneta</t>
  </si>
  <si>
    <t>NETAPORTER</t>
  </si>
  <si>
    <t>horsedream</t>
  </si>
  <si>
    <t>adidasSoccerUS</t>
  </si>
  <si>
    <t>6</t>
  </si>
  <si>
    <t>http://www.youtube.com/watch?v=_YGv4K8WNqQ</t>
  </si>
  <si>
    <t>Bottega Veneta Men's Spring Summer 2011 Runway Show</t>
  </si>
  <si>
    <t>Basic channel linking to site and social media (FB, tumblr), and stream of uploaded videos.</t>
  </si>
  <si>
    <t>http://www.youtube.com/watch?v=_YGv4K8WNqQ&amp;feature=plcp</t>
  </si>
  <si>
    <t>http://www.youtube.com/watch?v=eytOi0VaN5w</t>
  </si>
  <si>
    <t>Bottega Veneta: Spring 2009 RTW</t>
  </si>
  <si>
    <t>http://www.youtube.com/Burberry</t>
  </si>
  <si>
    <t>2 top (competitor/brand), 6 side, and 1 bottom (competitor) ads.</t>
  </si>
  <si>
    <t>16</t>
  </si>
  <si>
    <t>http://www.youtube.com/watch?v=mymYfX0jTbI</t>
  </si>
  <si>
    <t>Full Show: Burberry Prorsum Womenswear Autumn/Winter 2012 Show</t>
  </si>
  <si>
    <t>Customized channel with banner linking to site, Facebook &amp; Twitter. Profile also links to site &amp; social media (G+, FB, Twitter) with a lot of organized playlists.</t>
  </si>
  <si>
    <t>http://www.youtube.com/watch?v=y8UnPsLvtiA&amp;feature=plcp</t>
  </si>
  <si>
    <t>'Remember' by Misty Miller - Burberry Acoustic</t>
  </si>
  <si>
    <t>http://www.youtube.com/watch?v=gq8_pW6f5HQ</t>
  </si>
  <si>
    <t>Burberry Prorsum Spring 2013 Menswear</t>
  </si>
  <si>
    <t>Olay</t>
  </si>
  <si>
    <t>http://www.youtube.com/calvinklein</t>
  </si>
  <si>
    <t>YouTube</t>
  </si>
  <si>
    <t>http://www.youtube.com/watch?v=gYzjKu9Hl-U</t>
  </si>
  <si>
    <t>Calvin Klein Collection</t>
  </si>
  <si>
    <t>Basic site with organized playlists and links to the site &amp; social media (FB, Twitter, tumblr).</t>
  </si>
  <si>
    <t>http://www.youtube.com/watch?v=gYzjKu9Hl-U&amp;feature=plcp</t>
  </si>
  <si>
    <t>http://www.youtube.com/watch?v=-n9bTSwgCIc</t>
  </si>
  <si>
    <t>Calvin Klein's Racy New Ad</t>
  </si>
  <si>
    <t>Progressive</t>
  </si>
  <si>
    <t>http://www.youtube.com/catherinemalandrino</t>
  </si>
  <si>
    <t>http://www.youtube.com/watch?v=bkGQSiPK8jU</t>
  </si>
  <si>
    <t>Catherine Malandrino Fall-Winter 2012 Presentation</t>
  </si>
  <si>
    <t>Basic channel that doesn't even link to site but has some playlists.</t>
  </si>
  <si>
    <t>http://www.youtube.com/watch?v=lwLTrgOZxkg&amp;feature=plcp</t>
  </si>
  <si>
    <t>Malandrino Spring - Summer 2011 "Madoura" - Presentation at Lincoln Center</t>
  </si>
  <si>
    <t>http://www.youtube.com/watch?v=0Yopq0gSFqA</t>
  </si>
  <si>
    <t>Malandrino Presentation Fall 2011 New York Fashion Week NYFW | FashionTV - FTV</t>
  </si>
  <si>
    <t>http://www.youtube.com/CHANEL</t>
  </si>
  <si>
    <t>SolisCompanyPresents</t>
  </si>
  <si>
    <t>8</t>
  </si>
  <si>
    <t>http://www.youtube.com/watch?v=--vB3yMS-jw</t>
  </si>
  <si>
    <t>CHANEL Fall-Winter 2012/13 Ready-to-Wear show</t>
  </si>
  <si>
    <t>Basic channel with links to site &amp; social media (FB, Twitter) and organized playlists by category.139</t>
  </si>
  <si>
    <t>http://www.youtube.com/watch?v=oG-nnDlnWrA&amp;feature=plcp</t>
  </si>
  <si>
    <t>BLEU DE CHANEL - The Film</t>
  </si>
  <si>
    <t>http://www.youtube.com/watch?v=yTO4FHf8MBs</t>
  </si>
  <si>
    <t>nicole kidman chanel commercial</t>
  </si>
  <si>
    <t>http://www.youtube.com/chloe</t>
  </si>
  <si>
    <t>http://www.youtube.com/watch?v=L3z-AXuB2Pg</t>
  </si>
  <si>
    <t>L'Eau de Chloé fragrance TV ad</t>
  </si>
  <si>
    <t>nuevon</t>
  </si>
  <si>
    <t>Basic channel with links to site &amp; social media (FB, Twitter) and a feed of uploaded videos (no playlists).</t>
  </si>
  <si>
    <t>http://www.youtube.com/watch?v=RtTL1LRuhh8&amp;feature=plcp</t>
  </si>
  <si>
    <t>'Love, Chloé' TV ad</t>
  </si>
  <si>
    <t>http://www.youtube.com/watch?v=JsElQDbfA1Q</t>
  </si>
  <si>
    <t>Chloe | Fall Winter 2012/2013 Full Fashion Show | Exclusive</t>
  </si>
  <si>
    <t>http://www.youtube.com/dior</t>
  </si>
  <si>
    <t>http://www.youtube.com/watch?v=8ZAKwpdgTZI</t>
  </si>
  <si>
    <t>Dior ADDICT Fragrance [Director's cut]</t>
  </si>
  <si>
    <t>Basic channel with links to sites &amp; social media (FB, Twitter, Pinterest) and organized playlists by category.</t>
  </si>
  <si>
    <t>http://www.youtube.com/watch?v=0vmjmkNRLgk&amp;feature=plcp</t>
  </si>
  <si>
    <t>'Secret Garden - Versailles' | Film</t>
  </si>
  <si>
    <t>http://www.youtube.com/watch?v=0oWGD5yYS9g</t>
  </si>
  <si>
    <t>Miss Dior Cherie Commercial by Sofia Coppola (Hi Q Director Cut)</t>
  </si>
  <si>
    <t>http://www.youtube.com/coach</t>
  </si>
  <si>
    <t>incnow360</t>
  </si>
  <si>
    <t>BeautynScents</t>
  </si>
  <si>
    <t>cdmentorq</t>
  </si>
  <si>
    <t>http://www.youtube.com/watch?v=e8gWD30Bw_I</t>
  </si>
  <si>
    <t>Tony Duquette for Coach</t>
  </si>
  <si>
    <t>Basic channel with links to site &amp; social media (FB, Twitter) and organized playlists.</t>
  </si>
  <si>
    <t>http://www.youtube.com/watch?v=D7TO7JXQuFs&amp;feature=plcp</t>
  </si>
  <si>
    <t>Spring Shoes by Coach!</t>
  </si>
  <si>
    <t>http://www.youtube.com/watch?v=1SPcT9K40Tw</t>
  </si>
  <si>
    <t>HOW TO clean your COACH BAG at home for CHEAP !</t>
  </si>
  <si>
    <t>Fab</t>
  </si>
  <si>
    <t>http://www.youtube.com/OfficialColeHaan</t>
  </si>
  <si>
    <t>AT&amp;T</t>
  </si>
  <si>
    <t>Very basic channel; doesn't even link to site or have a feed of uploaded videos/playlists.</t>
  </si>
  <si>
    <t>http://www.youtube.com/watch?v=Z2TdD8qqnP8&amp;feature=plcp</t>
  </si>
  <si>
    <t>Cole Haan Behind the Scenes: Subway Stories</t>
  </si>
  <si>
    <t>http://www.youtube.com/watch?v=BX3_CpY_EyM</t>
  </si>
  <si>
    <t>Maria Sharapova Collaborates with Cole Haan</t>
  </si>
  <si>
    <t>tennisexpress</t>
  </si>
  <si>
    <t>http://www.youtube.com/insidedvf</t>
  </si>
  <si>
    <t>http://www.youtube.com/watch?v=369ouRcKvF0</t>
  </si>
  <si>
    <t>Diane von Furstenberg on Good Morning America</t>
  </si>
  <si>
    <t>Basic channel with link to site and feed of uploaded videos only.</t>
  </si>
  <si>
    <t>http://www.youtube.com/watch?v=bPPzJ6RQehI&amp;feature=plcp</t>
  </si>
  <si>
    <t>DVF | Writer's Block</t>
  </si>
  <si>
    <t>http://www.youtube.com/watch?v=J0kFrELbHAk</t>
  </si>
  <si>
    <t>DIANE VON FURSTENBERG Spring 2010 runway show, Mercedes-Benz Fashion Week</t>
  </si>
  <si>
    <t>http://www.youtube.com/dolcegabbanachannel</t>
  </si>
  <si>
    <t>LonelyPlanet</t>
  </si>
  <si>
    <t>Anthony Jr.</t>
  </si>
  <si>
    <t>http://www.youtube.com/watch?v=nPaFPO79Yd0</t>
  </si>
  <si>
    <t>An exclusive interview to Bianca Balti</t>
  </si>
  <si>
    <t>Very innovative channel--custom home tab opens with video and has slideshow at top of featured videos, followed by gallery of collections, campaings, beauty, accessories, friends &amp; events, insight and a link to ecommerce. Also has links to main site and Faceboo/Twitter sharing.</t>
  </si>
  <si>
    <t>http://www.youtube.com/watch?v=A3ZO3kZreiI&amp;feature=plcp</t>
  </si>
  <si>
    <t>The making-of Dolce&amp;Gabbana Calico underwear campaign: episode 1</t>
  </si>
  <si>
    <t>http://www.youtube.com/watch?v=ARav6Cq3VZA</t>
  </si>
  <si>
    <t>FTV | Mario Testino for D&amp;G Fragrance - Sexy Photoshoot |</t>
  </si>
  <si>
    <t>http://www.youtube.com/dkny</t>
  </si>
  <si>
    <t>SharpmenTV</t>
  </si>
  <si>
    <t>11</t>
  </si>
  <si>
    <t>http://www.youtube.com/watch?v=Yuvo6Eu4PHw</t>
  </si>
  <si>
    <t>DKNY Spring 2012 Campaign Video with Ashley Greene</t>
  </si>
  <si>
    <t>Basic channel with link to site and feed of playlists organized by season and products.</t>
  </si>
  <si>
    <t>http://www.youtube.com/watch?v=PerNhT3Zz6g&amp;feature=plcp</t>
  </si>
  <si>
    <t>DKNY Delicious Candy Apples</t>
  </si>
  <si>
    <t>http://www.youtube.com/watch?v=O1Gx0vFNq6k</t>
  </si>
  <si>
    <t>DKNY &amp; UNICO UNDERWEAR SHOW</t>
  </si>
  <si>
    <t>SonyPictures</t>
  </si>
  <si>
    <t>http://www.youtube.com/EZegnaOfficial</t>
  </si>
  <si>
    <t>http://www.youtube.com/watch?v=xax2B82CMSo</t>
  </si>
  <si>
    <t>Winter's tale - Ermenegildo Zegna Autumn Winter 2012/13 Fashion Show</t>
  </si>
  <si>
    <t>Custom channel with banner links to site, ecommerce shop, and the app. Channel also links to social media (FB, Twitter, FourSquare) and has a feed of playlists.</t>
  </si>
  <si>
    <t>http://www.youtube.com/watch?v=u3YPRo9Rvtk&amp;feature=plcp</t>
  </si>
  <si>
    <t>Milla Jovovich: introducing Zegna in_STORE for iPad</t>
  </si>
  <si>
    <t>http://www.youtube.com/watch?v=WvJHCUZtthc</t>
  </si>
  <si>
    <t>http://www.youtube.com/escadaeditor</t>
  </si>
  <si>
    <t>http://www.youtube.com/watch?v=yBCKjU9PSJM</t>
  </si>
  <si>
    <t>Red Carpet Video: ESCADA SPORT SS 2012 on Mercedes-Benz Fashion Week Berlin</t>
  </si>
  <si>
    <t>cabokicom</t>
  </si>
  <si>
    <t>Very basic channel that doesn't link to site or have any playlists or a featured video, just a feed of uploaded videos.</t>
  </si>
  <si>
    <t>http://www.youtube.com/watch?v=eB5qXMMPdbc&amp;feature=plcp</t>
  </si>
  <si>
    <t>ESCADA Fragrance Event ESPECIALLY ESCADA in London</t>
  </si>
  <si>
    <t>http://www.youtube.com/watch?v=ZLClKTUr4WY</t>
  </si>
  <si>
    <t>Escada |Spring Summer 2012 Full Fashion Show | Exclusive</t>
  </si>
  <si>
    <t>ClubVeraBradley</t>
  </si>
  <si>
    <t>http://www.youtube.com/FENDICHANNEL</t>
  </si>
  <si>
    <t>vizioUSA</t>
  </si>
  <si>
    <t>DRESSYGROUP</t>
  </si>
  <si>
    <t>http://www.youtube.com/watch?v=WR34lb3-T-I</t>
  </si>
  <si>
    <t>Fendi Spring Summer 2012 video</t>
  </si>
  <si>
    <t>fab.com</t>
  </si>
  <si>
    <t>Very innovative channel with customized "Baguette" tab with different baguette models and a slideshow of videos at the bottom and links to social media (FB, Twitter, Pinterest) while top banner links to site, microsites &amp; FB.</t>
  </si>
  <si>
    <t>http://www.youtube.com/watch?v=O07yU7ZyW9s&amp;feature=plcp</t>
  </si>
  <si>
    <t>FENDI MILAN FASHION SHOW FALL WINTER 2012-13</t>
  </si>
  <si>
    <t>http://www.youtube.com/watch?v=PMX2zY2KpLM</t>
  </si>
  <si>
    <t>Fan di Fendi</t>
  </si>
  <si>
    <t>http://www.youtube.com/ARMANI</t>
  </si>
  <si>
    <t>kinektdesign</t>
  </si>
  <si>
    <t>rolandmedia</t>
  </si>
  <si>
    <t>10</t>
  </si>
  <si>
    <t>http://www.youtube.com/watch?v=gaF5oTv5lFs</t>
  </si>
  <si>
    <t>Giorgio Armani Spring/Summer 2013 Men's Show</t>
  </si>
  <si>
    <t>Basic channel with links to site &amp; social media (FB, Twitter) and feed of organized playlists organized by type.</t>
  </si>
  <si>
    <t>http://www.youtube.com/watch?v=gre_Ic5PaJg&amp;feature=plcp</t>
  </si>
  <si>
    <t>Megan Fox for EA Underwear and Armani Jeans [teaser]</t>
  </si>
  <si>
    <t>http://www.youtube.com/watch?v=c0BCoeOf-Ys</t>
  </si>
  <si>
    <t>Armani Campaign - Housekeeping ft Christiano Ronaldo</t>
  </si>
  <si>
    <t>http://www.youtube.com/givenchychannel</t>
  </si>
  <si>
    <t>YouTube/L'Oreal</t>
  </si>
  <si>
    <t>http://www.youtube.com/watch?v=BN6J56awtzg</t>
  </si>
  <si>
    <t>Givenchy Play for Her Arty Color</t>
  </si>
  <si>
    <t>Very basic channel with links to site &amp; FB but only has 1 video.</t>
  </si>
  <si>
    <t>http://www.youtube.com/gucciofficial</t>
  </si>
  <si>
    <t>LOUISUVITTON</t>
  </si>
  <si>
    <t>2 top/1 bottom search ads, 2 for competitor Louis Vuitton.</t>
  </si>
  <si>
    <t>http://www.youtube.com/watch?v=7K2GAoBTuc4</t>
  </si>
  <si>
    <t>Gucci Guilty -- Director's Cut</t>
  </si>
  <si>
    <t>Custom Gucci tab with banner linking to site, ecommerce, fragrances &amp; social media (FB, Twitter, FourSquare). About also links to site, app, &amp; social media (FB, Twitter, Pinterest, tumblr, G+, FourSquare, more) and feed of organized playlists by season &amp; gender.</t>
  </si>
  <si>
    <t>http://www.youtube.com/watch?v=7AqD9P8LNzg&amp;feature=plcp</t>
  </si>
  <si>
    <t>Exclusive behind the scenes footage of Jennifer Lopez</t>
  </si>
  <si>
    <t>http://www.youtube.com/watch?v=sW5O81vAl_c</t>
  </si>
  <si>
    <t>Gucci | Spring Summer 2012 Full Fashion Show | Exclusive</t>
  </si>
  <si>
    <t>Club Vera Bradley</t>
  </si>
  <si>
    <t>http://www.youtube.com/hermes</t>
  </si>
  <si>
    <t>womenclothingtoday</t>
  </si>
  <si>
    <t>SPIDERSurgery</t>
  </si>
  <si>
    <t>The secrets of the Faubourg</t>
  </si>
  <si>
    <t>Very innovative channel with "Accueil" custom tab featuring a video on the left and a playlist on the right. Bottom has FB/Twitter sharing, embedding code, &amp; link to FB.</t>
  </si>
  <si>
    <t>http://www.youtube.com/watch?v=ORv1y-Zo-Zw&amp;feature=plcp</t>
  </si>
  <si>
    <t>Terre d'Hermès</t>
  </si>
  <si>
    <t>http://www.youtube.com/watch?v=g6HOhqaVXW0</t>
  </si>
  <si>
    <t>Hermes - Craftsmanship</t>
  </si>
  <si>
    <t>http://www.youtube.com/hugobosstv</t>
  </si>
  <si>
    <t>Dice</t>
  </si>
  <si>
    <t>NativeInstruments</t>
  </si>
  <si>
    <t>ParaNorman</t>
  </si>
  <si>
    <t>http://www.youtube.com/watch?v=FLVXAV8lti8</t>
  </si>
  <si>
    <t>HUGO Tracks presents - Artist Nina Kraviz at the HUGO Fashion Show Spring/Summer 2013</t>
  </si>
  <si>
    <t>Custom "Specials" tab is very innovative with specific categories underneath but initially focuses on the "Perfectly Put Together" campaign starring Gwyneth Paltrow. Banner at top also links to site &amp; social media (FB, Twitter).</t>
  </si>
  <si>
    <t>http://www.youtube.com/watch?v=4DZdPIkJP8w&amp;feature=plcp</t>
  </si>
  <si>
    <t>BOSS Bottled. Sport. featuring Jenson Button</t>
  </si>
  <si>
    <t>http://www.youtube.com/watch?v=B2PQfJ2SAg4</t>
  </si>
  <si>
    <t>Alex Thompson attempts the KEel Walk</t>
  </si>
  <si>
    <t>princesscruises</t>
  </si>
  <si>
    <t>http://www.youtube.com/OfficialJimmyChoo</t>
  </si>
  <si>
    <t>Samsung</t>
  </si>
  <si>
    <t>http://www.youtube.com/watch?v=8JTmes-aBns</t>
  </si>
  <si>
    <t>Discover Jimmy Choo CHOO 24:7 The Collection</t>
  </si>
  <si>
    <t>Basic channel that links to site and has feed of uploaded videos and some playlists.</t>
  </si>
  <si>
    <t>http://www.youtube.com/watch?v=8JTmes-aBns&amp;feature=plcp</t>
  </si>
  <si>
    <t>Discover Jimmy Choo CHOO 24/7 The Collection</t>
  </si>
  <si>
    <t>http://www.youtube.com/watch?v=lwrsG7siYA0</t>
  </si>
  <si>
    <t>H&amp;M Fashion Videos #61 - Exclusive look at Jimmy Choo for H&amp;M</t>
  </si>
  <si>
    <t>http://www.youtube.com/johnvarvatos</t>
  </si>
  <si>
    <t>YoBoHoFitness</t>
  </si>
  <si>
    <t>http://www.youtube.com/watch?v=y9yC50d4s7A</t>
  </si>
  <si>
    <t>The Roots for John Varvatos Fall/Winter 2011</t>
  </si>
  <si>
    <t>Basic channel with links to site &amp; social media (FB, Twitter, Pinterest) and some playlists organized by type.</t>
  </si>
  <si>
    <t>http://www.youtube.com/watch?v=drp9sms8Po4&amp;feature=plcp</t>
  </si>
  <si>
    <t>Green Day for John Varvatos Spring/Summer 2012</t>
  </si>
  <si>
    <t>http://www.youtube.com/watch?v=jcCqbMQb8mo</t>
  </si>
  <si>
    <t>Mat Gordon - John Varvatos FW08 Backstage Interview</t>
  </si>
  <si>
    <t>http://www.youtube.com/katespadenewyork</t>
  </si>
  <si>
    <t>http://www.youtube.com/watch?v=AZZ_8hAIY2g</t>
  </si>
  <si>
    <t>seven henrietta street, a film by kinga burza for kate spade new york</t>
  </si>
  <si>
    <t>Basic channel with link to site</t>
  </si>
  <si>
    <t>http://www.youtube.com/watch?v=AZZ_8hAIY2g&amp;feature=plcp</t>
  </si>
  <si>
    <t>http://www.youtube.com/watch?v=DOarhNbYDoY</t>
  </si>
  <si>
    <t>What's Next for Kate Spade</t>
  </si>
  <si>
    <t>Dockers</t>
  </si>
  <si>
    <t>http://www.youtube.com/lacosteofficial</t>
  </si>
  <si>
    <t>abovetheinfluence</t>
  </si>
  <si>
    <t>underarmour</t>
  </si>
  <si>
    <t>adidasFootballUS</t>
  </si>
  <si>
    <t>2 top (1 competitor - Burberry), 3 side, and 1 bottom search ads.</t>
  </si>
  <si>
    <t>http://www.youtube.com/watch?v=DP9rm8AtFXk</t>
  </si>
  <si>
    <t>Lacoste future</t>
  </si>
  <si>
    <t>Channel has custom banner at the top that links to ecommerce and profile links to site &amp; social media (FB, Twitter, G+, Pinterest) and features brand's other YouTube channels.</t>
  </si>
  <si>
    <t>http://www.youtube.com/watch?v=UBYkvEwcUvM&amp;feature=plcp</t>
  </si>
  <si>
    <t>Eau de Lacoste L.12.12</t>
  </si>
  <si>
    <t>http://www.youtube.com/watch?v=JPxhmrckLs8</t>
  </si>
  <si>
    <t>LACOSTE Inspiration</t>
  </si>
  <si>
    <t>http://www.youtube.com/LancelParis</t>
  </si>
  <si>
    <t>http://www.youtube.com/watch?v=USNu3Pyu4x0</t>
  </si>
  <si>
    <t>LANCEL - BB Party</t>
  </si>
  <si>
    <t>Very basic channel with link to site and feed of activity, not even uploaded videos; no featured video or playlists.</t>
  </si>
  <si>
    <t>http://www.youtube.com/watch?v=USNu3Pyu4x0&amp;feature=plcp</t>
  </si>
  <si>
    <t>http://www.youtube.com/watch?v=_HMbo80DVPA</t>
  </si>
  <si>
    <t>Dog Party for Lancel Charity ft Models Sayaka Nakamura + Noriko</t>
  </si>
  <si>
    <t>Covergirl</t>
  </si>
  <si>
    <t>http://www.youtube.com/LANVINtube</t>
  </si>
  <si>
    <t>CLUSTERSOUNDS</t>
  </si>
  <si>
    <t>http://www.youtube.com/watch?v=cwwcnUBY9Zg</t>
  </si>
  <si>
    <t>LANVIN Fall Winter 2011-2012 Ad Campaign</t>
  </si>
  <si>
    <t>http://www.youtube.com/watch?v=cwwcnUBY9Zg&amp;feature=plcp</t>
  </si>
  <si>
    <t>http://www.youtube.com/watch?v=-NqxL4uwqHE</t>
  </si>
  <si>
    <t>Lanvin for H&amp;M - The Show (Promo 2011)</t>
  </si>
  <si>
    <t>http://www.youtube.com/LongchampParis</t>
  </si>
  <si>
    <t>http://www.youtube.com/watch?v=rnqj5NLqbEg</t>
  </si>
  <si>
    <t>Keep On Riding - Audrey Marnay and Longchamp -- Episode 1</t>
  </si>
  <si>
    <t>Channel has custom banner/background with links to site, store locator &amp; social media (FB, Twitter). Profile also links to site and social media accounts for region (EU, US, JP) and G+, and has playlists.</t>
  </si>
  <si>
    <t>http://www.youtube.com/watch?v=U4LFLVXgxRk&amp;feature=plcp</t>
  </si>
  <si>
    <t>Longchamp - FARAWAY the Movie, with Kate Moss - Uncutu edition</t>
  </si>
  <si>
    <t>http://www.youtube.com/watch?v=P1YoggMwEZ4</t>
  </si>
  <si>
    <t>Oh! My Dog - Longchamp 2012</t>
  </si>
  <si>
    <t>http://www.youtube.com/louisvuitton</t>
  </si>
  <si>
    <t>http://www.youtube.com/watch?v=NJWW48VyJbk</t>
  </si>
  <si>
    <t>Virtual Tour of the Art of Travel Exhibit in Shanghai</t>
  </si>
  <si>
    <t>logitech</t>
  </si>
  <si>
    <t>Innovative tab "Journeys Awards" has custom background with links to site &amp; social media (Twitter &amp; Facebook) on the bottom as well as terms, Q&amp;A, and legal. Fans can submit, watch and vote shortlisted films, shows countdown of when the winners will be announced. Hovering over a video plays a series of stills from the selected video.</t>
  </si>
  <si>
    <t>http://www.youtube.com/watch?v=ta9INf-ZBJk&amp;feature=plcp</t>
  </si>
  <si>
    <t>The Art of Packing from Louis Vuitton</t>
  </si>
  <si>
    <t>http://www.youtube.com/watch?v=m5xCGZuvhWI</t>
  </si>
  <si>
    <t xml:space="preserve">‪Louis Vuitton Core Values [where will life take you?]‬
</t>
  </si>
  <si>
    <t>http://www.youtube.com/MarcJacobs</t>
  </si>
  <si>
    <t>http://www.youtube.com/watch?v=IUe7dAZHPqU</t>
  </si>
  <si>
    <t>Independence Day Parade, Provincetown</t>
  </si>
  <si>
    <t>Basic channel with links to site &amp; social media (FB, Twitter, G+, Pinterest) and feed of uploaded videos.</t>
  </si>
  <si>
    <t>http://www.youtube.com/watch?v=H9krsi5bLjE&amp;feature=plcp</t>
  </si>
  <si>
    <t>Marc Jacobs BANG Promo</t>
  </si>
  <si>
    <t>http://www.youtube.com/watch?v=jyp9QVQvPL4</t>
  </si>
  <si>
    <t>Marc Jacobs talks about new Louis Vuitton store</t>
  </si>
  <si>
    <t>Chevrolet</t>
  </si>
  <si>
    <t>http://www.youtube.com/maxmarachannel</t>
  </si>
  <si>
    <t>Basic channel with links to site &amp; G+and a feed of some playlists.</t>
  </si>
  <si>
    <t>http://www.youtube.com/watch?v=sd8fVhNWErs&amp;feature=plcp</t>
  </si>
  <si>
    <t>Weekend in Paris, Fall-Winter 2012</t>
  </si>
  <si>
    <t>http://www.youtube.com/watch?v=qbZmA6Su9MA</t>
  </si>
  <si>
    <t>Stratasys</t>
  </si>
  <si>
    <t>http://www.youtube.com/michaelkors</t>
  </si>
  <si>
    <t>http://www.youtube.com/watch?v=OPTTY8P-v7A</t>
  </si>
  <si>
    <t>Fall 2012 Ad Campaign</t>
  </si>
  <si>
    <t>Basic channel with link to site and basic playlists.</t>
  </si>
  <si>
    <t>http://www.youtube.com/watch?v=zWq58Jbo48o&amp;feature=plcp</t>
  </si>
  <si>
    <t>It Gets Better: Michael Kors</t>
  </si>
  <si>
    <t>http://www.youtube.com/watch?v=YvsqP_PsYUQ</t>
  </si>
  <si>
    <t>styleunited.com</t>
  </si>
  <si>
    <t>http://www.youtube.com/MissoniOfficial</t>
  </si>
  <si>
    <t>theoutnet</t>
  </si>
  <si>
    <t>http://www.youtube.com/watch?v=eWz08Rg82BQ</t>
  </si>
  <si>
    <t>Hotel Missoni Kuwait - The Journey - Part 1</t>
  </si>
  <si>
    <t>Funcom</t>
  </si>
  <si>
    <t>Basic channel with link to site and basic playlists, not even a featured video.</t>
  </si>
  <si>
    <t>http://www.youtube.com/watch?v=88ENH-qx-4A&amp;feature=plcp</t>
  </si>
  <si>
    <t>MISSONI ADV CAMPAIGN SUMMER 2011</t>
  </si>
  <si>
    <t>http://www.youtube.com/watch?v=9KvUiTIjStk</t>
  </si>
  <si>
    <t>Misson iSpring 2011 Campaign Video Ad</t>
  </si>
  <si>
    <t>Fab.com</t>
  </si>
  <si>
    <t>http://www.youtube.com/Mulberry</t>
  </si>
  <si>
    <t>OKAbShoes</t>
  </si>
  <si>
    <t>Cinda B</t>
  </si>
  <si>
    <t>2 top (1 competitor - Burberry), 1 display, and 1 bottom (Burberry) search ads.</t>
  </si>
  <si>
    <t>http://www.youtube.com/watch?v=kDW-NS6rBEQ</t>
  </si>
  <si>
    <t>Kasabian performs L.S.F. in an exclusive set for Mulberry's Coachella fire pit party</t>
  </si>
  <si>
    <t>Basic channel, no links, with feed of uploaded videos and some playlists.</t>
  </si>
  <si>
    <t>http://www.youtube.com/watch?v=ZIMcARotXqw&amp;feature=plcp</t>
  </si>
  <si>
    <t>Jamie N Commons covers "Wish You Were Here" for Mulberry's Mix Tape Tour</t>
  </si>
  <si>
    <t>http://www.youtube.com/watch?v=MAY0jFmzh9A</t>
  </si>
  <si>
    <t>London Fashion Week - Mulberry SS12</t>
  </si>
  <si>
    <t>http://www.youtube.com/OscardelaRentaTV</t>
  </si>
  <si>
    <t>http://www.youtube.com/watch?v=RUNi5kXFMYs</t>
  </si>
  <si>
    <t>Oscar De La Renta Spring 2011 Runway Show Part 1</t>
  </si>
  <si>
    <t>Very basic channel with no featured video, feed of uploaded videos, and some playlists; also no links.</t>
  </si>
  <si>
    <t>http://www.youtube.com/watch?v=yQGXHYBVp1A&amp;feature=plcp</t>
  </si>
  <si>
    <t>SHIT OSCARPRGIRL SAYS</t>
  </si>
  <si>
    <t>http://www.youtube.com/watch?v=R0UGlqpZ0Yk</t>
  </si>
  <si>
    <t>Oscar de La Renta | Spring Summer 2012 Full Fashion Show | Exclusive</t>
  </si>
  <si>
    <t>Your Film Festival</t>
  </si>
  <si>
    <t>http://www.youtube.com/PaulSmithDesigner</t>
  </si>
  <si>
    <t>BBCAmericaTV</t>
  </si>
  <si>
    <t>SimplyEditing2</t>
  </si>
  <si>
    <t>macys</t>
  </si>
  <si>
    <t>Basic channel with links to site &amp; social media (FB, Twitter) and some playlists.</t>
  </si>
  <si>
    <t>http://www.youtube.com/watch?v=BPYcnuhHyeA&amp;feature=plcp</t>
  </si>
  <si>
    <t xml:space="preserve">Paul Smith Junior: Autumn Winter 2010 Collection </t>
  </si>
  <si>
    <t>http://www.youtube.com/watch?v=GqlaiHJwusw</t>
  </si>
  <si>
    <t>http://www.youtube.com/PRADA</t>
  </si>
  <si>
    <t>http://www.youtube.com/watch?v=JgaGXv1XnrA</t>
  </si>
  <si>
    <t>PRADA SPRING/SUMMER 2012 WOMEN'S ADVERTISING CAMPAIGN</t>
  </si>
  <si>
    <t>Basic channel linking to FB with feed of playlists.</t>
  </si>
  <si>
    <t>http://www.youtube.com/watch?v=JgaGXv1XnrA&amp;feature=plcp</t>
  </si>
  <si>
    <t>http://www.youtube.com/watch?v=wBBGE7vz02s</t>
  </si>
  <si>
    <t>Prada Spring/Summer 2011 Video Campaign</t>
  </si>
  <si>
    <t>http://www.youtube.com/RLTVralphlauren</t>
  </si>
  <si>
    <t>http://www.youtube.com/watch?v=c3n8j2uWA8o</t>
  </si>
  <si>
    <t>The Official Ralph Lauren 4D Experience - New York</t>
  </si>
  <si>
    <t>Basic channel with link to site and playlists organized by type.</t>
  </si>
  <si>
    <t>http://www.youtube.com/watch?v=c3n8j2uWA8o&amp;feature=plcp</t>
  </si>
  <si>
    <t>http://www.youtube.com/watch?v=5gEZP9qQmbQ</t>
  </si>
  <si>
    <t>Ralph Lauren Spring Summer 2012 Full Fashion Show</t>
  </si>
  <si>
    <t>http://www.youtube.com/robertocavalli</t>
  </si>
  <si>
    <t>http://www.youtube.com/watch?v=ajhW-51Gbs0</t>
  </si>
  <si>
    <t>ROBERTO CAVALLI PARFUM - THE FILM</t>
  </si>
  <si>
    <t>Basic site with link to site and feed of uploaded videos and some playlists.</t>
  </si>
  <si>
    <t>http://www.youtube.com/watch?v=GiVqpFxsgHo&amp;feature=plcp</t>
  </si>
  <si>
    <t>Roberto Cavalli Fall/Winter 2012-2013</t>
  </si>
  <si>
    <t>http://www.youtube.com/watch?v=aB6HFdx-ZUw</t>
  </si>
  <si>
    <t>Roberto Cavalli: Spring 2009 RTW</t>
  </si>
  <si>
    <t>http://www.youtube.com/FerragamoOfficial</t>
  </si>
  <si>
    <t>OKabShoes</t>
  </si>
  <si>
    <t>http://www.youtube.com/watch?v=hJ5JiGsw5O4</t>
  </si>
  <si>
    <t>Salvatore Ferragamo women's shoes</t>
  </si>
  <si>
    <t>Basic channel with link to site and feed of uploaded videos and some basic playlists.</t>
  </si>
  <si>
    <t>http://www.youtube.com/watch?v=1oaqN4tQBS0&amp;feature=plcp</t>
  </si>
  <si>
    <t>Salvatore Ferragamo Tramezza, shoes fit for a gentleman</t>
  </si>
  <si>
    <t>http://www.youtube.com/watch?v=bkPduZ7WI2w</t>
  </si>
  <si>
    <t>Salvatore Ferragamo Runway Show ft Anja Rubik - Milan Fashion</t>
  </si>
  <si>
    <t>http://www.youtube.com/SergioRossiOfficial</t>
  </si>
  <si>
    <t>No customization.  One campaign video and one store opening video.</t>
  </si>
  <si>
    <t>http://www.youtube.com/watch?v=V1x7YEy0PPQ&amp;feature=plcp</t>
  </si>
  <si>
    <t>Sergio Rossi Beijing Flagship Store Opening</t>
  </si>
  <si>
    <t>http://www.youtube.com/watch?v=Xm4VfQpmMMw</t>
  </si>
  <si>
    <t>Sergio Rossi Shoes &amp; Accessories Spring 2012 at Milan Fashion Week MFW | FashionTV - FTV</t>
  </si>
  <si>
    <t>http://www.youtube.com/stellamccartney1</t>
  </si>
  <si>
    <t>Bright background from campaign.  Videos range from campaigns, shows, stores, and interviews with Stella.</t>
  </si>
  <si>
    <t>http://www.youtube.com/watch?v=NRU9rFucy18&amp;feature=plcp</t>
  </si>
  <si>
    <t>Stella McCartney - Kate Hudson Lingerie Shoot, Feb 2008</t>
  </si>
  <si>
    <t>http://www.youtube.com/watch?v=qmozsGBYAV8</t>
  </si>
  <si>
    <t>Stella McCartney: Summer 2010 Fashion Show (Full) [HQ]</t>
  </si>
  <si>
    <t>Aussie</t>
  </si>
  <si>
    <t>http://www.youtube.com/TheStuartWeitzman</t>
  </si>
  <si>
    <t>No ads.</t>
  </si>
  <si>
    <t>Good background.  Otherwise uninteresting.</t>
  </si>
  <si>
    <t>http://www.youtube.com/watch?v=Zw43-HizYSk&amp;feature=plcp</t>
  </si>
  <si>
    <t>Stacy London Interview with Stuart Weitzman</t>
  </si>
  <si>
    <t>http://www.youtube.com/watch?v=LiPbwBS801M</t>
  </si>
  <si>
    <t>Stuart Weitzman Talks New 'Millionaires' Shoe</t>
  </si>
  <si>
    <t>Ford Archibold</t>
  </si>
  <si>
    <t>http://www.youtube.com/TedBakerTV</t>
  </si>
  <si>
    <t>timberkingsawmills</t>
  </si>
  <si>
    <t>http://www.youtube.com/watch?v=ctED2sNKFxA</t>
  </si>
  <si>
    <t xml:space="preserve">Ted Baker - Spring / Summer 2012 Mainline
</t>
  </si>
  <si>
    <t>Brand pattern background.  Campaign videos, store openings, events, and behind the scenes.  Nothing particularly special.</t>
  </si>
  <si>
    <t>http://www.youtube.com/watch?v=ctED2sNKFxA&amp;feature=plcp</t>
  </si>
  <si>
    <t>Ted Baker - Spring / Summer 2012 Mainline</t>
  </si>
  <si>
    <t>http://www.youtube.com/watch?v=ZshY8S1NQxU</t>
  </si>
  <si>
    <t>Unboxing - Ted Baker London iPhone 3g Case</t>
  </si>
  <si>
    <t>http://www.youtube.com/thomaspinktv</t>
  </si>
  <si>
    <t>flexbeltabbelt</t>
  </si>
  <si>
    <t>http://www.youtube.com/watch?v=Kcgb-Nav2v4</t>
  </si>
  <si>
    <t xml:space="preserve">Pink Particulars - In The Detail - Thomas Pink
</t>
  </si>
  <si>
    <t>Banner links to social.  Videos detail new products, a series on how to tie a tie, and campaigns.</t>
  </si>
  <si>
    <t>http://www.youtube.com/watch?v=tWZ8I8DWyGw&amp;feature=plcp</t>
  </si>
  <si>
    <t>How To Tie a Skinny Knot - Thomas Pink</t>
  </si>
  <si>
    <t>http://www.youtube.com/watch?v=TIHyc_icZw8</t>
  </si>
  <si>
    <t>2001 Thomas Pink Gold Cup Handicap Chase</t>
  </si>
  <si>
    <t>http://www.youtube.com/tods</t>
  </si>
  <si>
    <t>Plain background.  Auto-plays an olympic themed video highlighting bags and bracelets.  Videos are campaigns.</t>
  </si>
  <si>
    <t>http://www.youtube.com/watch?v=sOq23MNKbpQ&amp;feature=plcp</t>
  </si>
  <si>
    <t>RED TOUCH - Dancing a Dream</t>
  </si>
  <si>
    <t>http://www.youtube.com/watch?v=s4gkHg1Zrs8</t>
  </si>
  <si>
    <t>Tod's - An Italian dream</t>
  </si>
  <si>
    <t>http://www.youtube.com/tommyhilfiger</t>
  </si>
  <si>
    <t>http://www.youtube.com/watch?v=NyyI3WtKMO8</t>
  </si>
  <si>
    <t xml:space="preserve">Tommy Hilfiger: House Par-tay (60 Sec)
</t>
  </si>
  <si>
    <t>Auto plays most recent campaign video - Join the Hilfigers camp outdoors.  Videos are mostly collections or campaigns.  Background features Tommy Hilfiger iconic ad.</t>
  </si>
  <si>
    <t>http://www.youtube.com/watch?v=TO6tzdfM8gE&amp;feature=plcp</t>
  </si>
  <si>
    <t>Hilfiger Denim Live Fall '11 Tour</t>
  </si>
  <si>
    <t>http://www.youtube.com/watch?v=f23I0_x8ULY</t>
  </si>
  <si>
    <t>Ironic Iconic America: Tommy Hilfiger</t>
  </si>
  <si>
    <t>Sparkle movie</t>
  </si>
  <si>
    <t>http://www.youtube.com/toryburch</t>
  </si>
  <si>
    <t>http://www.youtube.com/watch?v=nDlTXNfCMr4</t>
  </si>
  <si>
    <t xml:space="preserve">Tory Burch on NBC10
</t>
  </si>
  <si>
    <t>Background featuring Tory wearing her eyewear line.  Uploads are campaigns, shows, how to use products, Tory appearing in the media and on vacation.</t>
  </si>
  <si>
    <t>http://www.youtube.com/watch?v=y6Gmm9YEZys&amp;feature=plcp</t>
  </si>
  <si>
    <t>Tory Burch Fall 2011</t>
  </si>
  <si>
    <t>http://www.youtube.com/watch?v=ZjerK9bDwQM</t>
  </si>
  <si>
    <t>Designer Tory Burch Sees Global Sales Going 'Way Up'</t>
  </si>
  <si>
    <t>http://www.youtube.com/Valentino</t>
  </si>
  <si>
    <t>http://www.youtube.com/watch?v=VTcbuea2S14</t>
  </si>
  <si>
    <t xml:space="preserve">Valentino Haute Couture Fall/Winter Fashion Show 12-13
</t>
  </si>
  <si>
    <t>sixpackshortcuts</t>
  </si>
  <si>
    <t>Plalin black background.  Videos are product videos, shows, and some campaigns.</t>
  </si>
  <si>
    <t>http://www.youtube.com/watch?v=xBc-TXS59sw&amp;feature=plcp</t>
  </si>
  <si>
    <t>VALENTINA - The New Eau De Parfum by Valentino</t>
  </si>
  <si>
    <t>http://www.youtube.com/watch?v=UGJJRPWqvzM</t>
  </si>
  <si>
    <t>Valentino: The Last Emperor - Official Trailer</t>
  </si>
  <si>
    <t>Cheerios</t>
  </si>
  <si>
    <t>http://www.youtube.com/VersaceVideos</t>
  </si>
  <si>
    <t>http://www.youtube.com/watch?v=sTSm-MPJ7ys</t>
  </si>
  <si>
    <t xml:space="preserve">Versace Home Collection 2012
</t>
  </si>
  <si>
    <t>PimsleurApproach</t>
  </si>
  <si>
    <t>Background of recent campaign. Uploads are mostly shows and behind the scenes at the shows.</t>
  </si>
  <si>
    <t>http://www.youtube.com/watch?v=sTSm-MPJ7ys&amp;feature=plcp</t>
  </si>
  <si>
    <t>Versace Home Collection 2012</t>
  </si>
  <si>
    <t>http://www.youtube.com/watch?v=O2YOvHpRLn4</t>
  </si>
  <si>
    <t>Versace | Spring Summer 2012 Full Fashion Show | Exclusive</t>
  </si>
  <si>
    <t>http://www.youtube.com/VivienneWestwoodLtd</t>
  </si>
  <si>
    <t>http://www.youtube.com/watch?v=8O5C9oGhdpk</t>
  </si>
  <si>
    <t xml:space="preserve">Vivienne Westwood MAN, Autumn Winter 2011-2012
</t>
  </si>
  <si>
    <t>Union Jack background, links to social (including Google+).  Videos are mostly either runway shows or interviews with Vivienne.</t>
  </si>
  <si>
    <t>http://www.youtube.com/watch?v=8O5C9oGhdpk&amp;feature=plcp</t>
  </si>
  <si>
    <t>Vivienne Westwood MAN, Autumn Winter 2011-2012</t>
  </si>
  <si>
    <t>http://www.youtube.com/watch?v=Xio_xmelDS4</t>
  </si>
  <si>
    <t>VIVIENNE WESTWOOD ROCKING HORSE SANDALS</t>
  </si>
  <si>
    <t>http://www.youtube.com/ysl</t>
  </si>
  <si>
    <t>http://www.youtube.com/watch?v=2mWj-z2Lw1k</t>
  </si>
  <si>
    <t xml:space="preserve">YSL Fall/Winter 2011-2012 Campaign Video
</t>
  </si>
  <si>
    <t>Background of inside their HQ but tiles in a really unflattering way. Playlists separate by Fashion Shows, Campaigns, Films/Events, Accessories, and Manifestos.</t>
  </si>
  <si>
    <t>http://www.youtube.com/watch?v=qvaeftYqZQ0&amp;feature=plcp</t>
  </si>
  <si>
    <t>YSL Fall/Winter 2010-2011 Campaign Video</t>
  </si>
  <si>
    <t>http://www.youtube.com/watch?v=6SrqSc-GHS0</t>
  </si>
  <si>
    <t>Parisienne YSL: Kate Moss Commercial [HQ]</t>
  </si>
  <si>
    <t>Bobbi Brown</t>
  </si>
  <si>
    <t>http://www.youtube.com/DonnaKaran</t>
  </si>
  <si>
    <t>http://www.youtube.com/watch?v=DW7h7r9RdKY</t>
  </si>
  <si>
    <t>Donna Karan Spring 2012 Campaign Video</t>
  </si>
  <si>
    <t>Basic channel with link to site and organized playlists by seasons.</t>
  </si>
  <si>
    <t>http://www.youtube.com/watch?v=DW7h7r9RdKY&amp;feature=plcp</t>
  </si>
  <si>
    <t>http://www.youtube.com/watch?v=73Yyag8tK1E</t>
  </si>
  <si>
    <t>DKNY Delicious Night ( Donna Karan)</t>
  </si>
  <si>
    <t>Keyword_s_ used for Search</t>
  </si>
  <si>
    <t>Google: Organic #1</t>
  </si>
  <si>
    <t>Google: Organic #2</t>
  </si>
  <si>
    <t>Google: Organic #3</t>
  </si>
  <si>
    <t>Google: Total</t>
  </si>
  <si>
    <t>Google: Brand</t>
  </si>
  <si>
    <t>Google: Organic Notes</t>
  </si>
  <si>
    <t>Google: % Real Estate</t>
  </si>
  <si>
    <t>Google: Organic Real Estate Score _0_1_</t>
  </si>
  <si>
    <t>Brand First in Organic Results? _Y_N_</t>
    <phoneticPr fontId="6" type="noConversion"/>
  </si>
  <si>
    <t>Not_First_Penalty</t>
  </si>
  <si>
    <t>Social Media Property In Org Results? _Y_N_</t>
  </si>
  <si>
    <t>Social Media Bonus _0_0.25_</t>
  </si>
  <si>
    <t>Google Observations _ Organic: Observations</t>
  </si>
  <si>
    <t>Is there a Description? _Y_N_</t>
  </si>
  <si>
    <t>Is the Description good? _Y_N_</t>
  </si>
  <si>
    <t>Are There Site Links? _Y_N_</t>
  </si>
  <si>
    <t>Is there Search? _Y_N_</t>
  </si>
  <si>
    <t>Map? _Y_N_</t>
  </si>
  <si>
    <t>Does  it pass the Cache Test?</t>
  </si>
  <si>
    <t>Google Organic Score</t>
  </si>
  <si>
    <t>Paid #1</t>
  </si>
  <si>
    <t>Paid #2</t>
  </si>
  <si>
    <t>Paid #3</t>
  </si>
  <si>
    <t>Is Brand Ad First? _Y_N_</t>
  </si>
  <si>
    <t>Is brand ad 1st</t>
    <phoneticPr fontId="6" type="noConversion"/>
  </si>
  <si>
    <t>_Brand</t>
  </si>
  <si>
    <t>Total</t>
  </si>
  <si>
    <t>Paid  Notes</t>
  </si>
  <si>
    <t>% Real Estate</t>
  </si>
  <si>
    <t>Paid Real Estate Score _0_1_</t>
  </si>
  <si>
    <t>Google Observations _ Paid: Purchasing  Against Own Search Term? _Y_N_</t>
  </si>
  <si>
    <t>Competative Purchasing? _Y_N_</t>
  </si>
  <si>
    <t>Competative Bonus _0_0.25_</t>
  </si>
  <si>
    <t>Paid Search? _Y_N_</t>
  </si>
  <si>
    <t>Temporal_Time Sensitive Paid Ad? _Y_N_</t>
  </si>
  <si>
    <t>Temporal Bonus _0_0.25_</t>
  </si>
  <si>
    <t>Geo_Local Ad?</t>
  </si>
  <si>
    <t>Geo_Local Bonus _0_0.25_</t>
  </si>
  <si>
    <t>Ad Email Sign Up</t>
    <phoneticPr fontId="6" type="noConversion"/>
  </si>
  <si>
    <t>Email Sign Up</t>
    <phoneticPr fontId="6" type="noConversion"/>
  </si>
  <si>
    <t>Notes</t>
  </si>
  <si>
    <t>Google Total _0_5_</t>
  </si>
  <si>
    <t>Wikipedia bio on rt.</t>
  </si>
  <si>
    <t>Facebook</t>
  </si>
  <si>
    <t>No</t>
    <phoneticPr fontId="6" type="noConversion"/>
  </si>
  <si>
    <t>Facebook, YouTube</t>
  </si>
  <si>
    <t>No</t>
    <phoneticPr fontId="6" type="noConversion"/>
  </si>
  <si>
    <t>Google shopping results on rt.</t>
  </si>
  <si>
    <t>No</t>
    <phoneticPr fontId="6" type="noConversion"/>
  </si>
  <si>
    <t>Zagat quality index on rt. under map.</t>
  </si>
  <si>
    <t>Facebook, Twitter</t>
  </si>
  <si>
    <t>No</t>
    <phoneticPr fontId="6" type="noConversion"/>
  </si>
  <si>
    <t>Google shopping results</t>
  </si>
  <si>
    <t>"shop for Belstaff on google" result under ad.</t>
  </si>
  <si>
    <t>New York sub-link</t>
  </si>
  <si>
    <t>No</t>
    <phoneticPr fontId="6" type="noConversion"/>
  </si>
  <si>
    <t>Yes</t>
    <phoneticPr fontId="6" type="noConversion"/>
  </si>
  <si>
    <t>Google+ Widget under map</t>
  </si>
  <si>
    <t>No</t>
    <phoneticPr fontId="6" type="noConversion"/>
  </si>
  <si>
    <t>google plus page highlighted</t>
    <phoneticPr fontId="6" type="noConversion"/>
  </si>
  <si>
    <t>Susbribe to newsletter email entry in brand ad.</t>
  </si>
  <si>
    <t>Google shopping results, and Catherine Malandrino wikipedia bio.</t>
  </si>
  <si>
    <t>No</t>
    <phoneticPr fontId="6" type="noConversion"/>
  </si>
  <si>
    <t>Dior wiki-bio on rt.</t>
  </si>
  <si>
    <t>Ad has subscription and email enter box that automatically filled in my email address.</t>
  </si>
  <si>
    <t>Yes</t>
    <phoneticPr fontId="6" type="noConversion"/>
  </si>
  <si>
    <t>discription mostly in french</t>
    <phoneticPr fontId="6" type="noConversion"/>
  </si>
  <si>
    <t>Wiki bio on right.</t>
  </si>
  <si>
    <t>No</t>
    <phoneticPr fontId="6" type="noConversion"/>
  </si>
  <si>
    <t>Google shop results on rt, wiki bio under.</t>
  </si>
  <si>
    <t>wiki bio on right.</t>
  </si>
  <si>
    <t>"people related to givenchy" on right featuring Alexander McQueen, John Galliano, and Hubert de Givenchy</t>
  </si>
  <si>
    <t>Google+ widget on side</t>
  </si>
  <si>
    <t>Google shopping results on right.</t>
  </si>
  <si>
    <t>Google+ Widget under map on right, people related to Hugo Boss under that.</t>
  </si>
  <si>
    <t>Add has email entry for newsletter that auto-filled.</t>
  </si>
  <si>
    <t>Google shopping results, John Varvatos wiki bio and people also searched for.</t>
  </si>
  <si>
    <t>Facebook, Tumblr, Twitter, Pinterest</t>
  </si>
  <si>
    <t>Google+ widget on right under map</t>
  </si>
  <si>
    <t>ad contains links to bway store and links to other stores</t>
    <phoneticPr fontId="6" type="noConversion"/>
  </si>
  <si>
    <t>"People related to Lanvin" on right features Alber Elbaz and Jeanne Lanvin.</t>
  </si>
  <si>
    <t>Google shopping results on right, Marc Jacobs and Bernard Arnault featured as "people related to Louis Vuitton"</t>
  </si>
  <si>
    <t>Wiki bio on right, google shopping results on right.</t>
  </si>
  <si>
    <t>Marc Jacobs wiki bio on right.</t>
  </si>
  <si>
    <t>google shopping results on right</t>
  </si>
  <si>
    <t>wiki bio on right</t>
  </si>
  <si>
    <t>m-missoni.com, missonihome.it, hotelmissoni.com</t>
  </si>
  <si>
    <t>Mulberry ad has site links; Oscar de la Renta, Gucci, &amp; Ralph Lauren competitively buying ads</t>
  </si>
  <si>
    <t>Wiki bio snapshot on right</t>
  </si>
  <si>
    <t>Ad provides additional discount with code that's time sensitive &amp; direct links to specific products with prices (fragrance)</t>
  </si>
  <si>
    <t>advertising a sale that ended Today</t>
    <phoneticPr fontId="6" type="noConversion"/>
  </si>
  <si>
    <t>ralphlaurenhome.com, rugby.com; Wiki bio snapshot on right</t>
  </si>
  <si>
    <t>Ad has site links, provides additional discount code &amp; lists nearest location</t>
  </si>
  <si>
    <t>link to directions of madison ave shop</t>
    <phoneticPr fontId="6" type="noConversion"/>
  </si>
  <si>
    <t>robertocavalliblog.com, robertocavallivodka.com; Wiki bio snapshot on right</t>
  </si>
  <si>
    <t>stellamccartney-fragrances.com; Wiki bio snapshot</t>
  </si>
  <si>
    <t>Twitter, Facebook</t>
  </si>
  <si>
    <t>link to directions of columbus circle shop</t>
    <phoneticPr fontId="6" type="noConversion"/>
  </si>
  <si>
    <t>tedbakerplc.com</t>
  </si>
  <si>
    <t>theyskenstheory.com; Olivier Theyskens Wiki bio snapshot on right</t>
  </si>
  <si>
    <t>Tory Burch competitively buying search ad (#9)</t>
  </si>
  <si>
    <t>usa.tommy.com, uk.tommy.com; Wiki snapshot on right</t>
  </si>
  <si>
    <t>Ad has hidden additional promotional code.</t>
  </si>
  <si>
    <t>Wiki snapshot on right</t>
  </si>
  <si>
    <t>Can subscribe to enewsletter via ad</t>
  </si>
  <si>
    <t>promoting sale that ends tonight</t>
    <phoneticPr fontId="6" type="noConversion"/>
  </si>
  <si>
    <t>2nd result</t>
  </si>
  <si>
    <t>versacehome.it, versacecollection.com; Gianni Versace Wiki snapshot on right</t>
  </si>
  <si>
    <t>YSL Beauty</t>
  </si>
  <si>
    <t>Zac Posen Wiki snapshot on right.</t>
  </si>
  <si>
    <t>Derek Lam Wiki snapshot on the right.</t>
  </si>
  <si>
    <t>Absolute Growth</t>
  </si>
  <si>
    <t>Alfred Dunhill (#36)</t>
  </si>
  <si>
    <t>AVERAGE</t>
  </si>
  <si>
    <t>Absolute Growth 2011-2012</t>
  </si>
  <si>
    <t>% Growth 2011-2012</t>
  </si>
  <si>
    <t>Alfred Dunhill</t>
    <phoneticPr fontId="0" type="noConversion"/>
  </si>
  <si>
    <t xml:space="preserve">Chloé </t>
  </si>
  <si>
    <t>Dolce &amp; Gabbana</t>
    <phoneticPr fontId="0" type="noConversion"/>
  </si>
  <si>
    <t>2012 Views (Date 1)</t>
  </si>
  <si>
    <t>2011 Views (Date 2)</t>
  </si>
  <si>
    <t>Growth</t>
  </si>
  <si>
    <t>Alfred Dunhill (#16)</t>
  </si>
  <si>
    <t>tab for bridal vs. collection stores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</si>
</sst>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3" formatCode="_(* #,##0.00_);_(* \(#,##0.00\);_(* &quot;-&quot;??_);_(@_)"/>
    <numFmt numFmtId="164" formatCode="0.0"/>
    <numFmt numFmtId="165" formatCode="0.0%"/>
    <numFmt numFmtId="166" formatCode="0.000"/>
    <numFmt numFmtId="167" formatCode="0.0000"/>
    <numFmt numFmtId="168" formatCode="mm/dd/yyyy"/>
    <numFmt numFmtId="169" formatCode="###0.0_);\-###0.0"/>
    <numFmt numFmtId="170" formatCode="###0.00_);\-###0.00"/>
    <numFmt numFmtId="171" formatCode="_(* #,##0_);_(* \(#,##0\);_(* &quot;-&quot;??_);_(@_)"/>
    <numFmt numFmtId="172" formatCode="&quot;$&quot;###0.00_);\-&quot;$&quot;###0.00"/>
    <numFmt numFmtId="173" formatCode="###0_);\-###0"/>
    <numFmt numFmtId="174" formatCode="###0.00%_);\-###0.00%"/>
    <numFmt numFmtId="175" formatCode="_(* #,##0.0_);_(* \(#,##0.0\);_(* &quot;-&quot;??_);_(@_)"/>
    <numFmt numFmtId="176" formatCode="###0.0%_);\-###0.0%"/>
  </numFmts>
  <fonts count="35" x14ac:knownFonts="1">
    <font>
      <sz val="10"/>
      <color theme="1"/>
      <name val="Arial"/>
      <family val="2"/>
    </font>
    <font>
      <sz val="12"/>
      <color theme="1"/>
      <name val="Calibri"/>
      <family val="2"/>
      <scheme val="minor"/>
    </font>
    <font>
      <sz val="10"/>
      <color theme="1"/>
      <name val="Arial"/>
      <family val="2"/>
    </font>
    <font>
      <b/>
      <sz val="10"/>
      <color theme="0"/>
      <name val="Arial"/>
      <family val="2"/>
    </font>
    <font>
      <u/>
      <sz val="10"/>
      <color theme="10"/>
      <name val="Arial"/>
      <family val="2"/>
    </font>
    <font>
      <u/>
      <sz val="10"/>
      <color theme="11"/>
      <name val="Arial"/>
      <family val="2"/>
    </font>
    <font>
      <sz val="10"/>
      <color rgb="FF000000"/>
      <name val="Arial"/>
      <family val="2"/>
    </font>
    <font>
      <sz val="10"/>
      <name val="Arial"/>
    </font>
    <font>
      <b/>
      <sz val="10"/>
      <name val="Arial"/>
    </font>
    <font>
      <b/>
      <sz val="11"/>
      <name val="Arial"/>
    </font>
    <font>
      <b/>
      <sz val="10"/>
      <color indexed="13"/>
      <name val="Arial"/>
      <family val="2"/>
    </font>
    <font>
      <sz val="10"/>
      <name val="Calibri"/>
      <scheme val="minor"/>
    </font>
    <font>
      <sz val="11"/>
      <name val="Arial"/>
    </font>
    <font>
      <sz val="10"/>
      <color rgb="FF000000"/>
      <name val="Calibri"/>
      <family val="2"/>
      <scheme val="minor"/>
    </font>
    <font>
      <sz val="10"/>
      <name val="Calibri"/>
    </font>
    <font>
      <b/>
      <sz val="9"/>
      <color indexed="81"/>
      <name val="Arial"/>
    </font>
    <font>
      <sz val="9"/>
      <color indexed="81"/>
      <name val="Arial"/>
    </font>
    <font>
      <sz val="10"/>
      <name val="Verdana"/>
    </font>
    <font>
      <b/>
      <sz val="10"/>
      <name val="Verdana"/>
    </font>
    <font>
      <b/>
      <sz val="10"/>
      <color theme="1"/>
      <name val="Calibri"/>
      <family val="2"/>
      <scheme val="minor"/>
    </font>
    <font>
      <b/>
      <u/>
      <sz val="10"/>
      <color indexed="63"/>
      <name val="Arial"/>
    </font>
    <font>
      <sz val="10"/>
      <color theme="1"/>
      <name val="Calibri"/>
      <family val="2"/>
      <scheme val="minor"/>
    </font>
    <font>
      <b/>
      <sz val="10"/>
      <color theme="0"/>
      <name val="Calibri"/>
      <scheme val="minor"/>
    </font>
    <font>
      <b/>
      <sz val="12"/>
      <color theme="1"/>
      <name val="Calibri"/>
      <family val="2"/>
      <scheme val="minor"/>
    </font>
    <font>
      <sz val="10"/>
      <color theme="0"/>
      <name val="Calibri"/>
      <scheme val="minor"/>
    </font>
    <font>
      <sz val="10"/>
      <color indexed="8"/>
      <name val="Calibri"/>
      <family val="2"/>
    </font>
    <font>
      <b/>
      <sz val="10"/>
      <color indexed="8"/>
      <name val="Calibri"/>
      <family val="2"/>
    </font>
    <font>
      <sz val="10"/>
      <color indexed="8"/>
      <name val="Verdana"/>
      <family val="2"/>
    </font>
    <font>
      <sz val="10"/>
      <color rgb="FF000000"/>
      <name val="Calibri"/>
    </font>
    <font>
      <u/>
      <sz val="10"/>
      <color theme="10"/>
      <name val="Calibri"/>
      <family val="2"/>
    </font>
    <font>
      <sz val="12"/>
      <name val="Calibri"/>
    </font>
    <font>
      <sz val="12"/>
      <color indexed="8"/>
      <name val="Calibri"/>
      <family val="2"/>
    </font>
    <font>
      <b/>
      <sz val="10"/>
      <color theme="1"/>
      <name val="Arial"/>
    </font>
    <font>
      <b/>
      <sz val="10"/>
      <color rgb="FF000000"/>
      <name val="Arial"/>
    </font>
    <font>
      <sz val="10"/>
      <color rgb="FFFF0000"/>
      <name val="Arial"/>
    </font>
  </fonts>
  <fills count="58">
    <fill>
      <patternFill patternType="none"/>
    </fill>
    <fill>
      <patternFill patternType="gray125"/>
    </fill>
    <fill>
      <patternFill patternType="solid">
        <fgColor theme="0" tint="-0.34998626667073579"/>
        <bgColor indexed="64"/>
      </patternFill>
    </fill>
    <fill>
      <patternFill patternType="solid">
        <fgColor theme="8"/>
        <bgColor indexed="64"/>
      </patternFill>
    </fill>
    <fill>
      <patternFill patternType="solid">
        <fgColor indexed="15"/>
        <bgColor indexed="35"/>
      </patternFill>
    </fill>
    <fill>
      <patternFill patternType="solid">
        <fgColor theme="6"/>
        <bgColor rgb="FF000000"/>
      </patternFill>
    </fill>
    <fill>
      <patternFill patternType="solid">
        <fgColor theme="7"/>
        <bgColor rgb="FF000000"/>
      </patternFill>
    </fill>
    <fill>
      <patternFill patternType="solid">
        <fgColor theme="5"/>
        <bgColor rgb="FF000000"/>
      </patternFill>
    </fill>
    <fill>
      <patternFill patternType="solid">
        <fgColor theme="9"/>
        <bgColor rgb="FF000000"/>
      </patternFill>
    </fill>
    <fill>
      <patternFill patternType="solid">
        <fgColor theme="1"/>
        <bgColor indexed="64"/>
      </patternFill>
    </fill>
    <fill>
      <patternFill patternType="solid">
        <fgColor theme="0" tint="-0.14999847407452621"/>
        <bgColor indexed="64"/>
      </patternFill>
    </fill>
    <fill>
      <patternFill patternType="solid">
        <fgColor theme="8" tint="0.59999389629810485"/>
        <bgColor indexed="31"/>
      </patternFill>
    </fill>
    <fill>
      <patternFill patternType="solid">
        <fgColor theme="8"/>
        <bgColor indexed="35"/>
      </patternFill>
    </fill>
    <fill>
      <patternFill patternType="solid">
        <fgColor theme="8" tint="0.79998168889431442"/>
        <bgColor indexed="22"/>
      </patternFill>
    </fill>
    <fill>
      <patternFill patternType="solid">
        <fgColor indexed="24"/>
        <bgColor indexed="55"/>
      </patternFill>
    </fill>
    <fill>
      <patternFill patternType="solid">
        <fgColor theme="6" tint="0.39997558519241921"/>
        <bgColor indexed="57"/>
      </patternFill>
    </fill>
    <fill>
      <patternFill patternType="solid">
        <fgColor theme="6"/>
        <bgColor indexed="35"/>
      </patternFill>
    </fill>
    <fill>
      <patternFill patternType="solid">
        <fgColor theme="7" tint="0.39997558519241921"/>
        <bgColor indexed="11"/>
      </patternFill>
    </fill>
    <fill>
      <patternFill patternType="solid">
        <fgColor theme="7"/>
        <bgColor indexed="35"/>
      </patternFill>
    </fill>
    <fill>
      <patternFill patternType="solid">
        <fgColor theme="5" tint="0.39997558519241921"/>
        <bgColor indexed="55"/>
      </patternFill>
    </fill>
    <fill>
      <patternFill patternType="solid">
        <fgColor theme="5"/>
        <bgColor indexed="35"/>
      </patternFill>
    </fill>
    <fill>
      <patternFill patternType="solid">
        <fgColor theme="9" tint="0.39997558519241921"/>
        <bgColor indexed="42"/>
      </patternFill>
    </fill>
    <fill>
      <patternFill patternType="solid">
        <fgColor theme="9"/>
        <bgColor indexed="35"/>
      </patternFill>
    </fill>
    <fill>
      <patternFill patternType="solid">
        <fgColor theme="9"/>
        <bgColor indexed="34"/>
      </patternFill>
    </fill>
    <fill>
      <patternFill patternType="solid">
        <fgColor indexed="8"/>
        <bgColor indexed="58"/>
      </patternFill>
    </fill>
    <fill>
      <patternFill patternType="solid">
        <fgColor rgb="FF9BBB59"/>
        <bgColor rgb="FF4EE257"/>
      </patternFill>
    </fill>
    <fill>
      <patternFill patternType="solid">
        <fgColor theme="9"/>
        <bgColor indexed="64"/>
      </patternFill>
    </fill>
    <fill>
      <patternFill patternType="solid">
        <fgColor theme="9" tint="0.79998168889431442"/>
        <bgColor indexed="64"/>
      </patternFill>
    </fill>
    <fill>
      <patternFill patternType="solid">
        <fgColor theme="0"/>
        <bgColor rgb="FF000000"/>
      </patternFill>
    </fill>
    <fill>
      <patternFill patternType="solid">
        <fgColor theme="0"/>
        <bgColor indexed="64"/>
      </patternFill>
    </fill>
    <fill>
      <patternFill patternType="solid">
        <fgColor theme="5"/>
        <bgColor indexed="64"/>
      </patternFill>
    </fill>
    <fill>
      <patternFill patternType="solid">
        <fgColor indexed="22"/>
        <bgColor indexed="64"/>
      </patternFill>
    </fill>
    <fill>
      <patternFill patternType="solid">
        <fgColor indexed="13"/>
        <bgColor indexed="64"/>
      </patternFill>
    </fill>
    <fill>
      <patternFill patternType="solid">
        <fgColor indexed="8"/>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FFFF00"/>
        <bgColor rgb="FF000000"/>
      </patternFill>
    </fill>
    <fill>
      <patternFill patternType="solid">
        <fgColor theme="6" tint="0.59999389629810485"/>
        <bgColor indexed="64"/>
      </patternFill>
    </fill>
    <fill>
      <patternFill patternType="solid">
        <fgColor theme="3" tint="0.79998168889431442"/>
        <bgColor indexed="64"/>
      </patternFill>
    </fill>
    <fill>
      <patternFill patternType="solid">
        <fgColor theme="3"/>
        <bgColor indexed="64"/>
      </patternFill>
    </fill>
    <fill>
      <patternFill patternType="solid">
        <fgColor theme="6"/>
        <bgColor indexed="64"/>
      </patternFill>
    </fill>
    <fill>
      <patternFill patternType="solid">
        <fgColor theme="4" tint="0.79998168889431442"/>
        <bgColor indexed="64"/>
      </patternFill>
    </fill>
    <fill>
      <patternFill patternType="solid">
        <fgColor rgb="FFFDE9D9"/>
        <bgColor rgb="FF000000"/>
      </patternFill>
    </fill>
    <fill>
      <patternFill patternType="solid">
        <fgColor theme="7"/>
        <bgColor indexed="64"/>
      </patternFill>
    </fill>
    <fill>
      <patternFill patternType="solid">
        <fgColor theme="9" tint="0.79998168889431442"/>
        <bgColor rgb="FF000000"/>
      </patternFill>
    </fill>
    <fill>
      <patternFill patternType="solid">
        <fgColor theme="0" tint="-4.9989318521683403E-2"/>
        <bgColor indexed="64"/>
      </patternFill>
    </fill>
    <fill>
      <patternFill patternType="solid">
        <fgColor theme="4"/>
        <bgColor indexed="64"/>
      </patternFill>
    </fill>
    <fill>
      <patternFill patternType="solid">
        <fgColor theme="2"/>
        <bgColor indexed="64"/>
      </patternFill>
    </fill>
    <fill>
      <patternFill patternType="solid">
        <fgColor rgb="FFEEECE1"/>
        <bgColor rgb="FF000000"/>
      </patternFill>
    </fill>
    <fill>
      <patternFill patternType="solid">
        <fgColor indexed="43"/>
        <bgColor indexed="64"/>
      </patternFill>
    </fill>
    <fill>
      <patternFill patternType="solid">
        <fgColor theme="8" tint="0.39997558519241921"/>
        <bgColor indexed="64"/>
      </patternFill>
    </fill>
    <fill>
      <patternFill patternType="solid">
        <fgColor theme="8"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0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165"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alignment vertical="center"/>
    </xf>
    <xf numFmtId="0" fontId="17"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alignment vertical="center"/>
    </xf>
    <xf numFmtId="0" fontId="21" fillId="0" borderId="0"/>
    <xf numFmtId="9" fontId="2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43" fontId="21" fillId="0" borderId="0" applyFont="0" applyFill="0" applyBorder="0" applyAlignment="0" applyProtection="0"/>
    <xf numFmtId="0" fontId="25" fillId="0" borderId="0"/>
    <xf numFmtId="9" fontId="25" fillId="0" borderId="0" applyFont="0" applyFill="0" applyBorder="0" applyAlignment="0" applyProtection="0"/>
    <xf numFmtId="43" fontId="25" fillId="0" borderId="0" applyFont="0" applyFill="0" applyBorder="0" applyAlignment="0" applyProtection="0"/>
    <xf numFmtId="0" fontId="29" fillId="0" borderId="0" applyNumberFormat="0" applyFill="0" applyBorder="0" applyAlignment="0" applyProtection="0"/>
    <xf numFmtId="0" fontId="1" fillId="0" borderId="0"/>
    <xf numFmtId="43" fontId="1"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482">
    <xf numFmtId="0" fontId="0" fillId="0" borderId="0" xfId="0"/>
    <xf numFmtId="2" fontId="0" fillId="0" borderId="0" xfId="0" applyNumberFormat="1"/>
    <xf numFmtId="164" fontId="0" fillId="0" borderId="0" xfId="0" applyNumberFormat="1"/>
    <xf numFmtId="9" fontId="0" fillId="0" borderId="0" xfId="0" applyNumberFormat="1"/>
    <xf numFmtId="165" fontId="0" fillId="0" borderId="0" xfId="0" applyNumberFormat="1"/>
    <xf numFmtId="1" fontId="0" fillId="0" borderId="0" xfId="0" applyNumberFormat="1"/>
    <xf numFmtId="10" fontId="0" fillId="0" borderId="0" xfId="0" applyNumberFormat="1"/>
    <xf numFmtId="2" fontId="6" fillId="0" borderId="0" xfId="0" applyNumberFormat="1" applyFont="1"/>
    <xf numFmtId="0" fontId="6" fillId="0" borderId="0" xfId="0" applyFont="1"/>
    <xf numFmtId="0" fontId="7" fillId="4" borderId="0" xfId="17" applyNumberFormat="1" applyFill="1" applyAlignment="1">
      <alignment wrapText="1"/>
    </xf>
    <xf numFmtId="0" fontId="8" fillId="6" borderId="0" xfId="17" applyNumberFormat="1" applyFont="1" applyFill="1" applyAlignment="1">
      <alignment wrapText="1"/>
    </xf>
    <xf numFmtId="0" fontId="8" fillId="9" borderId="0" xfId="17" applyNumberFormat="1" applyFont="1" applyFill="1" applyAlignment="1">
      <alignment wrapText="1"/>
    </xf>
    <xf numFmtId="0" fontId="8" fillId="0" borderId="0" xfId="17" applyNumberFormat="1" applyFont="1" applyFill="1" applyAlignment="1">
      <alignment wrapText="1"/>
    </xf>
    <xf numFmtId="0" fontId="8" fillId="10" borderId="0" xfId="17" applyNumberFormat="1" applyFont="1" applyFill="1" applyAlignment="1">
      <alignment wrapText="1"/>
    </xf>
    <xf numFmtId="0" fontId="8" fillId="11" borderId="0" xfId="17" applyNumberFormat="1" applyFont="1" applyFill="1" applyAlignment="1">
      <alignment horizontal="center" wrapText="1"/>
    </xf>
    <xf numFmtId="0" fontId="8" fillId="12" borderId="0" xfId="17" applyNumberFormat="1" applyFont="1" applyFill="1" applyAlignment="1">
      <alignment horizontal="center" wrapText="1"/>
    </xf>
    <xf numFmtId="0" fontId="8" fillId="13" borderId="0" xfId="17" applyNumberFormat="1" applyFont="1" applyFill="1" applyAlignment="1">
      <alignment horizontal="center" wrapText="1"/>
    </xf>
    <xf numFmtId="0" fontId="9" fillId="12" borderId="0" xfId="17" applyNumberFormat="1" applyFont="1" applyFill="1" applyAlignment="1">
      <alignment horizontal="center" wrapText="1"/>
    </xf>
    <xf numFmtId="0" fontId="8" fillId="3" borderId="0" xfId="17" applyNumberFormat="1" applyFont="1" applyFill="1" applyAlignment="1">
      <alignment horizontal="center" wrapText="1"/>
    </xf>
    <xf numFmtId="0" fontId="8" fillId="14" borderId="0" xfId="17" applyNumberFormat="1" applyFont="1" applyFill="1" applyAlignment="1">
      <alignment horizontal="center" wrapText="1"/>
    </xf>
    <xf numFmtId="0" fontId="8" fillId="4" borderId="0" xfId="17" applyNumberFormat="1" applyFont="1" applyFill="1" applyAlignment="1">
      <alignment horizontal="center" wrapText="1"/>
    </xf>
    <xf numFmtId="0" fontId="8" fillId="15" borderId="0" xfId="17" applyNumberFormat="1" applyFont="1" applyFill="1" applyAlignment="1">
      <alignment horizontal="center" wrapText="1"/>
    </xf>
    <xf numFmtId="0" fontId="8" fillId="16" borderId="0" xfId="17" applyNumberFormat="1" applyFont="1" applyFill="1" applyAlignment="1">
      <alignment horizontal="center" wrapText="1"/>
    </xf>
    <xf numFmtId="0" fontId="8" fillId="17" borderId="0" xfId="17" applyNumberFormat="1" applyFont="1" applyFill="1" applyAlignment="1">
      <alignment horizontal="center" wrapText="1"/>
    </xf>
    <xf numFmtId="0" fontId="8" fillId="18" borderId="0" xfId="17" applyNumberFormat="1" applyFont="1" applyFill="1" applyAlignment="1">
      <alignment horizontal="center" wrapText="1"/>
    </xf>
    <xf numFmtId="0" fontId="8" fillId="19" borderId="0" xfId="17" applyNumberFormat="1" applyFont="1" applyFill="1" applyAlignment="1">
      <alignment horizontal="center" wrapText="1"/>
    </xf>
    <xf numFmtId="0" fontId="8" fillId="20" borderId="0" xfId="17" applyNumberFormat="1" applyFont="1" applyFill="1" applyAlignment="1">
      <alignment horizontal="center" wrapText="1"/>
    </xf>
    <xf numFmtId="0" fontId="8" fillId="21" borderId="0" xfId="17" applyNumberFormat="1" applyFont="1" applyFill="1" applyAlignment="1">
      <alignment horizontal="center" wrapText="1"/>
    </xf>
    <xf numFmtId="0" fontId="8" fillId="22" borderId="0" xfId="17" applyNumberFormat="1" applyFont="1" applyFill="1" applyAlignment="1">
      <alignment horizontal="center" wrapText="1"/>
    </xf>
    <xf numFmtId="0" fontId="8" fillId="23" borderId="0" xfId="17" applyNumberFormat="1" applyFont="1" applyFill="1" applyAlignment="1">
      <alignment horizontal="center" wrapText="1"/>
    </xf>
    <xf numFmtId="0" fontId="10" fillId="24" borderId="0" xfId="17" applyNumberFormat="1" applyFont="1" applyFill="1" applyAlignment="1">
      <alignment horizontal="center" wrapText="1"/>
    </xf>
    <xf numFmtId="0" fontId="7" fillId="0" borderId="0" xfId="17" applyNumberFormat="1" applyFont="1" applyAlignment="1">
      <alignment wrapText="1"/>
    </xf>
    <xf numFmtId="165" fontId="11" fillId="0" borderId="0" xfId="17" applyFont="1" applyAlignment="1">
      <alignment horizontal="left" wrapText="1"/>
    </xf>
    <xf numFmtId="165" fontId="7" fillId="0" borderId="0" xfId="17" applyFill="1"/>
    <xf numFmtId="49" fontId="7" fillId="0" borderId="0" xfId="17" applyNumberFormat="1" applyFont="1" applyAlignment="1">
      <alignment wrapText="1"/>
    </xf>
    <xf numFmtId="165" fontId="7" fillId="0" borderId="0" xfId="17"/>
    <xf numFmtId="0" fontId="12" fillId="0" borderId="0" xfId="17" applyNumberFormat="1" applyFont="1" applyFill="1" applyAlignment="1">
      <alignment horizontal="center" wrapText="1"/>
    </xf>
    <xf numFmtId="0" fontId="12" fillId="12" borderId="0" xfId="17" applyNumberFormat="1" applyFont="1" applyFill="1" applyAlignment="1">
      <alignment horizontal="center" wrapText="1"/>
    </xf>
    <xf numFmtId="2" fontId="12" fillId="12" borderId="0" xfId="17" applyNumberFormat="1" applyFont="1" applyFill="1" applyAlignment="1">
      <alignment horizontal="center" wrapText="1"/>
    </xf>
    <xf numFmtId="0" fontId="12" fillId="13" borderId="0" xfId="17" applyNumberFormat="1" applyFont="1" applyFill="1" applyAlignment="1">
      <alignment horizontal="center" wrapText="1"/>
    </xf>
    <xf numFmtId="0" fontId="12" fillId="0" borderId="0" xfId="17" applyNumberFormat="1" applyFont="1" applyFill="1" applyAlignment="1">
      <alignment horizontal="left" wrapText="1"/>
    </xf>
    <xf numFmtId="2" fontId="9" fillId="3" borderId="0" xfId="17" applyNumberFormat="1" applyFont="1" applyFill="1" applyAlignment="1">
      <alignment horizontal="center" wrapText="1"/>
    </xf>
    <xf numFmtId="0" fontId="12" fillId="4" borderId="0" xfId="17" applyNumberFormat="1" applyFont="1" applyFill="1" applyAlignment="1">
      <alignment horizontal="center" wrapText="1"/>
    </xf>
    <xf numFmtId="0" fontId="12" fillId="0" borderId="0" xfId="17" applyNumberFormat="1" applyFont="1" applyFill="1" applyAlignment="1">
      <alignment wrapText="1"/>
    </xf>
    <xf numFmtId="2" fontId="12" fillId="4" borderId="0" xfId="17" applyNumberFormat="1" applyFont="1" applyFill="1" applyAlignment="1">
      <alignment horizontal="center" wrapText="1"/>
    </xf>
    <xf numFmtId="0" fontId="12" fillId="0" borderId="0" xfId="17" applyNumberFormat="1" applyFont="1" applyFill="1" applyAlignment="1">
      <alignment horizontal="center"/>
    </xf>
    <xf numFmtId="0" fontId="12" fillId="16" borderId="0" xfId="17" applyNumberFormat="1" applyFont="1" applyFill="1" applyAlignment="1">
      <alignment horizontal="center" wrapText="1"/>
    </xf>
    <xf numFmtId="0" fontId="12" fillId="25" borderId="0" xfId="17" applyNumberFormat="1" applyFont="1" applyFill="1" applyAlignment="1">
      <alignment horizontal="center" wrapText="1"/>
    </xf>
    <xf numFmtId="0" fontId="7" fillId="16" borderId="0" xfId="17" applyNumberFormat="1" applyFill="1" applyAlignment="1">
      <alignment horizontal="center" wrapText="1"/>
    </xf>
    <xf numFmtId="0" fontId="7" fillId="0" borderId="0" xfId="17" applyNumberFormat="1" applyFill="1" applyAlignment="1">
      <alignment horizontal="center"/>
    </xf>
    <xf numFmtId="0" fontId="7" fillId="0" borderId="0" xfId="17" applyNumberFormat="1" applyFill="1" applyAlignment="1">
      <alignment horizontal="center" wrapText="1"/>
    </xf>
    <xf numFmtId="2" fontId="7" fillId="16" borderId="0" xfId="17" applyNumberFormat="1" applyFill="1" applyAlignment="1">
      <alignment horizontal="center" wrapText="1"/>
    </xf>
    <xf numFmtId="0" fontId="7" fillId="0" borderId="0" xfId="17" applyNumberFormat="1" applyFont="1" applyFill="1" applyAlignment="1">
      <alignment horizontal="center" wrapText="1"/>
    </xf>
    <xf numFmtId="0" fontId="7" fillId="18" borderId="0" xfId="17" applyNumberFormat="1" applyFill="1" applyAlignment="1">
      <alignment horizontal="center" wrapText="1"/>
    </xf>
    <xf numFmtId="2" fontId="7" fillId="18" borderId="0" xfId="17" applyNumberFormat="1" applyFill="1" applyAlignment="1">
      <alignment horizontal="center" wrapText="1"/>
    </xf>
    <xf numFmtId="0" fontId="7" fillId="20" borderId="0" xfId="17" applyNumberFormat="1" applyFill="1" applyAlignment="1">
      <alignment horizontal="center" wrapText="1"/>
    </xf>
    <xf numFmtId="2" fontId="7" fillId="20" borderId="0" xfId="17" applyNumberFormat="1" applyFill="1" applyAlignment="1">
      <alignment horizontal="center" wrapText="1"/>
    </xf>
    <xf numFmtId="0" fontId="7" fillId="0" borderId="0" xfId="17" applyNumberFormat="1" applyFont="1" applyAlignment="1">
      <alignment horizontal="center"/>
    </xf>
    <xf numFmtId="0" fontId="7" fillId="22" borderId="0" xfId="17" applyNumberFormat="1" applyFill="1" applyAlignment="1">
      <alignment horizontal="center" wrapText="1"/>
    </xf>
    <xf numFmtId="0" fontId="7" fillId="0" borderId="0" xfId="17" applyNumberFormat="1" applyFont="1" applyAlignment="1">
      <alignment horizontal="center" wrapText="1"/>
    </xf>
    <xf numFmtId="2" fontId="8" fillId="26" borderId="0" xfId="17" applyNumberFormat="1" applyFont="1" applyFill="1" applyAlignment="1">
      <alignment horizontal="center" wrapText="1"/>
    </xf>
    <xf numFmtId="2" fontId="10" fillId="24" borderId="0" xfId="17" applyNumberFormat="1" applyFont="1" applyFill="1" applyAlignment="1">
      <alignment horizontal="center"/>
    </xf>
    <xf numFmtId="0" fontId="7" fillId="0" borderId="0" xfId="17" applyNumberFormat="1" applyFill="1"/>
    <xf numFmtId="0" fontId="12" fillId="27" borderId="0" xfId="17" applyNumberFormat="1" applyFont="1" applyFill="1" applyAlignment="1">
      <alignment horizontal="center" wrapText="1"/>
    </xf>
    <xf numFmtId="165" fontId="13" fillId="0" borderId="0" xfId="17" applyFont="1" applyAlignment="1">
      <alignment horizontal="left" wrapText="1"/>
    </xf>
    <xf numFmtId="165" fontId="7" fillId="0" borderId="0" xfId="17" applyFont="1" applyAlignment="1">
      <alignment wrapText="1"/>
    </xf>
    <xf numFmtId="166" fontId="12" fillId="0" borderId="0" xfId="17" applyNumberFormat="1" applyFont="1" applyFill="1" applyAlignment="1">
      <alignment horizontal="center" wrapText="1"/>
    </xf>
    <xf numFmtId="166" fontId="12" fillId="27" borderId="0" xfId="17" applyNumberFormat="1" applyFont="1" applyFill="1" applyAlignment="1">
      <alignment horizontal="center" wrapText="1"/>
    </xf>
    <xf numFmtId="0" fontId="12" fillId="0" borderId="0" xfId="17" applyNumberFormat="1" applyFont="1" applyAlignment="1">
      <alignment horizontal="center" wrapText="1"/>
    </xf>
    <xf numFmtId="0" fontId="7" fillId="0" borderId="0" xfId="17" applyNumberFormat="1" applyAlignment="1">
      <alignment horizontal="center"/>
    </xf>
    <xf numFmtId="0" fontId="12" fillId="0" borderId="0" xfId="17" applyNumberFormat="1" applyFont="1" applyFill="1"/>
    <xf numFmtId="0" fontId="12" fillId="0" borderId="0" xfId="17" applyNumberFormat="1" applyFont="1"/>
    <xf numFmtId="0" fontId="7" fillId="0" borderId="0" xfId="17" applyNumberFormat="1" applyFont="1" applyAlignment="1">
      <alignment horizontal="left" wrapText="1"/>
    </xf>
    <xf numFmtId="166" fontId="12" fillId="0" borderId="0" xfId="17" applyNumberFormat="1" applyFont="1" applyFill="1"/>
    <xf numFmtId="166" fontId="12" fillId="27" borderId="0" xfId="17" applyNumberFormat="1" applyFont="1" applyFill="1"/>
    <xf numFmtId="0" fontId="7" fillId="0" borderId="0" xfId="17" applyNumberFormat="1" applyAlignment="1">
      <alignment horizontal="center" wrapText="1"/>
    </xf>
    <xf numFmtId="165" fontId="14" fillId="0" borderId="0" xfId="17" applyFont="1" applyAlignment="1">
      <alignment horizontal="left" wrapText="1"/>
    </xf>
    <xf numFmtId="0" fontId="7" fillId="0" borderId="0" xfId="17" applyNumberFormat="1" applyFont="1" applyFill="1" applyAlignment="1">
      <alignment wrapText="1"/>
    </xf>
    <xf numFmtId="0" fontId="7" fillId="13" borderId="0" xfId="17" applyNumberFormat="1" applyFill="1" applyAlignment="1">
      <alignment horizontal="center" wrapText="1"/>
    </xf>
    <xf numFmtId="0" fontId="7" fillId="0" borderId="0" xfId="17" applyNumberFormat="1" applyFill="1" applyAlignment="1">
      <alignment horizontal="left" wrapText="1"/>
    </xf>
    <xf numFmtId="0" fontId="7" fillId="28" borderId="0" xfId="17" applyNumberFormat="1" applyFill="1" applyAlignment="1">
      <alignment horizontal="center" wrapText="1"/>
    </xf>
    <xf numFmtId="0" fontId="7" fillId="29" borderId="0" xfId="17" applyNumberFormat="1" applyFill="1" applyAlignment="1">
      <alignment horizontal="center" wrapText="1"/>
    </xf>
    <xf numFmtId="0" fontId="7" fillId="29" borderId="0" xfId="17" applyNumberFormat="1" applyFont="1" applyFill="1" applyAlignment="1">
      <alignment horizontal="center"/>
    </xf>
    <xf numFmtId="0" fontId="7" fillId="0" borderId="0" xfId="17" applyNumberFormat="1"/>
    <xf numFmtId="0" fontId="3" fillId="30" borderId="0" xfId="17" applyNumberFormat="1" applyFont="1" applyFill="1" applyAlignment="1">
      <alignment wrapText="1"/>
    </xf>
    <xf numFmtId="9" fontId="3" fillId="30" borderId="0" xfId="18" applyFont="1" applyFill="1" applyAlignment="1">
      <alignment horizontal="center" wrapText="1"/>
    </xf>
    <xf numFmtId="0" fontId="3" fillId="30" borderId="0" xfId="17" applyNumberFormat="1" applyFont="1" applyFill="1" applyAlignment="1">
      <alignment horizontal="center" wrapText="1"/>
    </xf>
    <xf numFmtId="2" fontId="3" fillId="30" borderId="0" xfId="17" applyNumberFormat="1" applyFont="1" applyFill="1" applyAlignment="1">
      <alignment horizontal="center" wrapText="1"/>
    </xf>
    <xf numFmtId="0" fontId="3" fillId="30" borderId="0" xfId="17" applyNumberFormat="1" applyFont="1" applyFill="1" applyAlignment="1">
      <alignment horizontal="center"/>
    </xf>
    <xf numFmtId="43" fontId="3" fillId="30" borderId="0" xfId="19" applyNumberFormat="1" applyFont="1" applyFill="1" applyAlignment="1">
      <alignment horizontal="center" wrapText="1"/>
    </xf>
    <xf numFmtId="0" fontId="7" fillId="0" borderId="0" xfId="17" applyNumberFormat="1" applyFill="1" applyAlignment="1">
      <alignment wrapText="1"/>
    </xf>
    <xf numFmtId="43" fontId="0" fillId="0" borderId="0" xfId="19" applyNumberFormat="1" applyFont="1" applyFill="1" applyAlignment="1">
      <alignment horizontal="center" wrapText="1"/>
    </xf>
    <xf numFmtId="0" fontId="10" fillId="0" borderId="0" xfId="17" applyNumberFormat="1" applyFont="1" applyFill="1" applyAlignment="1">
      <alignment horizontal="center"/>
    </xf>
    <xf numFmtId="0" fontId="18" fillId="31" borderId="1" xfId="22" applyFont="1" applyFill="1" applyBorder="1" applyAlignment="1">
      <alignment horizontal="center" wrapText="1"/>
    </xf>
    <xf numFmtId="0" fontId="17" fillId="0" borderId="0" xfId="22" applyAlignment="1">
      <alignment wrapText="1"/>
    </xf>
    <xf numFmtId="9" fontId="17" fillId="0" borderId="0" xfId="22" applyNumberFormat="1" applyAlignment="1">
      <alignment wrapText="1"/>
    </xf>
    <xf numFmtId="0" fontId="17" fillId="0" borderId="0" xfId="22"/>
    <xf numFmtId="0" fontId="19" fillId="0" borderId="0" xfId="22" applyNumberFormat="1" applyFont="1" applyAlignment="1">
      <alignment horizontal="left" vertical="top"/>
    </xf>
    <xf numFmtId="9" fontId="17" fillId="0" borderId="0" xfId="22" applyNumberFormat="1"/>
    <xf numFmtId="0" fontId="0" fillId="0" borderId="0" xfId="0" applyAlignment="1">
      <alignment wrapText="1"/>
    </xf>
    <xf numFmtId="2" fontId="6" fillId="0" borderId="0" xfId="0" applyNumberFormat="1" applyFont="1" applyAlignment="1">
      <alignment wrapText="1"/>
    </xf>
    <xf numFmtId="0" fontId="6" fillId="0" borderId="0" xfId="0" applyFont="1" applyAlignment="1">
      <alignment wrapText="1"/>
    </xf>
    <xf numFmtId="164" fontId="0" fillId="0" borderId="0" xfId="0" applyNumberFormat="1" applyAlignment="1">
      <alignment wrapText="1"/>
    </xf>
    <xf numFmtId="2" fontId="3" fillId="30" borderId="0" xfId="17" applyNumberFormat="1" applyFont="1" applyFill="1" applyAlignment="1">
      <alignment horizontal="left" wrapText="1" indent="7"/>
    </xf>
    <xf numFmtId="0" fontId="0" fillId="32" borderId="0" xfId="185" applyNumberFormat="1" applyFont="1" applyFill="1" applyAlignment="1">
      <alignment horizontal="center" wrapText="1"/>
    </xf>
    <xf numFmtId="0" fontId="0" fillId="33" borderId="0" xfId="185" applyNumberFormat="1" applyFont="1" applyFill="1" applyAlignment="1">
      <alignment horizontal="center" wrapText="1"/>
    </xf>
    <xf numFmtId="0" fontId="0" fillId="34" borderId="0" xfId="185" applyNumberFormat="1" applyFont="1" applyFill="1" applyAlignment="1">
      <alignment horizontal="center" wrapText="1"/>
    </xf>
    <xf numFmtId="0" fontId="0" fillId="33" borderId="0" xfId="185" applyNumberFormat="1" applyFont="1" applyFill="1" applyAlignment="1">
      <alignment wrapText="1"/>
    </xf>
    <xf numFmtId="0" fontId="0" fillId="35" borderId="0" xfId="185" applyNumberFormat="1" applyFont="1" applyFill="1" applyAlignment="1">
      <alignment wrapText="1"/>
    </xf>
    <xf numFmtId="0" fontId="2" fillId="0" borderId="0" xfId="185">
      <alignment vertical="center"/>
    </xf>
    <xf numFmtId="0" fontId="0" fillId="0" borderId="0" xfId="185" applyNumberFormat="1" applyFont="1" applyFill="1" applyAlignment="1">
      <alignment wrapText="1"/>
    </xf>
    <xf numFmtId="0" fontId="2" fillId="36" borderId="0" xfId="185" applyFill="1" applyAlignment="1">
      <alignment vertical="center" wrapText="1"/>
    </xf>
    <xf numFmtId="0" fontId="2" fillId="34" borderId="0" xfId="185" applyFill="1" applyAlignment="1">
      <alignment vertical="center" wrapText="1"/>
    </xf>
    <xf numFmtId="0" fontId="2" fillId="0" borderId="0" xfId="185" applyFill="1" applyAlignment="1">
      <alignment vertical="center" wrapText="1"/>
    </xf>
    <xf numFmtId="0" fontId="2" fillId="0" borderId="0" xfId="185" applyAlignment="1">
      <alignment vertical="center" wrapText="1"/>
    </xf>
    <xf numFmtId="0" fontId="2" fillId="35" borderId="0" xfId="185" applyFill="1" applyAlignment="1">
      <alignment vertical="center" wrapText="1"/>
    </xf>
    <xf numFmtId="0" fontId="0" fillId="34" borderId="0" xfId="185" applyNumberFormat="1" applyFont="1" applyFill="1" applyAlignment="1">
      <alignment wrapText="1"/>
    </xf>
    <xf numFmtId="0" fontId="2" fillId="37" borderId="0" xfId="185" applyFill="1" applyAlignment="1">
      <alignment vertical="center" wrapText="1"/>
    </xf>
    <xf numFmtId="0" fontId="0" fillId="38" borderId="0" xfId="185" applyNumberFormat="1" applyFont="1" applyFill="1" applyAlignment="1">
      <alignment horizontal="center" vertical="center" wrapText="1"/>
    </xf>
    <xf numFmtId="0" fontId="2" fillId="38" borderId="0" xfId="185" applyFill="1" applyAlignment="1">
      <alignment vertical="center" wrapText="1"/>
    </xf>
    <xf numFmtId="0" fontId="0" fillId="36" borderId="0" xfId="185" applyNumberFormat="1" applyFont="1" applyFill="1" applyAlignment="1">
      <alignment horizontal="center" vertical="center" wrapText="1"/>
    </xf>
    <xf numFmtId="0" fontId="0" fillId="37" borderId="0" xfId="185" applyNumberFormat="1" applyFont="1" applyFill="1" applyAlignment="1">
      <alignment horizontal="center" vertical="center" wrapText="1"/>
    </xf>
    <xf numFmtId="0" fontId="0" fillId="0" borderId="0" xfId="185" applyNumberFormat="1" applyFont="1" applyFill="1" applyAlignment="1">
      <alignment horizontal="center" vertical="center" wrapText="1"/>
    </xf>
    <xf numFmtId="0" fontId="0" fillId="39" borderId="0" xfId="185" applyNumberFormat="1" applyFont="1" applyFill="1" applyAlignment="1">
      <alignment wrapText="1"/>
    </xf>
    <xf numFmtId="0" fontId="2" fillId="27" borderId="0" xfId="185" applyFill="1" applyAlignment="1">
      <alignment vertical="center" wrapText="1"/>
    </xf>
    <xf numFmtId="0" fontId="6" fillId="0" borderId="0" xfId="185" applyFont="1" applyAlignment="1">
      <alignment vertical="center" wrapText="1"/>
    </xf>
    <xf numFmtId="0" fontId="2" fillId="34" borderId="0" xfId="185" applyFill="1">
      <alignment vertical="center"/>
    </xf>
    <xf numFmtId="0" fontId="2" fillId="0" borderId="0" xfId="185" applyAlignment="1">
      <alignment vertical="top" wrapText="1"/>
    </xf>
    <xf numFmtId="0" fontId="2" fillId="40" borderId="0" xfId="185" applyFill="1" applyAlignment="1">
      <alignment vertical="center" wrapText="1"/>
    </xf>
    <xf numFmtId="0" fontId="0" fillId="38" borderId="0" xfId="185" applyNumberFormat="1" applyFont="1" applyFill="1" applyAlignment="1">
      <alignment wrapText="1"/>
    </xf>
    <xf numFmtId="0" fontId="2" fillId="38" borderId="0" xfId="185" applyFill="1">
      <alignment vertical="center"/>
    </xf>
    <xf numFmtId="0" fontId="2" fillId="40" borderId="0" xfId="185" applyFill="1">
      <alignment vertical="center"/>
    </xf>
    <xf numFmtId="0" fontId="6" fillId="38" borderId="0" xfId="185" applyFont="1" applyFill="1" applyAlignment="1">
      <alignment vertical="center" wrapText="1"/>
    </xf>
    <xf numFmtId="0" fontId="2" fillId="0" borderId="0" xfId="185" applyAlignment="1">
      <alignment wrapText="1"/>
    </xf>
    <xf numFmtId="0" fontId="2" fillId="41" borderId="0" xfId="185" applyFill="1" applyAlignment="1">
      <alignment vertical="center" wrapText="1"/>
    </xf>
    <xf numFmtId="0" fontId="0" fillId="40" borderId="0" xfId="185" applyNumberFormat="1" applyFont="1" applyFill="1" applyAlignment="1">
      <alignment wrapText="1"/>
    </xf>
    <xf numFmtId="0" fontId="2" fillId="41" borderId="0" xfId="185" applyFill="1">
      <alignment vertical="center"/>
    </xf>
    <xf numFmtId="0" fontId="0" fillId="41" borderId="0" xfId="185" applyNumberFormat="1" applyFont="1" applyFill="1" applyAlignment="1">
      <alignment wrapText="1"/>
    </xf>
    <xf numFmtId="0" fontId="7" fillId="42" borderId="0" xfId="185" applyFont="1" applyFill="1" applyAlignment="1">
      <alignment wrapText="1"/>
    </xf>
    <xf numFmtId="0" fontId="7" fillId="42" borderId="0" xfId="185" applyFont="1" applyFill="1" applyAlignment="1">
      <alignment vertical="center" wrapText="1"/>
    </xf>
    <xf numFmtId="0" fontId="7" fillId="41" borderId="0" xfId="185" applyFont="1" applyFill="1" applyAlignment="1">
      <alignment vertical="center" wrapText="1"/>
    </xf>
    <xf numFmtId="0" fontId="0" fillId="41" borderId="0" xfId="185" applyNumberFormat="1" applyFont="1" applyFill="1" applyAlignment="1">
      <alignment horizontal="center" vertical="center" wrapText="1"/>
    </xf>
    <xf numFmtId="0" fontId="0" fillId="34" borderId="0" xfId="185" applyNumberFormat="1" applyFont="1" applyFill="1" applyAlignment="1">
      <alignment horizontal="center" vertical="center" wrapText="1"/>
    </xf>
    <xf numFmtId="0" fontId="2" fillId="43" borderId="0" xfId="185" applyFill="1" applyAlignment="1">
      <alignment vertical="center" wrapText="1"/>
    </xf>
    <xf numFmtId="0" fontId="0" fillId="0" borderId="0" xfId="185" applyNumberFormat="1" applyFont="1" applyFill="1" applyAlignment="1">
      <alignment horizontal="center" wrapText="1"/>
    </xf>
    <xf numFmtId="0" fontId="19" fillId="0" borderId="0" xfId="186" applyNumberFormat="1" applyFont="1" applyFill="1" applyAlignment="1">
      <alignment horizontal="center" vertical="top" wrapText="1"/>
    </xf>
    <xf numFmtId="0" fontId="19" fillId="39" borderId="0" xfId="186" applyNumberFormat="1" applyFont="1" applyFill="1" applyAlignment="1">
      <alignment horizontal="center" vertical="top" wrapText="1"/>
    </xf>
    <xf numFmtId="0" fontId="19" fillId="34" borderId="0" xfId="186" applyNumberFormat="1" applyFont="1" applyFill="1" applyAlignment="1">
      <alignment horizontal="center" vertical="top" wrapText="1"/>
    </xf>
    <xf numFmtId="0" fontId="19" fillId="37" borderId="0" xfId="186" applyNumberFormat="1" applyFont="1" applyFill="1" applyAlignment="1">
      <alignment horizontal="center" vertical="top" wrapText="1"/>
    </xf>
    <xf numFmtId="0" fontId="19" fillId="44" borderId="0" xfId="186" applyNumberFormat="1" applyFont="1" applyFill="1" applyAlignment="1">
      <alignment horizontal="center" vertical="top" wrapText="1"/>
    </xf>
    <xf numFmtId="167" fontId="19" fillId="44" borderId="0" xfId="186" applyNumberFormat="1" applyFont="1" applyFill="1" applyAlignment="1">
      <alignment horizontal="center" vertical="top" wrapText="1"/>
    </xf>
    <xf numFmtId="167" fontId="19" fillId="35" borderId="0" xfId="186" applyNumberFormat="1" applyFont="1" applyFill="1" applyAlignment="1">
      <alignment horizontal="center" vertical="top" wrapText="1"/>
    </xf>
    <xf numFmtId="0" fontId="19" fillId="44" borderId="0" xfId="186" applyFont="1" applyFill="1" applyAlignment="1">
      <alignment horizontal="left" wrapText="1"/>
    </xf>
    <xf numFmtId="0" fontId="19" fillId="37" borderId="0" xfId="186" applyFont="1" applyFill="1" applyAlignment="1">
      <alignment horizontal="left" wrapText="1"/>
    </xf>
    <xf numFmtId="0" fontId="22" fillId="45" borderId="0" xfId="186" applyFont="1" applyFill="1" applyAlignment="1">
      <alignment wrapText="1"/>
    </xf>
    <xf numFmtId="0" fontId="21" fillId="0" borderId="0" xfId="186" applyFill="1" applyAlignment="1">
      <alignment wrapText="1"/>
    </xf>
    <xf numFmtId="49" fontId="21" fillId="0" borderId="0" xfId="186" applyNumberFormat="1" applyFont="1" applyFill="1" applyAlignment="1">
      <alignment vertical="top"/>
    </xf>
    <xf numFmtId="0" fontId="21" fillId="0" borderId="0" xfId="186" applyNumberFormat="1" applyFont="1" applyFill="1" applyAlignment="1">
      <alignment vertical="top"/>
    </xf>
    <xf numFmtId="49" fontId="21" fillId="0" borderId="0" xfId="186" applyNumberFormat="1" applyFont="1" applyFill="1" applyAlignment="1">
      <alignment vertical="top" wrapText="1"/>
    </xf>
    <xf numFmtId="168" fontId="21" fillId="0" borderId="0" xfId="186" applyNumberFormat="1" applyFont="1" applyFill="1" applyAlignment="1">
      <alignment vertical="top"/>
    </xf>
    <xf numFmtId="49" fontId="21" fillId="39" borderId="0" xfId="186" applyNumberFormat="1" applyFont="1" applyFill="1" applyAlignment="1">
      <alignment vertical="top"/>
    </xf>
    <xf numFmtId="0" fontId="21" fillId="34" borderId="0" xfId="186" applyNumberFormat="1" applyFont="1" applyFill="1" applyAlignment="1">
      <alignment vertical="top"/>
    </xf>
    <xf numFmtId="0" fontId="21" fillId="37" borderId="0" xfId="186" applyNumberFormat="1" applyFont="1" applyFill="1" applyAlignment="1">
      <alignment vertical="top"/>
    </xf>
    <xf numFmtId="168" fontId="21" fillId="44" borderId="0" xfId="186" applyNumberFormat="1" applyFont="1" applyFill="1" applyAlignment="1">
      <alignment vertical="top"/>
    </xf>
    <xf numFmtId="0" fontId="21" fillId="44" borderId="0" xfId="186" applyNumberFormat="1" applyFont="1" applyFill="1" applyAlignment="1">
      <alignment vertical="top"/>
    </xf>
    <xf numFmtId="169" fontId="21" fillId="44" borderId="0" xfId="186" applyNumberFormat="1" applyFont="1" applyFill="1" applyAlignment="1">
      <alignment vertical="top"/>
    </xf>
    <xf numFmtId="167" fontId="21" fillId="44" borderId="0" xfId="186" applyNumberFormat="1" applyFont="1" applyFill="1" applyAlignment="1">
      <alignment vertical="top"/>
    </xf>
    <xf numFmtId="167" fontId="21" fillId="35" borderId="0" xfId="186" applyNumberFormat="1" applyFont="1" applyFill="1" applyAlignment="1">
      <alignment vertical="top"/>
    </xf>
    <xf numFmtId="0" fontId="21" fillId="0" borderId="0" xfId="186" applyFill="1"/>
    <xf numFmtId="167" fontId="21" fillId="37" borderId="0" xfId="186" applyNumberFormat="1" applyFont="1" applyFill="1" applyAlignment="1">
      <alignment vertical="top"/>
    </xf>
    <xf numFmtId="49" fontId="21" fillId="44" borderId="0" xfId="186" applyNumberFormat="1" applyFont="1" applyFill="1" applyAlignment="1">
      <alignment horizontal="left" vertical="top"/>
    </xf>
    <xf numFmtId="0" fontId="21" fillId="44" borderId="0" xfId="186" applyFill="1" applyAlignment="1">
      <alignment horizontal="left"/>
    </xf>
    <xf numFmtId="0" fontId="21" fillId="37" borderId="0" xfId="186" applyNumberFormat="1" applyFill="1" applyAlignment="1">
      <alignment horizontal="left"/>
    </xf>
    <xf numFmtId="170" fontId="21" fillId="34" borderId="0" xfId="186" applyNumberFormat="1" applyFont="1" applyFill="1" applyAlignment="1">
      <alignment vertical="top"/>
    </xf>
    <xf numFmtId="2" fontId="22" fillId="45" borderId="0" xfId="186" applyNumberFormat="1" applyFont="1" applyFill="1"/>
    <xf numFmtId="0" fontId="21" fillId="44" borderId="0" xfId="186" applyFill="1"/>
    <xf numFmtId="0" fontId="21" fillId="34" borderId="0" xfId="186" applyFill="1"/>
    <xf numFmtId="0" fontId="21" fillId="39" borderId="0" xfId="186" applyFill="1"/>
    <xf numFmtId="49" fontId="21" fillId="0" borderId="0" xfId="186" applyNumberFormat="1" applyFont="1" applyAlignment="1">
      <alignment vertical="top"/>
    </xf>
    <xf numFmtId="167" fontId="21" fillId="44" borderId="0" xfId="186" applyNumberFormat="1" applyFill="1"/>
    <xf numFmtId="0" fontId="21" fillId="27" borderId="0" xfId="186" applyFill="1"/>
    <xf numFmtId="0" fontId="21" fillId="27" borderId="0" xfId="186" applyFill="1" applyAlignment="1">
      <alignment wrapText="1"/>
    </xf>
    <xf numFmtId="9" fontId="0" fillId="27" borderId="0" xfId="187" applyFont="1" applyFill="1"/>
    <xf numFmtId="10" fontId="21" fillId="27" borderId="0" xfId="186" applyNumberFormat="1" applyFill="1"/>
    <xf numFmtId="167" fontId="21" fillId="27" borderId="0" xfId="186" applyNumberFormat="1" applyFill="1"/>
    <xf numFmtId="167" fontId="21" fillId="27" borderId="0" xfId="186" applyNumberFormat="1" applyFont="1" applyFill="1" applyAlignment="1">
      <alignment vertical="top"/>
    </xf>
    <xf numFmtId="10" fontId="21" fillId="27" borderId="0" xfId="186" applyNumberFormat="1" applyFill="1" applyAlignment="1">
      <alignment horizontal="left"/>
    </xf>
    <xf numFmtId="0" fontId="21" fillId="27" borderId="0" xfId="186" applyFill="1" applyAlignment="1">
      <alignment horizontal="left"/>
    </xf>
    <xf numFmtId="167" fontId="21" fillId="0" borderId="0" xfId="186" applyNumberFormat="1" applyFill="1"/>
    <xf numFmtId="167" fontId="21" fillId="38" borderId="0" xfId="186" applyNumberFormat="1" applyFill="1"/>
    <xf numFmtId="167" fontId="21" fillId="0" borderId="0" xfId="186" applyNumberFormat="1" applyFont="1" applyFill="1" applyAlignment="1">
      <alignment vertical="top"/>
    </xf>
    <xf numFmtId="0" fontId="21" fillId="0" borderId="0" xfId="186" applyFill="1" applyAlignment="1">
      <alignment horizontal="left"/>
    </xf>
    <xf numFmtId="167" fontId="21" fillId="46" borderId="0" xfId="186" applyNumberFormat="1" applyFill="1"/>
    <xf numFmtId="167" fontId="21" fillId="34" borderId="0" xfId="186" applyNumberFormat="1" applyFill="1"/>
    <xf numFmtId="0" fontId="21" fillId="0" borderId="0" xfId="186"/>
    <xf numFmtId="0" fontId="19" fillId="0" borderId="0" xfId="186" applyNumberFormat="1" applyFont="1" applyAlignment="1">
      <alignment horizontal="center" vertical="top" wrapText="1"/>
    </xf>
    <xf numFmtId="0" fontId="19" fillId="0" borderId="0" xfId="186" applyFont="1" applyAlignment="1">
      <alignment horizontal="center" vertical="top" wrapText="1"/>
    </xf>
    <xf numFmtId="0" fontId="19" fillId="47" borderId="0" xfId="186" applyNumberFormat="1" applyFont="1" applyFill="1" applyAlignment="1">
      <alignment horizontal="center" vertical="top" wrapText="1"/>
    </xf>
    <xf numFmtId="0" fontId="19" fillId="27" borderId="0" xfId="186" applyNumberFormat="1" applyFont="1" applyFill="1" applyAlignment="1">
      <alignment horizontal="center" vertical="top" wrapText="1"/>
    </xf>
    <xf numFmtId="0" fontId="22" fillId="3" borderId="0" xfId="186" applyNumberFormat="1" applyFont="1" applyFill="1" applyAlignment="1">
      <alignment horizontal="center" vertical="top" wrapText="1"/>
    </xf>
    <xf numFmtId="0" fontId="21" fillId="0" borderId="0" xfId="186" applyAlignment="1">
      <alignment wrapText="1"/>
    </xf>
    <xf numFmtId="0" fontId="19" fillId="0" borderId="0" xfId="186" applyNumberFormat="1" applyFont="1" applyAlignment="1">
      <alignment vertical="top"/>
    </xf>
    <xf numFmtId="49" fontId="19" fillId="0" borderId="0" xfId="186" applyNumberFormat="1" applyFont="1" applyAlignment="1">
      <alignment vertical="top"/>
    </xf>
    <xf numFmtId="168" fontId="21" fillId="0" borderId="0" xfId="186" applyNumberFormat="1" applyFont="1" applyAlignment="1">
      <alignment vertical="top"/>
    </xf>
    <xf numFmtId="171" fontId="0" fillId="0" borderId="0" xfId="192" applyNumberFormat="1" applyFont="1" applyAlignment="1">
      <alignment vertical="top"/>
    </xf>
    <xf numFmtId="0" fontId="21" fillId="0" borderId="0" xfId="186" applyNumberFormat="1" applyFont="1" applyAlignment="1">
      <alignment vertical="top"/>
    </xf>
    <xf numFmtId="0" fontId="21" fillId="39" borderId="0" xfId="186" applyNumberFormat="1" applyFont="1" applyFill="1" applyAlignment="1">
      <alignment vertical="top"/>
    </xf>
    <xf numFmtId="49" fontId="21" fillId="0" borderId="0" xfId="186" applyNumberFormat="1" applyFont="1" applyAlignment="1">
      <alignment vertical="top" wrapText="1"/>
    </xf>
    <xf numFmtId="170" fontId="21" fillId="0" borderId="0" xfId="186" applyNumberFormat="1" applyFont="1" applyAlignment="1">
      <alignment vertical="top"/>
    </xf>
    <xf numFmtId="166" fontId="21" fillId="39" borderId="0" xfId="186" applyNumberFormat="1" applyFill="1"/>
    <xf numFmtId="169" fontId="21" fillId="39" borderId="0" xfId="186" applyNumberFormat="1" applyFont="1" applyFill="1" applyAlignment="1">
      <alignment vertical="top"/>
    </xf>
    <xf numFmtId="0" fontId="21" fillId="47" borderId="0" xfId="186" applyNumberFormat="1" applyFont="1" applyFill="1" applyAlignment="1">
      <alignment vertical="top"/>
    </xf>
    <xf numFmtId="170" fontId="21" fillId="39" borderId="0" xfId="186" applyNumberFormat="1" applyFont="1" applyFill="1" applyAlignment="1">
      <alignment vertical="top"/>
    </xf>
    <xf numFmtId="10" fontId="0" fillId="47" borderId="0" xfId="187" applyNumberFormat="1" applyFont="1" applyFill="1" applyAlignment="1">
      <alignment vertical="top"/>
    </xf>
    <xf numFmtId="170" fontId="21" fillId="37" borderId="0" xfId="186" applyNumberFormat="1" applyFont="1" applyFill="1" applyAlignment="1">
      <alignment vertical="top"/>
    </xf>
    <xf numFmtId="0" fontId="21" fillId="27" borderId="0" xfId="186" applyNumberFormat="1" applyFont="1" applyFill="1" applyAlignment="1">
      <alignment vertical="top"/>
    </xf>
    <xf numFmtId="2" fontId="21" fillId="0" borderId="0" xfId="186" applyNumberFormat="1" applyFont="1" applyAlignment="1">
      <alignment vertical="top"/>
    </xf>
    <xf numFmtId="170" fontId="22" fillId="3" borderId="0" xfId="186" applyNumberFormat="1" applyFont="1" applyFill="1" applyAlignment="1">
      <alignment vertical="top"/>
    </xf>
    <xf numFmtId="0" fontId="21" fillId="38" borderId="0" xfId="186" applyNumberFormat="1" applyFont="1" applyFill="1" applyAlignment="1">
      <alignment vertical="top"/>
    </xf>
    <xf numFmtId="171" fontId="0" fillId="0" borderId="0" xfId="192" applyNumberFormat="1" applyFont="1"/>
    <xf numFmtId="49" fontId="21" fillId="27" borderId="0" xfId="186" applyNumberFormat="1" applyFont="1" applyFill="1" applyAlignment="1">
      <alignment vertical="top"/>
    </xf>
    <xf numFmtId="168" fontId="21" fillId="27" borderId="0" xfId="186" applyNumberFormat="1" applyFont="1" applyFill="1" applyAlignment="1">
      <alignment vertical="top"/>
    </xf>
    <xf numFmtId="171" fontId="0" fillId="27" borderId="0" xfId="192" applyNumberFormat="1" applyFont="1" applyFill="1" applyAlignment="1">
      <alignment vertical="top"/>
    </xf>
    <xf numFmtId="49" fontId="21" fillId="27" borderId="0" xfId="186" applyNumberFormat="1" applyFont="1" applyFill="1" applyAlignment="1">
      <alignment vertical="top" wrapText="1"/>
    </xf>
    <xf numFmtId="170" fontId="21" fillId="27" borderId="0" xfId="186" applyNumberFormat="1" applyFont="1" applyFill="1" applyAlignment="1">
      <alignment vertical="top"/>
    </xf>
    <xf numFmtId="171" fontId="13" fillId="48" borderId="0" xfId="186" applyNumberFormat="1" applyFont="1" applyFill="1" applyAlignment="1">
      <alignment vertical="top"/>
    </xf>
    <xf numFmtId="0" fontId="19" fillId="27" borderId="0" xfId="186" applyNumberFormat="1" applyFont="1" applyFill="1" applyAlignment="1">
      <alignment vertical="top"/>
    </xf>
    <xf numFmtId="49" fontId="19" fillId="27" borderId="0" xfId="186" applyNumberFormat="1" applyFont="1" applyFill="1" applyAlignment="1">
      <alignment vertical="top"/>
    </xf>
    <xf numFmtId="10" fontId="0" fillId="27" borderId="0" xfId="187" applyNumberFormat="1" applyFont="1" applyFill="1" applyAlignment="1">
      <alignment vertical="top"/>
    </xf>
    <xf numFmtId="2" fontId="21" fillId="27" borderId="0" xfId="186" applyNumberFormat="1" applyFont="1" applyFill="1" applyAlignment="1">
      <alignment vertical="top"/>
    </xf>
    <xf numFmtId="3" fontId="21" fillId="0" borderId="0" xfId="186" applyNumberFormat="1" applyFont="1" applyAlignment="1">
      <alignment vertical="top"/>
    </xf>
    <xf numFmtId="49" fontId="13" fillId="0" borderId="0" xfId="186" applyNumberFormat="1" applyFont="1" applyAlignment="1">
      <alignment vertical="top" wrapText="1"/>
    </xf>
    <xf numFmtId="10" fontId="0" fillId="0" borderId="0" xfId="187" applyNumberFormat="1" applyFont="1"/>
    <xf numFmtId="10" fontId="21" fillId="0" borderId="0" xfId="186" applyNumberFormat="1"/>
    <xf numFmtId="0" fontId="19" fillId="0" borderId="0" xfId="186" applyNumberFormat="1" applyFont="1" applyAlignment="1">
      <alignment horizontal="center" vertical="top"/>
    </xf>
    <xf numFmtId="0" fontId="19" fillId="39" borderId="0" xfId="186" applyNumberFormat="1" applyFont="1" applyFill="1" applyAlignment="1">
      <alignment horizontal="center" vertical="top"/>
    </xf>
    <xf numFmtId="0" fontId="19" fillId="34" borderId="0" xfId="186" applyNumberFormat="1" applyFont="1" applyFill="1" applyAlignment="1">
      <alignment horizontal="center" vertical="top"/>
    </xf>
    <xf numFmtId="0" fontId="22" fillId="49" borderId="0" xfId="186" applyNumberFormat="1" applyFont="1" applyFill="1" applyAlignment="1">
      <alignment horizontal="center" vertical="top"/>
    </xf>
    <xf numFmtId="14" fontId="21" fillId="0" borderId="0" xfId="186" applyNumberFormat="1"/>
    <xf numFmtId="0" fontId="22" fillId="49" borderId="0" xfId="186" applyFont="1" applyFill="1"/>
    <xf numFmtId="14" fontId="21" fillId="0" borderId="0" xfId="186" applyNumberFormat="1" applyFont="1" applyAlignment="1">
      <alignment vertical="top"/>
    </xf>
    <xf numFmtId="171" fontId="0" fillId="27" borderId="0" xfId="192" applyNumberFormat="1" applyFont="1" applyFill="1"/>
    <xf numFmtId="43" fontId="0" fillId="27" borderId="0" xfId="192" applyFont="1" applyFill="1"/>
    <xf numFmtId="0" fontId="19" fillId="0" borderId="0" xfId="186" applyNumberFormat="1" applyFont="1" applyAlignment="1">
      <alignment horizontal="center" vertical="center" wrapText="1"/>
    </xf>
    <xf numFmtId="0" fontId="19" fillId="34" borderId="0" xfId="186" applyNumberFormat="1" applyFont="1" applyFill="1" applyAlignment="1">
      <alignment horizontal="center" vertical="center" wrapText="1"/>
    </xf>
    <xf numFmtId="0" fontId="19" fillId="35" borderId="0" xfId="186" applyNumberFormat="1" applyFont="1" applyFill="1" applyAlignment="1">
      <alignment horizontal="center" vertical="center" wrapText="1"/>
    </xf>
    <xf numFmtId="0" fontId="19" fillId="44" borderId="0" xfId="186" applyNumberFormat="1" applyFont="1" applyFill="1" applyAlignment="1">
      <alignment horizontal="center" vertical="center" wrapText="1"/>
    </xf>
    <xf numFmtId="0" fontId="22" fillId="46" borderId="0" xfId="186" applyFont="1" applyFill="1" applyAlignment="1">
      <alignment vertical="center" wrapText="1"/>
    </xf>
    <xf numFmtId="0" fontId="21" fillId="0" borderId="0" xfId="186" applyAlignment="1">
      <alignment vertical="center" wrapText="1"/>
    </xf>
    <xf numFmtId="49" fontId="21" fillId="0" borderId="0" xfId="186" applyNumberFormat="1" applyFont="1" applyAlignment="1">
      <alignment vertical="center"/>
    </xf>
    <xf numFmtId="0" fontId="21" fillId="0" borderId="0" xfId="186" applyNumberFormat="1" applyFont="1" applyAlignment="1">
      <alignment vertical="center"/>
    </xf>
    <xf numFmtId="168" fontId="21" fillId="0" borderId="0" xfId="186" applyNumberFormat="1" applyFont="1" applyAlignment="1">
      <alignment vertical="center"/>
    </xf>
    <xf numFmtId="14" fontId="13" fillId="0" borderId="0" xfId="186" applyNumberFormat="1" applyFont="1" applyAlignment="1">
      <alignment vertical="center"/>
    </xf>
    <xf numFmtId="0" fontId="21" fillId="34" borderId="0" xfId="186" applyFill="1" applyAlignment="1">
      <alignment vertical="center"/>
    </xf>
    <xf numFmtId="0" fontId="21" fillId="35" borderId="0" xfId="186" applyNumberFormat="1" applyFont="1" applyFill="1" applyAlignment="1">
      <alignment vertical="center"/>
    </xf>
    <xf numFmtId="170" fontId="21" fillId="0" borderId="0" xfId="186" applyNumberFormat="1" applyFont="1" applyAlignment="1">
      <alignment vertical="center"/>
    </xf>
    <xf numFmtId="170" fontId="21" fillId="34" borderId="0" xfId="186" applyNumberFormat="1" applyFont="1" applyFill="1" applyAlignment="1">
      <alignment vertical="center"/>
    </xf>
    <xf numFmtId="165" fontId="0" fillId="35" borderId="0" xfId="187" applyNumberFormat="1" applyFont="1" applyFill="1" applyAlignment="1">
      <alignment vertical="center"/>
    </xf>
    <xf numFmtId="170" fontId="21" fillId="44" borderId="0" xfId="186" applyNumberFormat="1" applyFont="1" applyFill="1" applyAlignment="1">
      <alignment vertical="center"/>
    </xf>
    <xf numFmtId="2" fontId="22" fillId="46" borderId="0" xfId="186" applyNumberFormat="1" applyFont="1" applyFill="1" applyAlignment="1">
      <alignment vertical="center"/>
    </xf>
    <xf numFmtId="0" fontId="21" fillId="0" borderId="0" xfId="186" applyAlignment="1">
      <alignment vertical="center"/>
    </xf>
    <xf numFmtId="14" fontId="21" fillId="0" borderId="0" xfId="186" applyNumberFormat="1" applyAlignment="1">
      <alignment vertical="center"/>
    </xf>
    <xf numFmtId="49" fontId="21" fillId="27" borderId="0" xfId="186" applyNumberFormat="1" applyFont="1" applyFill="1" applyAlignment="1">
      <alignment vertical="center"/>
    </xf>
    <xf numFmtId="0" fontId="21" fillId="27" borderId="0" xfId="186" applyNumberFormat="1" applyFont="1" applyFill="1" applyAlignment="1">
      <alignment vertical="center"/>
    </xf>
    <xf numFmtId="0" fontId="21" fillId="27" borderId="0" xfId="186" applyFill="1" applyAlignment="1">
      <alignment vertical="center" wrapText="1"/>
    </xf>
    <xf numFmtId="0" fontId="21" fillId="27" borderId="0" xfId="186" applyFill="1" applyAlignment="1">
      <alignment vertical="center"/>
    </xf>
    <xf numFmtId="171" fontId="21" fillId="27" borderId="0" xfId="186" applyNumberFormat="1" applyFill="1" applyAlignment="1">
      <alignment vertical="center"/>
    </xf>
    <xf numFmtId="170" fontId="21" fillId="27" borderId="0" xfId="186" applyNumberFormat="1" applyFont="1" applyFill="1" applyAlignment="1">
      <alignment vertical="center"/>
    </xf>
    <xf numFmtId="0" fontId="13" fillId="50" borderId="0" xfId="186" applyFont="1" applyFill="1" applyAlignment="1">
      <alignment vertical="center"/>
    </xf>
    <xf numFmtId="165" fontId="0" fillId="27" borderId="0" xfId="187" applyNumberFormat="1" applyFont="1" applyFill="1" applyAlignment="1">
      <alignment vertical="center"/>
    </xf>
    <xf numFmtId="2" fontId="22" fillId="27" borderId="0" xfId="186" applyNumberFormat="1" applyFont="1" applyFill="1" applyAlignment="1">
      <alignment vertical="center"/>
    </xf>
    <xf numFmtId="171" fontId="21" fillId="35" borderId="0" xfId="186" applyNumberFormat="1" applyFont="1" applyFill="1" applyAlignment="1">
      <alignment vertical="center"/>
    </xf>
    <xf numFmtId="1" fontId="21" fillId="27" borderId="0" xfId="186" applyNumberFormat="1" applyFill="1" applyAlignment="1">
      <alignment vertical="center"/>
    </xf>
    <xf numFmtId="171" fontId="0" fillId="27" borderId="0" xfId="192" applyNumberFormat="1" applyFont="1" applyFill="1" applyAlignment="1">
      <alignment vertical="center"/>
    </xf>
    <xf numFmtId="1" fontId="21" fillId="35" borderId="0" xfId="186" applyNumberFormat="1" applyFont="1" applyFill="1" applyAlignment="1">
      <alignment vertical="center"/>
    </xf>
    <xf numFmtId="1" fontId="21" fillId="27" borderId="0" xfId="186" applyNumberFormat="1" applyFont="1" applyFill="1" applyAlignment="1">
      <alignment vertical="center"/>
    </xf>
    <xf numFmtId="0" fontId="21" fillId="39" borderId="0" xfId="186" applyFill="1" applyAlignment="1">
      <alignment vertical="center"/>
    </xf>
    <xf numFmtId="0" fontId="21" fillId="39" borderId="0" xfId="186" applyFill="1" applyAlignment="1">
      <alignment vertical="center" wrapText="1"/>
    </xf>
    <xf numFmtId="43" fontId="0" fillId="39" borderId="0" xfId="192" applyFont="1" applyFill="1" applyAlignment="1">
      <alignment vertical="center"/>
    </xf>
    <xf numFmtId="0" fontId="21" fillId="26" borderId="0" xfId="186" applyNumberFormat="1" applyFont="1" applyFill="1" applyAlignment="1">
      <alignment vertical="top"/>
    </xf>
    <xf numFmtId="49" fontId="21" fillId="26" borderId="0" xfId="186" applyNumberFormat="1" applyFont="1" applyFill="1" applyAlignment="1">
      <alignment vertical="top"/>
    </xf>
    <xf numFmtId="0" fontId="21" fillId="26" borderId="0" xfId="186" applyFill="1"/>
    <xf numFmtId="0" fontId="19" fillId="46" borderId="0" xfId="186" applyNumberFormat="1" applyFont="1" applyFill="1" applyAlignment="1">
      <alignment horizontal="center" vertical="top"/>
    </xf>
    <xf numFmtId="49" fontId="21" fillId="46" borderId="0" xfId="186" applyNumberFormat="1" applyFont="1" applyFill="1" applyAlignment="1">
      <alignment vertical="top"/>
    </xf>
    <xf numFmtId="0" fontId="21" fillId="3" borderId="0" xfId="186" applyNumberFormat="1" applyFont="1" applyFill="1" applyAlignment="1">
      <alignment vertical="top"/>
    </xf>
    <xf numFmtId="49" fontId="21" fillId="3" borderId="0" xfId="186" applyNumberFormat="1" applyFont="1" applyFill="1" applyAlignment="1">
      <alignment vertical="top"/>
    </xf>
    <xf numFmtId="0" fontId="21" fillId="46" borderId="0" xfId="186" applyNumberFormat="1" applyFont="1" applyFill="1" applyAlignment="1">
      <alignment vertical="top"/>
    </xf>
    <xf numFmtId="0" fontId="21" fillId="46" borderId="0" xfId="186" applyFill="1"/>
    <xf numFmtId="172" fontId="21" fillId="46" borderId="0" xfId="186" applyNumberFormat="1" applyFont="1" applyFill="1" applyAlignment="1">
      <alignment vertical="top"/>
    </xf>
    <xf numFmtId="49" fontId="21" fillId="46" borderId="0" xfId="186" applyNumberFormat="1" applyFont="1" applyFill="1" applyAlignment="1">
      <alignment vertical="top" wrapText="1"/>
    </xf>
    <xf numFmtId="0" fontId="21" fillId="3" borderId="0" xfId="186" applyFill="1"/>
    <xf numFmtId="172" fontId="21" fillId="3" borderId="0" xfId="186" applyNumberFormat="1" applyFont="1" applyFill="1" applyAlignment="1">
      <alignment vertical="top"/>
    </xf>
    <xf numFmtId="49" fontId="21" fillId="3" borderId="0" xfId="186" applyNumberFormat="1" applyFont="1" applyFill="1" applyAlignment="1">
      <alignment vertical="top" wrapText="1"/>
    </xf>
    <xf numFmtId="172" fontId="21" fillId="0" borderId="0" xfId="186" applyNumberFormat="1" applyFont="1" applyAlignment="1">
      <alignment vertical="top"/>
    </xf>
    <xf numFmtId="0" fontId="21" fillId="26" borderId="0" xfId="186" applyNumberFormat="1" applyFont="1" applyFill="1" applyAlignment="1">
      <alignment vertical="top" wrapText="1"/>
    </xf>
    <xf numFmtId="49" fontId="21" fillId="26" borderId="0" xfId="186" applyNumberFormat="1" applyFont="1" applyFill="1" applyAlignment="1">
      <alignment vertical="top" wrapText="1"/>
    </xf>
    <xf numFmtId="0" fontId="21" fillId="26" borderId="0" xfId="186" applyFill="1" applyAlignment="1">
      <alignment wrapText="1"/>
    </xf>
    <xf numFmtId="0" fontId="21" fillId="3" borderId="0" xfId="186" applyNumberFormat="1" applyFont="1" applyFill="1" applyAlignment="1">
      <alignment vertical="top" wrapText="1"/>
    </xf>
    <xf numFmtId="0" fontId="21" fillId="3" borderId="0" xfId="186" applyFill="1" applyAlignment="1">
      <alignment wrapText="1"/>
    </xf>
    <xf numFmtId="172" fontId="21" fillId="3" borderId="0" xfId="186" applyNumberFormat="1" applyFont="1" applyFill="1" applyAlignment="1">
      <alignment vertical="top" wrapText="1"/>
    </xf>
    <xf numFmtId="0" fontId="21" fillId="46" borderId="0" xfId="186" applyNumberFormat="1" applyFont="1" applyFill="1" applyAlignment="1">
      <alignment vertical="top" wrapText="1"/>
    </xf>
    <xf numFmtId="0" fontId="21" fillId="46" borderId="0" xfId="186" applyFill="1" applyAlignment="1">
      <alignment wrapText="1"/>
    </xf>
    <xf numFmtId="0" fontId="21" fillId="0" borderId="0" xfId="186" applyNumberFormat="1" applyFont="1" applyAlignment="1">
      <alignment vertical="top" wrapText="1"/>
    </xf>
    <xf numFmtId="172" fontId="21" fillId="0" borderId="0" xfId="186" applyNumberFormat="1" applyFont="1" applyAlignment="1">
      <alignment vertical="top" wrapText="1"/>
    </xf>
    <xf numFmtId="0" fontId="19" fillId="43" borderId="0" xfId="186" applyNumberFormat="1" applyFont="1" applyFill="1" applyAlignment="1">
      <alignment horizontal="center" vertical="top" wrapText="1"/>
    </xf>
    <xf numFmtId="0" fontId="19" fillId="34" borderId="0" xfId="186" applyFont="1" applyFill="1" applyAlignment="1">
      <alignment wrapText="1"/>
    </xf>
    <xf numFmtId="0" fontId="21" fillId="43" borderId="0" xfId="186" applyFill="1" applyAlignment="1">
      <alignment wrapText="1"/>
    </xf>
    <xf numFmtId="2" fontId="21" fillId="34" borderId="0" xfId="186" applyNumberFormat="1" applyFill="1" applyAlignment="1">
      <alignment wrapText="1"/>
    </xf>
    <xf numFmtId="168" fontId="21" fillId="0" borderId="0" xfId="186" applyNumberFormat="1" applyFont="1" applyAlignment="1">
      <alignment vertical="top" wrapText="1"/>
    </xf>
    <xf numFmtId="49" fontId="21" fillId="43" borderId="0" xfId="186" applyNumberFormat="1" applyFont="1" applyFill="1" applyAlignment="1">
      <alignment vertical="top" wrapText="1"/>
    </xf>
    <xf numFmtId="14" fontId="21" fillId="0" borderId="0" xfId="186" applyNumberFormat="1" applyAlignment="1">
      <alignment wrapText="1"/>
    </xf>
    <xf numFmtId="0" fontId="21" fillId="29" borderId="0" xfId="186" applyFill="1" applyAlignment="1">
      <alignment vertical="center" wrapText="1"/>
    </xf>
    <xf numFmtId="0" fontId="6" fillId="0" borderId="0" xfId="186" applyFont="1" applyAlignment="1">
      <alignment horizontal="center" vertical="center" wrapText="1"/>
    </xf>
    <xf numFmtId="0" fontId="6" fillId="0" borderId="0" xfId="186" applyFont="1" applyAlignment="1">
      <alignment wrapText="1"/>
    </xf>
    <xf numFmtId="0" fontId="22" fillId="46" borderId="0" xfId="186" applyNumberFormat="1" applyFont="1" applyFill="1" applyAlignment="1">
      <alignment horizontal="center" vertical="top" wrapText="1"/>
    </xf>
    <xf numFmtId="0" fontId="21" fillId="37" borderId="0" xfId="186" applyNumberFormat="1" applyFont="1" applyFill="1" applyAlignment="1">
      <alignment vertical="top" wrapText="1"/>
    </xf>
    <xf numFmtId="0" fontId="21" fillId="39" borderId="0" xfId="186" applyFill="1" applyAlignment="1">
      <alignment wrapText="1"/>
    </xf>
    <xf numFmtId="0" fontId="21" fillId="34" borderId="0" xfId="186" applyFill="1" applyAlignment="1">
      <alignment wrapText="1"/>
    </xf>
    <xf numFmtId="0" fontId="21" fillId="37" borderId="0" xfId="186" applyFill="1" applyAlignment="1">
      <alignment wrapText="1"/>
    </xf>
    <xf numFmtId="0" fontId="22" fillId="46" borderId="0" xfId="186" applyNumberFormat="1" applyFont="1" applyFill="1" applyAlignment="1">
      <alignment vertical="top" wrapText="1"/>
    </xf>
    <xf numFmtId="49" fontId="21" fillId="39" borderId="0" xfId="186" applyNumberFormat="1" applyFont="1" applyFill="1" applyAlignment="1">
      <alignment vertical="top" wrapText="1"/>
    </xf>
    <xf numFmtId="9" fontId="0" fillId="27" borderId="0" xfId="187" applyFont="1" applyFill="1" applyAlignment="1">
      <alignment wrapText="1"/>
    </xf>
    <xf numFmtId="0" fontId="19" fillId="35" borderId="0" xfId="186" applyNumberFormat="1" applyFont="1" applyFill="1" applyAlignment="1">
      <alignment horizontal="center" vertical="top"/>
    </xf>
    <xf numFmtId="0" fontId="22" fillId="30" borderId="0" xfId="186" applyNumberFormat="1" applyFont="1" applyFill="1" applyAlignment="1">
      <alignment horizontal="center" vertical="top"/>
    </xf>
    <xf numFmtId="2" fontId="21" fillId="34" borderId="0" xfId="186" applyNumberFormat="1" applyFill="1"/>
    <xf numFmtId="165" fontId="0" fillId="39" borderId="0" xfId="187" applyNumberFormat="1" applyFont="1" applyFill="1"/>
    <xf numFmtId="1" fontId="21" fillId="39" borderId="0" xfId="186" applyNumberFormat="1" applyFill="1"/>
    <xf numFmtId="2" fontId="21" fillId="39" borderId="0" xfId="186" applyNumberFormat="1" applyFill="1"/>
    <xf numFmtId="2" fontId="21" fillId="39" borderId="0" xfId="186" applyNumberFormat="1" applyFont="1" applyFill="1" applyAlignment="1">
      <alignment vertical="top"/>
    </xf>
    <xf numFmtId="2" fontId="21" fillId="35" borderId="0" xfId="186" applyNumberFormat="1" applyFont="1" applyFill="1" applyAlignment="1">
      <alignment vertical="top"/>
    </xf>
    <xf numFmtId="2" fontId="22" fillId="30" borderId="0" xfId="186" applyNumberFormat="1" applyFont="1" applyFill="1"/>
    <xf numFmtId="14" fontId="21" fillId="27" borderId="0" xfId="186" applyNumberFormat="1" applyFill="1"/>
    <xf numFmtId="2" fontId="21" fillId="27" borderId="0" xfId="186" applyNumberFormat="1" applyFill="1"/>
    <xf numFmtId="165" fontId="0" fillId="27" borderId="0" xfId="187" applyNumberFormat="1" applyFont="1" applyFill="1"/>
    <xf numFmtId="1" fontId="21" fillId="27" borderId="0" xfId="186" applyNumberFormat="1" applyFill="1"/>
    <xf numFmtId="0" fontId="21" fillId="51" borderId="0" xfId="186" applyFill="1"/>
    <xf numFmtId="43" fontId="0" fillId="51" borderId="0" xfId="192" applyFont="1" applyFill="1"/>
    <xf numFmtId="9" fontId="0" fillId="51" borderId="0" xfId="187" applyFont="1" applyFill="1"/>
    <xf numFmtId="0" fontId="22" fillId="3" borderId="0" xfId="186" applyFont="1" applyFill="1" applyAlignment="1">
      <alignment vertical="top" wrapText="1"/>
    </xf>
    <xf numFmtId="164" fontId="24" fillId="3" borderId="0" xfId="186" applyNumberFormat="1" applyFont="1" applyFill="1" applyAlignment="1">
      <alignment wrapText="1"/>
    </xf>
    <xf numFmtId="0" fontId="21" fillId="34" borderId="0" xfId="186" applyNumberFormat="1" applyFont="1" applyFill="1" applyAlignment="1">
      <alignment vertical="top" wrapText="1"/>
    </xf>
    <xf numFmtId="0" fontId="21" fillId="27" borderId="0" xfId="186" applyNumberFormat="1" applyFont="1" applyFill="1" applyAlignment="1">
      <alignment vertical="top" wrapText="1"/>
    </xf>
    <xf numFmtId="49" fontId="13" fillId="0" borderId="0" xfId="186" applyNumberFormat="1" applyFont="1" applyAlignment="1">
      <alignment vertical="top"/>
    </xf>
    <xf numFmtId="2" fontId="21" fillId="0" borderId="0" xfId="186" applyNumberFormat="1"/>
    <xf numFmtId="0" fontId="19" fillId="35" borderId="0" xfId="186" applyNumberFormat="1" applyFont="1" applyFill="1" applyAlignment="1">
      <alignment horizontal="center" vertical="top" wrapText="1"/>
    </xf>
    <xf numFmtId="0" fontId="22" fillId="52" borderId="0" xfId="186" applyNumberFormat="1" applyFont="1" applyFill="1" applyAlignment="1">
      <alignment horizontal="center" vertical="top" wrapText="1"/>
    </xf>
    <xf numFmtId="170" fontId="21" fillId="35" borderId="0" xfId="186" applyNumberFormat="1" applyFont="1" applyFill="1" applyAlignment="1">
      <alignment vertical="top"/>
    </xf>
    <xf numFmtId="49" fontId="21" fillId="35" borderId="0" xfId="186" applyNumberFormat="1" applyFont="1" applyFill="1" applyAlignment="1">
      <alignment vertical="top"/>
    </xf>
    <xf numFmtId="10" fontId="0" fillId="39" borderId="0" xfId="187" applyNumberFormat="1" applyFont="1" applyFill="1" applyAlignment="1">
      <alignment vertical="top"/>
    </xf>
    <xf numFmtId="173" fontId="21" fillId="0" borderId="0" xfId="186" applyNumberFormat="1" applyFont="1" applyAlignment="1">
      <alignment vertical="top"/>
    </xf>
    <xf numFmtId="170" fontId="22" fillId="52" borderId="0" xfId="186" applyNumberFormat="1" applyFont="1" applyFill="1" applyAlignment="1">
      <alignment vertical="top"/>
    </xf>
    <xf numFmtId="0" fontId="21" fillId="35" borderId="0" xfId="186" applyFill="1"/>
    <xf numFmtId="49" fontId="21" fillId="38" borderId="0" xfId="186" applyNumberFormat="1" applyFont="1" applyFill="1" applyAlignment="1">
      <alignment vertical="top"/>
    </xf>
    <xf numFmtId="168" fontId="21" fillId="38" borderId="0" xfId="186" applyNumberFormat="1" applyFont="1" applyFill="1" applyAlignment="1">
      <alignment vertical="top"/>
    </xf>
    <xf numFmtId="0" fontId="21" fillId="38" borderId="0" xfId="186" applyFill="1"/>
    <xf numFmtId="170" fontId="21" fillId="38" borderId="0" xfId="186" applyNumberFormat="1" applyFont="1" applyFill="1" applyAlignment="1">
      <alignment vertical="top"/>
    </xf>
    <xf numFmtId="0" fontId="21" fillId="38" borderId="0" xfId="186" applyFill="1" applyAlignment="1">
      <alignment wrapText="1"/>
    </xf>
    <xf numFmtId="49" fontId="19" fillId="0" borderId="0" xfId="186" applyNumberFormat="1" applyFont="1" applyFill="1" applyAlignment="1">
      <alignment vertical="top"/>
    </xf>
    <xf numFmtId="0" fontId="26" fillId="0" borderId="0" xfId="193" applyNumberFormat="1" applyFont="1" applyAlignment="1">
      <alignment horizontal="center" vertical="top" wrapText="1"/>
    </xf>
    <xf numFmtId="165" fontId="26" fillId="0" borderId="0" xfId="194" applyNumberFormat="1" applyFont="1" applyAlignment="1">
      <alignment horizontal="center" vertical="top" wrapText="1"/>
    </xf>
    <xf numFmtId="171" fontId="26" fillId="0" borderId="0" xfId="195" applyNumberFormat="1" applyFont="1" applyAlignment="1">
      <alignment horizontal="center" vertical="top" wrapText="1"/>
    </xf>
    <xf numFmtId="0" fontId="25" fillId="0" borderId="0" xfId="193" applyAlignment="1">
      <alignment wrapText="1"/>
    </xf>
    <xf numFmtId="0" fontId="25" fillId="0" borderId="0" xfId="193"/>
    <xf numFmtId="0" fontId="27" fillId="0" borderId="0" xfId="193" applyFont="1"/>
    <xf numFmtId="0" fontId="28" fillId="0" borderId="0" xfId="193" applyFont="1" applyAlignment="1">
      <alignment horizontal="left" vertical="top"/>
    </xf>
    <xf numFmtId="0" fontId="29" fillId="0" borderId="0" xfId="196"/>
    <xf numFmtId="0" fontId="21" fillId="0" borderId="0" xfId="193" applyNumberFormat="1" applyFont="1" applyAlignment="1">
      <alignment horizontal="left" vertical="top"/>
    </xf>
    <xf numFmtId="165" fontId="0" fillId="0" borderId="0" xfId="194" applyNumberFormat="1" applyFont="1"/>
    <xf numFmtId="171" fontId="0" fillId="0" borderId="0" xfId="195" applyNumberFormat="1" applyFont="1"/>
    <xf numFmtId="49" fontId="25" fillId="0" borderId="0" xfId="193" applyNumberFormat="1" applyFont="1" applyAlignment="1">
      <alignment vertical="top"/>
    </xf>
    <xf numFmtId="0" fontId="25" fillId="0" borderId="0" xfId="193" applyNumberFormat="1" applyFont="1" applyAlignment="1">
      <alignment vertical="top"/>
    </xf>
    <xf numFmtId="0" fontId="25" fillId="27" borderId="0" xfId="193" applyFill="1"/>
    <xf numFmtId="0" fontId="28" fillId="27" borderId="0" xfId="193" applyFont="1" applyFill="1" applyAlignment="1">
      <alignment horizontal="left" vertical="top"/>
    </xf>
    <xf numFmtId="1" fontId="25" fillId="27" borderId="0" xfId="193" applyNumberFormat="1" applyFill="1"/>
    <xf numFmtId="171" fontId="0" fillId="27" borderId="0" xfId="195" applyNumberFormat="1" applyFont="1" applyFill="1"/>
    <xf numFmtId="9" fontId="0" fillId="27" borderId="0" xfId="194" applyFont="1" applyFill="1"/>
    <xf numFmtId="171" fontId="28" fillId="48" borderId="0" xfId="195" applyNumberFormat="1" applyFont="1" applyFill="1"/>
    <xf numFmtId="9" fontId="0" fillId="0" borderId="0" xfId="187" applyFont="1"/>
    <xf numFmtId="43" fontId="19" fillId="0" borderId="0" xfId="192" applyFont="1" applyAlignment="1">
      <alignment horizontal="center" vertical="top" wrapText="1"/>
    </xf>
    <xf numFmtId="0" fontId="22" fillId="49" borderId="0" xfId="186" applyNumberFormat="1" applyFont="1" applyFill="1" applyAlignment="1">
      <alignment horizontal="center" vertical="top" wrapText="1"/>
    </xf>
    <xf numFmtId="43" fontId="0" fillId="0" borderId="0" xfId="192" applyFont="1" applyAlignment="1">
      <alignment vertical="top"/>
    </xf>
    <xf numFmtId="174" fontId="21" fillId="0" borderId="0" xfId="186" applyNumberFormat="1" applyFont="1" applyAlignment="1">
      <alignment vertical="top"/>
    </xf>
    <xf numFmtId="1" fontId="21" fillId="0" borderId="0" xfId="186" applyNumberFormat="1" applyFont="1" applyAlignment="1">
      <alignment vertical="top"/>
    </xf>
    <xf numFmtId="173" fontId="21" fillId="44" borderId="0" xfId="186" applyNumberFormat="1" applyFont="1" applyFill="1" applyAlignment="1">
      <alignment vertical="top"/>
    </xf>
    <xf numFmtId="10" fontId="21" fillId="44" borderId="0" xfId="186" applyNumberFormat="1" applyFont="1" applyFill="1" applyAlignment="1">
      <alignment vertical="top"/>
    </xf>
    <xf numFmtId="170" fontId="22" fillId="49" borderId="0" xfId="186" applyNumberFormat="1" applyFont="1" applyFill="1" applyAlignment="1">
      <alignment vertical="top"/>
    </xf>
    <xf numFmtId="175" fontId="0" fillId="44" borderId="0" xfId="192" applyNumberFormat="1" applyFont="1" applyFill="1" applyAlignment="1">
      <alignment vertical="top"/>
    </xf>
    <xf numFmtId="43" fontId="0" fillId="27" borderId="0" xfId="192" applyFont="1" applyFill="1" applyAlignment="1">
      <alignment vertical="top"/>
    </xf>
    <xf numFmtId="174" fontId="21" fillId="27" borderId="0" xfId="186" applyNumberFormat="1" applyFont="1" applyFill="1" applyAlignment="1">
      <alignment vertical="top"/>
    </xf>
    <xf numFmtId="173" fontId="21" fillId="27" borderId="0" xfId="186" applyNumberFormat="1" applyFont="1" applyFill="1" applyAlignment="1">
      <alignment vertical="top"/>
    </xf>
    <xf numFmtId="1" fontId="21" fillId="27" borderId="0" xfId="186" applyNumberFormat="1" applyFont="1" applyFill="1" applyAlignment="1">
      <alignment vertical="top"/>
    </xf>
    <xf numFmtId="43" fontId="0" fillId="0" borderId="0" xfId="192" applyFont="1"/>
    <xf numFmtId="1" fontId="21" fillId="0" borderId="0" xfId="186" applyNumberFormat="1"/>
    <xf numFmtId="171" fontId="0" fillId="44" borderId="0" xfId="192" applyNumberFormat="1" applyFont="1" applyFill="1" applyAlignment="1">
      <alignment vertical="top"/>
    </xf>
    <xf numFmtId="165" fontId="21" fillId="44" borderId="0" xfId="186" applyNumberFormat="1" applyFont="1" applyFill="1" applyAlignment="1">
      <alignment vertical="top"/>
    </xf>
    <xf numFmtId="173" fontId="21" fillId="27" borderId="0" xfId="186" applyNumberFormat="1" applyFill="1"/>
    <xf numFmtId="173" fontId="21" fillId="44" borderId="0" xfId="186" applyNumberFormat="1" applyFill="1"/>
    <xf numFmtId="10" fontId="21" fillId="44" borderId="0" xfId="186" applyNumberFormat="1" applyFill="1"/>
    <xf numFmtId="0" fontId="21" fillId="53" borderId="0" xfId="186" applyFill="1"/>
    <xf numFmtId="0" fontId="21" fillId="53" borderId="0" xfId="186" applyFill="1" applyAlignment="1">
      <alignment wrapText="1"/>
    </xf>
    <xf numFmtId="9" fontId="0" fillId="53" borderId="0" xfId="187" applyFont="1" applyFill="1"/>
    <xf numFmtId="43" fontId="0" fillId="53" borderId="0" xfId="192" applyFont="1" applyFill="1"/>
    <xf numFmtId="43" fontId="13" fillId="54" borderId="0" xfId="186" applyNumberFormat="1" applyFont="1" applyFill="1"/>
    <xf numFmtId="9" fontId="13" fillId="54" borderId="0" xfId="187" applyFont="1" applyFill="1"/>
    <xf numFmtId="171" fontId="13" fillId="54" borderId="0" xfId="186" applyNumberFormat="1" applyFont="1" applyFill="1"/>
    <xf numFmtId="173" fontId="21" fillId="53" borderId="0" xfId="186" applyNumberFormat="1" applyFill="1"/>
    <xf numFmtId="165" fontId="13" fillId="54" borderId="0" xfId="187" applyNumberFormat="1" applyFont="1" applyFill="1"/>
    <xf numFmtId="0" fontId="19" fillId="53" borderId="0" xfId="186" applyFont="1" applyFill="1"/>
    <xf numFmtId="173" fontId="21" fillId="0" borderId="0" xfId="186" applyNumberFormat="1"/>
    <xf numFmtId="0" fontId="19" fillId="0" borderId="0" xfId="186" applyFont="1"/>
    <xf numFmtId="0" fontId="26" fillId="0" borderId="0" xfId="186" applyNumberFormat="1" applyFont="1" applyAlignment="1">
      <alignment horizontal="center" vertical="top"/>
    </xf>
    <xf numFmtId="0" fontId="26" fillId="55" borderId="0" xfId="186" applyNumberFormat="1" applyFont="1" applyFill="1" applyAlignment="1">
      <alignment horizontal="center" vertical="top"/>
    </xf>
    <xf numFmtId="43" fontId="0" fillId="0" borderId="0" xfId="195" applyFont="1" applyAlignment="1">
      <alignment vertical="top"/>
    </xf>
    <xf numFmtId="176" fontId="21" fillId="0" borderId="0" xfId="186" applyNumberFormat="1" applyFont="1" applyAlignment="1">
      <alignment vertical="top"/>
    </xf>
    <xf numFmtId="43" fontId="26" fillId="55" borderId="0" xfId="186" applyNumberFormat="1" applyFont="1" applyFill="1"/>
    <xf numFmtId="49" fontId="21" fillId="0" borderId="0" xfId="186" applyNumberFormat="1" applyAlignment="1">
      <alignment vertical="top"/>
    </xf>
    <xf numFmtId="170" fontId="21" fillId="27" borderId="0" xfId="186" applyNumberFormat="1" applyFill="1"/>
    <xf numFmtId="43" fontId="0" fillId="27" borderId="0" xfId="195" applyFont="1" applyFill="1" applyAlignment="1">
      <alignment vertical="top"/>
    </xf>
    <xf numFmtId="0" fontId="19" fillId="0" borderId="0" xfId="197" applyNumberFormat="1" applyFont="1" applyFill="1" applyAlignment="1">
      <alignment horizontal="center" vertical="top" wrapText="1"/>
    </xf>
    <xf numFmtId="0" fontId="23" fillId="0" borderId="0" xfId="198" applyNumberFormat="1" applyFont="1" applyFill="1" applyAlignment="1">
      <alignment horizontal="center"/>
    </xf>
    <xf numFmtId="171" fontId="23" fillId="0" borderId="0" xfId="198" applyNumberFormat="1" applyFont="1" applyFill="1" applyAlignment="1">
      <alignment horizontal="center"/>
    </xf>
    <xf numFmtId="0" fontId="23" fillId="0" borderId="0" xfId="197" applyFont="1" applyFill="1" applyAlignment="1">
      <alignment horizontal="center"/>
    </xf>
    <xf numFmtId="0" fontId="1" fillId="0" borderId="0" xfId="197"/>
    <xf numFmtId="171" fontId="1" fillId="0" borderId="0" xfId="197" applyNumberFormat="1"/>
    <xf numFmtId="49" fontId="19" fillId="0" borderId="0" xfId="197" applyNumberFormat="1" applyFont="1" applyFill="1" applyAlignment="1">
      <alignment vertical="top"/>
    </xf>
    <xf numFmtId="171" fontId="1" fillId="0" borderId="0" xfId="198" applyNumberFormat="1" applyAlignment="1">
      <alignment wrapText="1"/>
    </xf>
    <xf numFmtId="171" fontId="0" fillId="0" borderId="0" xfId="198" applyNumberFormat="1" applyFont="1" applyFill="1" applyAlignment="1">
      <alignment vertical="top"/>
    </xf>
    <xf numFmtId="171" fontId="0" fillId="0" borderId="0" xfId="198" applyNumberFormat="1" applyFont="1" applyFill="1" applyAlignment="1">
      <alignment horizontal="center"/>
    </xf>
    <xf numFmtId="9" fontId="1" fillId="0" borderId="0" xfId="197" applyNumberFormat="1" applyFill="1" applyAlignment="1">
      <alignment horizontal="center"/>
    </xf>
    <xf numFmtId="9" fontId="1" fillId="0" borderId="0" xfId="197" applyNumberFormat="1"/>
    <xf numFmtId="171" fontId="1" fillId="0" borderId="0" xfId="197" applyNumberFormat="1" applyFill="1"/>
    <xf numFmtId="9" fontId="1" fillId="0" borderId="0" xfId="197" applyNumberFormat="1" applyFill="1"/>
    <xf numFmtId="171" fontId="0" fillId="0" borderId="0" xfId="198" applyNumberFormat="1" applyFont="1" applyFill="1"/>
    <xf numFmtId="3" fontId="1" fillId="0" borderId="0" xfId="197" applyNumberFormat="1"/>
    <xf numFmtId="0" fontId="1" fillId="0" borderId="0" xfId="197" applyFill="1"/>
    <xf numFmtId="171" fontId="0" fillId="56" borderId="0" xfId="198" applyNumberFormat="1" applyFont="1" applyFill="1" applyAlignment="1">
      <alignment horizontal="center"/>
    </xf>
    <xf numFmtId="9" fontId="1" fillId="56" borderId="0" xfId="197" applyNumberFormat="1" applyFill="1" applyAlignment="1">
      <alignment horizontal="center"/>
    </xf>
    <xf numFmtId="0" fontId="18" fillId="0" borderId="0" xfId="197" applyFont="1" applyFill="1" applyBorder="1" applyAlignment="1">
      <alignment horizontal="center" vertical="center" wrapText="1"/>
    </xf>
    <xf numFmtId="0" fontId="23" fillId="0" borderId="0" xfId="197" applyFont="1" applyAlignment="1">
      <alignment horizontal="center"/>
    </xf>
    <xf numFmtId="9" fontId="23" fillId="0" borderId="0" xfId="197" applyNumberFormat="1" applyFont="1" applyAlignment="1">
      <alignment horizontal="center"/>
    </xf>
    <xf numFmtId="0" fontId="30" fillId="0" borderId="0" xfId="197" applyFont="1" applyFill="1" applyAlignment="1">
      <alignment wrapText="1"/>
    </xf>
    <xf numFmtId="1" fontId="0" fillId="0" borderId="0" xfId="198" applyNumberFormat="1" applyFont="1" applyAlignment="1"/>
    <xf numFmtId="1" fontId="1" fillId="0" borderId="0" xfId="197" applyNumberFormat="1" applyFont="1" applyAlignment="1">
      <alignment vertical="top"/>
    </xf>
    <xf numFmtId="1" fontId="1" fillId="0" borderId="0" xfId="197" applyNumberFormat="1" applyAlignment="1">
      <alignment horizontal="center"/>
    </xf>
    <xf numFmtId="9" fontId="1" fillId="0" borderId="0" xfId="197" applyNumberFormat="1" applyAlignment="1">
      <alignment horizontal="center"/>
    </xf>
    <xf numFmtId="0" fontId="1" fillId="0" borderId="0" xfId="197" applyFill="1" applyAlignment="1">
      <alignment wrapText="1"/>
    </xf>
    <xf numFmtId="0" fontId="30" fillId="0" borderId="0" xfId="197" applyFont="1" applyFill="1" applyBorder="1" applyAlignment="1">
      <alignment horizontal="left" wrapText="1"/>
    </xf>
    <xf numFmtId="0" fontId="30" fillId="0" borderId="0" xfId="20" applyFont="1" applyFill="1" applyBorder="1" applyAlignment="1">
      <alignment horizontal="left" wrapText="1"/>
    </xf>
    <xf numFmtId="0" fontId="31" fillId="0" borderId="0" xfId="197" applyFont="1" applyFill="1" applyBorder="1" applyAlignment="1">
      <alignment vertical="center" wrapText="1"/>
    </xf>
    <xf numFmtId="0" fontId="30" fillId="0" borderId="0" xfId="197" applyFont="1" applyFill="1" applyAlignment="1">
      <alignment horizontal="left" wrapText="1"/>
    </xf>
    <xf numFmtId="1" fontId="1" fillId="0" borderId="0" xfId="197" applyNumberFormat="1" applyFont="1" applyFill="1" applyAlignment="1">
      <alignment vertical="top"/>
    </xf>
    <xf numFmtId="0" fontId="30" fillId="0" borderId="0" xfId="20" applyFont="1" applyFill="1" applyAlignment="1">
      <alignment horizontal="left" wrapText="1"/>
    </xf>
    <xf numFmtId="1" fontId="1" fillId="0" borderId="0" xfId="197" applyNumberFormat="1" applyAlignment="1"/>
    <xf numFmtId="1" fontId="1" fillId="57" borderId="0" xfId="197" applyNumberFormat="1" applyFont="1" applyFill="1" applyAlignment="1">
      <alignment vertical="top"/>
    </xf>
    <xf numFmtId="1" fontId="1" fillId="57" borderId="0" xfId="197" applyNumberFormat="1" applyFont="1" applyFill="1" applyAlignment="1">
      <alignment horizontal="center" vertical="top"/>
    </xf>
    <xf numFmtId="9" fontId="1" fillId="57" borderId="0" xfId="197" applyNumberFormat="1" applyFont="1" applyFill="1" applyAlignment="1">
      <alignment horizontal="center" vertical="top"/>
    </xf>
    <xf numFmtId="0" fontId="1" fillId="0" borderId="0" xfId="197" applyNumberFormat="1" applyFont="1" applyFill="1" applyAlignment="1">
      <alignment vertical="top"/>
    </xf>
    <xf numFmtId="0" fontId="23" fillId="0" borderId="0" xfId="197" applyFont="1"/>
    <xf numFmtId="171" fontId="0" fillId="0" borderId="0" xfId="198" applyNumberFormat="1" applyFont="1" applyAlignment="1">
      <alignment vertical="top"/>
    </xf>
    <xf numFmtId="171" fontId="0" fillId="0" borderId="0" xfId="198" applyNumberFormat="1" applyFont="1" applyAlignment="1">
      <alignment horizontal="center"/>
    </xf>
    <xf numFmtId="171" fontId="0" fillId="0" borderId="0" xfId="198" applyNumberFormat="1" applyFont="1"/>
    <xf numFmtId="173" fontId="1" fillId="0" borderId="0" xfId="197" applyNumberFormat="1" applyFill="1"/>
    <xf numFmtId="171" fontId="21" fillId="0" borderId="0" xfId="186" applyNumberFormat="1"/>
    <xf numFmtId="0" fontId="32" fillId="0" borderId="0" xfId="0" applyFont="1" applyAlignment="1">
      <alignment horizontal="left" wrapText="1"/>
    </xf>
    <xf numFmtId="0" fontId="32" fillId="0" borderId="0" xfId="0" applyFont="1" applyAlignment="1">
      <alignment wrapText="1"/>
    </xf>
    <xf numFmtId="1" fontId="32" fillId="0" borderId="0" xfId="0" applyNumberFormat="1" applyFont="1" applyAlignment="1">
      <alignment horizontal="left"/>
    </xf>
    <xf numFmtId="0" fontId="32" fillId="0" borderId="0" xfId="0" applyFont="1"/>
    <xf numFmtId="0" fontId="32" fillId="0" borderId="0" xfId="0" applyFont="1" applyAlignment="1">
      <alignment horizontal="left"/>
    </xf>
    <xf numFmtId="2" fontId="32" fillId="0" borderId="0" xfId="0" applyNumberFormat="1" applyFont="1"/>
    <xf numFmtId="0" fontId="33" fillId="0" borderId="0" xfId="0" applyFont="1" applyAlignment="1">
      <alignment wrapText="1"/>
    </xf>
    <xf numFmtId="0" fontId="33" fillId="0" borderId="0" xfId="0" applyFont="1" applyAlignment="1">
      <alignment horizontal="left" wrapText="1"/>
    </xf>
    <xf numFmtId="2" fontId="33" fillId="0" borderId="0" xfId="0" applyNumberFormat="1" applyFont="1"/>
    <xf numFmtId="1" fontId="33" fillId="0" borderId="0" xfId="0" applyNumberFormat="1" applyFont="1" applyAlignment="1">
      <alignment horizontal="left"/>
    </xf>
    <xf numFmtId="0" fontId="34" fillId="0" borderId="0" xfId="17" applyNumberFormat="1" applyFont="1" applyFill="1" applyAlignment="1">
      <alignment horizontal="center" wrapText="1"/>
    </xf>
    <xf numFmtId="0" fontId="34" fillId="0" borderId="0" xfId="17" applyNumberFormat="1" applyFont="1" applyFill="1" applyAlignment="1">
      <alignment horizontal="center"/>
    </xf>
    <xf numFmtId="0" fontId="34" fillId="0" borderId="0" xfId="17" applyNumberFormat="1" applyFont="1" applyAlignment="1">
      <alignment horizontal="center"/>
    </xf>
    <xf numFmtId="0" fontId="8" fillId="2" borderId="0" xfId="17" applyNumberFormat="1" applyFont="1" applyFill="1" applyAlignment="1">
      <alignment horizontal="center" wrapText="1"/>
    </xf>
    <xf numFmtId="0" fontId="8" fillId="3" borderId="0" xfId="17" applyNumberFormat="1" applyFont="1" applyFill="1" applyAlignment="1">
      <alignment horizontal="center" wrapText="1"/>
    </xf>
    <xf numFmtId="0" fontId="8" fillId="5" borderId="0" xfId="17" applyNumberFormat="1" applyFont="1" applyFill="1" applyAlignment="1">
      <alignment horizontal="center" wrapText="1"/>
    </xf>
    <xf numFmtId="0" fontId="8" fillId="7" borderId="0" xfId="17" applyNumberFormat="1" applyFont="1" applyFill="1" applyAlignment="1">
      <alignment horizontal="center" wrapText="1"/>
    </xf>
    <xf numFmtId="0" fontId="8" fillId="8" borderId="0" xfId="17" applyNumberFormat="1" applyFont="1" applyFill="1" applyBorder="1" applyAlignment="1">
      <alignment horizontal="center" vertical="center" wrapText="1"/>
    </xf>
    <xf numFmtId="0" fontId="6" fillId="0" borderId="0" xfId="185" applyFont="1">
      <alignment vertical="center"/>
    </xf>
  </cellXfs>
  <cellStyles count="207">
    <cellStyle name="Comma 2" xfId="19"/>
    <cellStyle name="Comma 3" xfId="192"/>
    <cellStyle name="Comma 4" xfId="195"/>
    <cellStyle name="Comma 5" xfId="198"/>
    <cellStyle name="Excel Built-in Normal" xfId="20"/>
    <cellStyle name="Excel Built-in Normal 1" xfId="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9" builtinId="9" hidden="1"/>
    <cellStyle name="Followed Hyperlink" xfId="191"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8" builtinId="8" hidden="1"/>
    <cellStyle name="Hyperlink" xfId="190" builtinId="8" hidden="1"/>
    <cellStyle name="Hyperlink" xfId="196" builtinId="8"/>
    <cellStyle name="Normal" xfId="0" builtinId="0"/>
    <cellStyle name="Normal 2" xfId="17"/>
    <cellStyle name="Normal 3" xfId="22"/>
    <cellStyle name="Normal 4" xfId="185"/>
    <cellStyle name="Normal 5" xfId="186"/>
    <cellStyle name="Normal 6" xfId="193"/>
    <cellStyle name="Normal 7" xfId="197"/>
    <cellStyle name="Percent 2" xfId="18"/>
    <cellStyle name="Percent 3" xfId="187"/>
    <cellStyle name="Percent 4" xfId="194"/>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externalLink" Target="externalLinks/externalLink1.xml"/><Relationship Id="rId28" Type="http://schemas.openxmlformats.org/officeDocument/2006/relationships/theme" Target="theme/theme1.xml"/><Relationship Id="rId29" Type="http://schemas.openxmlformats.org/officeDocument/2006/relationships/styles" Target="styles.xml"/><Relationship Id="rId30" Type="http://schemas.openxmlformats.org/officeDocument/2006/relationships/sharedStrings" Target="sharedStrings.xml"/><Relationship Id="rId3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ybustin/Dropbox/Luxury%202012/Brand%20Lists/Final%20Brand%20Lists/Final%20Brand%20List%20-%20Fashio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s>
    <sheetDataSet>
      <sheetData sheetId="0" refreshError="1">
        <row r="1">
          <cell r="A1" t="str">
            <v>Brand Name</v>
          </cell>
          <cell r="B1" t="str">
            <v>Parent</v>
          </cell>
          <cell r="C1" t="str">
            <v>Country of Origin</v>
          </cell>
        </row>
        <row r="2">
          <cell r="A2" t="str">
            <v>Alexander McQueen</v>
          </cell>
          <cell r="B2" t="str">
            <v>Gucci Group (PPR)</v>
          </cell>
          <cell r="C2" t="str">
            <v>United Kingdom</v>
          </cell>
        </row>
        <row r="3">
          <cell r="A3" t="str">
            <v>Alfred Dunhill</v>
          </cell>
          <cell r="B3" t="str">
            <v>Compagnie Financiere Richemont S.A</v>
          </cell>
          <cell r="C3" t="str">
            <v>United Kingdom</v>
          </cell>
        </row>
        <row r="4">
          <cell r="A4" t="str">
            <v>Badgley Mischka</v>
          </cell>
          <cell r="B4" t="str">
            <v>Iconix Brand Group, Inc.</v>
          </cell>
          <cell r="C4" t="str">
            <v>United States</v>
          </cell>
        </row>
        <row r="5">
          <cell r="A5" t="str">
            <v>Balenciaga</v>
          </cell>
          <cell r="B5" t="str">
            <v>Gucci Group (PPR)</v>
          </cell>
          <cell r="C5" t="str">
            <v>France</v>
          </cell>
        </row>
        <row r="6">
          <cell r="A6" t="str">
            <v>Bally</v>
          </cell>
          <cell r="B6" t="str">
            <v>Labelux Group Inc</v>
          </cell>
          <cell r="C6" t="str">
            <v>Switzerland</v>
          </cell>
        </row>
        <row r="7">
          <cell r="A7" t="str">
            <v>Belstaff</v>
          </cell>
          <cell r="B7" t="str">
            <v>Labelux Group Inc</v>
          </cell>
          <cell r="C7" t="str">
            <v>United Kingdom</v>
          </cell>
        </row>
        <row r="8">
          <cell r="A8" t="str">
            <v>Bottega Veneta</v>
          </cell>
          <cell r="B8" t="str">
            <v>Gucci Group (PPR)</v>
          </cell>
          <cell r="C8" t="str">
            <v>Italy</v>
          </cell>
        </row>
        <row r="9">
          <cell r="A9" t="str">
            <v>Burberry</v>
          </cell>
          <cell r="B9" t="str">
            <v>Burberry</v>
          </cell>
          <cell r="C9" t="str">
            <v>United Kingdom</v>
          </cell>
        </row>
        <row r="10">
          <cell r="A10" t="str">
            <v>Calvin Klein</v>
          </cell>
          <cell r="B10" t="str">
            <v>Phillips-Van Heusen</v>
          </cell>
          <cell r="C10" t="str">
            <v>United States</v>
          </cell>
        </row>
        <row r="11">
          <cell r="A11" t="str">
            <v>Catherine Malandrino</v>
          </cell>
          <cell r="B11" t="str">
            <v>Catherine Malandrino</v>
          </cell>
          <cell r="C11" t="str">
            <v>United States</v>
          </cell>
        </row>
        <row r="12">
          <cell r="A12" t="str">
            <v>Chanel</v>
          </cell>
          <cell r="B12" t="str">
            <v>Chanel</v>
          </cell>
          <cell r="C12" t="str">
            <v>France</v>
          </cell>
        </row>
        <row r="13">
          <cell r="A13" t="str">
            <v>Chloe</v>
          </cell>
          <cell r="B13" t="str">
            <v>Compagnie Financiere Richemont S.A</v>
          </cell>
          <cell r="C13" t="str">
            <v>France</v>
          </cell>
        </row>
        <row r="14">
          <cell r="A14" t="str">
            <v>Christian Dior</v>
          </cell>
          <cell r="B14" t="str">
            <v>LVMH</v>
          </cell>
          <cell r="C14" t="str">
            <v>France</v>
          </cell>
        </row>
        <row r="15">
          <cell r="A15" t="str">
            <v>Christian Louboutin</v>
          </cell>
          <cell r="B15" t="str">
            <v>Christian Louboutin</v>
          </cell>
          <cell r="C15" t="str">
            <v>France</v>
          </cell>
        </row>
        <row r="16">
          <cell r="A16" t="str">
            <v>Coach</v>
          </cell>
          <cell r="B16" t="str">
            <v>Coach, Inc.</v>
          </cell>
          <cell r="C16" t="str">
            <v>United States</v>
          </cell>
        </row>
        <row r="17">
          <cell r="A17" t="str">
            <v>Cole Haan</v>
          </cell>
          <cell r="B17" t="str">
            <v>Nike</v>
          </cell>
          <cell r="C17" t="str">
            <v>United States</v>
          </cell>
        </row>
        <row r="18">
          <cell r="A18" t="str">
            <v>Diane von Furstenberg</v>
          </cell>
          <cell r="B18" t="str">
            <v>Diane Von Furstenberg</v>
          </cell>
          <cell r="C18" t="str">
            <v>United States</v>
          </cell>
        </row>
        <row r="19">
          <cell r="A19" t="str">
            <v>Dolce &amp; Gabbana</v>
          </cell>
          <cell r="B19" t="str">
            <v>Dolce&amp;Gabbana Holding S.r.l.</v>
          </cell>
          <cell r="C19" t="str">
            <v>Italy</v>
          </cell>
        </row>
        <row r="20">
          <cell r="A20" t="str">
            <v>Donna Karan / DKNY</v>
          </cell>
          <cell r="B20" t="str">
            <v>LVMH</v>
          </cell>
          <cell r="C20" t="str">
            <v>United States</v>
          </cell>
        </row>
        <row r="21">
          <cell r="A21" t="str">
            <v>Emilio Pucci</v>
          </cell>
          <cell r="B21" t="str">
            <v>LVMH</v>
          </cell>
          <cell r="C21" t="str">
            <v>Italy</v>
          </cell>
        </row>
        <row r="22">
          <cell r="A22" t="str">
            <v>Ermenegildo Zegna</v>
          </cell>
          <cell r="B22" t="str">
            <v>Ermenegildo Zegna</v>
          </cell>
          <cell r="C22" t="str">
            <v>Italy</v>
          </cell>
        </row>
        <row r="23">
          <cell r="A23" t="str">
            <v>Escada</v>
          </cell>
          <cell r="B23" t="str">
            <v>Escada Group</v>
          </cell>
          <cell r="C23" t="str">
            <v>Germany</v>
          </cell>
        </row>
        <row r="24">
          <cell r="A24" t="str">
            <v>Fendi</v>
          </cell>
          <cell r="B24" t="str">
            <v>LVMH</v>
          </cell>
          <cell r="C24" t="str">
            <v>Italy</v>
          </cell>
        </row>
        <row r="25">
          <cell r="A25" t="str">
            <v>Giorgio Armani</v>
          </cell>
          <cell r="B25" t="str">
            <v>Giorgio Armani Corporation</v>
          </cell>
          <cell r="C25" t="str">
            <v>Italy</v>
          </cell>
        </row>
        <row r="26">
          <cell r="A26" t="str">
            <v>Givenchy</v>
          </cell>
          <cell r="B26" t="str">
            <v>LVMH</v>
          </cell>
          <cell r="C26" t="str">
            <v>France</v>
          </cell>
        </row>
        <row r="27">
          <cell r="A27" t="str">
            <v>Gucci</v>
          </cell>
          <cell r="B27" t="str">
            <v>Gucci Group (PPR)</v>
          </cell>
          <cell r="C27" t="str">
            <v>Italy</v>
          </cell>
        </row>
        <row r="28">
          <cell r="A28" t="str">
            <v>Hermes</v>
          </cell>
          <cell r="B28" t="str">
            <v>Hermes</v>
          </cell>
          <cell r="C28" t="str">
            <v>France</v>
          </cell>
        </row>
        <row r="29">
          <cell r="A29" t="str">
            <v>Hugo Boss</v>
          </cell>
          <cell r="B29" t="str">
            <v>HUGO BOSS Group</v>
          </cell>
          <cell r="C29" t="str">
            <v>Germany</v>
          </cell>
        </row>
        <row r="30">
          <cell r="A30" t="str">
            <v>Jimmy Choo</v>
          </cell>
          <cell r="B30" t="str">
            <v>Labelux Group Inc</v>
          </cell>
          <cell r="C30" t="str">
            <v>United Kingdom</v>
          </cell>
        </row>
        <row r="31">
          <cell r="A31" t="str">
            <v>John Varvatos</v>
          </cell>
          <cell r="B31" t="str">
            <v>John Varvatos</v>
          </cell>
          <cell r="C31" t="str">
            <v>United States</v>
          </cell>
        </row>
        <row r="32">
          <cell r="A32" t="str">
            <v>Kate Spade</v>
          </cell>
          <cell r="B32" t="str">
            <v>Fifth &amp; Pacific</v>
          </cell>
          <cell r="C32" t="str">
            <v>United States</v>
          </cell>
        </row>
        <row r="33">
          <cell r="A33" t="str">
            <v>Lacoste</v>
          </cell>
          <cell r="B33" t="str">
            <v>Lacoste</v>
          </cell>
          <cell r="C33" t="str">
            <v>France</v>
          </cell>
        </row>
        <row r="34">
          <cell r="A34" t="str">
            <v>Lancel</v>
          </cell>
          <cell r="B34" t="str">
            <v>Richemont</v>
          </cell>
          <cell r="C34" t="str">
            <v>France</v>
          </cell>
        </row>
        <row r="35">
          <cell r="A35" t="str">
            <v>Lanvin</v>
          </cell>
          <cell r="B35" t="str">
            <v>Lanvin</v>
          </cell>
          <cell r="C35" t="str">
            <v>France</v>
          </cell>
        </row>
        <row r="36">
          <cell r="A36" t="str">
            <v>Longchamp</v>
          </cell>
          <cell r="B36" t="str">
            <v>Longchamp</v>
          </cell>
          <cell r="C36" t="str">
            <v>France</v>
          </cell>
        </row>
        <row r="37">
          <cell r="A37" t="str">
            <v>Louis Vuitton</v>
          </cell>
          <cell r="B37" t="str">
            <v>LVMH</v>
          </cell>
          <cell r="C37" t="str">
            <v>France</v>
          </cell>
        </row>
        <row r="38">
          <cell r="A38" t="str">
            <v xml:space="preserve">Manolo Blahnik </v>
          </cell>
          <cell r="B38" t="str">
            <v xml:space="preserve">Manolo Blahnik </v>
          </cell>
          <cell r="C38" t="str">
            <v>United Kingdom</v>
          </cell>
        </row>
        <row r="39">
          <cell r="A39" t="str">
            <v>Marc Jacobs</v>
          </cell>
          <cell r="B39" t="str">
            <v>LVMH</v>
          </cell>
          <cell r="C39" t="str">
            <v>United States</v>
          </cell>
        </row>
        <row r="40">
          <cell r="A40" t="str">
            <v>Max Mara</v>
          </cell>
          <cell r="B40" t="str">
            <v>Max Mara S.R.L.</v>
          </cell>
          <cell r="C40" t="str">
            <v>Italy</v>
          </cell>
        </row>
        <row r="41">
          <cell r="A41" t="str">
            <v>Michael Kors</v>
          </cell>
          <cell r="B41" t="str">
            <v>Michael Kors Inc.</v>
          </cell>
          <cell r="C41" t="str">
            <v>United States</v>
          </cell>
        </row>
        <row r="42">
          <cell r="A42" t="str">
            <v>Missoni</v>
          </cell>
          <cell r="B42" t="str">
            <v>Missoni S.p.A.</v>
          </cell>
          <cell r="C42" t="str">
            <v>Italy</v>
          </cell>
        </row>
        <row r="43">
          <cell r="A43" t="str">
            <v>Mulberry</v>
          </cell>
          <cell r="B43" t="str">
            <v>Mulberry</v>
          </cell>
          <cell r="C43" t="str">
            <v>United Kingdom</v>
          </cell>
        </row>
        <row r="44">
          <cell r="A44" t="str">
            <v>Oscar de la Renta</v>
          </cell>
          <cell r="B44" t="str">
            <v>Oscar de la Renta Ltd.</v>
          </cell>
          <cell r="C44" t="str">
            <v>United States</v>
          </cell>
        </row>
        <row r="45">
          <cell r="A45" t="str">
            <v>Paul Smith</v>
          </cell>
          <cell r="B45" t="str">
            <v>Paul Smith</v>
          </cell>
          <cell r="C45" t="str">
            <v>United Kingdom</v>
          </cell>
        </row>
        <row r="46">
          <cell r="A46" t="str">
            <v>Prada</v>
          </cell>
          <cell r="B46" t="str">
            <v>Prada S.p.A.</v>
          </cell>
          <cell r="C46" t="str">
            <v>Italy</v>
          </cell>
        </row>
        <row r="47">
          <cell r="A47" t="str">
            <v>Ralph Lauren</v>
          </cell>
          <cell r="B47" t="str">
            <v>Ralph Lauren Corporation</v>
          </cell>
          <cell r="C47" t="str">
            <v>United States</v>
          </cell>
        </row>
        <row r="48">
          <cell r="A48" t="str">
            <v>Roberto Cavalli</v>
          </cell>
          <cell r="B48" t="str">
            <v>Roberto Cavalli S.p.A.</v>
          </cell>
          <cell r="C48" t="str">
            <v>Italy</v>
          </cell>
        </row>
        <row r="49">
          <cell r="A49" t="str">
            <v>Salvatore Ferragamo</v>
          </cell>
          <cell r="B49" t="str">
            <v>Salvatore Ferragamo Italia S.p.A.</v>
          </cell>
          <cell r="C49" t="str">
            <v>Italy</v>
          </cell>
        </row>
        <row r="50">
          <cell r="A50" t="str">
            <v>Sergio Rossi</v>
          </cell>
          <cell r="B50" t="str">
            <v>Gucci Group (PPR)</v>
          </cell>
          <cell r="C50" t="str">
            <v>Italy</v>
          </cell>
        </row>
        <row r="51">
          <cell r="A51" t="str">
            <v>Stella McCartney</v>
          </cell>
          <cell r="B51" t="str">
            <v>Gucci Group (PPR)</v>
          </cell>
          <cell r="C51" t="str">
            <v>United Kingdom</v>
          </cell>
        </row>
        <row r="52">
          <cell r="A52" t="str">
            <v>Stuart Weitzman</v>
          </cell>
          <cell r="B52" t="str">
            <v>Jones Group Inc.</v>
          </cell>
          <cell r="C52" t="str">
            <v>United States</v>
          </cell>
        </row>
        <row r="53">
          <cell r="A53" t="str">
            <v>Ted Baker</v>
          </cell>
          <cell r="B53" t="str">
            <v>Ted Baker PLC</v>
          </cell>
          <cell r="C53" t="str">
            <v>United Kingdom</v>
          </cell>
        </row>
        <row r="54">
          <cell r="A54" t="str">
            <v>Theory</v>
          </cell>
          <cell r="B54" t="str">
            <v>Link Theory Holdings</v>
          </cell>
          <cell r="C54" t="str">
            <v>United States</v>
          </cell>
        </row>
        <row r="55">
          <cell r="A55" t="str">
            <v>Thomas Pink</v>
          </cell>
          <cell r="B55" t="str">
            <v>LVMH</v>
          </cell>
          <cell r="C55" t="str">
            <v>United Kingdom</v>
          </cell>
        </row>
        <row r="56">
          <cell r="A56" t="str">
            <v>Tod's</v>
          </cell>
          <cell r="B56" t="str">
            <v>Tod's SPA</v>
          </cell>
          <cell r="C56" t="str">
            <v>Italy</v>
          </cell>
        </row>
        <row r="57">
          <cell r="A57" t="str">
            <v>Tommy Hilfiger</v>
          </cell>
          <cell r="B57" t="str">
            <v>Tommy Hilfiger Group</v>
          </cell>
          <cell r="C57" t="str">
            <v>United States</v>
          </cell>
        </row>
        <row r="58">
          <cell r="A58" t="str">
            <v>Tory Burch</v>
          </cell>
          <cell r="B58" t="str">
            <v>Tory Burch</v>
          </cell>
          <cell r="C58" t="str">
            <v>United States</v>
          </cell>
        </row>
        <row r="59">
          <cell r="A59" t="str">
            <v>Valentino</v>
          </cell>
          <cell r="B59" t="str">
            <v>Valentino S.p.A</v>
          </cell>
          <cell r="C59" t="str">
            <v>Italy</v>
          </cell>
        </row>
        <row r="60">
          <cell r="A60" t="str">
            <v>Versace</v>
          </cell>
          <cell r="B60" t="str">
            <v>Gianni Versace S.p.A</v>
          </cell>
          <cell r="C60" t="str">
            <v>Italy</v>
          </cell>
        </row>
        <row r="61">
          <cell r="A61" t="str">
            <v>Vivienne Westwood</v>
          </cell>
          <cell r="B61" t="str">
            <v>Vivienne Westwood</v>
          </cell>
          <cell r="C61" t="str">
            <v>United Kingdom</v>
          </cell>
        </row>
        <row r="62">
          <cell r="A62" t="str">
            <v>Yves Saint Laurent</v>
          </cell>
          <cell r="B62" t="str">
            <v>Gucci Group (PPR)</v>
          </cell>
          <cell r="C62" t="str">
            <v>France</v>
          </cell>
        </row>
        <row r="63">
          <cell r="A63" t="str">
            <v>Zac Posen</v>
          </cell>
          <cell r="B63" t="str">
            <v>Zac Posen-House of Z LLC</v>
          </cell>
          <cell r="C63" t="str">
            <v>United States</v>
          </cell>
        </row>
        <row r="64">
          <cell r="A64" t="str">
            <v>Derek Lam</v>
          </cell>
          <cell r="B64" t="str">
            <v>Labelux Group Inc</v>
          </cell>
          <cell r="C64" t="str">
            <v>United States</v>
          </cell>
        </row>
        <row r="65">
          <cell r="A65">
            <v>0</v>
          </cell>
          <cell r="B65">
            <v>0</v>
          </cell>
        </row>
        <row r="66">
          <cell r="A66">
            <v>0</v>
          </cell>
          <cell r="B66">
            <v>0</v>
          </cell>
        </row>
        <row r="67">
          <cell r="A67">
            <v>0</v>
          </cell>
          <cell r="B67">
            <v>0</v>
          </cell>
        </row>
        <row r="68">
          <cell r="A68">
            <v>0</v>
          </cell>
          <cell r="B68">
            <v>0</v>
          </cell>
        </row>
        <row r="69">
          <cell r="A69">
            <v>0</v>
          </cell>
          <cell r="B69">
            <v>0</v>
          </cell>
        </row>
        <row r="70">
          <cell r="A70">
            <v>0</v>
          </cell>
          <cell r="B70">
            <v>0</v>
          </cell>
        </row>
        <row r="71">
          <cell r="A71">
            <v>0</v>
          </cell>
          <cell r="B71">
            <v>0</v>
          </cell>
        </row>
        <row r="72">
          <cell r="A72">
            <v>0</v>
          </cell>
          <cell r="B72">
            <v>0</v>
          </cell>
        </row>
        <row r="73">
          <cell r="A73">
            <v>0</v>
          </cell>
          <cell r="B73">
            <v>0</v>
          </cell>
        </row>
        <row r="74">
          <cell r="A74">
            <v>0</v>
          </cell>
          <cell r="B74">
            <v>0</v>
          </cell>
        </row>
        <row r="75">
          <cell r="A75">
            <v>0</v>
          </cell>
          <cell r="B75">
            <v>0</v>
          </cell>
        </row>
        <row r="76">
          <cell r="A76">
            <v>0</v>
          </cell>
          <cell r="B76">
            <v>0</v>
          </cell>
        </row>
        <row r="77">
          <cell r="A77">
            <v>0</v>
          </cell>
          <cell r="B77">
            <v>0</v>
          </cell>
        </row>
        <row r="78">
          <cell r="A78">
            <v>0</v>
          </cell>
          <cell r="B78">
            <v>0</v>
          </cell>
        </row>
        <row r="79">
          <cell r="A79">
            <v>0</v>
          </cell>
          <cell r="B79">
            <v>0</v>
          </cell>
        </row>
        <row r="80">
          <cell r="A80">
            <v>0</v>
          </cell>
          <cell r="B80">
            <v>0</v>
          </cell>
        </row>
        <row r="81">
          <cell r="A81">
            <v>0</v>
          </cell>
          <cell r="B81">
            <v>0</v>
          </cell>
        </row>
        <row r="82">
          <cell r="A82">
            <v>0</v>
          </cell>
          <cell r="B82">
            <v>0</v>
          </cell>
        </row>
        <row r="83">
          <cell r="A83">
            <v>0</v>
          </cell>
          <cell r="B83">
            <v>0</v>
          </cell>
        </row>
        <row r="84">
          <cell r="A84">
            <v>0</v>
          </cell>
          <cell r="B84">
            <v>0</v>
          </cell>
        </row>
        <row r="85">
          <cell r="A85">
            <v>0</v>
          </cell>
          <cell r="B85">
            <v>0</v>
          </cell>
        </row>
        <row r="86">
          <cell r="A86">
            <v>0</v>
          </cell>
          <cell r="B86">
            <v>0</v>
          </cell>
        </row>
        <row r="87">
          <cell r="A87">
            <v>0</v>
          </cell>
          <cell r="B87">
            <v>0</v>
          </cell>
        </row>
        <row r="88">
          <cell r="A88">
            <v>0</v>
          </cell>
          <cell r="B88">
            <v>0</v>
          </cell>
        </row>
        <row r="89">
          <cell r="A89">
            <v>0</v>
          </cell>
          <cell r="B89">
            <v>0</v>
          </cell>
        </row>
        <row r="90">
          <cell r="A90">
            <v>0</v>
          </cell>
          <cell r="B90">
            <v>0</v>
          </cell>
        </row>
        <row r="91">
          <cell r="A91">
            <v>0</v>
          </cell>
          <cell r="B91">
            <v>0</v>
          </cell>
        </row>
        <row r="92">
          <cell r="A92">
            <v>0</v>
          </cell>
          <cell r="B92">
            <v>0</v>
          </cell>
        </row>
        <row r="93">
          <cell r="A93">
            <v>0</v>
          </cell>
          <cell r="B93">
            <v>0</v>
          </cell>
        </row>
        <row r="94">
          <cell r="A94">
            <v>0</v>
          </cell>
          <cell r="B94">
            <v>0</v>
          </cell>
        </row>
        <row r="95">
          <cell r="A95">
            <v>0</v>
          </cell>
          <cell r="B95">
            <v>0</v>
          </cell>
        </row>
        <row r="96">
          <cell r="A96">
            <v>0</v>
          </cell>
          <cell r="B96">
            <v>0</v>
          </cell>
        </row>
        <row r="97">
          <cell r="A97">
            <v>0</v>
          </cell>
          <cell r="B97">
            <v>0</v>
          </cell>
        </row>
        <row r="98">
          <cell r="A98">
            <v>0</v>
          </cell>
          <cell r="B98">
            <v>0</v>
          </cell>
        </row>
        <row r="99">
          <cell r="A99">
            <v>0</v>
          </cell>
          <cell r="B99">
            <v>0</v>
          </cell>
        </row>
        <row r="100">
          <cell r="A100">
            <v>0</v>
          </cell>
          <cell r="B100">
            <v>0</v>
          </cell>
        </row>
        <row r="101">
          <cell r="A101">
            <v>0</v>
          </cell>
          <cell r="B101">
            <v>0</v>
          </cell>
        </row>
        <row r="102">
          <cell r="A102">
            <v>0</v>
          </cell>
          <cell r="B102">
            <v>0</v>
          </cell>
        </row>
        <row r="103">
          <cell r="A103">
            <v>0</v>
          </cell>
          <cell r="B103">
            <v>0</v>
          </cell>
        </row>
        <row r="104">
          <cell r="A104">
            <v>0</v>
          </cell>
          <cell r="B104">
            <v>0</v>
          </cell>
        </row>
        <row r="105">
          <cell r="A105">
            <v>0</v>
          </cell>
          <cell r="B105">
            <v>0</v>
          </cell>
        </row>
        <row r="106">
          <cell r="A106">
            <v>0</v>
          </cell>
          <cell r="B106">
            <v>0</v>
          </cell>
        </row>
        <row r="107">
          <cell r="A107">
            <v>0</v>
          </cell>
          <cell r="B107">
            <v>0</v>
          </cell>
        </row>
        <row r="108">
          <cell r="A108">
            <v>0</v>
          </cell>
          <cell r="B108">
            <v>0</v>
          </cell>
        </row>
        <row r="109">
          <cell r="A109">
            <v>0</v>
          </cell>
          <cell r="B109">
            <v>0</v>
          </cell>
        </row>
        <row r="110">
          <cell r="A110">
            <v>0</v>
          </cell>
          <cell r="B110">
            <v>0</v>
          </cell>
        </row>
        <row r="111">
          <cell r="A111">
            <v>0</v>
          </cell>
          <cell r="B111">
            <v>0</v>
          </cell>
        </row>
        <row r="112">
          <cell r="A112">
            <v>0</v>
          </cell>
          <cell r="B112">
            <v>0</v>
          </cell>
        </row>
        <row r="113">
          <cell r="A113">
            <v>0</v>
          </cell>
          <cell r="B113">
            <v>0</v>
          </cell>
        </row>
        <row r="114">
          <cell r="A114">
            <v>0</v>
          </cell>
          <cell r="B114">
            <v>0</v>
          </cell>
        </row>
        <row r="115">
          <cell r="A115">
            <v>0</v>
          </cell>
          <cell r="B115">
            <v>0</v>
          </cell>
        </row>
        <row r="116">
          <cell r="A116">
            <v>0</v>
          </cell>
          <cell r="B116">
            <v>0</v>
          </cell>
        </row>
        <row r="117">
          <cell r="A117">
            <v>0</v>
          </cell>
          <cell r="B117">
            <v>0</v>
          </cell>
        </row>
        <row r="118">
          <cell r="A118">
            <v>0</v>
          </cell>
          <cell r="B118">
            <v>0</v>
          </cell>
        </row>
        <row r="119">
          <cell r="A119">
            <v>0</v>
          </cell>
          <cell r="B119">
            <v>0</v>
          </cell>
        </row>
        <row r="120">
          <cell r="A120">
            <v>0</v>
          </cell>
          <cell r="B120">
            <v>0</v>
          </cell>
        </row>
        <row r="121">
          <cell r="A121">
            <v>0</v>
          </cell>
          <cell r="B121">
            <v>0</v>
          </cell>
        </row>
        <row r="122">
          <cell r="A122">
            <v>0</v>
          </cell>
          <cell r="B122">
            <v>0</v>
          </cell>
        </row>
        <row r="123">
          <cell r="A123">
            <v>0</v>
          </cell>
          <cell r="B123">
            <v>0</v>
          </cell>
        </row>
        <row r="124">
          <cell r="A124">
            <v>0</v>
          </cell>
          <cell r="B124">
            <v>0</v>
          </cell>
        </row>
        <row r="125">
          <cell r="A125">
            <v>0</v>
          </cell>
          <cell r="B125">
            <v>0</v>
          </cell>
        </row>
        <row r="126">
          <cell r="A126">
            <v>0</v>
          </cell>
          <cell r="B126">
            <v>0</v>
          </cell>
        </row>
        <row r="127">
          <cell r="A127">
            <v>0</v>
          </cell>
          <cell r="B127">
            <v>0</v>
          </cell>
        </row>
        <row r="128">
          <cell r="A128">
            <v>0</v>
          </cell>
          <cell r="B128">
            <v>0</v>
          </cell>
        </row>
        <row r="129">
          <cell r="A129">
            <v>0</v>
          </cell>
          <cell r="B129">
            <v>0</v>
          </cell>
        </row>
        <row r="130">
          <cell r="A130">
            <v>0</v>
          </cell>
          <cell r="B130">
            <v>0</v>
          </cell>
        </row>
        <row r="131">
          <cell r="A131">
            <v>0</v>
          </cell>
          <cell r="B131">
            <v>0</v>
          </cell>
        </row>
        <row r="132">
          <cell r="A132">
            <v>0</v>
          </cell>
          <cell r="B132">
            <v>0</v>
          </cell>
        </row>
        <row r="133">
          <cell r="A133">
            <v>0</v>
          </cell>
          <cell r="B133">
            <v>0</v>
          </cell>
        </row>
        <row r="134">
          <cell r="A134">
            <v>0</v>
          </cell>
          <cell r="B134">
            <v>0</v>
          </cell>
        </row>
        <row r="135">
          <cell r="A135">
            <v>0</v>
          </cell>
          <cell r="B135">
            <v>0</v>
          </cell>
        </row>
        <row r="136">
          <cell r="A136">
            <v>0</v>
          </cell>
          <cell r="B136">
            <v>0</v>
          </cell>
        </row>
        <row r="137">
          <cell r="A137">
            <v>0</v>
          </cell>
          <cell r="B137">
            <v>0</v>
          </cell>
        </row>
        <row r="138">
          <cell r="A138">
            <v>0</v>
          </cell>
          <cell r="B138">
            <v>0</v>
          </cell>
        </row>
        <row r="139">
          <cell r="A139">
            <v>0</v>
          </cell>
          <cell r="B139">
            <v>0</v>
          </cell>
        </row>
        <row r="140">
          <cell r="A140">
            <v>0</v>
          </cell>
          <cell r="B140">
            <v>0</v>
          </cell>
        </row>
        <row r="141">
          <cell r="A141">
            <v>0</v>
          </cell>
          <cell r="B141">
            <v>0</v>
          </cell>
        </row>
        <row r="142">
          <cell r="A142">
            <v>0</v>
          </cell>
          <cell r="B142">
            <v>0</v>
          </cell>
        </row>
        <row r="143">
          <cell r="A143">
            <v>0</v>
          </cell>
          <cell r="B143">
            <v>0</v>
          </cell>
        </row>
        <row r="144">
          <cell r="A144">
            <v>0</v>
          </cell>
          <cell r="B144">
            <v>0</v>
          </cell>
        </row>
        <row r="145">
          <cell r="A145">
            <v>0</v>
          </cell>
          <cell r="B145">
            <v>0</v>
          </cell>
        </row>
        <row r="146">
          <cell r="A146">
            <v>0</v>
          </cell>
          <cell r="B146">
            <v>0</v>
          </cell>
        </row>
        <row r="147">
          <cell r="A147">
            <v>0</v>
          </cell>
          <cell r="B147">
            <v>0</v>
          </cell>
        </row>
        <row r="148">
          <cell r="A148">
            <v>0</v>
          </cell>
          <cell r="B148">
            <v>0</v>
          </cell>
        </row>
        <row r="149">
          <cell r="A149">
            <v>0</v>
          </cell>
          <cell r="B149">
            <v>0</v>
          </cell>
        </row>
        <row r="150">
          <cell r="A150">
            <v>0</v>
          </cell>
          <cell r="B150">
            <v>0</v>
          </cell>
        </row>
        <row r="151">
          <cell r="A151">
            <v>0</v>
          </cell>
          <cell r="B151">
            <v>0</v>
          </cell>
        </row>
        <row r="152">
          <cell r="A152">
            <v>0</v>
          </cell>
          <cell r="B152">
            <v>0</v>
          </cell>
        </row>
        <row r="153">
          <cell r="A153">
            <v>0</v>
          </cell>
          <cell r="B153">
            <v>0</v>
          </cell>
        </row>
        <row r="154">
          <cell r="A154">
            <v>0</v>
          </cell>
          <cell r="B154">
            <v>0</v>
          </cell>
        </row>
        <row r="155">
          <cell r="A155">
            <v>0</v>
          </cell>
          <cell r="B155">
            <v>0</v>
          </cell>
        </row>
        <row r="156">
          <cell r="A156">
            <v>0</v>
          </cell>
          <cell r="B156">
            <v>0</v>
          </cell>
        </row>
        <row r="157">
          <cell r="A157">
            <v>0</v>
          </cell>
          <cell r="B157">
            <v>0</v>
          </cell>
        </row>
        <row r="158">
          <cell r="A158">
            <v>0</v>
          </cell>
          <cell r="B158">
            <v>0</v>
          </cell>
        </row>
        <row r="159">
          <cell r="A159">
            <v>0</v>
          </cell>
          <cell r="B159">
            <v>0</v>
          </cell>
        </row>
        <row r="160">
          <cell r="A160">
            <v>0</v>
          </cell>
          <cell r="B160">
            <v>0</v>
          </cell>
        </row>
        <row r="161">
          <cell r="A161">
            <v>0</v>
          </cell>
          <cell r="B161">
            <v>0</v>
          </cell>
        </row>
        <row r="162">
          <cell r="A162">
            <v>0</v>
          </cell>
          <cell r="B162">
            <v>0</v>
          </cell>
        </row>
        <row r="163">
          <cell r="A163">
            <v>0</v>
          </cell>
          <cell r="B163">
            <v>0</v>
          </cell>
        </row>
        <row r="164">
          <cell r="A164">
            <v>0</v>
          </cell>
          <cell r="B164">
            <v>0</v>
          </cell>
        </row>
        <row r="165">
          <cell r="A165">
            <v>0</v>
          </cell>
          <cell r="B165">
            <v>0</v>
          </cell>
        </row>
        <row r="166">
          <cell r="A166">
            <v>0</v>
          </cell>
          <cell r="B166">
            <v>0</v>
          </cell>
        </row>
        <row r="167">
          <cell r="A167">
            <v>0</v>
          </cell>
          <cell r="B167">
            <v>0</v>
          </cell>
        </row>
        <row r="168">
          <cell r="A168">
            <v>0</v>
          </cell>
          <cell r="B168">
            <v>0</v>
          </cell>
        </row>
        <row r="169">
          <cell r="A169">
            <v>0</v>
          </cell>
          <cell r="B169">
            <v>0</v>
          </cell>
        </row>
        <row r="170">
          <cell r="A170">
            <v>0</v>
          </cell>
          <cell r="B170">
            <v>0</v>
          </cell>
        </row>
        <row r="171">
          <cell r="A171">
            <v>0</v>
          </cell>
          <cell r="B171">
            <v>0</v>
          </cell>
        </row>
        <row r="172">
          <cell r="A172">
            <v>0</v>
          </cell>
          <cell r="B172">
            <v>0</v>
          </cell>
        </row>
        <row r="173">
          <cell r="A173">
            <v>0</v>
          </cell>
          <cell r="B173">
            <v>0</v>
          </cell>
        </row>
        <row r="174">
          <cell r="A174">
            <v>0</v>
          </cell>
          <cell r="B174">
            <v>0</v>
          </cell>
        </row>
        <row r="175">
          <cell r="A175">
            <v>0</v>
          </cell>
          <cell r="B175">
            <v>0</v>
          </cell>
        </row>
        <row r="176">
          <cell r="A176">
            <v>0</v>
          </cell>
          <cell r="B176">
            <v>0</v>
          </cell>
        </row>
        <row r="177">
          <cell r="A177">
            <v>0</v>
          </cell>
          <cell r="B177">
            <v>0</v>
          </cell>
        </row>
        <row r="178">
          <cell r="A178">
            <v>0</v>
          </cell>
          <cell r="B178">
            <v>0</v>
          </cell>
        </row>
        <row r="179">
          <cell r="A179">
            <v>0</v>
          </cell>
        </row>
        <row r="180">
          <cell r="A180">
            <v>0</v>
          </cell>
          <cell r="B180">
            <v>0</v>
          </cell>
        </row>
        <row r="181">
          <cell r="A181">
            <v>0</v>
          </cell>
          <cell r="B181">
            <v>0</v>
          </cell>
        </row>
        <row r="182">
          <cell r="A182">
            <v>0</v>
          </cell>
          <cell r="B182">
            <v>0</v>
          </cell>
        </row>
        <row r="183">
          <cell r="A183">
            <v>0</v>
          </cell>
          <cell r="B183">
            <v>0</v>
          </cell>
        </row>
        <row r="184">
          <cell r="A184">
            <v>0</v>
          </cell>
          <cell r="B184">
            <v>0</v>
          </cell>
        </row>
        <row r="185">
          <cell r="A185">
            <v>0</v>
          </cell>
          <cell r="B185">
            <v>0</v>
          </cell>
        </row>
        <row r="186">
          <cell r="A186">
            <v>0</v>
          </cell>
          <cell r="B186">
            <v>0</v>
          </cell>
        </row>
        <row r="187">
          <cell r="A187">
            <v>0</v>
          </cell>
          <cell r="B187">
            <v>0</v>
          </cell>
        </row>
        <row r="188">
          <cell r="A188">
            <v>0</v>
          </cell>
          <cell r="B188">
            <v>0</v>
          </cell>
        </row>
        <row r="189">
          <cell r="A189">
            <v>0</v>
          </cell>
          <cell r="B189">
            <v>0</v>
          </cell>
        </row>
        <row r="190">
          <cell r="A190">
            <v>0</v>
          </cell>
          <cell r="B190">
            <v>0</v>
          </cell>
        </row>
        <row r="191">
          <cell r="A191">
            <v>0</v>
          </cell>
          <cell r="B191">
            <v>0</v>
          </cell>
        </row>
        <row r="192">
          <cell r="A192">
            <v>0</v>
          </cell>
          <cell r="B192">
            <v>0</v>
          </cell>
        </row>
        <row r="193">
          <cell r="A193">
            <v>0</v>
          </cell>
          <cell r="B193">
            <v>0</v>
          </cell>
        </row>
        <row r="194">
          <cell r="A194">
            <v>0</v>
          </cell>
          <cell r="B194">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3" Type="http://schemas.openxmlformats.org/officeDocument/2006/relationships/hyperlink" Target="http://www.dior.com" TargetMode="External"/><Relationship Id="rId14" Type="http://schemas.openxmlformats.org/officeDocument/2006/relationships/hyperlink" Target="http://www.christianlouboutin.com" TargetMode="External"/><Relationship Id="rId15" Type="http://schemas.openxmlformats.org/officeDocument/2006/relationships/hyperlink" Target="http://www.coach.com" TargetMode="External"/><Relationship Id="rId16" Type="http://schemas.openxmlformats.org/officeDocument/2006/relationships/hyperlink" Target="http://www.colehaan.com" TargetMode="External"/><Relationship Id="rId17" Type="http://schemas.openxmlformats.org/officeDocument/2006/relationships/hyperlink" Target="http://www.dvf.com" TargetMode="External"/><Relationship Id="rId18" Type="http://schemas.openxmlformats.org/officeDocument/2006/relationships/hyperlink" Target="http://www.dolcegabban.com" TargetMode="External"/><Relationship Id="rId19" Type="http://schemas.openxmlformats.org/officeDocument/2006/relationships/hyperlink" Target="http://www.donnakaran.com" TargetMode="External"/><Relationship Id="rId63" Type="http://schemas.openxmlformats.org/officeDocument/2006/relationships/hyperlink" Target="http://www.dereklam.com" TargetMode="External"/><Relationship Id="rId50" Type="http://schemas.openxmlformats.org/officeDocument/2006/relationships/hyperlink" Target="http://www.stellamccartney.com" TargetMode="External"/><Relationship Id="rId51" Type="http://schemas.openxmlformats.org/officeDocument/2006/relationships/hyperlink" Target="http://www.stuartweitzman.com" TargetMode="External"/><Relationship Id="rId52" Type="http://schemas.openxmlformats.org/officeDocument/2006/relationships/hyperlink" Target="http://www.tedbaker.com" TargetMode="External"/><Relationship Id="rId53" Type="http://schemas.openxmlformats.org/officeDocument/2006/relationships/hyperlink" Target="http://www.theory.com" TargetMode="External"/><Relationship Id="rId54" Type="http://schemas.openxmlformats.org/officeDocument/2006/relationships/hyperlink" Target="http://www.thomaspink.com" TargetMode="External"/><Relationship Id="rId55" Type="http://schemas.openxmlformats.org/officeDocument/2006/relationships/hyperlink" Target="http://www.tods.com" TargetMode="External"/><Relationship Id="rId56" Type="http://schemas.openxmlformats.org/officeDocument/2006/relationships/hyperlink" Target="http://www.tommy.com" TargetMode="External"/><Relationship Id="rId57" Type="http://schemas.openxmlformats.org/officeDocument/2006/relationships/hyperlink" Target="http://www.toryburch.com" TargetMode="External"/><Relationship Id="rId58" Type="http://schemas.openxmlformats.org/officeDocument/2006/relationships/hyperlink" Target="http://www.valentino.com" TargetMode="External"/><Relationship Id="rId59" Type="http://schemas.openxmlformats.org/officeDocument/2006/relationships/hyperlink" Target="http://www.versace.com" TargetMode="External"/><Relationship Id="rId40" Type="http://schemas.openxmlformats.org/officeDocument/2006/relationships/hyperlink" Target="http://www.michaelkors.com" TargetMode="External"/><Relationship Id="rId41" Type="http://schemas.openxmlformats.org/officeDocument/2006/relationships/hyperlink" Target="http://www.missoni.com" TargetMode="External"/><Relationship Id="rId42" Type="http://schemas.openxmlformats.org/officeDocument/2006/relationships/hyperlink" Target="http://www.mulberry.com" TargetMode="External"/><Relationship Id="rId43" Type="http://schemas.openxmlformats.org/officeDocument/2006/relationships/hyperlink" Target="http://www.oscardelarenta.com" TargetMode="External"/><Relationship Id="rId44" Type="http://schemas.openxmlformats.org/officeDocument/2006/relationships/hyperlink" Target="http://www.paulsmith.co.uk" TargetMode="External"/><Relationship Id="rId45" Type="http://schemas.openxmlformats.org/officeDocument/2006/relationships/hyperlink" Target="http://www.prada.com" TargetMode="External"/><Relationship Id="rId46" Type="http://schemas.openxmlformats.org/officeDocument/2006/relationships/hyperlink" Target="http://www.ralphlauren.com" TargetMode="External"/><Relationship Id="rId47" Type="http://schemas.openxmlformats.org/officeDocument/2006/relationships/hyperlink" Target="http://www.robertocavalli.com" TargetMode="External"/><Relationship Id="rId48" Type="http://schemas.openxmlformats.org/officeDocument/2006/relationships/hyperlink" Target="http://www.ferragamo.com" TargetMode="External"/><Relationship Id="rId49" Type="http://schemas.openxmlformats.org/officeDocument/2006/relationships/hyperlink" Target="http://www.sergiorossi.com" TargetMode="External"/><Relationship Id="rId1" Type="http://schemas.openxmlformats.org/officeDocument/2006/relationships/hyperlink" Target="http://www.alexandermcqueen.com" TargetMode="External"/><Relationship Id="rId2" Type="http://schemas.openxmlformats.org/officeDocument/2006/relationships/hyperlink" Target="http://www.dunhill.com" TargetMode="External"/><Relationship Id="rId3" Type="http://schemas.openxmlformats.org/officeDocument/2006/relationships/hyperlink" Target="http://www.badgleymischka.com" TargetMode="External"/><Relationship Id="rId4" Type="http://schemas.openxmlformats.org/officeDocument/2006/relationships/hyperlink" Target="http://www.balenciaga.com" TargetMode="External"/><Relationship Id="rId5" Type="http://schemas.openxmlformats.org/officeDocument/2006/relationships/hyperlink" Target="http://www.bally.com" TargetMode="External"/><Relationship Id="rId6" Type="http://schemas.openxmlformats.org/officeDocument/2006/relationships/hyperlink" Target="http://www.belstaff.com" TargetMode="External"/><Relationship Id="rId7" Type="http://schemas.openxmlformats.org/officeDocument/2006/relationships/hyperlink" Target="http://www.bottegaveneta.com" TargetMode="External"/><Relationship Id="rId8" Type="http://schemas.openxmlformats.org/officeDocument/2006/relationships/hyperlink" Target="http://www.burberry.com" TargetMode="External"/><Relationship Id="rId9" Type="http://schemas.openxmlformats.org/officeDocument/2006/relationships/hyperlink" Target="http://www.calvinklein.com" TargetMode="External"/><Relationship Id="rId30" Type="http://schemas.openxmlformats.org/officeDocument/2006/relationships/hyperlink" Target="http://www.johnvarvatos.com" TargetMode="External"/><Relationship Id="rId31" Type="http://schemas.openxmlformats.org/officeDocument/2006/relationships/hyperlink" Target="http://www.katespade.com" TargetMode="External"/><Relationship Id="rId32" Type="http://schemas.openxmlformats.org/officeDocument/2006/relationships/hyperlink" Target="http://www.lacoste.com" TargetMode="External"/><Relationship Id="rId33" Type="http://schemas.openxmlformats.org/officeDocument/2006/relationships/hyperlink" Target="http://www.lancel.com" TargetMode="External"/><Relationship Id="rId34" Type="http://schemas.openxmlformats.org/officeDocument/2006/relationships/hyperlink" Target="http://www.lanvin.com" TargetMode="External"/><Relationship Id="rId35" Type="http://schemas.openxmlformats.org/officeDocument/2006/relationships/hyperlink" Target="http://www.longchamp.com" TargetMode="External"/><Relationship Id="rId36" Type="http://schemas.openxmlformats.org/officeDocument/2006/relationships/hyperlink" Target="http://www.louisvuitton.com" TargetMode="External"/><Relationship Id="rId37" Type="http://schemas.openxmlformats.org/officeDocument/2006/relationships/hyperlink" Target="http://www.manoloblahnik.com" TargetMode="External"/><Relationship Id="rId38" Type="http://schemas.openxmlformats.org/officeDocument/2006/relationships/hyperlink" Target="http://www.marcjacobs.com" TargetMode="External"/><Relationship Id="rId39" Type="http://schemas.openxmlformats.org/officeDocument/2006/relationships/hyperlink" Target="http://www.maxmara.com" TargetMode="External"/><Relationship Id="rId20" Type="http://schemas.openxmlformats.org/officeDocument/2006/relationships/hyperlink" Target="http://www.emiliopucci.com" TargetMode="External"/><Relationship Id="rId21" Type="http://schemas.openxmlformats.org/officeDocument/2006/relationships/hyperlink" Target="http://www.zegna.com" TargetMode="External"/><Relationship Id="rId22" Type="http://schemas.openxmlformats.org/officeDocument/2006/relationships/hyperlink" Target="http://www.escada.com" TargetMode="External"/><Relationship Id="rId23" Type="http://schemas.openxmlformats.org/officeDocument/2006/relationships/hyperlink" Target="http://www.fendi.com" TargetMode="External"/><Relationship Id="rId24" Type="http://schemas.openxmlformats.org/officeDocument/2006/relationships/hyperlink" Target="http://www.armani.com" TargetMode="External"/><Relationship Id="rId25" Type="http://schemas.openxmlformats.org/officeDocument/2006/relationships/hyperlink" Target="http://www.givenchy.com" TargetMode="External"/><Relationship Id="rId26" Type="http://schemas.openxmlformats.org/officeDocument/2006/relationships/hyperlink" Target="http://www.gucci.com" TargetMode="External"/><Relationship Id="rId27" Type="http://schemas.openxmlformats.org/officeDocument/2006/relationships/hyperlink" Target="http://www.hermes.com" TargetMode="External"/><Relationship Id="rId28" Type="http://schemas.openxmlformats.org/officeDocument/2006/relationships/hyperlink" Target="http://www.hugoboss.com" TargetMode="External"/><Relationship Id="rId29" Type="http://schemas.openxmlformats.org/officeDocument/2006/relationships/hyperlink" Target="http://www.jimmychoo.com" TargetMode="External"/><Relationship Id="rId60" Type="http://schemas.openxmlformats.org/officeDocument/2006/relationships/hyperlink" Target="http://www.viviennewestwood.co.uk" TargetMode="External"/><Relationship Id="rId61" Type="http://schemas.openxmlformats.org/officeDocument/2006/relationships/hyperlink" Target="http://www.ysl.com" TargetMode="External"/><Relationship Id="rId62" Type="http://schemas.openxmlformats.org/officeDocument/2006/relationships/hyperlink" Target="http://www.zacposen.com" TargetMode="External"/><Relationship Id="rId10" Type="http://schemas.openxmlformats.org/officeDocument/2006/relationships/hyperlink" Target="http://www.catherinemalandrino.com" TargetMode="External"/><Relationship Id="rId11" Type="http://schemas.openxmlformats.org/officeDocument/2006/relationships/hyperlink" Target="http://www.chanel.com" TargetMode="External"/><Relationship Id="rId12" Type="http://schemas.openxmlformats.org/officeDocument/2006/relationships/hyperlink" Target="http://www.chlo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72"/>
  <sheetViews>
    <sheetView zoomScale="125" zoomScaleNormal="125" zoomScalePageLayoutView="125" workbookViewId="0">
      <pane xSplit="2" ySplit="1" topLeftCell="AK2" activePane="bottomRight" state="frozen"/>
      <selection pane="topRight" activeCell="C1" sqref="C1"/>
      <selection pane="bottomLeft" activeCell="A2" sqref="A2"/>
      <selection pane="bottomRight" activeCell="AR61" sqref="AR61"/>
    </sheetView>
  </sheetViews>
  <sheetFormatPr baseColWidth="10" defaultRowHeight="12" x14ac:dyDescent="0"/>
  <cols>
    <col min="2" max="2" width="18.33203125" bestFit="1" customWidth="1"/>
  </cols>
  <sheetData>
    <row r="1" spans="1:74" ht="60">
      <c r="A1" t="s">
        <v>0</v>
      </c>
      <c r="B1" t="s">
        <v>1</v>
      </c>
      <c r="C1" t="s">
        <v>2</v>
      </c>
      <c r="D1" t="s">
        <v>3</v>
      </c>
      <c r="E1" t="s">
        <v>4</v>
      </c>
      <c r="F1" s="1" t="s">
        <v>5</v>
      </c>
      <c r="G1" t="s">
        <v>6</v>
      </c>
      <c r="H1" t="s">
        <v>7</v>
      </c>
      <c r="I1" t="s">
        <v>8</v>
      </c>
      <c r="J1" t="s">
        <v>9</v>
      </c>
      <c r="K1" t="s">
        <v>10</v>
      </c>
      <c r="L1" t="s">
        <v>11</v>
      </c>
      <c r="M1" t="s">
        <v>12</v>
      </c>
      <c r="N1" t="s">
        <v>13</v>
      </c>
      <c r="P1" s="2" t="s">
        <v>14</v>
      </c>
      <c r="Q1" s="2" t="s">
        <v>15</v>
      </c>
      <c r="R1" s="2" t="s">
        <v>16</v>
      </c>
      <c r="S1" s="2" t="s">
        <v>17</v>
      </c>
      <c r="T1" s="2" t="s">
        <v>18</v>
      </c>
      <c r="U1" s="2" t="s">
        <v>19</v>
      </c>
      <c r="V1" s="2" t="s">
        <v>20</v>
      </c>
      <c r="W1" s="2" t="s">
        <v>21</v>
      </c>
      <c r="X1" s="2" t="s">
        <v>22</v>
      </c>
      <c r="Y1" t="s">
        <v>23</v>
      </c>
      <c r="AA1" s="2" t="s">
        <v>24</v>
      </c>
      <c r="AB1" s="2" t="s">
        <v>25</v>
      </c>
      <c r="AC1" s="2" t="s">
        <v>26</v>
      </c>
      <c r="AD1" s="2" t="s">
        <v>27</v>
      </c>
      <c r="AE1" s="2" t="s">
        <v>28</v>
      </c>
      <c r="AF1" s="2" t="s">
        <v>29</v>
      </c>
      <c r="AG1" s="2" t="s">
        <v>30</v>
      </c>
      <c r="AH1" s="2" t="s">
        <v>31</v>
      </c>
      <c r="AI1" s="2" t="s">
        <v>32</v>
      </c>
      <c r="AJ1" s="2" t="s">
        <v>33</v>
      </c>
      <c r="AK1" s="102" t="s">
        <v>34</v>
      </c>
      <c r="AL1" s="2" t="s">
        <v>35</v>
      </c>
      <c r="AM1" s="2" t="s">
        <v>36</v>
      </c>
      <c r="AN1" t="s">
        <v>37</v>
      </c>
      <c r="AP1" t="s">
        <v>38</v>
      </c>
      <c r="AQ1" t="s">
        <v>39</v>
      </c>
      <c r="AR1" t="s">
        <v>40</v>
      </c>
      <c r="AS1" t="s">
        <v>41</v>
      </c>
      <c r="AT1" t="s">
        <v>42</v>
      </c>
      <c r="AU1" t="s">
        <v>43</v>
      </c>
      <c r="AV1" t="s">
        <v>44</v>
      </c>
      <c r="AW1" t="s">
        <v>45</v>
      </c>
      <c r="AX1" t="s">
        <v>46</v>
      </c>
      <c r="AY1" s="2" t="s">
        <v>47</v>
      </c>
      <c r="AZ1" s="2"/>
      <c r="BA1" t="s">
        <v>48</v>
      </c>
      <c r="BB1" t="s">
        <v>49</v>
      </c>
      <c r="BC1" t="s">
        <v>50</v>
      </c>
      <c r="BD1" t="s">
        <v>51</v>
      </c>
      <c r="BE1" s="3" t="s">
        <v>52</v>
      </c>
      <c r="BF1" t="s">
        <v>53</v>
      </c>
      <c r="BG1" t="s">
        <v>54</v>
      </c>
      <c r="BH1" t="s">
        <v>55</v>
      </c>
      <c r="BI1" t="s">
        <v>56</v>
      </c>
      <c r="BJ1" s="3" t="s">
        <v>57</v>
      </c>
      <c r="BK1" s="3" t="s">
        <v>58</v>
      </c>
      <c r="BL1" t="s">
        <v>59</v>
      </c>
      <c r="BM1" t="s">
        <v>60</v>
      </c>
      <c r="BN1" t="s">
        <v>61</v>
      </c>
      <c r="BO1" t="s">
        <v>62</v>
      </c>
    </row>
    <row r="2" spans="1:74">
      <c r="A2">
        <v>1</v>
      </c>
      <c r="B2" t="s">
        <v>63</v>
      </c>
      <c r="C2" t="s">
        <v>64</v>
      </c>
      <c r="D2" t="s">
        <v>65</v>
      </c>
      <c r="E2" s="4" t="s">
        <v>66</v>
      </c>
      <c r="F2" s="1">
        <v>2.5</v>
      </c>
      <c r="G2" s="1">
        <v>0</v>
      </c>
      <c r="H2" s="1">
        <v>0</v>
      </c>
      <c r="I2" s="1">
        <v>0</v>
      </c>
      <c r="J2" s="1">
        <v>0</v>
      </c>
      <c r="K2" s="1">
        <v>0.96699999999999997</v>
      </c>
      <c r="L2" s="1">
        <v>0</v>
      </c>
      <c r="M2" s="1">
        <v>0.96699999999999997</v>
      </c>
      <c r="N2" s="1">
        <v>5.9669999999999996</v>
      </c>
      <c r="O2" s="1"/>
      <c r="P2" s="1">
        <v>3.87</v>
      </c>
      <c r="Q2" s="1">
        <v>2.7562500000000001</v>
      </c>
      <c r="R2" s="1">
        <v>2.16825</v>
      </c>
      <c r="S2" s="1">
        <v>8.7945000000000011</v>
      </c>
      <c r="T2" s="1">
        <v>0</v>
      </c>
      <c r="U2" s="1">
        <v>0</v>
      </c>
      <c r="V2" s="1">
        <v>1.6928571428571431</v>
      </c>
      <c r="W2" s="1">
        <v>0</v>
      </c>
      <c r="X2" s="1">
        <v>0.67714285714285727</v>
      </c>
      <c r="Y2" s="1">
        <v>7.5773142857142872</v>
      </c>
      <c r="Z2" s="1"/>
      <c r="AA2" s="2">
        <v>2</v>
      </c>
      <c r="AB2" s="2">
        <v>3</v>
      </c>
      <c r="AC2" s="2">
        <v>5</v>
      </c>
      <c r="AD2" s="2">
        <v>1.76</v>
      </c>
      <c r="AE2" s="2">
        <v>0.5</v>
      </c>
      <c r="AF2" s="2">
        <v>1.7049999999999998</v>
      </c>
      <c r="AG2" s="1">
        <v>1.4970000000000001</v>
      </c>
      <c r="AH2" s="1">
        <v>6.4969999999999999</v>
      </c>
      <c r="AI2" s="2">
        <v>0.72580645161290325</v>
      </c>
      <c r="AJ2" s="2">
        <v>0.5</v>
      </c>
      <c r="AK2" s="1">
        <v>0.61290322580645162</v>
      </c>
      <c r="AL2" s="1">
        <v>3.6950000000000003</v>
      </c>
      <c r="AM2" s="1">
        <v>3.1333333333333333</v>
      </c>
      <c r="AN2" s="1">
        <v>13.938236559139785</v>
      </c>
      <c r="AO2" s="2"/>
      <c r="AP2">
        <v>2</v>
      </c>
      <c r="AQ2">
        <v>3</v>
      </c>
      <c r="AR2" s="1">
        <v>3.4980000000000002</v>
      </c>
      <c r="AS2" s="1">
        <v>2.524</v>
      </c>
      <c r="AT2" s="1">
        <v>1</v>
      </c>
      <c r="AU2" s="1">
        <v>2.92</v>
      </c>
      <c r="AV2" s="1">
        <v>2.2571428571428571</v>
      </c>
      <c r="AW2" s="1">
        <v>2.8125</v>
      </c>
      <c r="AX2" s="1">
        <v>15.011642857142856</v>
      </c>
      <c r="AY2" s="2">
        <v>15.008732142857143</v>
      </c>
      <c r="AZ2" s="2"/>
      <c r="BA2" s="1">
        <v>42.491282987711216</v>
      </c>
      <c r="BB2" s="5">
        <v>104</v>
      </c>
      <c r="BC2" s="5">
        <v>29</v>
      </c>
      <c r="BD2" s="5" t="s">
        <v>67</v>
      </c>
      <c r="BE2" s="3">
        <v>0.55000000000000004</v>
      </c>
      <c r="BF2" t="s">
        <v>68</v>
      </c>
      <c r="BH2" s="5">
        <v>109</v>
      </c>
      <c r="BI2" s="5">
        <v>-5</v>
      </c>
      <c r="BJ2" s="3">
        <v>0.66</v>
      </c>
      <c r="BK2" s="3">
        <v>-0.10999999999999999</v>
      </c>
      <c r="BO2" s="3"/>
    </row>
    <row r="3" spans="1:74">
      <c r="A3">
        <v>2</v>
      </c>
      <c r="B3" t="s">
        <v>69</v>
      </c>
      <c r="C3" t="s">
        <v>70</v>
      </c>
      <c r="D3" t="s">
        <v>65</v>
      </c>
      <c r="E3" s="4" t="s">
        <v>71</v>
      </c>
      <c r="F3" s="1">
        <v>2.5</v>
      </c>
      <c r="G3" s="1">
        <v>1.25</v>
      </c>
      <c r="H3" s="1">
        <v>1.125</v>
      </c>
      <c r="I3" s="1">
        <v>0.625</v>
      </c>
      <c r="J3" s="1">
        <v>3</v>
      </c>
      <c r="K3" s="1">
        <v>6.4500000000000002E-2</v>
      </c>
      <c r="L3" s="1">
        <v>1.5</v>
      </c>
      <c r="M3" s="1">
        <v>1.5645</v>
      </c>
      <c r="N3" s="1">
        <v>9.5645000000000007</v>
      </c>
      <c r="O3" s="1"/>
      <c r="P3" s="1">
        <v>4.9612999999999996</v>
      </c>
      <c r="Q3" s="1">
        <v>1.7332500000000002</v>
      </c>
      <c r="R3" s="1">
        <v>2.8307500000000001</v>
      </c>
      <c r="S3" s="1">
        <v>9.5252999999999997</v>
      </c>
      <c r="T3" s="1">
        <v>0</v>
      </c>
      <c r="U3" s="1">
        <v>0</v>
      </c>
      <c r="V3" s="1">
        <v>0</v>
      </c>
      <c r="W3" s="1">
        <v>3.0583333333333336</v>
      </c>
      <c r="X3" s="1">
        <v>0.3058333333333334</v>
      </c>
      <c r="Y3" s="1">
        <v>7.8649066666666672</v>
      </c>
      <c r="Z3" s="1"/>
      <c r="AA3" s="2">
        <v>2</v>
      </c>
      <c r="AB3" s="2">
        <v>2</v>
      </c>
      <c r="AC3" s="2">
        <v>4</v>
      </c>
      <c r="AD3" s="2">
        <v>1.76</v>
      </c>
      <c r="AE3" s="2">
        <v>1.25</v>
      </c>
      <c r="AF3" s="2">
        <v>2.0283333333333338</v>
      </c>
      <c r="AG3" s="1">
        <v>1.7116666666666669</v>
      </c>
      <c r="AH3" s="1">
        <v>5.7116666666666669</v>
      </c>
      <c r="AI3" s="2">
        <v>0</v>
      </c>
      <c r="AJ3" s="2">
        <v>1.5</v>
      </c>
      <c r="AK3" s="1">
        <v>0.75</v>
      </c>
      <c r="AL3" s="1">
        <v>0.71099999999999997</v>
      </c>
      <c r="AM3" s="1">
        <v>0.53333333333333333</v>
      </c>
      <c r="AN3" s="1">
        <v>7.7060000000000004</v>
      </c>
      <c r="AO3" s="2"/>
      <c r="AP3">
        <v>3</v>
      </c>
      <c r="AQ3">
        <v>2</v>
      </c>
      <c r="AR3" s="1">
        <v>2.5960000000000001</v>
      </c>
      <c r="AS3" s="1">
        <v>2.6855000000000002</v>
      </c>
      <c r="AT3" s="1">
        <v>1.5</v>
      </c>
      <c r="AU3" s="1">
        <v>1.6459999999999999</v>
      </c>
      <c r="AV3" s="1">
        <v>2.6285714285714286</v>
      </c>
      <c r="AW3" s="1">
        <v>1.25</v>
      </c>
      <c r="AX3" s="1">
        <v>12.306071428571428</v>
      </c>
      <c r="AY3" s="2">
        <v>12.979553571428571</v>
      </c>
      <c r="AZ3" s="2"/>
      <c r="BA3" s="1">
        <v>38.114960238095236</v>
      </c>
      <c r="BB3" s="5">
        <v>93</v>
      </c>
      <c r="BC3" s="5">
        <v>40</v>
      </c>
      <c r="BD3" s="5" t="s">
        <v>67</v>
      </c>
      <c r="BE3" s="3">
        <v>0.36</v>
      </c>
      <c r="BF3" t="s">
        <v>68</v>
      </c>
      <c r="BH3" s="5">
        <v>88</v>
      </c>
      <c r="BI3" s="5">
        <v>5</v>
      </c>
      <c r="BJ3" s="3">
        <v>0.27</v>
      </c>
      <c r="BK3" s="3">
        <v>8.9999999999999969E-2</v>
      </c>
      <c r="BO3" s="3"/>
    </row>
    <row r="4" spans="1:74">
      <c r="A4">
        <v>3</v>
      </c>
      <c r="B4" t="s">
        <v>72</v>
      </c>
      <c r="C4" t="s">
        <v>73</v>
      </c>
      <c r="D4" t="s">
        <v>74</v>
      </c>
      <c r="E4" s="4" t="s">
        <v>75</v>
      </c>
      <c r="F4" s="1">
        <v>0</v>
      </c>
      <c r="G4" s="1">
        <v>0</v>
      </c>
      <c r="H4" s="1">
        <v>0</v>
      </c>
      <c r="I4" s="1">
        <v>0</v>
      </c>
      <c r="J4" s="1">
        <v>0</v>
      </c>
      <c r="K4" s="1">
        <v>0</v>
      </c>
      <c r="L4" s="1">
        <v>0</v>
      </c>
      <c r="M4" s="1">
        <v>0</v>
      </c>
      <c r="N4" s="1">
        <v>0</v>
      </c>
      <c r="O4" s="1"/>
      <c r="P4" s="1">
        <v>3.4079000000000002</v>
      </c>
      <c r="Q4" s="1">
        <v>2.1212499999999999</v>
      </c>
      <c r="R4" s="1">
        <v>1.1635</v>
      </c>
      <c r="S4" s="1">
        <v>6.6926499999999995</v>
      </c>
      <c r="T4" s="1">
        <v>2.3143750000000001</v>
      </c>
      <c r="U4" s="1">
        <v>0</v>
      </c>
      <c r="V4" s="1">
        <v>1.7785714285714287</v>
      </c>
      <c r="W4" s="1">
        <v>3.0966666666666671</v>
      </c>
      <c r="X4" s="1">
        <v>1.9468452380952384</v>
      </c>
      <c r="Y4" s="1">
        <v>6.9115961904761907</v>
      </c>
      <c r="Z4" s="1"/>
      <c r="AA4" s="2">
        <v>2</v>
      </c>
      <c r="AB4" s="2">
        <v>1</v>
      </c>
      <c r="AC4" s="2">
        <v>3</v>
      </c>
      <c r="AD4" s="2">
        <v>1.51</v>
      </c>
      <c r="AE4" s="2">
        <v>0.5</v>
      </c>
      <c r="AF4" s="2">
        <v>1.4366666666666668</v>
      </c>
      <c r="AG4" s="1">
        <v>1.2933333333333334</v>
      </c>
      <c r="AH4" s="1">
        <v>4.293333333333333</v>
      </c>
      <c r="AI4" s="2">
        <v>0</v>
      </c>
      <c r="AJ4" s="2">
        <v>0.75</v>
      </c>
      <c r="AK4" s="1">
        <v>0.375</v>
      </c>
      <c r="AL4" s="1">
        <v>0.77500000000000002</v>
      </c>
      <c r="AM4" s="1">
        <v>0</v>
      </c>
      <c r="AN4" s="1">
        <v>5.4433333333333334</v>
      </c>
      <c r="AO4" s="2"/>
      <c r="AP4">
        <v>2</v>
      </c>
      <c r="AQ4">
        <v>2</v>
      </c>
      <c r="AR4" s="1">
        <v>1.1679999999999999</v>
      </c>
      <c r="AS4" s="1">
        <v>1.274</v>
      </c>
      <c r="AT4" s="1">
        <v>0.5</v>
      </c>
      <c r="AU4" s="1">
        <v>0.78100000000000003</v>
      </c>
      <c r="AV4" s="1">
        <v>0</v>
      </c>
      <c r="AW4" s="1">
        <v>0</v>
      </c>
      <c r="AX4" s="1">
        <v>3.7230000000000003</v>
      </c>
      <c r="AY4" s="2">
        <v>5.792250000000001</v>
      </c>
      <c r="AZ4" s="2"/>
      <c r="BA4" s="1">
        <v>18.147179523809527</v>
      </c>
      <c r="BB4" s="5">
        <v>44</v>
      </c>
      <c r="BC4" s="5">
        <v>61</v>
      </c>
      <c r="BD4" s="5" t="s">
        <v>76</v>
      </c>
      <c r="BE4" s="3">
        <v>0.04</v>
      </c>
      <c r="BF4" t="s">
        <v>77</v>
      </c>
      <c r="BH4" s="5">
        <v>61</v>
      </c>
      <c r="BI4" s="5">
        <v>-17</v>
      </c>
      <c r="BJ4" s="3">
        <v>0.06</v>
      </c>
      <c r="BK4" s="3">
        <v>-1.9999999999999997E-2</v>
      </c>
      <c r="BO4" s="3"/>
      <c r="BR4" s="2"/>
      <c r="BS4" s="5"/>
      <c r="BT4" s="5"/>
      <c r="BU4" s="2"/>
      <c r="BV4" s="5"/>
    </row>
    <row r="5" spans="1:74">
      <c r="A5">
        <v>4</v>
      </c>
      <c r="B5" t="s">
        <v>78</v>
      </c>
      <c r="C5" t="s">
        <v>64</v>
      </c>
      <c r="D5" t="s">
        <v>79</v>
      </c>
      <c r="E5" s="4" t="s">
        <v>80</v>
      </c>
      <c r="F5" s="1">
        <v>5</v>
      </c>
      <c r="G5" s="1">
        <v>0</v>
      </c>
      <c r="H5" s="1">
        <v>0</v>
      </c>
      <c r="I5" s="1">
        <v>0</v>
      </c>
      <c r="J5" s="1">
        <v>0</v>
      </c>
      <c r="K5" s="1">
        <v>0.8620000000000001</v>
      </c>
      <c r="L5" s="1">
        <v>0</v>
      </c>
      <c r="M5" s="1">
        <v>0.8620000000000001</v>
      </c>
      <c r="N5" s="1">
        <v>10.862</v>
      </c>
      <c r="O5" s="1"/>
      <c r="P5" s="1">
        <v>3.9045999999999998</v>
      </c>
      <c r="Q5" s="1">
        <v>1.6160000000000001</v>
      </c>
      <c r="R5" s="1">
        <v>1.2689999999999999</v>
      </c>
      <c r="S5" s="1">
        <v>6.7896000000000001</v>
      </c>
      <c r="T5" s="1">
        <v>2.1349999999999998</v>
      </c>
      <c r="U5" s="1">
        <v>0</v>
      </c>
      <c r="V5" s="1">
        <v>1.5214285714285714</v>
      </c>
      <c r="W5" s="1">
        <v>2.0133333333333332</v>
      </c>
      <c r="X5" s="1">
        <v>1.663904761904762</v>
      </c>
      <c r="Y5" s="1">
        <v>6.7628038095238097</v>
      </c>
      <c r="Z5" s="1"/>
      <c r="AA5" s="2">
        <v>2</v>
      </c>
      <c r="AB5" s="2">
        <v>3</v>
      </c>
      <c r="AC5" s="2">
        <v>5</v>
      </c>
      <c r="AD5" s="2">
        <v>2.0099999999999998</v>
      </c>
      <c r="AE5" s="2">
        <v>1.75</v>
      </c>
      <c r="AF5" s="2">
        <v>2.5783333333333336</v>
      </c>
      <c r="AG5" s="1">
        <v>2.0716666666666663</v>
      </c>
      <c r="AH5" s="1">
        <v>7.0716666666666663</v>
      </c>
      <c r="AI5" s="2">
        <v>2.0678531701890992</v>
      </c>
      <c r="AJ5" s="2">
        <v>0.75</v>
      </c>
      <c r="AK5" s="1">
        <v>1.4089265850945496</v>
      </c>
      <c r="AL5" s="1">
        <v>2.9180000000000001</v>
      </c>
      <c r="AM5" s="1">
        <v>1.6666666666666665</v>
      </c>
      <c r="AN5" s="1">
        <v>13.065259918427882</v>
      </c>
      <c r="AO5" s="2"/>
      <c r="AP5">
        <v>2</v>
      </c>
      <c r="AQ5">
        <v>2</v>
      </c>
      <c r="AR5" s="1">
        <v>3.02</v>
      </c>
      <c r="AS5" s="1">
        <v>2.1855000000000002</v>
      </c>
      <c r="AT5" s="1">
        <v>1.25</v>
      </c>
      <c r="AU5" s="1">
        <v>2.6659999999999999</v>
      </c>
      <c r="AV5" s="1">
        <v>1.7714285714285714</v>
      </c>
      <c r="AW5" s="1">
        <v>1.875</v>
      </c>
      <c r="AX5" s="1">
        <v>12.767928571428573</v>
      </c>
      <c r="AY5" s="2">
        <v>12.575946428571431</v>
      </c>
      <c r="AZ5" s="2"/>
      <c r="BA5" s="1">
        <v>43.266010156523123</v>
      </c>
      <c r="BB5" s="5">
        <v>106</v>
      </c>
      <c r="BC5" s="5">
        <v>28</v>
      </c>
      <c r="BD5" s="5" t="s">
        <v>67</v>
      </c>
      <c r="BE5" s="3">
        <v>0.56999999999999995</v>
      </c>
      <c r="BF5" t="s">
        <v>81</v>
      </c>
      <c r="BH5" s="5">
        <v>83</v>
      </c>
      <c r="BI5" s="5">
        <v>23</v>
      </c>
      <c r="BJ5" s="3">
        <v>0.2</v>
      </c>
      <c r="BK5" s="3">
        <v>0.36999999999999994</v>
      </c>
      <c r="BO5" s="3"/>
    </row>
    <row r="6" spans="1:74">
      <c r="A6">
        <v>5</v>
      </c>
      <c r="B6" t="s">
        <v>82</v>
      </c>
      <c r="C6" t="s">
        <v>83</v>
      </c>
      <c r="D6" t="s">
        <v>84</v>
      </c>
      <c r="E6" s="4" t="s">
        <v>85</v>
      </c>
      <c r="F6" s="1">
        <v>1</v>
      </c>
      <c r="G6" s="1">
        <v>0</v>
      </c>
      <c r="H6" s="1">
        <v>0</v>
      </c>
      <c r="I6" s="1">
        <v>0</v>
      </c>
      <c r="J6" s="1">
        <v>0</v>
      </c>
      <c r="K6" s="1">
        <v>3.2000000000000001E-2</v>
      </c>
      <c r="L6" s="1">
        <v>0</v>
      </c>
      <c r="M6" s="1">
        <v>3.2000000000000001E-2</v>
      </c>
      <c r="N6" s="1">
        <v>2.032</v>
      </c>
      <c r="O6" s="1"/>
      <c r="P6" s="1">
        <v>4.2602000000000002</v>
      </c>
      <c r="Q6" s="1">
        <v>2.2635000000000001</v>
      </c>
      <c r="R6" s="1">
        <v>2.4172500000000001</v>
      </c>
      <c r="S6" s="1">
        <v>8.9409500000000008</v>
      </c>
      <c r="T6" s="1">
        <v>2.7537500000000001</v>
      </c>
      <c r="U6" s="1">
        <v>0</v>
      </c>
      <c r="V6" s="1">
        <v>0</v>
      </c>
      <c r="W6" s="1">
        <v>2.9808333333333334</v>
      </c>
      <c r="X6" s="1">
        <v>1.3995833333333336</v>
      </c>
      <c r="Y6" s="1">
        <v>8.2724266666666679</v>
      </c>
      <c r="Z6" s="1"/>
      <c r="AA6" s="2">
        <v>2</v>
      </c>
      <c r="AB6" s="2">
        <v>2</v>
      </c>
      <c r="AC6" s="2">
        <v>4</v>
      </c>
      <c r="AD6" s="2">
        <v>1.51</v>
      </c>
      <c r="AE6" s="2">
        <v>0.25</v>
      </c>
      <c r="AF6" s="2">
        <v>0.49666666666666665</v>
      </c>
      <c r="AG6" s="1">
        <v>1.0553333333333332</v>
      </c>
      <c r="AH6" s="1">
        <v>5.0553333333333335</v>
      </c>
      <c r="AI6" s="2">
        <v>0</v>
      </c>
      <c r="AJ6" s="2">
        <v>0.5</v>
      </c>
      <c r="AK6" s="1">
        <v>0.25</v>
      </c>
      <c r="AL6" s="1">
        <v>0.17099999999999999</v>
      </c>
      <c r="AM6" s="1">
        <v>2.5333333333333332</v>
      </c>
      <c r="AN6" s="1">
        <v>8.0096666666666678</v>
      </c>
      <c r="AO6" s="2"/>
      <c r="AP6">
        <v>4</v>
      </c>
      <c r="AQ6">
        <v>4</v>
      </c>
      <c r="AR6" s="1">
        <v>2.6680000000000001</v>
      </c>
      <c r="AS6" s="1">
        <v>4.75</v>
      </c>
      <c r="AT6" s="1">
        <v>0.5</v>
      </c>
      <c r="AU6" s="1">
        <v>2.6659999999999999</v>
      </c>
      <c r="AV6" s="1">
        <v>2.2571428571428571</v>
      </c>
      <c r="AW6" s="1">
        <v>2.8125</v>
      </c>
      <c r="AX6" s="1">
        <v>15.653642857142856</v>
      </c>
      <c r="AY6" s="2">
        <v>17.740232142857142</v>
      </c>
      <c r="AZ6" s="2"/>
      <c r="BA6" s="1">
        <v>36.054325476190478</v>
      </c>
      <c r="BB6" s="5">
        <v>88</v>
      </c>
      <c r="BC6" s="5">
        <v>44</v>
      </c>
      <c r="BD6" s="5" t="s">
        <v>86</v>
      </c>
      <c r="BE6" s="3">
        <v>0.3</v>
      </c>
      <c r="BF6" t="s">
        <v>81</v>
      </c>
      <c r="BH6" s="5">
        <v>85</v>
      </c>
      <c r="BI6" s="5">
        <v>3</v>
      </c>
      <c r="BJ6" s="3">
        <v>0.22</v>
      </c>
      <c r="BK6" s="3">
        <v>7.9999999999999988E-2</v>
      </c>
      <c r="BL6" s="5"/>
      <c r="BO6" s="3"/>
      <c r="BR6" s="2"/>
      <c r="BS6" s="5"/>
      <c r="BT6" s="5"/>
      <c r="BU6" s="2"/>
      <c r="BV6" s="5"/>
    </row>
    <row r="7" spans="1:74">
      <c r="A7">
        <v>6</v>
      </c>
      <c r="B7" t="s">
        <v>87</v>
      </c>
      <c r="C7" t="s">
        <v>83</v>
      </c>
      <c r="D7" t="s">
        <v>65</v>
      </c>
      <c r="E7" s="4" t="s">
        <v>88</v>
      </c>
      <c r="F7" s="1">
        <v>2.5</v>
      </c>
      <c r="G7" s="1">
        <v>0</v>
      </c>
      <c r="H7" s="1">
        <v>0</v>
      </c>
      <c r="I7" s="1">
        <v>0</v>
      </c>
      <c r="J7" s="1">
        <v>0</v>
      </c>
      <c r="K7" s="1">
        <v>4.8000000000000001E-2</v>
      </c>
      <c r="L7" s="1">
        <v>0</v>
      </c>
      <c r="M7" s="1">
        <v>4.8000000000000001E-2</v>
      </c>
      <c r="N7" s="1">
        <v>5.048</v>
      </c>
      <c r="O7" s="1"/>
      <c r="P7" s="1">
        <v>3.1523000000000003</v>
      </c>
      <c r="Q7" s="1">
        <v>2.7937499999999997</v>
      </c>
      <c r="R7" s="1">
        <v>0.52675000000000005</v>
      </c>
      <c r="S7" s="1">
        <v>6.4727999999999994</v>
      </c>
      <c r="T7" s="1">
        <v>0</v>
      </c>
      <c r="U7" s="1">
        <v>0</v>
      </c>
      <c r="V7" s="1">
        <v>3.0428571428571427</v>
      </c>
      <c r="W7" s="1">
        <v>0</v>
      </c>
      <c r="X7" s="1">
        <v>1.2171428571428571</v>
      </c>
      <c r="Y7" s="1">
        <v>6.151954285714285</v>
      </c>
      <c r="Z7" s="1"/>
      <c r="AA7" s="2">
        <v>2</v>
      </c>
      <c r="AB7" s="2">
        <v>1</v>
      </c>
      <c r="AC7" s="2">
        <v>3</v>
      </c>
      <c r="AD7" s="2">
        <v>0.76</v>
      </c>
      <c r="AE7" s="2">
        <v>0.5</v>
      </c>
      <c r="AF7" s="2">
        <v>0.95333333333333348</v>
      </c>
      <c r="AG7" s="1">
        <v>0.74666666666666659</v>
      </c>
      <c r="AH7" s="1">
        <v>3.7466666666666666</v>
      </c>
      <c r="AI7" s="2">
        <v>0.75806451612903225</v>
      </c>
      <c r="AJ7" s="2">
        <v>0.25</v>
      </c>
      <c r="AK7" s="1">
        <v>0.50403225806451613</v>
      </c>
      <c r="AL7" s="1">
        <v>1.25</v>
      </c>
      <c r="AM7" s="1">
        <v>0</v>
      </c>
      <c r="AN7" s="1">
        <v>5.500698924731183</v>
      </c>
      <c r="AO7" s="2"/>
      <c r="AP7">
        <v>3</v>
      </c>
      <c r="AQ7">
        <v>3</v>
      </c>
      <c r="AR7" s="1">
        <v>1.478</v>
      </c>
      <c r="AS7" s="1">
        <v>3</v>
      </c>
      <c r="AT7" s="1">
        <v>1.25</v>
      </c>
      <c r="AU7" s="1">
        <v>2.92</v>
      </c>
      <c r="AV7" s="1">
        <v>1.5428571428571429</v>
      </c>
      <c r="AW7" s="1">
        <v>0.625</v>
      </c>
      <c r="AX7" s="1">
        <v>10.815857142857142</v>
      </c>
      <c r="AY7" s="2">
        <v>12.611892857142855</v>
      </c>
      <c r="AZ7" s="2"/>
      <c r="BA7" s="1">
        <v>29.312546067588322</v>
      </c>
      <c r="BB7" s="5">
        <v>72</v>
      </c>
      <c r="BC7" s="5">
        <v>55</v>
      </c>
      <c r="BD7" s="5" t="s">
        <v>86</v>
      </c>
      <c r="BE7" s="3">
        <v>0.14000000000000001</v>
      </c>
      <c r="BF7" t="s">
        <v>81</v>
      </c>
      <c r="BH7" s="5"/>
      <c r="BI7" s="5" t="s">
        <v>89</v>
      </c>
      <c r="BJ7" s="3"/>
      <c r="BK7" s="3" t="s">
        <v>89</v>
      </c>
      <c r="BL7" s="5"/>
      <c r="BO7" s="3"/>
    </row>
    <row r="8" spans="1:74">
      <c r="A8">
        <v>7</v>
      </c>
      <c r="B8" t="s">
        <v>90</v>
      </c>
      <c r="C8" t="s">
        <v>64</v>
      </c>
      <c r="D8" t="s">
        <v>91</v>
      </c>
      <c r="E8" s="4" t="s">
        <v>92</v>
      </c>
      <c r="F8" s="1">
        <v>2.5</v>
      </c>
      <c r="G8" s="1">
        <v>0</v>
      </c>
      <c r="H8" s="1">
        <v>0</v>
      </c>
      <c r="I8" s="1">
        <v>0</v>
      </c>
      <c r="J8" s="1">
        <v>0</v>
      </c>
      <c r="K8" s="1">
        <v>0.49150000000000005</v>
      </c>
      <c r="L8" s="1">
        <v>0</v>
      </c>
      <c r="M8" s="1">
        <v>0.49150000000000005</v>
      </c>
      <c r="N8" s="1">
        <v>5.4915000000000003</v>
      </c>
      <c r="O8" s="1"/>
      <c r="P8" s="1">
        <v>3.9773000000000001</v>
      </c>
      <c r="Q8" s="1">
        <v>1.6114999999999999</v>
      </c>
      <c r="R8" s="1">
        <v>2.1630000000000003</v>
      </c>
      <c r="S8" s="1">
        <v>7.7518000000000002</v>
      </c>
      <c r="T8" s="1">
        <v>0</v>
      </c>
      <c r="U8" s="1">
        <v>1.7749999999999999</v>
      </c>
      <c r="V8" s="1">
        <v>0</v>
      </c>
      <c r="W8" s="1">
        <v>0.8600000000000001</v>
      </c>
      <c r="X8" s="1">
        <v>0.26350000000000001</v>
      </c>
      <c r="Y8" s="1">
        <v>6.4122399999999997</v>
      </c>
      <c r="Z8" s="1"/>
      <c r="AA8" s="2">
        <v>3</v>
      </c>
      <c r="AB8" s="2">
        <v>2</v>
      </c>
      <c r="AC8" s="2">
        <v>5</v>
      </c>
      <c r="AD8" s="2">
        <v>2.5099999999999998</v>
      </c>
      <c r="AE8" s="2">
        <v>1.75</v>
      </c>
      <c r="AF8" s="2">
        <v>1.895</v>
      </c>
      <c r="AG8" s="1">
        <v>2.2349999999999999</v>
      </c>
      <c r="AH8" s="1">
        <v>7.2349999999999994</v>
      </c>
      <c r="AI8" s="2">
        <v>2.5517241379310347</v>
      </c>
      <c r="AJ8" s="2">
        <v>2.25</v>
      </c>
      <c r="AK8" s="1">
        <v>2.4008620689655173</v>
      </c>
      <c r="AL8" s="1">
        <v>1.679</v>
      </c>
      <c r="AM8" s="1">
        <v>2.4666666666666668</v>
      </c>
      <c r="AN8" s="1">
        <v>13.781528735632184</v>
      </c>
      <c r="AO8" s="2"/>
      <c r="AP8">
        <v>3</v>
      </c>
      <c r="AQ8">
        <v>3</v>
      </c>
      <c r="AR8" s="1">
        <v>3.1440000000000001</v>
      </c>
      <c r="AS8" s="1">
        <v>2.2069999999999999</v>
      </c>
      <c r="AT8" s="1">
        <v>0.75</v>
      </c>
      <c r="AU8" s="1">
        <v>2.1659999999999999</v>
      </c>
      <c r="AV8" s="1">
        <v>2.7714285714285714</v>
      </c>
      <c r="AW8" s="1">
        <v>2.5</v>
      </c>
      <c r="AX8" s="1">
        <v>13.538428571428572</v>
      </c>
      <c r="AY8" s="2">
        <v>14.65382142857143</v>
      </c>
      <c r="AZ8" s="2"/>
      <c r="BA8" s="1">
        <v>40.339090164203611</v>
      </c>
      <c r="BB8" s="5">
        <v>99</v>
      </c>
      <c r="BC8" s="5">
        <v>32</v>
      </c>
      <c r="BD8" s="5" t="s">
        <v>67</v>
      </c>
      <c r="BE8" s="3">
        <v>0.49</v>
      </c>
      <c r="BF8" t="s">
        <v>81</v>
      </c>
      <c r="BH8" s="5">
        <v>97</v>
      </c>
      <c r="BI8" s="5">
        <v>2</v>
      </c>
      <c r="BJ8" s="3">
        <v>0.47</v>
      </c>
      <c r="BK8" s="3">
        <v>2.0000000000000018E-2</v>
      </c>
      <c r="BO8" s="3"/>
    </row>
    <row r="9" spans="1:74">
      <c r="A9">
        <v>8</v>
      </c>
      <c r="B9" t="s">
        <v>93</v>
      </c>
      <c r="C9" t="s">
        <v>93</v>
      </c>
      <c r="D9" t="s">
        <v>65</v>
      </c>
      <c r="E9" s="4" t="s">
        <v>94</v>
      </c>
      <c r="F9" s="1">
        <v>4.5</v>
      </c>
      <c r="G9" s="1">
        <v>0</v>
      </c>
      <c r="H9" s="1">
        <v>0</v>
      </c>
      <c r="I9" s="1">
        <v>0</v>
      </c>
      <c r="J9" s="1">
        <v>0</v>
      </c>
      <c r="K9" s="1">
        <v>1.5555000000000001</v>
      </c>
      <c r="L9" s="1">
        <v>0.5</v>
      </c>
      <c r="M9" s="1">
        <v>2.0555000000000003</v>
      </c>
      <c r="N9" s="1">
        <v>11.0555</v>
      </c>
      <c r="O9" s="1"/>
      <c r="P9" s="1">
        <v>5.8174000000000001</v>
      </c>
      <c r="Q9" s="1">
        <v>3.4595000000000002</v>
      </c>
      <c r="R9" s="1">
        <v>3.8194999999999997</v>
      </c>
      <c r="S9" s="1">
        <v>13.096400000000001</v>
      </c>
      <c r="T9" s="1">
        <v>2.9593750000000001</v>
      </c>
      <c r="U9" s="1">
        <v>1.7000000000000002</v>
      </c>
      <c r="V9" s="1">
        <v>3.6071428571428572</v>
      </c>
      <c r="W9" s="1">
        <v>4.3075000000000001</v>
      </c>
      <c r="X9" s="1">
        <v>3.2273571428571435</v>
      </c>
      <c r="Y9" s="1">
        <v>13.059005714285714</v>
      </c>
      <c r="Z9" s="1"/>
      <c r="AA9" s="2">
        <v>4</v>
      </c>
      <c r="AB9" s="2">
        <v>4</v>
      </c>
      <c r="AC9" s="2">
        <v>8</v>
      </c>
      <c r="AD9" s="2">
        <v>2.0099999999999998</v>
      </c>
      <c r="AE9" s="2">
        <v>1.25</v>
      </c>
      <c r="AF9" s="2">
        <v>3.6000000000000005</v>
      </c>
      <c r="AG9" s="1">
        <v>2.1760000000000002</v>
      </c>
      <c r="AH9" s="1">
        <v>10.176</v>
      </c>
      <c r="AI9" s="2">
        <v>1.7741935483870968</v>
      </c>
      <c r="AJ9" s="2">
        <v>3.25</v>
      </c>
      <c r="AK9" s="1">
        <v>2.5120967741935485</v>
      </c>
      <c r="AL9" s="1">
        <v>4.6319999999999997</v>
      </c>
      <c r="AM9" s="1">
        <v>1</v>
      </c>
      <c r="AN9" s="1">
        <v>18.320096774193548</v>
      </c>
      <c r="AO9" s="2"/>
      <c r="AP9">
        <v>4</v>
      </c>
      <c r="AQ9">
        <v>4</v>
      </c>
      <c r="AR9" s="1">
        <v>4.12</v>
      </c>
      <c r="AS9" s="1">
        <v>2.9595000000000002</v>
      </c>
      <c r="AT9" s="1">
        <v>2.75</v>
      </c>
      <c r="AU9" s="1">
        <v>2.9159999999999999</v>
      </c>
      <c r="AV9" s="1">
        <v>2.2571428571428571</v>
      </c>
      <c r="AW9" s="1">
        <v>4.0625</v>
      </c>
      <c r="AX9" s="1">
        <v>19.065142857142856</v>
      </c>
      <c r="AY9" s="2">
        <v>20.298857142857145</v>
      </c>
      <c r="AZ9" s="2"/>
      <c r="BA9" s="1">
        <v>62.733459631336402</v>
      </c>
      <c r="BB9" s="5">
        <v>153</v>
      </c>
      <c r="BC9" s="5">
        <v>1</v>
      </c>
      <c r="BD9" s="5" t="s">
        <v>95</v>
      </c>
      <c r="BE9" s="3">
        <v>1</v>
      </c>
      <c r="BF9" t="s">
        <v>68</v>
      </c>
      <c r="BH9" s="5">
        <v>144</v>
      </c>
      <c r="BI9" s="5">
        <v>9</v>
      </c>
      <c r="BJ9" s="3">
        <v>1</v>
      </c>
      <c r="BK9" s="3">
        <v>0</v>
      </c>
      <c r="BO9" s="3"/>
    </row>
    <row r="10" spans="1:74">
      <c r="A10">
        <v>9</v>
      </c>
      <c r="B10" t="s">
        <v>96</v>
      </c>
      <c r="C10" t="s">
        <v>97</v>
      </c>
      <c r="D10" t="s">
        <v>74</v>
      </c>
      <c r="E10" s="4" t="s">
        <v>98</v>
      </c>
      <c r="F10" s="1">
        <v>2.5</v>
      </c>
      <c r="G10" s="1">
        <v>0</v>
      </c>
      <c r="H10" s="1">
        <v>0</v>
      </c>
      <c r="I10" s="1">
        <v>0</v>
      </c>
      <c r="J10" s="1">
        <v>0</v>
      </c>
      <c r="K10" s="1">
        <v>0.64449999999999996</v>
      </c>
      <c r="L10" s="1">
        <v>0</v>
      </c>
      <c r="M10" s="1">
        <v>0.64449999999999996</v>
      </c>
      <c r="N10" s="1">
        <v>5.6444999999999999</v>
      </c>
      <c r="O10" s="1"/>
      <c r="P10" s="1">
        <v>4.6585000000000001</v>
      </c>
      <c r="Q10" s="1">
        <v>2.7992500000000002</v>
      </c>
      <c r="R10" s="1">
        <v>2.0812499999999998</v>
      </c>
      <c r="S10" s="1">
        <v>9.5390000000000015</v>
      </c>
      <c r="T10" s="1">
        <v>0</v>
      </c>
      <c r="U10" s="1">
        <v>3.7</v>
      </c>
      <c r="V10" s="1">
        <v>1.7571428571428571</v>
      </c>
      <c r="W10" s="1">
        <v>0</v>
      </c>
      <c r="X10" s="1">
        <v>1.072857142857143</v>
      </c>
      <c r="Y10" s="1">
        <v>8.4894857142857152</v>
      </c>
      <c r="Z10" s="1"/>
      <c r="AA10" s="2">
        <v>3</v>
      </c>
      <c r="AB10" s="2">
        <v>2</v>
      </c>
      <c r="AC10" s="2">
        <v>5</v>
      </c>
      <c r="AD10" s="2">
        <v>2.91</v>
      </c>
      <c r="AE10" s="2">
        <v>2.25</v>
      </c>
      <c r="AF10" s="2">
        <v>3.0766666666666671</v>
      </c>
      <c r="AG10" s="1">
        <v>2.8113333333333337</v>
      </c>
      <c r="AH10" s="1">
        <v>7.8113333333333337</v>
      </c>
      <c r="AI10" s="2">
        <v>3.774193548387097</v>
      </c>
      <c r="AJ10" s="2">
        <v>0.75</v>
      </c>
      <c r="AK10" s="1">
        <v>2.2620967741935485</v>
      </c>
      <c r="AL10" s="1">
        <v>3.9830000000000001</v>
      </c>
      <c r="AM10" s="1">
        <v>1.5333333333333332</v>
      </c>
      <c r="AN10" s="1">
        <v>15.589763440860215</v>
      </c>
      <c r="AO10" s="2"/>
      <c r="AP10">
        <v>4</v>
      </c>
      <c r="AQ10">
        <v>4</v>
      </c>
      <c r="AR10" s="1">
        <v>2.83</v>
      </c>
      <c r="AS10" s="1">
        <v>2.274</v>
      </c>
      <c r="AT10" s="1">
        <v>1.75</v>
      </c>
      <c r="AU10" s="1">
        <v>3.738</v>
      </c>
      <c r="AV10" s="1">
        <v>2.4857142857142858</v>
      </c>
      <c r="AW10" s="1">
        <v>1.875</v>
      </c>
      <c r="AX10" s="1">
        <v>14.952714285714286</v>
      </c>
      <c r="AY10" s="2">
        <v>17.214535714285716</v>
      </c>
      <c r="AZ10" s="2"/>
      <c r="BA10" s="1">
        <v>46.938284869431648</v>
      </c>
      <c r="BB10" s="5">
        <v>115</v>
      </c>
      <c r="BC10" s="5">
        <v>21</v>
      </c>
      <c r="BD10" s="5" t="s">
        <v>99</v>
      </c>
      <c r="BE10" s="3">
        <v>0.65</v>
      </c>
      <c r="BF10" t="s">
        <v>81</v>
      </c>
      <c r="BH10" s="5">
        <v>116</v>
      </c>
      <c r="BI10" s="5">
        <v>-1</v>
      </c>
      <c r="BJ10" s="3">
        <v>0.72</v>
      </c>
      <c r="BK10" s="3">
        <v>-6.9999999999999951E-2</v>
      </c>
      <c r="BL10" s="5"/>
      <c r="BO10" s="3"/>
      <c r="BR10" s="2"/>
      <c r="BS10" s="5"/>
      <c r="BT10" s="5"/>
      <c r="BU10" s="2"/>
      <c r="BV10" s="5"/>
    </row>
    <row r="11" spans="1:74">
      <c r="A11">
        <v>10</v>
      </c>
      <c r="B11" t="s">
        <v>100</v>
      </c>
      <c r="C11" t="s">
        <v>100</v>
      </c>
      <c r="D11" t="s">
        <v>74</v>
      </c>
      <c r="E11" s="4" t="s">
        <v>101</v>
      </c>
      <c r="F11" s="1">
        <v>2.5</v>
      </c>
      <c r="G11" s="1">
        <v>0</v>
      </c>
      <c r="H11" s="1">
        <v>0</v>
      </c>
      <c r="I11" s="1">
        <v>0</v>
      </c>
      <c r="J11" s="1">
        <v>0</v>
      </c>
      <c r="K11" s="1">
        <v>0.39449999999999996</v>
      </c>
      <c r="L11" s="1">
        <v>0</v>
      </c>
      <c r="M11" s="1">
        <v>0.39449999999999996</v>
      </c>
      <c r="N11" s="1">
        <v>5.3944999999999999</v>
      </c>
      <c r="O11" s="1"/>
      <c r="P11" s="1">
        <v>3.1207000000000003</v>
      </c>
      <c r="Q11" s="1">
        <v>1.1234999999999999</v>
      </c>
      <c r="R11" s="1">
        <v>0.93900000000000006</v>
      </c>
      <c r="S11" s="1">
        <v>5.1832000000000003</v>
      </c>
      <c r="T11" s="1">
        <v>1.5850000000000004</v>
      </c>
      <c r="U11" s="1">
        <v>0</v>
      </c>
      <c r="V11" s="1">
        <v>0.88571428571428568</v>
      </c>
      <c r="W11" s="1">
        <v>0</v>
      </c>
      <c r="X11" s="1">
        <v>0.98828571428571454</v>
      </c>
      <c r="Y11" s="1">
        <v>4.9371885714285719</v>
      </c>
      <c r="Z11" s="1"/>
      <c r="AA11" s="2">
        <v>1</v>
      </c>
      <c r="AB11" s="2">
        <v>1</v>
      </c>
      <c r="AC11" s="2">
        <v>2</v>
      </c>
      <c r="AD11" s="2">
        <v>1.01</v>
      </c>
      <c r="AE11" s="2">
        <v>1.75</v>
      </c>
      <c r="AF11" s="2">
        <v>1.1416666666666668</v>
      </c>
      <c r="AG11" s="1">
        <v>1.1843333333333335</v>
      </c>
      <c r="AH11" s="1">
        <v>3.1843333333333335</v>
      </c>
      <c r="AI11" s="2">
        <v>0</v>
      </c>
      <c r="AJ11" s="2">
        <v>0.25</v>
      </c>
      <c r="AK11" s="1">
        <v>0.125</v>
      </c>
      <c r="AL11" s="1">
        <v>6.3E-2</v>
      </c>
      <c r="AM11" s="1">
        <v>0</v>
      </c>
      <c r="AN11" s="1">
        <v>3.3723333333333336</v>
      </c>
      <c r="AO11" s="2"/>
      <c r="AP11">
        <v>1</v>
      </c>
      <c r="AQ11">
        <v>2</v>
      </c>
      <c r="AR11" s="1">
        <v>2.1120000000000001</v>
      </c>
      <c r="AS11" s="1">
        <v>3.75</v>
      </c>
      <c r="AT11" s="1">
        <v>1.25</v>
      </c>
      <c r="AU11" s="1">
        <v>1.5309999999999999</v>
      </c>
      <c r="AV11" s="1">
        <v>1.7714285714285714</v>
      </c>
      <c r="AW11" s="1">
        <v>0.625</v>
      </c>
      <c r="AX11" s="1">
        <v>11.039428571428573</v>
      </c>
      <c r="AY11" s="2">
        <v>10.52957142857143</v>
      </c>
      <c r="AZ11" s="2"/>
      <c r="BA11" s="1">
        <v>24.233593333333335</v>
      </c>
      <c r="BB11" s="5">
        <v>59</v>
      </c>
      <c r="BC11" s="5">
        <v>56</v>
      </c>
      <c r="BD11" s="5" t="s">
        <v>76</v>
      </c>
      <c r="BE11" s="3">
        <v>0.12</v>
      </c>
      <c r="BF11" t="s">
        <v>81</v>
      </c>
      <c r="BH11" s="5">
        <v>75</v>
      </c>
      <c r="BI11" s="5">
        <v>-16</v>
      </c>
      <c r="BJ11" s="3">
        <v>0.12</v>
      </c>
      <c r="BK11" s="3">
        <v>0</v>
      </c>
      <c r="BL11" s="5"/>
      <c r="BO11" s="3"/>
    </row>
    <row r="12" spans="1:74">
      <c r="A12">
        <v>11</v>
      </c>
      <c r="B12" t="s">
        <v>102</v>
      </c>
      <c r="C12" t="s">
        <v>102</v>
      </c>
      <c r="D12" t="s">
        <v>79</v>
      </c>
      <c r="E12" s="4" t="s">
        <v>103</v>
      </c>
      <c r="F12" s="1">
        <v>5</v>
      </c>
      <c r="G12" s="1">
        <v>1.125</v>
      </c>
      <c r="H12" s="1">
        <v>1</v>
      </c>
      <c r="I12" s="1">
        <v>0.375</v>
      </c>
      <c r="J12" s="1">
        <v>2.5</v>
      </c>
      <c r="K12" s="1">
        <v>1.1445000000000001</v>
      </c>
      <c r="L12" s="1">
        <v>0.25</v>
      </c>
      <c r="M12" s="1">
        <v>1.3945000000000001</v>
      </c>
      <c r="N12" s="1">
        <v>13.894500000000001</v>
      </c>
      <c r="O12" s="1"/>
      <c r="P12" s="1">
        <v>3.9100999999999999</v>
      </c>
      <c r="Q12" s="1">
        <v>2.8640000000000003</v>
      </c>
      <c r="R12" s="1">
        <v>2.7287500000000002</v>
      </c>
      <c r="S12" s="1">
        <v>9.5028500000000005</v>
      </c>
      <c r="T12" s="1">
        <v>0</v>
      </c>
      <c r="U12" s="1">
        <v>0</v>
      </c>
      <c r="V12" s="1">
        <v>2.4571428571428573</v>
      </c>
      <c r="W12" s="1">
        <v>2.6116666666666668</v>
      </c>
      <c r="X12" s="1">
        <v>1.2440238095238096</v>
      </c>
      <c r="Y12" s="1">
        <v>8.5974990476190492</v>
      </c>
      <c r="Z12" s="1"/>
      <c r="AA12" s="2">
        <v>4</v>
      </c>
      <c r="AB12" s="2">
        <v>5</v>
      </c>
      <c r="AC12" s="2">
        <v>9</v>
      </c>
      <c r="AD12" s="2">
        <v>1.51</v>
      </c>
      <c r="AE12" s="2">
        <v>1.25</v>
      </c>
      <c r="AF12" s="2">
        <v>2.1616666666666666</v>
      </c>
      <c r="AG12" s="1">
        <v>1.5883333333333334</v>
      </c>
      <c r="AH12" s="1">
        <v>10.588333333333333</v>
      </c>
      <c r="AI12" s="2">
        <v>0.79032258064516125</v>
      </c>
      <c r="AJ12" s="2">
        <v>1</v>
      </c>
      <c r="AK12" s="1">
        <v>0.89516129032258063</v>
      </c>
      <c r="AL12" s="1">
        <v>4.9359999999999999</v>
      </c>
      <c r="AM12" s="1">
        <v>1.8666666666666665</v>
      </c>
      <c r="AN12" s="1">
        <v>18.286161290322582</v>
      </c>
      <c r="AO12" s="2"/>
      <c r="AP12">
        <v>3</v>
      </c>
      <c r="AQ12">
        <v>3</v>
      </c>
      <c r="AR12" s="1">
        <v>1.95</v>
      </c>
      <c r="AS12" s="1">
        <v>0.47349999999999998</v>
      </c>
      <c r="AT12" s="1">
        <v>2.75</v>
      </c>
      <c r="AU12" s="1">
        <v>0.53100000000000003</v>
      </c>
      <c r="AV12" s="1">
        <v>0</v>
      </c>
      <c r="AW12" s="1">
        <v>0</v>
      </c>
      <c r="AX12" s="1">
        <v>5.7044999999999995</v>
      </c>
      <c r="AY12" s="2">
        <v>8.7783750000000005</v>
      </c>
      <c r="AZ12" s="2"/>
      <c r="BA12" s="1">
        <v>49.556535337941625</v>
      </c>
      <c r="BB12" s="5">
        <v>121</v>
      </c>
      <c r="BC12" s="5">
        <v>17</v>
      </c>
      <c r="BD12" s="5" t="s">
        <v>99</v>
      </c>
      <c r="BE12" s="3">
        <v>0.74</v>
      </c>
      <c r="BF12" t="s">
        <v>77</v>
      </c>
      <c r="BH12" s="5">
        <v>107</v>
      </c>
      <c r="BI12" s="5">
        <v>14</v>
      </c>
      <c r="BJ12" s="3">
        <v>0.62</v>
      </c>
      <c r="BK12" s="3">
        <v>0.12</v>
      </c>
      <c r="BO12" s="3"/>
    </row>
    <row r="13" spans="1:74">
      <c r="A13">
        <v>12</v>
      </c>
      <c r="B13" t="s">
        <v>104</v>
      </c>
      <c r="C13" t="s">
        <v>70</v>
      </c>
      <c r="D13" t="s">
        <v>79</v>
      </c>
      <c r="E13" s="4" t="s">
        <v>105</v>
      </c>
      <c r="F13" s="1">
        <v>3.5</v>
      </c>
      <c r="G13" s="1">
        <v>0</v>
      </c>
      <c r="H13" s="1">
        <v>0</v>
      </c>
      <c r="I13" s="1">
        <v>0</v>
      </c>
      <c r="J13" s="1">
        <v>0</v>
      </c>
      <c r="K13" s="1">
        <v>0.63700000000000001</v>
      </c>
      <c r="L13" s="1">
        <v>0</v>
      </c>
      <c r="M13" s="1">
        <v>0.63700000000000001</v>
      </c>
      <c r="N13" s="1">
        <v>7.6370000000000005</v>
      </c>
      <c r="O13" s="1"/>
      <c r="P13" s="1">
        <v>6.0975000000000001</v>
      </c>
      <c r="Q13" s="1">
        <v>1.6705000000000001</v>
      </c>
      <c r="R13" s="1">
        <v>1.3839999999999999</v>
      </c>
      <c r="S13" s="1">
        <v>9.152000000000001</v>
      </c>
      <c r="T13" s="1">
        <v>0</v>
      </c>
      <c r="U13" s="1">
        <v>3.75</v>
      </c>
      <c r="V13" s="1">
        <v>0</v>
      </c>
      <c r="W13" s="1">
        <v>0</v>
      </c>
      <c r="X13" s="1">
        <v>0.375</v>
      </c>
      <c r="Y13" s="1">
        <v>7.6216000000000008</v>
      </c>
      <c r="Z13" s="1"/>
      <c r="AA13" s="2">
        <v>2</v>
      </c>
      <c r="AB13" s="2">
        <v>3</v>
      </c>
      <c r="AC13" s="2">
        <v>5</v>
      </c>
      <c r="AD13" s="2">
        <v>0.26</v>
      </c>
      <c r="AE13" s="2">
        <v>0</v>
      </c>
      <c r="AF13" s="2">
        <v>0.49666666666666665</v>
      </c>
      <c r="AG13" s="1">
        <v>0.2553333333333333</v>
      </c>
      <c r="AH13" s="1">
        <v>5.2553333333333336</v>
      </c>
      <c r="AI13" s="2">
        <v>0</v>
      </c>
      <c r="AJ13" s="2">
        <v>0</v>
      </c>
      <c r="AK13" s="1">
        <v>0</v>
      </c>
      <c r="AL13" s="1">
        <v>1.7129999999999999</v>
      </c>
      <c r="AM13" s="1">
        <v>1.5999999999999999</v>
      </c>
      <c r="AN13" s="1">
        <v>8.5683333333333334</v>
      </c>
      <c r="AO13" s="2"/>
      <c r="AP13">
        <v>2</v>
      </c>
      <c r="AQ13">
        <v>2</v>
      </c>
      <c r="AR13" s="1">
        <v>2.552</v>
      </c>
      <c r="AS13" s="1">
        <v>1.274</v>
      </c>
      <c r="AT13" s="1">
        <v>1.25</v>
      </c>
      <c r="AU13" s="1">
        <v>0.28100000000000003</v>
      </c>
      <c r="AV13" s="1">
        <v>0</v>
      </c>
      <c r="AW13" s="1">
        <v>0</v>
      </c>
      <c r="AX13" s="1">
        <v>5.3570000000000002</v>
      </c>
      <c r="AY13" s="2">
        <v>7.0177499999999995</v>
      </c>
      <c r="AZ13" s="2"/>
      <c r="BA13" s="1">
        <v>30.844683333333336</v>
      </c>
      <c r="BB13" s="5">
        <v>75</v>
      </c>
      <c r="BC13" s="5">
        <v>51</v>
      </c>
      <c r="BD13" s="5" t="s">
        <v>86</v>
      </c>
      <c r="BE13" s="3">
        <v>0.17</v>
      </c>
      <c r="BF13" t="s">
        <v>77</v>
      </c>
      <c r="BH13" s="5"/>
      <c r="BI13" s="5" t="s">
        <v>89</v>
      </c>
      <c r="BJ13" s="3"/>
      <c r="BK13" s="3" t="s">
        <v>89</v>
      </c>
      <c r="BO13" s="3"/>
      <c r="BR13" s="2"/>
      <c r="BS13" s="5"/>
      <c r="BT13" s="5"/>
      <c r="BU13" s="2"/>
      <c r="BV13" s="5"/>
    </row>
    <row r="14" spans="1:74">
      <c r="A14">
        <v>13</v>
      </c>
      <c r="B14" t="s">
        <v>106</v>
      </c>
      <c r="C14" t="s">
        <v>107</v>
      </c>
      <c r="D14" t="s">
        <v>79</v>
      </c>
      <c r="E14" s="4" t="s">
        <v>108</v>
      </c>
      <c r="F14" s="1">
        <v>1</v>
      </c>
      <c r="G14" s="1">
        <v>1.25</v>
      </c>
      <c r="H14" s="1">
        <v>0</v>
      </c>
      <c r="I14" s="1">
        <v>0.5</v>
      </c>
      <c r="J14" s="1">
        <v>1.75</v>
      </c>
      <c r="K14" s="1">
        <v>0.34599999999999997</v>
      </c>
      <c r="L14" s="1">
        <v>0.25</v>
      </c>
      <c r="M14" s="1">
        <v>0.59599999999999997</v>
      </c>
      <c r="N14" s="1">
        <v>4.3460000000000001</v>
      </c>
      <c r="O14" s="1"/>
      <c r="P14" s="1">
        <v>4.8238000000000003</v>
      </c>
      <c r="Q14" s="1">
        <v>2.8222500000000004</v>
      </c>
      <c r="R14" s="1">
        <v>2.6352500000000001</v>
      </c>
      <c r="S14" s="1">
        <v>10.281300000000002</v>
      </c>
      <c r="T14" s="1">
        <v>3.0093749999999995</v>
      </c>
      <c r="U14" s="1">
        <v>0</v>
      </c>
      <c r="V14" s="1">
        <v>0</v>
      </c>
      <c r="W14" s="1">
        <v>2.5058333333333334</v>
      </c>
      <c r="X14" s="1">
        <v>1.4543333333333333</v>
      </c>
      <c r="Y14" s="1">
        <v>9.3885066666666681</v>
      </c>
      <c r="Z14" s="1"/>
      <c r="AA14" s="2">
        <v>3</v>
      </c>
      <c r="AB14" s="2">
        <v>5</v>
      </c>
      <c r="AC14" s="2">
        <v>8</v>
      </c>
      <c r="AD14" s="2">
        <v>2.0099999999999998</v>
      </c>
      <c r="AE14" s="2">
        <v>1.5</v>
      </c>
      <c r="AF14" s="2">
        <v>1.895</v>
      </c>
      <c r="AG14" s="1">
        <v>1.8849999999999998</v>
      </c>
      <c r="AH14" s="1">
        <v>9.8849999999999998</v>
      </c>
      <c r="AI14" s="2">
        <v>1.564516129032258</v>
      </c>
      <c r="AJ14" s="2">
        <v>0.5</v>
      </c>
      <c r="AK14" s="1">
        <v>1.032258064516129</v>
      </c>
      <c r="AL14" s="1">
        <v>4.7279999999999998</v>
      </c>
      <c r="AM14" s="1">
        <v>0.26666666666666666</v>
      </c>
      <c r="AN14" s="1">
        <v>15.911924731182797</v>
      </c>
      <c r="AO14" s="2"/>
      <c r="AP14">
        <v>4</v>
      </c>
      <c r="AQ14">
        <v>4</v>
      </c>
      <c r="AR14" s="1">
        <v>2.294</v>
      </c>
      <c r="AS14" s="1">
        <v>1.9355</v>
      </c>
      <c r="AT14" s="1">
        <v>0.25</v>
      </c>
      <c r="AU14" s="1">
        <v>1.8959999999999999</v>
      </c>
      <c r="AV14" s="1">
        <v>0</v>
      </c>
      <c r="AW14" s="1">
        <v>0</v>
      </c>
      <c r="AX14" s="1">
        <v>6.3754999999999997</v>
      </c>
      <c r="AY14" s="2">
        <v>10.781625</v>
      </c>
      <c r="AZ14" s="2"/>
      <c r="BA14" s="1">
        <v>40.428056397849467</v>
      </c>
      <c r="BB14" s="5">
        <v>99</v>
      </c>
      <c r="BC14" s="5">
        <v>32</v>
      </c>
      <c r="BD14" s="5" t="s">
        <v>67</v>
      </c>
      <c r="BE14" s="3">
        <v>0.49</v>
      </c>
      <c r="BF14" t="s">
        <v>77</v>
      </c>
      <c r="BH14" s="5">
        <v>101</v>
      </c>
      <c r="BI14" s="5">
        <v>-2</v>
      </c>
      <c r="BJ14" s="3">
        <v>0.56000000000000005</v>
      </c>
      <c r="BK14" s="3">
        <v>-7.0000000000000062E-2</v>
      </c>
      <c r="BO14" s="3"/>
      <c r="BR14" s="2"/>
      <c r="BS14" s="5"/>
      <c r="BT14" s="5"/>
      <c r="BU14" s="2"/>
      <c r="BV14" s="5"/>
    </row>
    <row r="15" spans="1:74">
      <c r="A15">
        <v>14</v>
      </c>
      <c r="B15" t="s">
        <v>109</v>
      </c>
      <c r="C15" t="s">
        <v>109</v>
      </c>
      <c r="D15" t="s">
        <v>79</v>
      </c>
      <c r="E15" s="4" t="s">
        <v>110</v>
      </c>
      <c r="F15" s="1">
        <v>2.5</v>
      </c>
      <c r="G15" s="1">
        <v>1.25</v>
      </c>
      <c r="H15" s="1">
        <v>0</v>
      </c>
      <c r="I15" s="1">
        <v>0.5</v>
      </c>
      <c r="J15" s="1">
        <v>1.75</v>
      </c>
      <c r="K15" s="1">
        <v>0.83799999999999997</v>
      </c>
      <c r="L15" s="1">
        <v>0.25</v>
      </c>
      <c r="M15" s="1">
        <v>1.0880000000000001</v>
      </c>
      <c r="N15" s="1">
        <v>7.8380000000000001</v>
      </c>
      <c r="O15" s="1"/>
      <c r="P15" s="1">
        <v>5.1262999999999996</v>
      </c>
      <c r="Q15" s="1">
        <v>3.0875000000000004</v>
      </c>
      <c r="R15" s="1">
        <v>0</v>
      </c>
      <c r="S15" s="1">
        <v>8.2137999999999991</v>
      </c>
      <c r="T15" s="1">
        <v>2.8949999999999996</v>
      </c>
      <c r="U15" s="1">
        <v>0</v>
      </c>
      <c r="V15" s="1">
        <v>3.9</v>
      </c>
      <c r="W15" s="1">
        <v>2.831666666666667</v>
      </c>
      <c r="X15" s="1">
        <v>3.0011666666666668</v>
      </c>
      <c r="Y15" s="1">
        <v>8.9719733333333327</v>
      </c>
      <c r="Z15" s="1"/>
      <c r="AA15" s="2">
        <v>3</v>
      </c>
      <c r="AB15" s="2">
        <v>3</v>
      </c>
      <c r="AC15" s="2">
        <v>6</v>
      </c>
      <c r="AD15" s="2">
        <v>0.51</v>
      </c>
      <c r="AE15" s="2">
        <v>0.25</v>
      </c>
      <c r="AF15" s="2">
        <v>0.95333333333333348</v>
      </c>
      <c r="AG15" s="1">
        <v>0.54666666666666663</v>
      </c>
      <c r="AH15" s="1">
        <v>6.5466666666666669</v>
      </c>
      <c r="AI15" s="2">
        <v>0</v>
      </c>
      <c r="AJ15" s="2">
        <v>0.75</v>
      </c>
      <c r="AK15" s="1">
        <v>0.375</v>
      </c>
      <c r="AL15" s="1">
        <v>4.2840000000000007</v>
      </c>
      <c r="AM15" s="1">
        <v>0.93333333333333324</v>
      </c>
      <c r="AN15" s="1">
        <v>12.139000000000001</v>
      </c>
      <c r="AO15" s="2"/>
      <c r="AP15">
        <v>4</v>
      </c>
      <c r="AQ15">
        <v>4</v>
      </c>
      <c r="AR15" s="1">
        <v>1.5640000000000001</v>
      </c>
      <c r="AS15" s="1">
        <v>2.0405000000000002</v>
      </c>
      <c r="AT15" s="1">
        <v>1.25</v>
      </c>
      <c r="AU15" s="1">
        <v>2.1459999999999999</v>
      </c>
      <c r="AV15" s="1">
        <v>0.74285714285714288</v>
      </c>
      <c r="AW15" s="1">
        <v>1.875</v>
      </c>
      <c r="AX15" s="1">
        <v>9.6183571428571426</v>
      </c>
      <c r="AY15" s="2">
        <v>13.213767857142857</v>
      </c>
      <c r="AZ15" s="2"/>
      <c r="BA15" s="1">
        <v>42.16274119047619</v>
      </c>
      <c r="BB15" s="5">
        <v>103</v>
      </c>
      <c r="BC15" s="5">
        <v>30</v>
      </c>
      <c r="BD15" s="5" t="s">
        <v>67</v>
      </c>
      <c r="BE15" s="3">
        <v>0.53</v>
      </c>
      <c r="BF15" t="s">
        <v>68</v>
      </c>
      <c r="BH15" s="5">
        <v>99</v>
      </c>
      <c r="BI15" s="5">
        <v>4</v>
      </c>
      <c r="BJ15" s="3">
        <v>0.52</v>
      </c>
      <c r="BK15" s="3">
        <v>1.0000000000000009E-2</v>
      </c>
      <c r="BO15" s="3"/>
    </row>
    <row r="16" spans="1:74">
      <c r="A16">
        <v>15</v>
      </c>
      <c r="B16" t="s">
        <v>111</v>
      </c>
      <c r="C16" t="s">
        <v>112</v>
      </c>
      <c r="D16" t="s">
        <v>74</v>
      </c>
      <c r="E16" s="4" t="s">
        <v>113</v>
      </c>
      <c r="F16" s="1">
        <v>5</v>
      </c>
      <c r="G16" s="1">
        <v>0</v>
      </c>
      <c r="H16" s="1">
        <v>0</v>
      </c>
      <c r="I16" s="1">
        <v>0</v>
      </c>
      <c r="J16" s="1">
        <v>0</v>
      </c>
      <c r="K16" s="1">
        <v>1.2415</v>
      </c>
      <c r="L16" s="1">
        <v>0.5</v>
      </c>
      <c r="M16" s="1">
        <v>1.7415</v>
      </c>
      <c r="N16" s="1">
        <v>11.7415</v>
      </c>
      <c r="O16" s="1"/>
      <c r="P16" s="1">
        <v>5.2725</v>
      </c>
      <c r="Q16" s="1">
        <v>2.5067500000000003</v>
      </c>
      <c r="R16" s="1">
        <v>1.7585</v>
      </c>
      <c r="S16" s="1">
        <v>9.5377500000000008</v>
      </c>
      <c r="T16" s="1">
        <v>2.6875</v>
      </c>
      <c r="U16" s="1">
        <v>0</v>
      </c>
      <c r="V16" s="1">
        <v>3.9571428571428564</v>
      </c>
      <c r="W16" s="1">
        <v>1.7925000000000002</v>
      </c>
      <c r="X16" s="1">
        <v>2.837107142857143</v>
      </c>
      <c r="Y16" s="1">
        <v>9.8998857142857144</v>
      </c>
      <c r="Z16" s="1"/>
      <c r="AA16" s="2">
        <v>5</v>
      </c>
      <c r="AB16" s="2">
        <v>3</v>
      </c>
      <c r="AC16" s="2">
        <v>8</v>
      </c>
      <c r="AD16" s="2">
        <v>2.0099999999999998</v>
      </c>
      <c r="AE16" s="2">
        <v>0.75</v>
      </c>
      <c r="AF16" s="2">
        <v>2.4850000000000003</v>
      </c>
      <c r="AG16" s="1">
        <v>1.853</v>
      </c>
      <c r="AH16" s="1">
        <v>9.8529999999999998</v>
      </c>
      <c r="AI16" s="2">
        <v>1.5517241379310345</v>
      </c>
      <c r="AJ16" s="2">
        <v>1.5</v>
      </c>
      <c r="AK16" s="1">
        <v>1.5258620689655173</v>
      </c>
      <c r="AL16" s="1">
        <v>2.8689999999999998</v>
      </c>
      <c r="AM16" s="1">
        <v>1.2666666666666666</v>
      </c>
      <c r="AN16" s="1">
        <v>15.514528735632183</v>
      </c>
      <c r="AO16" s="2"/>
      <c r="AP16">
        <v>5</v>
      </c>
      <c r="AQ16">
        <v>5</v>
      </c>
      <c r="AR16" s="1">
        <v>3.8380000000000001</v>
      </c>
      <c r="AS16" s="1">
        <v>3.75</v>
      </c>
      <c r="AT16" s="1">
        <v>2.25</v>
      </c>
      <c r="AU16" s="1">
        <v>3.6659999999999999</v>
      </c>
      <c r="AV16" s="1">
        <v>2.9714285714285715</v>
      </c>
      <c r="AW16" s="1">
        <v>2.1875</v>
      </c>
      <c r="AX16" s="1">
        <v>18.662928571428573</v>
      </c>
      <c r="AY16" s="2">
        <v>21.497196428571431</v>
      </c>
      <c r="AZ16" s="2"/>
      <c r="BA16" s="1">
        <v>58.653110878489329</v>
      </c>
      <c r="BB16" s="5">
        <v>143</v>
      </c>
      <c r="BC16" s="5">
        <v>6</v>
      </c>
      <c r="BD16" s="5" t="s">
        <v>95</v>
      </c>
      <c r="BE16" s="3">
        <v>0.92</v>
      </c>
      <c r="BF16" t="s">
        <v>68</v>
      </c>
      <c r="BH16" s="5">
        <v>141</v>
      </c>
      <c r="BI16" s="5">
        <v>2</v>
      </c>
      <c r="BJ16" s="3">
        <v>0.95</v>
      </c>
      <c r="BK16" s="3">
        <v>-2.9999999999999916E-2</v>
      </c>
      <c r="BO16" s="3"/>
      <c r="BR16" s="2"/>
      <c r="BS16" s="5"/>
      <c r="BT16" s="5"/>
      <c r="BU16" s="2"/>
      <c r="BV16" s="5"/>
    </row>
    <row r="17" spans="1:74">
      <c r="A17">
        <v>16</v>
      </c>
      <c r="B17" t="s">
        <v>114</v>
      </c>
      <c r="C17" t="s">
        <v>115</v>
      </c>
      <c r="D17" t="s">
        <v>74</v>
      </c>
      <c r="E17" s="4" t="s">
        <v>116</v>
      </c>
      <c r="F17" s="1">
        <v>5</v>
      </c>
      <c r="G17" s="1">
        <v>0</v>
      </c>
      <c r="H17" s="1">
        <v>0</v>
      </c>
      <c r="I17" s="1">
        <v>0</v>
      </c>
      <c r="J17" s="1">
        <v>0</v>
      </c>
      <c r="K17" s="1">
        <v>0.87850000000000006</v>
      </c>
      <c r="L17" s="1">
        <v>0.25</v>
      </c>
      <c r="M17" s="1">
        <v>1.1285000000000001</v>
      </c>
      <c r="N17" s="1">
        <v>11.128500000000001</v>
      </c>
      <c r="O17" s="1"/>
      <c r="P17" s="1">
        <v>3.7778</v>
      </c>
      <c r="Q17" s="1">
        <v>2.0604999999999998</v>
      </c>
      <c r="R17" s="1">
        <v>0.83625000000000005</v>
      </c>
      <c r="S17" s="1">
        <v>6.67455</v>
      </c>
      <c r="T17" s="1">
        <v>1.3443749999999999</v>
      </c>
      <c r="U17" s="1">
        <v>0</v>
      </c>
      <c r="V17" s="1">
        <v>2.0714285714285716</v>
      </c>
      <c r="W17" s="1">
        <v>3.7950000000000004</v>
      </c>
      <c r="X17" s="1">
        <v>1.7458214285714289</v>
      </c>
      <c r="Y17" s="1">
        <v>6.7362971428571425</v>
      </c>
      <c r="Z17" s="1"/>
      <c r="AA17" s="2">
        <v>3</v>
      </c>
      <c r="AB17" s="2">
        <v>2</v>
      </c>
      <c r="AC17" s="2">
        <v>5</v>
      </c>
      <c r="AD17" s="2">
        <v>2.0099999999999998</v>
      </c>
      <c r="AE17" s="2">
        <v>1.5</v>
      </c>
      <c r="AF17" s="2">
        <v>1.9733333333333334</v>
      </c>
      <c r="AG17" s="1">
        <v>1.9006666666666665</v>
      </c>
      <c r="AH17" s="1">
        <v>6.9006666666666661</v>
      </c>
      <c r="AI17" s="2">
        <v>4.7558398220244715</v>
      </c>
      <c r="AJ17" s="2">
        <v>0.25</v>
      </c>
      <c r="AK17" s="1">
        <v>2.5029199110122358</v>
      </c>
      <c r="AL17" s="1">
        <v>2.4900000000000002</v>
      </c>
      <c r="AM17" s="1">
        <v>1</v>
      </c>
      <c r="AN17" s="1">
        <v>12.893586577678901</v>
      </c>
      <c r="AO17" s="2"/>
      <c r="AP17">
        <v>4</v>
      </c>
      <c r="AQ17">
        <v>4</v>
      </c>
      <c r="AR17" s="1">
        <v>2.262</v>
      </c>
      <c r="AS17" s="1">
        <v>4.5</v>
      </c>
      <c r="AT17" s="1">
        <v>2.25</v>
      </c>
      <c r="AU17" s="1">
        <v>3.92</v>
      </c>
      <c r="AV17" s="1">
        <v>3.4857142857142858</v>
      </c>
      <c r="AW17" s="1">
        <v>2.1875</v>
      </c>
      <c r="AX17" s="1">
        <v>18.605214285714286</v>
      </c>
      <c r="AY17" s="2">
        <v>19.953910714285715</v>
      </c>
      <c r="AZ17" s="2"/>
      <c r="BA17" s="1">
        <v>50.712294434821757</v>
      </c>
      <c r="BB17" s="5">
        <v>124</v>
      </c>
      <c r="BC17" s="5">
        <v>14</v>
      </c>
      <c r="BD17" s="5" t="s">
        <v>99</v>
      </c>
      <c r="BE17" s="3">
        <v>0.79</v>
      </c>
      <c r="BF17" t="s">
        <v>81</v>
      </c>
      <c r="BH17" s="5">
        <v>94</v>
      </c>
      <c r="BI17" s="5">
        <v>30</v>
      </c>
      <c r="BJ17" s="3">
        <v>0.43</v>
      </c>
      <c r="BK17" s="3">
        <v>0.36000000000000004</v>
      </c>
      <c r="BO17" s="3"/>
      <c r="BR17" s="2"/>
      <c r="BS17" s="5"/>
      <c r="BT17" s="5"/>
      <c r="BU17" s="2"/>
      <c r="BV17" s="5"/>
    </row>
    <row r="18" spans="1:74">
      <c r="A18">
        <v>17</v>
      </c>
      <c r="B18" t="s">
        <v>117</v>
      </c>
      <c r="C18" t="s">
        <v>118</v>
      </c>
      <c r="D18" t="s">
        <v>74</v>
      </c>
      <c r="E18" s="4" t="s">
        <v>119</v>
      </c>
      <c r="F18" s="1">
        <v>5</v>
      </c>
      <c r="G18" s="1">
        <v>0</v>
      </c>
      <c r="H18" s="1">
        <v>0</v>
      </c>
      <c r="I18" s="1">
        <v>0</v>
      </c>
      <c r="J18" s="1">
        <v>0</v>
      </c>
      <c r="K18" s="1">
        <v>0.95900000000000007</v>
      </c>
      <c r="L18" s="1">
        <v>0</v>
      </c>
      <c r="M18" s="1">
        <v>0.95900000000000007</v>
      </c>
      <c r="N18" s="1">
        <v>10.959</v>
      </c>
      <c r="O18" s="1"/>
      <c r="P18" s="1">
        <v>4.6966000000000001</v>
      </c>
      <c r="Q18" s="1">
        <v>2.5990000000000002</v>
      </c>
      <c r="R18" s="1">
        <v>1.35025</v>
      </c>
      <c r="S18" s="1">
        <v>8.6458499999999994</v>
      </c>
      <c r="T18" s="1">
        <v>2.7750000000000004</v>
      </c>
      <c r="U18" s="1">
        <v>1.625</v>
      </c>
      <c r="V18" s="1">
        <v>2.4571428571428573</v>
      </c>
      <c r="W18" s="1">
        <v>3.4641666666666668</v>
      </c>
      <c r="X18" s="1">
        <v>2.6017738095238099</v>
      </c>
      <c r="Y18" s="1">
        <v>8.9980990476190463</v>
      </c>
      <c r="Z18" s="1"/>
      <c r="AA18" s="2">
        <v>2</v>
      </c>
      <c r="AB18" s="2">
        <v>4</v>
      </c>
      <c r="AC18" s="2">
        <v>6</v>
      </c>
      <c r="AD18" s="2">
        <v>1.76</v>
      </c>
      <c r="AE18" s="2">
        <v>0.25</v>
      </c>
      <c r="AF18" s="2">
        <v>2.5516666666666672</v>
      </c>
      <c r="AG18" s="1">
        <v>1.6163333333333334</v>
      </c>
      <c r="AH18" s="1">
        <v>7.6163333333333334</v>
      </c>
      <c r="AI18" s="2">
        <v>1.5517241379310345</v>
      </c>
      <c r="AJ18" s="2">
        <v>1</v>
      </c>
      <c r="AK18" s="1">
        <v>1.2758620689655173</v>
      </c>
      <c r="AL18" s="1">
        <v>1.506</v>
      </c>
      <c r="AM18" s="1">
        <v>2.4</v>
      </c>
      <c r="AN18" s="1">
        <v>12.798195402298852</v>
      </c>
      <c r="AO18" s="2"/>
      <c r="AP18">
        <v>5</v>
      </c>
      <c r="AQ18">
        <v>4</v>
      </c>
      <c r="AR18" s="1">
        <v>2.8340000000000001</v>
      </c>
      <c r="AS18" s="1">
        <v>4</v>
      </c>
      <c r="AT18" s="1">
        <v>1.75</v>
      </c>
      <c r="AU18" s="1">
        <v>2.6459999999999999</v>
      </c>
      <c r="AV18" s="1">
        <v>3.3428571428571425</v>
      </c>
      <c r="AW18" s="1">
        <v>2.1875</v>
      </c>
      <c r="AX18" s="1">
        <v>16.760357142857142</v>
      </c>
      <c r="AY18" s="2">
        <v>19.320267857142859</v>
      </c>
      <c r="AZ18" s="2"/>
      <c r="BA18" s="1">
        <v>52.075562307060757</v>
      </c>
      <c r="BB18" s="5">
        <v>127</v>
      </c>
      <c r="BC18" s="5">
        <v>12</v>
      </c>
      <c r="BD18" s="5" t="s">
        <v>99</v>
      </c>
      <c r="BE18" s="3">
        <v>0.82</v>
      </c>
      <c r="BF18" t="s">
        <v>68</v>
      </c>
      <c r="BH18" s="5">
        <v>117</v>
      </c>
      <c r="BI18" s="5">
        <v>10</v>
      </c>
      <c r="BJ18" s="3">
        <v>0.77</v>
      </c>
      <c r="BK18" s="3">
        <v>4.9999999999999933E-2</v>
      </c>
      <c r="BO18" s="3"/>
    </row>
    <row r="19" spans="1:74">
      <c r="A19">
        <v>18</v>
      </c>
      <c r="B19" t="s">
        <v>120</v>
      </c>
      <c r="C19" t="s">
        <v>121</v>
      </c>
      <c r="D19" t="s">
        <v>91</v>
      </c>
      <c r="E19" s="4" t="s">
        <v>122</v>
      </c>
      <c r="F19" s="1">
        <v>3</v>
      </c>
      <c r="G19" s="1">
        <v>1.125</v>
      </c>
      <c r="H19" s="1">
        <v>0</v>
      </c>
      <c r="I19" s="1">
        <v>0.25</v>
      </c>
      <c r="J19" s="1">
        <v>1.375</v>
      </c>
      <c r="K19" s="1">
        <v>1.1764999999999999</v>
      </c>
      <c r="L19" s="1">
        <v>2</v>
      </c>
      <c r="M19" s="1">
        <v>3.1764999999999999</v>
      </c>
      <c r="N19" s="1">
        <v>10.551500000000001</v>
      </c>
      <c r="O19" s="1"/>
      <c r="P19" s="1">
        <v>4.226</v>
      </c>
      <c r="Q19" s="1">
        <v>2.9359999999999999</v>
      </c>
      <c r="R19" s="1">
        <v>3.07525</v>
      </c>
      <c r="S19" s="1">
        <v>10.23725</v>
      </c>
      <c r="T19" s="1">
        <v>2.99125</v>
      </c>
      <c r="U19" s="1">
        <v>0.52500000000000002</v>
      </c>
      <c r="V19" s="1">
        <v>2.0928571428571425</v>
      </c>
      <c r="W19" s="1">
        <v>3.9691666666666667</v>
      </c>
      <c r="X19" s="1">
        <v>2.4830595238095241</v>
      </c>
      <c r="Y19" s="1">
        <v>10.176247619047619</v>
      </c>
      <c r="Z19" s="1"/>
      <c r="AA19" s="2">
        <v>3</v>
      </c>
      <c r="AB19" s="2">
        <v>3</v>
      </c>
      <c r="AC19" s="2">
        <v>6</v>
      </c>
      <c r="AD19" s="2">
        <v>2.2599999999999998</v>
      </c>
      <c r="AE19" s="2">
        <v>1</v>
      </c>
      <c r="AF19" s="2">
        <v>1.7066666666666668</v>
      </c>
      <c r="AG19" s="1">
        <v>1.8973333333333331</v>
      </c>
      <c r="AH19" s="1">
        <v>7.8973333333333331</v>
      </c>
      <c r="AI19" s="2">
        <v>0.59677419354838712</v>
      </c>
      <c r="AJ19" s="2">
        <v>1</v>
      </c>
      <c r="AK19" s="1">
        <v>0.79838709677419351</v>
      </c>
      <c r="AL19" s="1">
        <v>3.92</v>
      </c>
      <c r="AM19" s="1">
        <v>1.6666666666666665</v>
      </c>
      <c r="AN19" s="1">
        <v>14.282387096774192</v>
      </c>
      <c r="AO19" s="2"/>
      <c r="AP19">
        <v>4</v>
      </c>
      <c r="AQ19">
        <v>5</v>
      </c>
      <c r="AR19" s="1">
        <v>3.016</v>
      </c>
      <c r="AS19" s="1">
        <v>1.6424999999999998</v>
      </c>
      <c r="AT19" s="1">
        <v>1.25</v>
      </c>
      <c r="AU19" s="1">
        <v>2.4159999999999999</v>
      </c>
      <c r="AV19" s="1">
        <v>1.5428571428571429</v>
      </c>
      <c r="AW19" s="1">
        <v>1.25</v>
      </c>
      <c r="AX19" s="1">
        <v>11.117357142857143</v>
      </c>
      <c r="AY19" s="2">
        <v>15.088017857142859</v>
      </c>
      <c r="AZ19" s="2"/>
      <c r="BA19" s="1">
        <v>50.098152572964672</v>
      </c>
      <c r="BB19" s="5">
        <v>123</v>
      </c>
      <c r="BC19" s="5">
        <v>15</v>
      </c>
      <c r="BD19" s="5" t="s">
        <v>99</v>
      </c>
      <c r="BE19" s="3">
        <v>0.76</v>
      </c>
      <c r="BF19" t="s">
        <v>68</v>
      </c>
      <c r="BH19" s="5">
        <v>136</v>
      </c>
      <c r="BI19" s="5">
        <v>-13</v>
      </c>
      <c r="BJ19" s="3">
        <v>0.91</v>
      </c>
      <c r="BK19" s="3">
        <v>-0.15000000000000002</v>
      </c>
      <c r="BL19" s="5"/>
      <c r="BO19" s="3"/>
      <c r="BR19" s="2"/>
      <c r="BS19" s="5"/>
      <c r="BT19" s="5"/>
      <c r="BU19" s="2"/>
      <c r="BV19" s="5"/>
    </row>
    <row r="20" spans="1:74">
      <c r="A20">
        <v>19</v>
      </c>
      <c r="B20" t="s">
        <v>123</v>
      </c>
      <c r="C20" t="s">
        <v>107</v>
      </c>
      <c r="D20" t="s">
        <v>74</v>
      </c>
      <c r="E20" s="4" t="s">
        <v>124</v>
      </c>
      <c r="F20" s="1">
        <v>2.5</v>
      </c>
      <c r="G20" s="1">
        <v>1.0833333333333333</v>
      </c>
      <c r="H20" s="1">
        <v>1</v>
      </c>
      <c r="I20" s="1">
        <v>0.41666666666666669</v>
      </c>
      <c r="J20" s="1">
        <v>2.4999999999999996</v>
      </c>
      <c r="K20" s="1">
        <v>0.22550000000000001</v>
      </c>
      <c r="L20" s="1">
        <v>1</v>
      </c>
      <c r="M20" s="1">
        <v>1.2255</v>
      </c>
      <c r="N20" s="1">
        <v>8.7255000000000003</v>
      </c>
      <c r="O20" s="1"/>
      <c r="P20" s="1">
        <v>4.2206999999999999</v>
      </c>
      <c r="Q20" s="1">
        <v>2.7927499999999998</v>
      </c>
      <c r="R20" s="1">
        <v>2.8762499999999998</v>
      </c>
      <c r="S20" s="1">
        <v>9.8896999999999995</v>
      </c>
      <c r="T20" s="1">
        <v>2.3649999999999998</v>
      </c>
      <c r="U20" s="1">
        <v>3.4750000000000005</v>
      </c>
      <c r="V20" s="1">
        <v>3.2857142857142856</v>
      </c>
      <c r="W20" s="1">
        <v>0</v>
      </c>
      <c r="X20" s="1">
        <v>2.6077857142857144</v>
      </c>
      <c r="Y20" s="1">
        <v>9.9979885714285714</v>
      </c>
      <c r="Z20" s="1"/>
      <c r="AA20" s="2">
        <v>2</v>
      </c>
      <c r="AB20" s="2">
        <v>2</v>
      </c>
      <c r="AC20" s="2">
        <v>4</v>
      </c>
      <c r="AD20" s="2">
        <v>2.68</v>
      </c>
      <c r="AE20" s="2">
        <v>2</v>
      </c>
      <c r="AF20" s="2">
        <v>2.0016666666666669</v>
      </c>
      <c r="AG20" s="1">
        <v>2.4083333333333332</v>
      </c>
      <c r="AH20" s="1">
        <v>6.4083333333333332</v>
      </c>
      <c r="AI20" s="2">
        <v>0.69354838709677424</v>
      </c>
      <c r="AJ20" s="2">
        <v>1.5</v>
      </c>
      <c r="AK20" s="1">
        <v>1.096774193548387</v>
      </c>
      <c r="AL20" s="1">
        <v>1.6</v>
      </c>
      <c r="AM20" s="1">
        <v>1.8</v>
      </c>
      <c r="AN20" s="1">
        <v>10.905107526881721</v>
      </c>
      <c r="AO20" s="2"/>
      <c r="AP20">
        <v>5</v>
      </c>
      <c r="AQ20">
        <v>5</v>
      </c>
      <c r="AR20" s="1">
        <v>2.1760000000000002</v>
      </c>
      <c r="AS20" s="1">
        <v>3.5</v>
      </c>
      <c r="AT20" s="1">
        <v>0.75</v>
      </c>
      <c r="AU20" s="1">
        <v>1.6459999999999999</v>
      </c>
      <c r="AV20" s="1">
        <v>2.9714285714285715</v>
      </c>
      <c r="AW20" s="1">
        <v>1.875</v>
      </c>
      <c r="AX20" s="1">
        <v>12.918428571428571</v>
      </c>
      <c r="AY20" s="2">
        <v>17.18882142857143</v>
      </c>
      <c r="AZ20" s="2"/>
      <c r="BA20" s="1">
        <v>46.817417526881727</v>
      </c>
      <c r="BB20" s="5">
        <v>115</v>
      </c>
      <c r="BC20" s="5">
        <v>21</v>
      </c>
      <c r="BD20" s="5" t="s">
        <v>99</v>
      </c>
      <c r="BE20" s="3">
        <v>0.65</v>
      </c>
      <c r="BF20" t="s">
        <v>68</v>
      </c>
      <c r="BH20" s="5">
        <v>118</v>
      </c>
      <c r="BI20" s="5">
        <v>-3</v>
      </c>
      <c r="BJ20" s="3">
        <v>0.79</v>
      </c>
      <c r="BK20" s="3">
        <v>-0.14000000000000001</v>
      </c>
      <c r="BL20" s="5"/>
      <c r="BO20" s="3"/>
      <c r="BR20" s="2"/>
      <c r="BS20" s="5"/>
      <c r="BT20" s="5"/>
      <c r="BU20" s="2"/>
      <c r="BV20" s="5"/>
    </row>
    <row r="21" spans="1:74">
      <c r="A21">
        <v>20</v>
      </c>
      <c r="B21" t="s">
        <v>125</v>
      </c>
      <c r="C21" t="s">
        <v>107</v>
      </c>
      <c r="D21" t="s">
        <v>91</v>
      </c>
      <c r="E21" s="4" t="s">
        <v>126</v>
      </c>
      <c r="F21" s="1">
        <v>4.5</v>
      </c>
      <c r="G21" s="1">
        <v>0</v>
      </c>
      <c r="H21" s="1">
        <v>0</v>
      </c>
      <c r="I21" s="1">
        <v>0</v>
      </c>
      <c r="J21" s="1">
        <v>0</v>
      </c>
      <c r="K21" s="1">
        <v>0.24149999999999999</v>
      </c>
      <c r="L21" s="1">
        <v>0</v>
      </c>
      <c r="M21" s="1">
        <v>0.24149999999999999</v>
      </c>
      <c r="N21" s="1">
        <v>9.2415000000000003</v>
      </c>
      <c r="O21" s="1"/>
      <c r="P21" s="1">
        <v>3.3167999999999997</v>
      </c>
      <c r="Q21" s="1">
        <v>2.2437500000000004</v>
      </c>
      <c r="R21" s="1">
        <v>0</v>
      </c>
      <c r="S21" s="1">
        <v>5.5605500000000001</v>
      </c>
      <c r="T21" s="1">
        <v>0.98250000000000004</v>
      </c>
      <c r="U21" s="1">
        <v>0</v>
      </c>
      <c r="V21" s="1">
        <v>0</v>
      </c>
      <c r="W21" s="1">
        <v>3.3283333333333336</v>
      </c>
      <c r="X21" s="1">
        <v>0.72583333333333333</v>
      </c>
      <c r="Y21" s="1">
        <v>5.0291066666666664</v>
      </c>
      <c r="Z21" s="1"/>
      <c r="AA21" s="2">
        <v>2</v>
      </c>
      <c r="AB21" s="2">
        <v>2</v>
      </c>
      <c r="AC21" s="2">
        <v>4</v>
      </c>
      <c r="AD21" s="2">
        <v>2.0099999999999998</v>
      </c>
      <c r="AE21" s="2">
        <v>0.75</v>
      </c>
      <c r="AF21" s="2">
        <v>1.5166666666666668</v>
      </c>
      <c r="AG21" s="1">
        <v>1.6593333333333333</v>
      </c>
      <c r="AH21" s="1">
        <v>5.6593333333333335</v>
      </c>
      <c r="AI21" s="2">
        <v>0</v>
      </c>
      <c r="AJ21" s="2">
        <v>0</v>
      </c>
      <c r="AK21" s="1">
        <v>0</v>
      </c>
      <c r="AL21" s="1">
        <v>1.171</v>
      </c>
      <c r="AM21" s="1">
        <v>2.5333333333333332</v>
      </c>
      <c r="AN21" s="1">
        <v>9.363666666666667</v>
      </c>
      <c r="AO21" s="2"/>
      <c r="AP21">
        <v>4</v>
      </c>
      <c r="AQ21">
        <v>4</v>
      </c>
      <c r="AR21" s="1">
        <v>2.3540000000000001</v>
      </c>
      <c r="AS21" s="1">
        <v>1.2095</v>
      </c>
      <c r="AT21" s="1">
        <v>0.5</v>
      </c>
      <c r="AU21" s="1">
        <v>2.1459999999999999</v>
      </c>
      <c r="AV21" s="1">
        <v>0.82857142857142874</v>
      </c>
      <c r="AW21" s="1">
        <v>0.625</v>
      </c>
      <c r="AX21" s="1">
        <v>7.6630714285714294</v>
      </c>
      <c r="AY21" s="2">
        <v>11.747303571428573</v>
      </c>
      <c r="AZ21" s="2"/>
      <c r="BA21" s="1">
        <v>35.381576904761907</v>
      </c>
      <c r="BB21" s="5">
        <v>87</v>
      </c>
      <c r="BC21" s="5">
        <v>46</v>
      </c>
      <c r="BD21" s="5" t="s">
        <v>86</v>
      </c>
      <c r="BE21" s="3">
        <v>0.28000000000000003</v>
      </c>
      <c r="BF21" t="s">
        <v>68</v>
      </c>
      <c r="BH21" s="5"/>
      <c r="BI21" s="5" t="s">
        <v>89</v>
      </c>
      <c r="BJ21" s="3"/>
      <c r="BK21" s="3" t="s">
        <v>89</v>
      </c>
      <c r="BL21" s="5"/>
      <c r="BO21" s="3"/>
      <c r="BR21" s="2"/>
      <c r="BS21" s="5"/>
      <c r="BT21" s="5"/>
      <c r="BU21" s="2"/>
      <c r="BV21" s="5"/>
    </row>
    <row r="22" spans="1:74">
      <c r="A22">
        <v>21</v>
      </c>
      <c r="B22" t="s">
        <v>127</v>
      </c>
      <c r="C22" t="s">
        <v>127</v>
      </c>
      <c r="D22" t="s">
        <v>91</v>
      </c>
      <c r="E22" s="4" t="s">
        <v>128</v>
      </c>
      <c r="F22" s="1">
        <v>2.5</v>
      </c>
      <c r="G22" s="1">
        <v>1</v>
      </c>
      <c r="H22" s="1">
        <v>1.125</v>
      </c>
      <c r="I22" s="1">
        <v>0.25</v>
      </c>
      <c r="J22" s="1">
        <v>2.375</v>
      </c>
      <c r="K22" s="1">
        <v>0.3785</v>
      </c>
      <c r="L22" s="1">
        <v>1</v>
      </c>
      <c r="M22" s="1">
        <v>1.3785000000000001</v>
      </c>
      <c r="N22" s="1">
        <v>8.7535000000000007</v>
      </c>
      <c r="O22" s="1"/>
      <c r="P22" s="1">
        <v>3.5766</v>
      </c>
      <c r="Q22" s="1">
        <v>1.8937500000000003</v>
      </c>
      <c r="R22" s="1">
        <v>2.27725</v>
      </c>
      <c r="S22" s="1">
        <v>7.7476000000000003</v>
      </c>
      <c r="T22" s="1">
        <v>1.6074999999999999</v>
      </c>
      <c r="U22" s="1">
        <v>0</v>
      </c>
      <c r="V22" s="1">
        <v>0.85714285714285732</v>
      </c>
      <c r="W22" s="1">
        <v>0</v>
      </c>
      <c r="X22" s="1">
        <v>0.98585714285714299</v>
      </c>
      <c r="Y22" s="1">
        <v>6.9867657142857142</v>
      </c>
      <c r="Z22" s="1"/>
      <c r="AA22" s="2">
        <v>2</v>
      </c>
      <c r="AB22" s="2">
        <v>3</v>
      </c>
      <c r="AC22" s="2">
        <v>5</v>
      </c>
      <c r="AD22" s="2">
        <v>2.5099999999999998</v>
      </c>
      <c r="AE22" s="2">
        <v>1</v>
      </c>
      <c r="AF22" s="2">
        <v>2.6733333333333338</v>
      </c>
      <c r="AG22" s="1">
        <v>2.2406666666666664</v>
      </c>
      <c r="AH22" s="1">
        <v>7.2406666666666659</v>
      </c>
      <c r="AI22" s="2">
        <v>2.6774193548387095</v>
      </c>
      <c r="AJ22" s="2">
        <v>0.25</v>
      </c>
      <c r="AK22" s="1">
        <v>1.4637096774193548</v>
      </c>
      <c r="AL22" s="1">
        <v>1.9489999999999998</v>
      </c>
      <c r="AM22" s="1">
        <v>2.5999999999999996</v>
      </c>
      <c r="AN22" s="1">
        <v>13.25337634408602</v>
      </c>
      <c r="AO22" s="2"/>
      <c r="AP22">
        <v>4</v>
      </c>
      <c r="AQ22">
        <v>5</v>
      </c>
      <c r="AR22" s="1">
        <v>2.4580000000000002</v>
      </c>
      <c r="AS22" s="1">
        <v>4.024</v>
      </c>
      <c r="AT22" s="1">
        <v>2.5</v>
      </c>
      <c r="AU22" s="1">
        <v>3.1659999999999999</v>
      </c>
      <c r="AV22" s="1">
        <v>2.2571428571428571</v>
      </c>
      <c r="AW22" s="1">
        <v>1.25</v>
      </c>
      <c r="AX22" s="1">
        <v>15.655142857142856</v>
      </c>
      <c r="AY22" s="2">
        <v>18.491357142857144</v>
      </c>
      <c r="AZ22" s="2"/>
      <c r="BA22" s="1">
        <v>47.484999201228874</v>
      </c>
      <c r="BB22" s="5">
        <v>116</v>
      </c>
      <c r="BC22" s="5">
        <v>20</v>
      </c>
      <c r="BD22" s="5" t="s">
        <v>99</v>
      </c>
      <c r="BE22" s="3">
        <v>0.69</v>
      </c>
      <c r="BF22" t="s">
        <v>81</v>
      </c>
      <c r="BH22" s="5">
        <v>102</v>
      </c>
      <c r="BI22" s="5">
        <v>14</v>
      </c>
      <c r="BJ22" s="3">
        <v>0.57999999999999996</v>
      </c>
      <c r="BK22" s="3">
        <v>0.10999999999999999</v>
      </c>
      <c r="BL22" s="5"/>
      <c r="BO22" s="3"/>
      <c r="BR22" s="2"/>
      <c r="BS22" s="5"/>
      <c r="BT22" s="5"/>
      <c r="BU22" s="2"/>
      <c r="BV22" s="5"/>
    </row>
    <row r="23" spans="1:74">
      <c r="A23">
        <v>22</v>
      </c>
      <c r="B23" t="s">
        <v>129</v>
      </c>
      <c r="C23" t="s">
        <v>130</v>
      </c>
      <c r="D23" t="s">
        <v>131</v>
      </c>
      <c r="E23" s="4" t="s">
        <v>132</v>
      </c>
      <c r="F23" s="1">
        <v>2.5</v>
      </c>
      <c r="G23" s="1">
        <v>0</v>
      </c>
      <c r="H23" s="1">
        <v>0</v>
      </c>
      <c r="I23" s="1">
        <v>0</v>
      </c>
      <c r="J23" s="1">
        <v>0</v>
      </c>
      <c r="K23" s="1">
        <v>0.53949999999999998</v>
      </c>
      <c r="L23" s="1">
        <v>0</v>
      </c>
      <c r="M23" s="1">
        <v>0.53949999999999998</v>
      </c>
      <c r="N23" s="1">
        <v>5.5395000000000003</v>
      </c>
      <c r="O23" s="1"/>
      <c r="P23" s="1">
        <v>3.8613</v>
      </c>
      <c r="Q23" s="1">
        <v>1.2665</v>
      </c>
      <c r="R23" s="1">
        <v>0.68225000000000002</v>
      </c>
      <c r="S23" s="1">
        <v>5.8100499999999995</v>
      </c>
      <c r="T23" s="1">
        <v>1.2662499999999999</v>
      </c>
      <c r="U23" s="1">
        <v>0</v>
      </c>
      <c r="V23" s="1">
        <v>0</v>
      </c>
      <c r="W23" s="1">
        <v>0</v>
      </c>
      <c r="X23" s="1">
        <v>0.50649999999999995</v>
      </c>
      <c r="Y23" s="1">
        <v>5.0532399999999997</v>
      </c>
      <c r="Z23" s="1"/>
      <c r="AA23" s="2">
        <v>2</v>
      </c>
      <c r="AB23" s="2">
        <v>2</v>
      </c>
      <c r="AC23" s="2">
        <v>4</v>
      </c>
      <c r="AD23" s="2">
        <v>1.76</v>
      </c>
      <c r="AE23" s="2">
        <v>1</v>
      </c>
      <c r="AF23" s="2">
        <v>1.8133333333333335</v>
      </c>
      <c r="AG23" s="1">
        <v>1.6186666666666667</v>
      </c>
      <c r="AH23" s="1">
        <v>5.6186666666666669</v>
      </c>
      <c r="AI23" s="2">
        <v>0.5161290322580645</v>
      </c>
      <c r="AJ23" s="2">
        <v>0</v>
      </c>
      <c r="AK23" s="1">
        <v>0.25806451612903225</v>
      </c>
      <c r="AL23" s="1">
        <v>1.9659999999999997</v>
      </c>
      <c r="AM23" s="1">
        <v>0</v>
      </c>
      <c r="AN23" s="1">
        <v>7.8427311827956991</v>
      </c>
      <c r="AO23" s="2"/>
      <c r="AP23">
        <v>4</v>
      </c>
      <c r="AQ23">
        <v>4</v>
      </c>
      <c r="AR23" s="1">
        <v>3.2359999999999998</v>
      </c>
      <c r="AS23" s="1">
        <v>1.274</v>
      </c>
      <c r="AT23" s="1">
        <v>0.75</v>
      </c>
      <c r="AU23" s="1">
        <v>1.5309999999999999</v>
      </c>
      <c r="AV23" s="1">
        <v>0</v>
      </c>
      <c r="AW23" s="1">
        <v>1.25</v>
      </c>
      <c r="AX23" s="1">
        <v>8.0410000000000004</v>
      </c>
      <c r="AY23" s="2">
        <v>12.030750000000001</v>
      </c>
      <c r="AZ23" s="2"/>
      <c r="BA23" s="1">
        <v>30.466221182795699</v>
      </c>
      <c r="BB23" s="5">
        <v>75</v>
      </c>
      <c r="BC23" s="5">
        <v>51</v>
      </c>
      <c r="BD23" s="5" t="s">
        <v>86</v>
      </c>
      <c r="BE23" s="3">
        <v>0.17</v>
      </c>
      <c r="BF23" t="s">
        <v>133</v>
      </c>
      <c r="BH23" s="5"/>
      <c r="BI23" s="5" t="s">
        <v>89</v>
      </c>
      <c r="BJ23" s="3"/>
      <c r="BK23" s="3" t="s">
        <v>89</v>
      </c>
      <c r="BO23" s="3"/>
    </row>
    <row r="24" spans="1:74">
      <c r="A24">
        <v>23</v>
      </c>
      <c r="B24" t="s">
        <v>134</v>
      </c>
      <c r="C24" t="s">
        <v>107</v>
      </c>
      <c r="D24" t="s">
        <v>91</v>
      </c>
      <c r="E24" s="4" t="s">
        <v>135</v>
      </c>
      <c r="F24" s="1">
        <v>3</v>
      </c>
      <c r="G24" s="1">
        <v>0</v>
      </c>
      <c r="H24" s="1">
        <v>0</v>
      </c>
      <c r="I24" s="1">
        <v>0</v>
      </c>
      <c r="J24" s="1">
        <v>0</v>
      </c>
      <c r="K24" s="1">
        <v>0.61250000000000004</v>
      </c>
      <c r="L24" s="1">
        <v>0.25</v>
      </c>
      <c r="M24" s="1">
        <v>0.86250000000000004</v>
      </c>
      <c r="N24" s="1">
        <v>6.8624999999999998</v>
      </c>
      <c r="O24" s="1"/>
      <c r="P24" s="1">
        <v>3.6017999999999999</v>
      </c>
      <c r="Q24" s="1">
        <v>0</v>
      </c>
      <c r="R24" s="1">
        <v>2.5122499999999999</v>
      </c>
      <c r="S24" s="1">
        <v>6.1140499999999998</v>
      </c>
      <c r="T24" s="1">
        <v>1.829375</v>
      </c>
      <c r="U24" s="1">
        <v>0</v>
      </c>
      <c r="V24" s="1">
        <v>2.5285714285714289</v>
      </c>
      <c r="W24" s="1">
        <v>4.1775000000000002</v>
      </c>
      <c r="X24" s="1">
        <v>2.1609285714285713</v>
      </c>
      <c r="Y24" s="1">
        <v>6.6199828571428565</v>
      </c>
      <c r="Z24" s="1"/>
      <c r="AA24" s="2">
        <v>2</v>
      </c>
      <c r="AB24" s="2">
        <v>2</v>
      </c>
      <c r="AC24" s="2">
        <v>4</v>
      </c>
      <c r="AD24" s="2">
        <v>0.51</v>
      </c>
      <c r="AE24" s="2">
        <v>0.75</v>
      </c>
      <c r="AF24" s="2">
        <v>0.68500000000000005</v>
      </c>
      <c r="AG24" s="1">
        <v>0.59299999999999997</v>
      </c>
      <c r="AH24" s="1">
        <v>4.593</v>
      </c>
      <c r="AI24" s="2">
        <v>0.59677419354838712</v>
      </c>
      <c r="AJ24" s="2">
        <v>0.75</v>
      </c>
      <c r="AK24" s="1">
        <v>0.67338709677419351</v>
      </c>
      <c r="AL24" s="1">
        <v>2.9820000000000002</v>
      </c>
      <c r="AM24" s="1">
        <v>1.8666666666666665</v>
      </c>
      <c r="AN24" s="1">
        <v>10.115053763440862</v>
      </c>
      <c r="AO24" s="2"/>
      <c r="AP24">
        <v>3</v>
      </c>
      <c r="AQ24">
        <v>3</v>
      </c>
      <c r="AR24" s="1">
        <v>2.0760000000000001</v>
      </c>
      <c r="AS24" s="1">
        <v>0.29850000000000004</v>
      </c>
      <c r="AT24" s="1">
        <v>0</v>
      </c>
      <c r="AU24" s="1">
        <v>1.2810000000000001</v>
      </c>
      <c r="AV24" s="1">
        <v>0</v>
      </c>
      <c r="AW24" s="1">
        <v>0</v>
      </c>
      <c r="AX24" s="1">
        <v>3.6555000000000004</v>
      </c>
      <c r="AY24" s="2">
        <v>7.241625</v>
      </c>
      <c r="AZ24" s="2"/>
      <c r="BA24" s="1">
        <v>30.839161620583717</v>
      </c>
      <c r="BB24" s="5">
        <v>75</v>
      </c>
      <c r="BC24" s="5">
        <v>51</v>
      </c>
      <c r="BD24" s="5" t="s">
        <v>86</v>
      </c>
      <c r="BE24" s="3">
        <v>0.17</v>
      </c>
      <c r="BF24" t="s">
        <v>133</v>
      </c>
      <c r="BH24" s="5">
        <v>92</v>
      </c>
      <c r="BI24" s="5">
        <v>-17</v>
      </c>
      <c r="BJ24" s="3">
        <v>0.39</v>
      </c>
      <c r="BK24" s="3">
        <v>-0.22</v>
      </c>
      <c r="BO24" s="3"/>
      <c r="BR24" s="2"/>
      <c r="BS24" s="5"/>
      <c r="BT24" s="5"/>
      <c r="BU24" s="2"/>
      <c r="BV24" s="5"/>
    </row>
    <row r="25" spans="1:74">
      <c r="A25">
        <v>24</v>
      </c>
      <c r="B25" t="s">
        <v>136</v>
      </c>
      <c r="C25" t="s">
        <v>137</v>
      </c>
      <c r="D25" t="s">
        <v>91</v>
      </c>
      <c r="E25" s="4" t="s">
        <v>138</v>
      </c>
      <c r="F25" s="1">
        <v>4</v>
      </c>
      <c r="G25" s="1">
        <v>1.1666666666666667</v>
      </c>
      <c r="H25" s="1">
        <v>1</v>
      </c>
      <c r="I25" s="1">
        <v>8.3333333333333329E-2</v>
      </c>
      <c r="J25" s="1">
        <v>2.2500000000000004</v>
      </c>
      <c r="K25" s="1">
        <v>1.0880000000000001</v>
      </c>
      <c r="L25" s="1">
        <v>0.25</v>
      </c>
      <c r="M25" s="1">
        <v>1.3380000000000001</v>
      </c>
      <c r="N25" s="1">
        <v>11.588000000000001</v>
      </c>
      <c r="O25" s="1"/>
      <c r="P25" s="1">
        <v>3.8129</v>
      </c>
      <c r="Q25" s="1">
        <v>3.2604999999999995</v>
      </c>
      <c r="R25" s="1">
        <v>2.8532500000000001</v>
      </c>
      <c r="S25" s="1">
        <v>9.9266499999999986</v>
      </c>
      <c r="T25" s="1">
        <v>2.4743749999999998</v>
      </c>
      <c r="U25" s="1">
        <v>2.2250000000000001</v>
      </c>
      <c r="V25" s="1">
        <v>3.8000000000000003</v>
      </c>
      <c r="W25" s="1">
        <v>3.8516666666666666</v>
      </c>
      <c r="X25" s="1">
        <v>3.1174166666666672</v>
      </c>
      <c r="Y25" s="1">
        <v>10.435253333333332</v>
      </c>
      <c r="Z25" s="1"/>
      <c r="AA25" s="2">
        <v>3</v>
      </c>
      <c r="AB25" s="2">
        <v>3</v>
      </c>
      <c r="AC25" s="2">
        <v>6</v>
      </c>
      <c r="AD25" s="2">
        <v>3</v>
      </c>
      <c r="AE25" s="2">
        <v>1.75</v>
      </c>
      <c r="AF25" s="2">
        <v>3.9783333333333335</v>
      </c>
      <c r="AG25" s="1">
        <v>2.9456666666666669</v>
      </c>
      <c r="AH25" s="1">
        <v>8.9456666666666678</v>
      </c>
      <c r="AI25" s="2">
        <v>2.6774193548387095</v>
      </c>
      <c r="AJ25" s="2">
        <v>2</v>
      </c>
      <c r="AK25" s="1">
        <v>2.338709677419355</v>
      </c>
      <c r="AL25" s="1">
        <v>4.5380000000000003</v>
      </c>
      <c r="AM25" s="1">
        <v>2.5333333333333332</v>
      </c>
      <c r="AN25" s="1">
        <v>18.355709677419355</v>
      </c>
      <c r="AO25" s="2"/>
      <c r="AP25">
        <v>3</v>
      </c>
      <c r="AQ25">
        <v>4</v>
      </c>
      <c r="AR25" s="1">
        <v>1.9219999999999999</v>
      </c>
      <c r="AS25" s="1">
        <v>3.7095000000000002</v>
      </c>
      <c r="AT25" s="1">
        <v>0.75</v>
      </c>
      <c r="AU25" s="1">
        <v>1.9159999999999999</v>
      </c>
      <c r="AV25" s="1">
        <v>1.9142857142857141</v>
      </c>
      <c r="AW25" s="1">
        <v>1.25</v>
      </c>
      <c r="AX25" s="1">
        <v>11.461785714285714</v>
      </c>
      <c r="AY25" s="2">
        <v>13.846339285714286</v>
      </c>
      <c r="AZ25" s="2"/>
      <c r="BA25" s="1">
        <v>54.225302296466971</v>
      </c>
      <c r="BB25" s="5">
        <v>133</v>
      </c>
      <c r="BC25" s="5">
        <v>11</v>
      </c>
      <c r="BD25" s="5" t="s">
        <v>99</v>
      </c>
      <c r="BE25" s="3">
        <v>0.84</v>
      </c>
      <c r="BF25" t="s">
        <v>68</v>
      </c>
      <c r="BH25" s="5">
        <v>98</v>
      </c>
      <c r="BI25" s="5">
        <v>35</v>
      </c>
      <c r="BJ25" s="3">
        <v>0.5</v>
      </c>
      <c r="BK25" s="3">
        <v>0.33999999999999997</v>
      </c>
      <c r="BO25" s="3"/>
      <c r="BR25" s="2"/>
      <c r="BS25" s="5"/>
      <c r="BT25" s="5"/>
      <c r="BU25" s="2"/>
      <c r="BV25" s="5"/>
    </row>
    <row r="26" spans="1:74">
      <c r="A26">
        <v>25</v>
      </c>
      <c r="B26" t="s">
        <v>139</v>
      </c>
      <c r="C26" t="s">
        <v>107</v>
      </c>
      <c r="D26" t="s">
        <v>79</v>
      </c>
      <c r="E26" s="4" t="s">
        <v>140</v>
      </c>
      <c r="F26" s="1">
        <v>0</v>
      </c>
      <c r="G26" s="1">
        <v>0</v>
      </c>
      <c r="H26" s="1">
        <v>0</v>
      </c>
      <c r="I26" s="1">
        <v>0</v>
      </c>
      <c r="J26" s="1">
        <v>0</v>
      </c>
      <c r="K26" s="1">
        <v>0</v>
      </c>
      <c r="L26" s="1">
        <v>0</v>
      </c>
      <c r="M26" s="1">
        <v>0</v>
      </c>
      <c r="N26" s="1">
        <v>0</v>
      </c>
      <c r="O26" s="1"/>
      <c r="P26" s="1">
        <v>3.4321000000000002</v>
      </c>
      <c r="Q26" s="1">
        <v>0.61549999999999994</v>
      </c>
      <c r="R26" s="1">
        <v>0.42275000000000001</v>
      </c>
      <c r="S26" s="1">
        <v>4.4703499999999998</v>
      </c>
      <c r="T26" s="1">
        <v>1.0262499999999999</v>
      </c>
      <c r="U26" s="1">
        <v>0</v>
      </c>
      <c r="V26" s="1">
        <v>3.3357142857142859</v>
      </c>
      <c r="W26" s="1">
        <v>0</v>
      </c>
      <c r="X26" s="1">
        <v>1.7447857142857144</v>
      </c>
      <c r="Y26" s="1">
        <v>4.9721085714285715</v>
      </c>
      <c r="Z26" s="1"/>
      <c r="AA26" s="2">
        <v>2</v>
      </c>
      <c r="AB26" s="2">
        <v>3</v>
      </c>
      <c r="AC26" s="2">
        <v>5</v>
      </c>
      <c r="AD26" s="2">
        <v>1.76</v>
      </c>
      <c r="AE26" s="2">
        <v>0.25</v>
      </c>
      <c r="AF26" s="2">
        <v>1.7066666666666668</v>
      </c>
      <c r="AG26" s="1">
        <v>1.4473333333333334</v>
      </c>
      <c r="AH26" s="1">
        <v>6.4473333333333329</v>
      </c>
      <c r="AI26" s="2">
        <v>0.67741935483870974</v>
      </c>
      <c r="AJ26" s="2">
        <v>0</v>
      </c>
      <c r="AK26" s="1">
        <v>0.33870967741935487</v>
      </c>
      <c r="AL26" s="1">
        <v>3.3159999999999998</v>
      </c>
      <c r="AM26" s="1">
        <v>0</v>
      </c>
      <c r="AN26" s="1">
        <v>10.102043010752688</v>
      </c>
      <c r="AO26" s="2"/>
      <c r="AP26">
        <v>0</v>
      </c>
      <c r="AQ26">
        <v>0</v>
      </c>
      <c r="AR26" s="1">
        <v>2.556</v>
      </c>
      <c r="AS26" s="1">
        <v>0.21750000000000003</v>
      </c>
      <c r="AT26" s="1">
        <v>0.25</v>
      </c>
      <c r="AU26" s="1">
        <v>3.1E-2</v>
      </c>
      <c r="AV26" s="1">
        <v>0</v>
      </c>
      <c r="AW26" s="1">
        <v>0</v>
      </c>
      <c r="AX26" s="1">
        <v>3.0545000000000004</v>
      </c>
      <c r="AY26" s="2">
        <v>2.2908750000000007</v>
      </c>
      <c r="AZ26" s="2"/>
      <c r="BA26" s="1">
        <v>17.365026582181258</v>
      </c>
      <c r="BB26" s="5">
        <v>42</v>
      </c>
      <c r="BC26" s="5">
        <v>62</v>
      </c>
      <c r="BD26" s="5" t="s">
        <v>76</v>
      </c>
      <c r="BE26" s="3">
        <v>0.03</v>
      </c>
      <c r="BF26" t="s">
        <v>77</v>
      </c>
      <c r="BH26" s="5">
        <v>46</v>
      </c>
      <c r="BI26" s="5">
        <v>-4</v>
      </c>
      <c r="BJ26" s="3">
        <v>0.02</v>
      </c>
      <c r="BK26" s="3">
        <v>9.9999999999999985E-3</v>
      </c>
      <c r="BO26" s="3"/>
    </row>
    <row r="27" spans="1:74">
      <c r="A27">
        <v>26</v>
      </c>
      <c r="B27" t="s">
        <v>141</v>
      </c>
      <c r="C27" t="s">
        <v>64</v>
      </c>
      <c r="D27" t="s">
        <v>91</v>
      </c>
      <c r="E27" s="4" t="s">
        <v>142</v>
      </c>
      <c r="F27" s="1">
        <v>2.5</v>
      </c>
      <c r="G27" s="1">
        <v>1</v>
      </c>
      <c r="H27" s="1">
        <v>1</v>
      </c>
      <c r="I27" s="1">
        <v>0.5</v>
      </c>
      <c r="J27" s="1">
        <v>2.5</v>
      </c>
      <c r="K27" s="1">
        <v>1.6845000000000001</v>
      </c>
      <c r="L27" s="1">
        <v>1.25</v>
      </c>
      <c r="M27" s="1">
        <v>2.9344999999999999</v>
      </c>
      <c r="N27" s="1">
        <v>10.4345</v>
      </c>
      <c r="O27" s="1"/>
      <c r="P27" s="1">
        <v>4.0853999999999999</v>
      </c>
      <c r="Q27" s="1">
        <v>3.0397500000000002</v>
      </c>
      <c r="R27" s="1">
        <v>1.5150000000000001</v>
      </c>
      <c r="S27" s="1">
        <v>8.6401500000000002</v>
      </c>
      <c r="T27" s="1">
        <v>2.6224999999999996</v>
      </c>
      <c r="U27" s="1">
        <v>1.7749999999999999</v>
      </c>
      <c r="V27" s="1">
        <v>2.285714285714286</v>
      </c>
      <c r="W27" s="1">
        <v>4.4649999999999999</v>
      </c>
      <c r="X27" s="1">
        <v>2.5872857142857142</v>
      </c>
      <c r="Y27" s="1">
        <v>8.9819485714285712</v>
      </c>
      <c r="Z27" s="1"/>
      <c r="AA27" s="2">
        <v>5</v>
      </c>
      <c r="AB27" s="2">
        <v>5</v>
      </c>
      <c r="AC27" s="2">
        <v>10</v>
      </c>
      <c r="AD27" s="2">
        <v>2.5099999999999998</v>
      </c>
      <c r="AE27" s="2">
        <v>2.5</v>
      </c>
      <c r="AF27" s="2">
        <v>1.5583333333333336</v>
      </c>
      <c r="AG27" s="1">
        <v>2.3176666666666668</v>
      </c>
      <c r="AH27" s="1">
        <v>12.317666666666668</v>
      </c>
      <c r="AI27" s="2">
        <v>1.870967741935484</v>
      </c>
      <c r="AJ27" s="2">
        <v>1.75</v>
      </c>
      <c r="AK27" s="1">
        <v>1.810483870967742</v>
      </c>
      <c r="AL27" s="1">
        <v>4.9359999999999999</v>
      </c>
      <c r="AM27" s="1">
        <v>2.5333333333333332</v>
      </c>
      <c r="AN27" s="1">
        <v>21.597483870967743</v>
      </c>
      <c r="AO27" s="2"/>
      <c r="AP27">
        <v>5</v>
      </c>
      <c r="AQ27">
        <v>5</v>
      </c>
      <c r="AR27" s="1">
        <v>2.9660000000000002</v>
      </c>
      <c r="AS27" s="1">
        <v>3.75</v>
      </c>
      <c r="AT27" s="1">
        <v>1.5</v>
      </c>
      <c r="AU27" s="1">
        <v>2.92</v>
      </c>
      <c r="AV27" s="1">
        <v>1.5142857142857145</v>
      </c>
      <c r="AW27" s="1">
        <v>1.875</v>
      </c>
      <c r="AX27" s="1">
        <v>14.525285714285715</v>
      </c>
      <c r="AY27" s="2">
        <v>18.393964285714286</v>
      </c>
      <c r="AZ27" s="2"/>
      <c r="BA27" s="1">
        <v>59.4078967281106</v>
      </c>
      <c r="BB27" s="5">
        <v>145</v>
      </c>
      <c r="BC27" s="5">
        <v>5</v>
      </c>
      <c r="BD27" s="5" t="s">
        <v>95</v>
      </c>
      <c r="BE27" s="3">
        <v>0.93</v>
      </c>
      <c r="BF27" t="s">
        <v>81</v>
      </c>
      <c r="BH27" s="5">
        <v>141</v>
      </c>
      <c r="BI27" s="5">
        <v>4</v>
      </c>
      <c r="BJ27" s="3">
        <v>0.93</v>
      </c>
      <c r="BK27" s="3">
        <v>0</v>
      </c>
      <c r="BO27" s="3"/>
    </row>
    <row r="28" spans="1:74">
      <c r="A28">
        <v>27</v>
      </c>
      <c r="B28" t="s">
        <v>143</v>
      </c>
      <c r="C28" t="s">
        <v>143</v>
      </c>
      <c r="D28" t="s">
        <v>79</v>
      </c>
      <c r="E28" s="4" t="s">
        <v>144</v>
      </c>
      <c r="F28" s="1">
        <v>1</v>
      </c>
      <c r="G28" s="1">
        <v>0</v>
      </c>
      <c r="H28" s="1">
        <v>0</v>
      </c>
      <c r="I28" s="1">
        <v>0</v>
      </c>
      <c r="J28" s="1">
        <v>0</v>
      </c>
      <c r="K28" s="1">
        <v>0.79</v>
      </c>
      <c r="L28" s="1">
        <v>0</v>
      </c>
      <c r="M28" s="1">
        <v>0.79</v>
      </c>
      <c r="N28" s="1">
        <v>2.79</v>
      </c>
      <c r="O28" s="1"/>
      <c r="P28" s="1">
        <v>3.1633</v>
      </c>
      <c r="Q28" s="1">
        <v>0.84499999999999997</v>
      </c>
      <c r="R28" s="1">
        <v>2.6517499999999998</v>
      </c>
      <c r="S28" s="1">
        <v>6.66005</v>
      </c>
      <c r="T28" s="1">
        <v>0</v>
      </c>
      <c r="U28" s="1">
        <v>0</v>
      </c>
      <c r="V28" s="1">
        <v>3.6999999999999997</v>
      </c>
      <c r="W28" s="1">
        <v>3.6875</v>
      </c>
      <c r="X28" s="1">
        <v>1.8487499999999999</v>
      </c>
      <c r="Y28" s="1">
        <v>6.8070400000000006</v>
      </c>
      <c r="Z28" s="1"/>
      <c r="AA28" s="2">
        <v>3</v>
      </c>
      <c r="AB28" s="2">
        <v>5</v>
      </c>
      <c r="AC28" s="2">
        <v>8</v>
      </c>
      <c r="AD28" s="2">
        <v>1.51</v>
      </c>
      <c r="AE28" s="2">
        <v>1</v>
      </c>
      <c r="AF28" s="2">
        <v>1.02</v>
      </c>
      <c r="AG28" s="1">
        <v>1.3099999999999998</v>
      </c>
      <c r="AH28" s="1">
        <v>9.31</v>
      </c>
      <c r="AI28" s="2">
        <v>0</v>
      </c>
      <c r="AJ28" s="2">
        <v>1.75</v>
      </c>
      <c r="AK28" s="1">
        <v>0.875</v>
      </c>
      <c r="AL28" s="1">
        <v>1.8380000000000001</v>
      </c>
      <c r="AM28" s="1">
        <v>2.5333333333333332</v>
      </c>
      <c r="AN28" s="1">
        <v>14.556333333333333</v>
      </c>
      <c r="AO28" s="2"/>
      <c r="AP28">
        <v>4</v>
      </c>
      <c r="AQ28">
        <v>4</v>
      </c>
      <c r="AR28" s="1">
        <v>3</v>
      </c>
      <c r="AS28" s="1">
        <v>0.39249999999999996</v>
      </c>
      <c r="AT28" s="1">
        <v>2.5</v>
      </c>
      <c r="AU28" s="1">
        <v>3.1E-2</v>
      </c>
      <c r="AV28" s="1">
        <v>1.0571428571428572</v>
      </c>
      <c r="AW28" s="1">
        <v>0.625</v>
      </c>
      <c r="AX28" s="1">
        <v>7.6056428571428567</v>
      </c>
      <c r="AY28" s="2">
        <v>11.704232142857144</v>
      </c>
      <c r="AZ28" s="2"/>
      <c r="BA28" s="1">
        <v>35.857605476190479</v>
      </c>
      <c r="BB28" s="5">
        <v>88</v>
      </c>
      <c r="BC28" s="5">
        <v>44</v>
      </c>
      <c r="BD28" s="5" t="s">
        <v>86</v>
      </c>
      <c r="BE28" s="3">
        <v>0.3</v>
      </c>
      <c r="BF28" t="s">
        <v>81</v>
      </c>
      <c r="BH28" s="5"/>
      <c r="BI28" s="5" t="s">
        <v>89</v>
      </c>
      <c r="BJ28" s="3"/>
      <c r="BK28" s="3" t="s">
        <v>89</v>
      </c>
      <c r="BO28" s="3"/>
    </row>
    <row r="29" spans="1:74">
      <c r="A29">
        <v>28</v>
      </c>
      <c r="B29" t="s">
        <v>145</v>
      </c>
      <c r="C29" t="s">
        <v>146</v>
      </c>
      <c r="D29" t="s">
        <v>131</v>
      </c>
      <c r="E29" t="s">
        <v>147</v>
      </c>
      <c r="F29" s="1">
        <v>3</v>
      </c>
      <c r="G29" s="1">
        <v>1</v>
      </c>
      <c r="H29" s="1">
        <v>1</v>
      </c>
      <c r="I29" s="1">
        <v>0.33333333333333331</v>
      </c>
      <c r="J29" s="1">
        <v>2.3333333333333335</v>
      </c>
      <c r="K29" s="1">
        <v>1.41</v>
      </c>
      <c r="L29" s="1">
        <v>1.5</v>
      </c>
      <c r="M29" s="1">
        <v>2.91</v>
      </c>
      <c r="N29" s="1">
        <v>11.243333333333334</v>
      </c>
      <c r="O29" s="1"/>
      <c r="P29" s="1">
        <v>4.9527999999999999</v>
      </c>
      <c r="Q29" s="1">
        <v>1.3519999999999999</v>
      </c>
      <c r="R29" s="1">
        <v>3.1702500000000002</v>
      </c>
      <c r="S29" s="1">
        <v>9.4750499999999995</v>
      </c>
      <c r="T29" s="1">
        <v>2.5106250000000001</v>
      </c>
      <c r="U29" s="1">
        <v>0</v>
      </c>
      <c r="V29" s="1">
        <v>3.0714285714285712</v>
      </c>
      <c r="W29" s="1">
        <v>4.2125000000000004</v>
      </c>
      <c r="X29" s="1">
        <v>2.6540714285714286</v>
      </c>
      <c r="Y29" s="1">
        <v>9.7032971428571422</v>
      </c>
      <c r="Z29" s="1"/>
      <c r="AA29" s="2">
        <v>3</v>
      </c>
      <c r="AB29" s="2">
        <v>4</v>
      </c>
      <c r="AC29" s="2">
        <v>7</v>
      </c>
      <c r="AD29" s="2">
        <v>2.0099999999999998</v>
      </c>
      <c r="AE29" s="2">
        <v>2.25</v>
      </c>
      <c r="AF29" s="2">
        <v>0</v>
      </c>
      <c r="AG29" s="1">
        <v>1.6559999999999997</v>
      </c>
      <c r="AH29" s="1">
        <v>8.6559999999999988</v>
      </c>
      <c r="AI29" s="2">
        <v>0.91935483870967738</v>
      </c>
      <c r="AJ29" s="2">
        <v>2</v>
      </c>
      <c r="AK29" s="1">
        <v>1.4596774193548387</v>
      </c>
      <c r="AL29" s="1">
        <v>3.1870000000000003</v>
      </c>
      <c r="AM29" s="1">
        <v>2.5333333333333332</v>
      </c>
      <c r="AN29" s="1">
        <v>15.836010752688169</v>
      </c>
      <c r="AO29" s="2"/>
      <c r="AP29">
        <v>4</v>
      </c>
      <c r="AQ29">
        <v>4</v>
      </c>
      <c r="AR29" s="1">
        <v>2.4900000000000002</v>
      </c>
      <c r="AS29" s="1">
        <v>3.2095000000000002</v>
      </c>
      <c r="AT29" s="1">
        <v>3</v>
      </c>
      <c r="AU29" s="1">
        <v>3.8959999999999999</v>
      </c>
      <c r="AV29" s="1">
        <v>2.9714285714285715</v>
      </c>
      <c r="AW29" s="1">
        <v>2.1875</v>
      </c>
      <c r="AX29" s="1">
        <v>17.754428571428573</v>
      </c>
      <c r="AY29" s="2">
        <v>19.315821428571432</v>
      </c>
      <c r="AZ29" s="2"/>
      <c r="BA29" s="1">
        <v>56.098462657450078</v>
      </c>
      <c r="BB29" s="5">
        <v>137</v>
      </c>
      <c r="BC29" s="5">
        <v>9</v>
      </c>
      <c r="BD29" s="5" t="s">
        <v>99</v>
      </c>
      <c r="BE29" s="3">
        <v>0.87</v>
      </c>
      <c r="BF29" t="s">
        <v>81</v>
      </c>
      <c r="BH29" s="5">
        <v>134</v>
      </c>
      <c r="BI29" s="5">
        <v>3</v>
      </c>
      <c r="BJ29" s="3">
        <v>0.85</v>
      </c>
      <c r="BK29" s="3">
        <v>2.0000000000000018E-2</v>
      </c>
      <c r="BL29" s="5"/>
      <c r="BO29" s="3"/>
    </row>
    <row r="30" spans="1:74">
      <c r="A30">
        <v>29</v>
      </c>
      <c r="B30" t="s">
        <v>148</v>
      </c>
      <c r="C30" t="s">
        <v>83</v>
      </c>
      <c r="D30" t="s">
        <v>65</v>
      </c>
      <c r="E30" s="4" t="s">
        <v>149</v>
      </c>
      <c r="F30" s="1">
        <v>1</v>
      </c>
      <c r="G30" s="1">
        <v>0</v>
      </c>
      <c r="H30" s="1">
        <v>0</v>
      </c>
      <c r="I30" s="1">
        <v>0</v>
      </c>
      <c r="J30" s="1">
        <v>0</v>
      </c>
      <c r="K30" s="1">
        <v>0.33799999999999997</v>
      </c>
      <c r="L30" s="1">
        <v>0</v>
      </c>
      <c r="M30" s="1">
        <v>0.33799999999999997</v>
      </c>
      <c r="N30" s="1">
        <v>2.3380000000000001</v>
      </c>
      <c r="O30" s="1"/>
      <c r="P30" s="1">
        <v>5.3210999999999995</v>
      </c>
      <c r="Q30" s="1">
        <v>2.6092500000000003</v>
      </c>
      <c r="R30" s="1">
        <v>1.498</v>
      </c>
      <c r="S30" s="1">
        <v>9.42835</v>
      </c>
      <c r="T30" s="1">
        <v>3.0387500000000003</v>
      </c>
      <c r="U30" s="1">
        <v>0</v>
      </c>
      <c r="V30" s="1">
        <v>2.8</v>
      </c>
      <c r="W30" s="1">
        <v>3.78</v>
      </c>
      <c r="X30" s="1">
        <v>2.7135000000000002</v>
      </c>
      <c r="Y30" s="1">
        <v>9.7134800000000006</v>
      </c>
      <c r="Z30" s="1"/>
      <c r="AA30" s="2">
        <v>3</v>
      </c>
      <c r="AB30" s="2">
        <v>2</v>
      </c>
      <c r="AC30" s="2">
        <v>5</v>
      </c>
      <c r="AD30" s="2">
        <v>2.2599999999999998</v>
      </c>
      <c r="AE30" s="2">
        <v>1.75</v>
      </c>
      <c r="AF30" s="2">
        <v>0</v>
      </c>
      <c r="AG30" s="1">
        <v>1.706</v>
      </c>
      <c r="AH30" s="1">
        <v>6.7059999999999995</v>
      </c>
      <c r="AI30" s="2">
        <v>2.0105672969966628</v>
      </c>
      <c r="AJ30" s="2">
        <v>2</v>
      </c>
      <c r="AK30" s="1">
        <v>2.0052836484983314</v>
      </c>
      <c r="AL30" s="1">
        <v>3.3140000000000001</v>
      </c>
      <c r="AM30" s="1">
        <v>2.2666666666666666</v>
      </c>
      <c r="AN30" s="1">
        <v>14.291950315164996</v>
      </c>
      <c r="AO30" s="2"/>
      <c r="AP30">
        <v>3</v>
      </c>
      <c r="AQ30">
        <v>3</v>
      </c>
      <c r="AR30" s="1">
        <v>1.1279999999999999</v>
      </c>
      <c r="AS30" s="1">
        <v>3.274</v>
      </c>
      <c r="AT30" s="1">
        <v>1</v>
      </c>
      <c r="AU30" s="1">
        <v>2.75</v>
      </c>
      <c r="AV30" s="1">
        <v>2.8571428571428572</v>
      </c>
      <c r="AW30" s="1">
        <v>1.25</v>
      </c>
      <c r="AX30" s="1">
        <v>12.259142857142859</v>
      </c>
      <c r="AY30" s="2">
        <v>13.694357142857145</v>
      </c>
      <c r="AZ30" s="2"/>
      <c r="BA30" s="1">
        <v>40.037787458022144</v>
      </c>
      <c r="BB30" s="5">
        <v>98</v>
      </c>
      <c r="BC30" s="5">
        <v>34</v>
      </c>
      <c r="BD30" s="5" t="s">
        <v>67</v>
      </c>
      <c r="BE30" s="3">
        <v>0.47</v>
      </c>
      <c r="BF30" t="s">
        <v>81</v>
      </c>
      <c r="BH30" s="5">
        <v>109</v>
      </c>
      <c r="BI30" s="5">
        <v>-11</v>
      </c>
      <c r="BJ30" s="3">
        <v>0.64</v>
      </c>
      <c r="BK30" s="3">
        <v>-0.17000000000000004</v>
      </c>
      <c r="BO30" s="3"/>
      <c r="BR30" s="2"/>
      <c r="BS30" s="5"/>
      <c r="BT30" s="5"/>
      <c r="BU30" s="2"/>
      <c r="BV30" s="5"/>
    </row>
    <row r="31" spans="1:74">
      <c r="A31">
        <v>30</v>
      </c>
      <c r="B31" t="s">
        <v>150</v>
      </c>
      <c r="C31" t="s">
        <v>151</v>
      </c>
      <c r="D31" t="s">
        <v>74</v>
      </c>
      <c r="E31" s="4" t="s">
        <v>152</v>
      </c>
      <c r="F31" s="1">
        <v>5</v>
      </c>
      <c r="G31" s="1">
        <v>0</v>
      </c>
      <c r="H31" s="1">
        <v>0</v>
      </c>
      <c r="I31" s="1">
        <v>0</v>
      </c>
      <c r="J31" s="1">
        <v>0</v>
      </c>
      <c r="K31" s="1">
        <v>0.91900000000000004</v>
      </c>
      <c r="L31" s="1">
        <v>0</v>
      </c>
      <c r="M31" s="1">
        <v>0.91900000000000004</v>
      </c>
      <c r="N31" s="1">
        <v>10.919</v>
      </c>
      <c r="O31" s="1"/>
      <c r="P31" s="1">
        <v>4.5725999999999996</v>
      </c>
      <c r="Q31" s="1">
        <v>1.8860000000000001</v>
      </c>
      <c r="R31" s="1">
        <v>1.86</v>
      </c>
      <c r="S31" s="1">
        <v>8.3186</v>
      </c>
      <c r="T31" s="1">
        <v>1.756875</v>
      </c>
      <c r="U31" s="1">
        <v>0</v>
      </c>
      <c r="V31" s="1">
        <v>2.0285714285714285</v>
      </c>
      <c r="W31" s="1">
        <v>0</v>
      </c>
      <c r="X31" s="1">
        <v>1.5141785714285714</v>
      </c>
      <c r="Y31" s="1">
        <v>7.8662228571428567</v>
      </c>
      <c r="Z31" s="1"/>
      <c r="AA31" s="2">
        <v>2</v>
      </c>
      <c r="AB31" s="2">
        <v>2</v>
      </c>
      <c r="AC31" s="2">
        <v>4</v>
      </c>
      <c r="AD31" s="2">
        <v>1.26</v>
      </c>
      <c r="AE31" s="2">
        <v>2</v>
      </c>
      <c r="AF31" s="2">
        <v>2.0833333333333335</v>
      </c>
      <c r="AG31" s="1">
        <v>1.5726666666666669</v>
      </c>
      <c r="AH31" s="1">
        <v>5.5726666666666667</v>
      </c>
      <c r="AI31" s="2">
        <v>0.59677419354838712</v>
      </c>
      <c r="AJ31" s="2">
        <v>0.5</v>
      </c>
      <c r="AK31" s="1">
        <v>0.54838709677419351</v>
      </c>
      <c r="AL31" s="1">
        <v>1.712</v>
      </c>
      <c r="AM31" s="1">
        <v>3.8</v>
      </c>
      <c r="AN31" s="1">
        <v>11.633053763440859</v>
      </c>
      <c r="AO31" s="2"/>
      <c r="AP31">
        <v>3</v>
      </c>
      <c r="AQ31">
        <v>4</v>
      </c>
      <c r="AR31" s="1">
        <v>1.6919999999999999</v>
      </c>
      <c r="AS31" s="1">
        <v>4.25</v>
      </c>
      <c r="AT31" s="1">
        <v>1.75</v>
      </c>
      <c r="AU31" s="1">
        <v>2.3959999999999999</v>
      </c>
      <c r="AV31" s="1">
        <v>3.2</v>
      </c>
      <c r="AW31" s="1">
        <v>1.875</v>
      </c>
      <c r="AX31" s="1">
        <v>15.163</v>
      </c>
      <c r="AY31" s="2">
        <v>16.622250000000001</v>
      </c>
      <c r="AZ31" s="2"/>
      <c r="BA31" s="1">
        <v>47.040526620583719</v>
      </c>
      <c r="BB31" s="5">
        <v>115</v>
      </c>
      <c r="BC31" s="5">
        <v>21</v>
      </c>
      <c r="BD31" s="5" t="s">
        <v>99</v>
      </c>
      <c r="BE31" s="3">
        <v>0.65</v>
      </c>
      <c r="BF31" t="s">
        <v>81</v>
      </c>
      <c r="BH31" s="5">
        <v>113</v>
      </c>
      <c r="BI31" s="5">
        <v>2</v>
      </c>
      <c r="BJ31" s="3">
        <v>0.7</v>
      </c>
      <c r="BK31" s="3">
        <v>-4.9999999999999933E-2</v>
      </c>
      <c r="BO31" s="3"/>
    </row>
    <row r="32" spans="1:74">
      <c r="A32">
        <v>31</v>
      </c>
      <c r="B32" t="s">
        <v>153</v>
      </c>
      <c r="C32" t="s">
        <v>154</v>
      </c>
      <c r="D32" t="s">
        <v>74</v>
      </c>
      <c r="E32" s="4" t="s">
        <v>155</v>
      </c>
      <c r="F32" s="1">
        <v>5</v>
      </c>
      <c r="G32" s="1">
        <v>0</v>
      </c>
      <c r="H32" s="1">
        <v>0</v>
      </c>
      <c r="I32" s="1">
        <v>0</v>
      </c>
      <c r="J32" s="1">
        <v>0</v>
      </c>
      <c r="K32" s="1">
        <v>1.6840000000000002</v>
      </c>
      <c r="L32" s="1">
        <v>0.25</v>
      </c>
      <c r="M32" s="1">
        <v>1.9340000000000002</v>
      </c>
      <c r="N32" s="1">
        <v>11.934000000000001</v>
      </c>
      <c r="O32" s="1"/>
      <c r="P32" s="1">
        <v>4.4459</v>
      </c>
      <c r="Q32" s="1">
        <v>3.15625</v>
      </c>
      <c r="R32" s="1">
        <v>2.0575000000000001</v>
      </c>
      <c r="S32" s="1">
        <v>9.6596499999999992</v>
      </c>
      <c r="T32" s="1">
        <v>2.9749999999999996</v>
      </c>
      <c r="U32" s="1">
        <v>1.25</v>
      </c>
      <c r="V32" s="1">
        <v>4.3142857142857141</v>
      </c>
      <c r="W32" s="1">
        <v>3.6233333333333335</v>
      </c>
      <c r="X32" s="1">
        <v>3.4030476190476189</v>
      </c>
      <c r="Y32" s="1">
        <v>10.450158095238095</v>
      </c>
      <c r="Z32" s="1"/>
      <c r="AA32" s="2">
        <v>4</v>
      </c>
      <c r="AB32" s="2">
        <v>3</v>
      </c>
      <c r="AC32" s="2">
        <v>7</v>
      </c>
      <c r="AD32" s="2">
        <v>1.76</v>
      </c>
      <c r="AE32" s="2">
        <v>2.5</v>
      </c>
      <c r="AF32" s="2">
        <v>1.1416666666666668</v>
      </c>
      <c r="AG32" s="1">
        <v>1.7843333333333335</v>
      </c>
      <c r="AH32" s="1">
        <v>8.7843333333333327</v>
      </c>
      <c r="AI32" s="2">
        <v>4.4226918798665187</v>
      </c>
      <c r="AJ32" s="2">
        <v>3.5</v>
      </c>
      <c r="AK32" s="1">
        <v>3.9613459399332593</v>
      </c>
      <c r="AL32" s="1">
        <v>2.9329999999999998</v>
      </c>
      <c r="AM32" s="1">
        <v>3.5333333333333332</v>
      </c>
      <c r="AN32" s="1">
        <v>19.212012606599927</v>
      </c>
      <c r="AO32" s="2"/>
      <c r="AP32">
        <v>4</v>
      </c>
      <c r="AQ32">
        <v>4</v>
      </c>
      <c r="AR32" s="1">
        <v>1.8220000000000001</v>
      </c>
      <c r="AS32" s="1">
        <v>4</v>
      </c>
      <c r="AT32" s="1">
        <v>1.75</v>
      </c>
      <c r="AU32" s="1">
        <v>3.6459999999999999</v>
      </c>
      <c r="AV32" s="1">
        <v>4.0571428571428569</v>
      </c>
      <c r="AW32" s="1">
        <v>1.875</v>
      </c>
      <c r="AX32" s="1">
        <v>17.150142857142857</v>
      </c>
      <c r="AY32" s="2">
        <v>18.862607142857144</v>
      </c>
      <c r="AZ32" s="2"/>
      <c r="BA32" s="1">
        <v>60.458777844695163</v>
      </c>
      <c r="BB32" s="5">
        <v>148</v>
      </c>
      <c r="BC32" s="5">
        <v>3</v>
      </c>
      <c r="BD32" s="5" t="s">
        <v>95</v>
      </c>
      <c r="BE32" s="3">
        <v>0.95</v>
      </c>
      <c r="BF32" t="s">
        <v>68</v>
      </c>
      <c r="BH32" s="5">
        <v>143</v>
      </c>
      <c r="BI32" s="5">
        <v>5</v>
      </c>
      <c r="BJ32" s="3">
        <v>0.97</v>
      </c>
      <c r="BK32" s="3">
        <v>-2.0000000000000018E-2</v>
      </c>
      <c r="BL32" s="5"/>
      <c r="BO32" s="3"/>
      <c r="BR32" s="2"/>
      <c r="BS32" s="5"/>
      <c r="BT32" s="5"/>
      <c r="BU32" s="2"/>
      <c r="BV32" s="5"/>
    </row>
    <row r="33" spans="1:74">
      <c r="A33">
        <v>32</v>
      </c>
      <c r="B33" t="s">
        <v>156</v>
      </c>
      <c r="C33" t="s">
        <v>156</v>
      </c>
      <c r="D33" t="s">
        <v>79</v>
      </c>
      <c r="E33" s="4" t="s">
        <v>157</v>
      </c>
      <c r="F33" s="1">
        <v>5</v>
      </c>
      <c r="G33" s="1">
        <v>1.5</v>
      </c>
      <c r="H33" s="1">
        <v>1</v>
      </c>
      <c r="I33" s="1">
        <v>0.375</v>
      </c>
      <c r="J33" s="1">
        <v>2.875</v>
      </c>
      <c r="K33" s="1">
        <v>1.5149999999999999</v>
      </c>
      <c r="L33" s="1">
        <v>0.5</v>
      </c>
      <c r="M33" s="1">
        <v>2.0149999999999997</v>
      </c>
      <c r="N33" s="1">
        <v>14.89</v>
      </c>
      <c r="O33" s="1"/>
      <c r="P33" s="1">
        <v>3.9172000000000002</v>
      </c>
      <c r="Q33" s="1">
        <v>1.3915000000000002</v>
      </c>
      <c r="R33" s="1">
        <v>2.7277499999999999</v>
      </c>
      <c r="S33" s="1">
        <v>8.0364500000000003</v>
      </c>
      <c r="T33" s="1">
        <v>2.390625</v>
      </c>
      <c r="U33" s="1">
        <v>0.52500000000000002</v>
      </c>
      <c r="V33" s="1">
        <v>2.6428571428571432</v>
      </c>
      <c r="W33" s="1">
        <v>4.2958333333333334</v>
      </c>
      <c r="X33" s="1">
        <v>2.4954761904761908</v>
      </c>
      <c r="Y33" s="1">
        <v>8.4255409523809526</v>
      </c>
      <c r="Z33" s="1"/>
      <c r="AA33" s="2">
        <v>3</v>
      </c>
      <c r="AB33" s="2">
        <v>4</v>
      </c>
      <c r="AC33" s="2">
        <v>7</v>
      </c>
      <c r="AD33" s="2">
        <v>2.76</v>
      </c>
      <c r="AE33" s="2">
        <v>2</v>
      </c>
      <c r="AF33" s="2">
        <v>2.1616666666666666</v>
      </c>
      <c r="AG33" s="1">
        <v>2.4883333333333333</v>
      </c>
      <c r="AH33" s="1">
        <v>9.4883333333333333</v>
      </c>
      <c r="AI33" s="2">
        <v>0.967741935483871</v>
      </c>
      <c r="AJ33" s="2">
        <v>1.75</v>
      </c>
      <c r="AK33" s="1">
        <v>1.3588709677419355</v>
      </c>
      <c r="AL33" s="1">
        <v>4.1240000000000006</v>
      </c>
      <c r="AM33" s="1">
        <v>2.333333333333333</v>
      </c>
      <c r="AN33" s="1">
        <v>17.304537634408604</v>
      </c>
      <c r="AO33" s="2"/>
      <c r="AP33">
        <v>4</v>
      </c>
      <c r="AQ33">
        <v>4</v>
      </c>
      <c r="AR33" s="1">
        <v>3.06</v>
      </c>
      <c r="AS33" s="1">
        <v>2.6425000000000001</v>
      </c>
      <c r="AT33" s="1">
        <v>1.75</v>
      </c>
      <c r="AU33" s="1">
        <v>2.6459999999999999</v>
      </c>
      <c r="AV33" s="1">
        <v>2.2571428571428571</v>
      </c>
      <c r="AW33" s="1">
        <v>0.625</v>
      </c>
      <c r="AX33" s="1">
        <v>12.980642857142858</v>
      </c>
      <c r="AY33" s="2">
        <v>15.735482142857144</v>
      </c>
      <c r="AZ33" s="2"/>
      <c r="BA33" s="1">
        <v>56.355560729646704</v>
      </c>
      <c r="BB33" s="5">
        <v>138</v>
      </c>
      <c r="BC33" s="5">
        <v>8</v>
      </c>
      <c r="BD33" s="5" t="s">
        <v>99</v>
      </c>
      <c r="BE33" s="3">
        <v>0.88</v>
      </c>
      <c r="BF33" t="s">
        <v>68</v>
      </c>
      <c r="BH33" s="5"/>
      <c r="BI33" s="5" t="s">
        <v>89</v>
      </c>
      <c r="BJ33" s="3"/>
      <c r="BK33" s="3" t="s">
        <v>89</v>
      </c>
      <c r="BL33" s="5"/>
      <c r="BO33" s="3"/>
    </row>
    <row r="34" spans="1:74">
      <c r="A34">
        <v>33</v>
      </c>
      <c r="B34" t="s">
        <v>158</v>
      </c>
      <c r="C34" t="s">
        <v>159</v>
      </c>
      <c r="D34" t="s">
        <v>79</v>
      </c>
      <c r="E34" s="4" t="s">
        <v>160</v>
      </c>
      <c r="F34" s="1">
        <v>3</v>
      </c>
      <c r="G34" s="1">
        <v>0</v>
      </c>
      <c r="H34" s="1">
        <v>0</v>
      </c>
      <c r="I34" s="1">
        <v>0</v>
      </c>
      <c r="J34" s="1">
        <v>0</v>
      </c>
      <c r="K34" s="1">
        <v>0</v>
      </c>
      <c r="L34" s="1">
        <v>0</v>
      </c>
      <c r="M34" s="1">
        <v>0</v>
      </c>
      <c r="N34" s="1">
        <v>6</v>
      </c>
      <c r="O34" s="1"/>
      <c r="P34" s="1">
        <v>2.8980999999999999</v>
      </c>
      <c r="Q34" s="1">
        <v>1.2217499999999999</v>
      </c>
      <c r="R34" s="1">
        <v>0.54374999999999996</v>
      </c>
      <c r="S34" s="1">
        <v>4.6635999999999997</v>
      </c>
      <c r="T34" s="1">
        <v>0</v>
      </c>
      <c r="U34" s="1">
        <v>0</v>
      </c>
      <c r="V34" s="1">
        <v>0</v>
      </c>
      <c r="W34" s="1">
        <v>0</v>
      </c>
      <c r="X34" s="1">
        <v>0</v>
      </c>
      <c r="Y34" s="1">
        <v>3.73088</v>
      </c>
      <c r="Z34" s="1"/>
      <c r="AA34" s="2">
        <v>2</v>
      </c>
      <c r="AB34" s="2">
        <v>2</v>
      </c>
      <c r="AC34" s="2">
        <v>4</v>
      </c>
      <c r="AD34" s="2">
        <v>1.04</v>
      </c>
      <c r="AE34" s="2">
        <v>0.25</v>
      </c>
      <c r="AF34" s="2">
        <v>1.4366666666666668</v>
      </c>
      <c r="AG34" s="1">
        <v>0.96133333333333337</v>
      </c>
      <c r="AH34" s="1">
        <v>4.9613333333333332</v>
      </c>
      <c r="AI34" s="2">
        <v>0</v>
      </c>
      <c r="AJ34" s="2">
        <v>0</v>
      </c>
      <c r="AK34" s="1">
        <v>0</v>
      </c>
      <c r="AL34" s="1">
        <v>1.901</v>
      </c>
      <c r="AM34" s="1">
        <v>0</v>
      </c>
      <c r="AN34" s="1">
        <v>6.862333333333333</v>
      </c>
      <c r="AO34" s="2"/>
      <c r="AP34">
        <v>3</v>
      </c>
      <c r="AQ34">
        <v>2</v>
      </c>
      <c r="AR34" s="1">
        <v>2.0680000000000001</v>
      </c>
      <c r="AS34" s="1">
        <v>1.2095</v>
      </c>
      <c r="AT34" s="1">
        <v>0</v>
      </c>
      <c r="AU34" s="1">
        <v>1.2809999999999999</v>
      </c>
      <c r="AV34" s="1">
        <v>0</v>
      </c>
      <c r="AW34" s="1">
        <v>0</v>
      </c>
      <c r="AX34" s="1">
        <v>4.5584999999999996</v>
      </c>
      <c r="AY34" s="2">
        <v>7.168874999999999</v>
      </c>
      <c r="AZ34" s="2"/>
      <c r="BA34" s="1">
        <v>23.762088333333331</v>
      </c>
      <c r="BB34" s="5">
        <v>58</v>
      </c>
      <c r="BC34" s="5">
        <v>57</v>
      </c>
      <c r="BD34" s="5" t="s">
        <v>76</v>
      </c>
      <c r="BE34" s="3">
        <v>0.11</v>
      </c>
      <c r="BF34" t="s">
        <v>133</v>
      </c>
      <c r="BH34" s="5"/>
      <c r="BI34" s="5" t="s">
        <v>89</v>
      </c>
      <c r="BJ34" s="3"/>
      <c r="BK34" s="3" t="s">
        <v>89</v>
      </c>
      <c r="BO34" s="3"/>
      <c r="BR34" s="2"/>
      <c r="BS34" s="5"/>
      <c r="BT34" s="5"/>
      <c r="BU34" s="2"/>
      <c r="BV34" s="5"/>
    </row>
    <row r="35" spans="1:74">
      <c r="A35">
        <v>34</v>
      </c>
      <c r="B35" t="s">
        <v>161</v>
      </c>
      <c r="C35" t="s">
        <v>161</v>
      </c>
      <c r="D35" t="s">
        <v>79</v>
      </c>
      <c r="E35" s="4" t="s">
        <v>162</v>
      </c>
      <c r="F35" s="1">
        <v>3.5</v>
      </c>
      <c r="G35" s="1">
        <v>0</v>
      </c>
      <c r="H35" s="1">
        <v>0</v>
      </c>
      <c r="I35" s="1">
        <v>0</v>
      </c>
      <c r="J35" s="1">
        <v>0</v>
      </c>
      <c r="K35" s="1">
        <v>0.60450000000000004</v>
      </c>
      <c r="L35" s="1">
        <v>0.25</v>
      </c>
      <c r="M35" s="1">
        <v>0.85450000000000004</v>
      </c>
      <c r="N35" s="1">
        <v>7.8544999999999998</v>
      </c>
      <c r="O35" s="1"/>
      <c r="P35" s="1">
        <v>3.6875</v>
      </c>
      <c r="Q35" s="1">
        <v>2.3140000000000001</v>
      </c>
      <c r="R35" s="1">
        <v>2.2152500000000002</v>
      </c>
      <c r="S35" s="1">
        <v>8.2167500000000011</v>
      </c>
      <c r="T35" s="1">
        <v>1.9300000000000002</v>
      </c>
      <c r="U35" s="1">
        <v>0</v>
      </c>
      <c r="V35" s="1">
        <v>2.8</v>
      </c>
      <c r="W35" s="1">
        <v>3.1291666666666669</v>
      </c>
      <c r="X35" s="1">
        <v>2.2049166666666666</v>
      </c>
      <c r="Y35" s="1">
        <v>8.3373333333333335</v>
      </c>
      <c r="Z35" s="1"/>
      <c r="AA35" s="2">
        <v>2</v>
      </c>
      <c r="AB35" s="2">
        <v>3</v>
      </c>
      <c r="AC35" s="2">
        <v>5</v>
      </c>
      <c r="AD35" s="2">
        <v>0.51</v>
      </c>
      <c r="AE35" s="2">
        <v>0.75</v>
      </c>
      <c r="AF35" s="2">
        <v>0.68500000000000005</v>
      </c>
      <c r="AG35" s="1">
        <v>0.59299999999999997</v>
      </c>
      <c r="AH35" s="1">
        <v>5.593</v>
      </c>
      <c r="AI35" s="2">
        <v>0.4838709677419355</v>
      </c>
      <c r="AJ35" s="2">
        <v>1</v>
      </c>
      <c r="AK35" s="1">
        <v>0.74193548387096775</v>
      </c>
      <c r="AL35" s="1">
        <v>2.7589999999999999</v>
      </c>
      <c r="AM35" s="1">
        <v>2.8666666666666663</v>
      </c>
      <c r="AN35" s="1">
        <v>11.960602150537635</v>
      </c>
      <c r="AO35" s="2"/>
      <c r="AP35">
        <v>4</v>
      </c>
      <c r="AQ35">
        <v>4</v>
      </c>
      <c r="AR35" s="1">
        <v>1.3819999999999999</v>
      </c>
      <c r="AS35" s="1">
        <v>1.8924999999999998</v>
      </c>
      <c r="AT35" s="1">
        <v>0.75</v>
      </c>
      <c r="AU35" s="1">
        <v>2.1459999999999999</v>
      </c>
      <c r="AV35" s="1">
        <v>1.7714285714285714</v>
      </c>
      <c r="AW35" s="1">
        <v>1.875</v>
      </c>
      <c r="AX35" s="1">
        <v>9.816928571428571</v>
      </c>
      <c r="AY35" s="2">
        <v>13.362696428571427</v>
      </c>
      <c r="AZ35" s="2"/>
      <c r="BA35" s="1">
        <v>41.515131912442399</v>
      </c>
      <c r="BB35" s="5">
        <v>102</v>
      </c>
      <c r="BC35" s="5">
        <v>31</v>
      </c>
      <c r="BD35" s="5" t="s">
        <v>67</v>
      </c>
      <c r="BE35" s="3">
        <v>0.52</v>
      </c>
      <c r="BF35" t="s">
        <v>68</v>
      </c>
      <c r="BH35" s="5"/>
      <c r="BI35" s="5" t="s">
        <v>89</v>
      </c>
      <c r="BJ35" s="3"/>
      <c r="BK35" s="3" t="s">
        <v>89</v>
      </c>
      <c r="BO35" s="3"/>
      <c r="BR35" s="2"/>
      <c r="BS35" s="5"/>
      <c r="BT35" s="5"/>
      <c r="BU35" s="2"/>
      <c r="BV35" s="5"/>
    </row>
    <row r="36" spans="1:74">
      <c r="A36">
        <v>35</v>
      </c>
      <c r="B36" t="s">
        <v>163</v>
      </c>
      <c r="C36" t="s">
        <v>163</v>
      </c>
      <c r="D36" t="s">
        <v>79</v>
      </c>
      <c r="E36" s="4" t="s">
        <v>164</v>
      </c>
      <c r="F36" s="1">
        <v>1</v>
      </c>
      <c r="G36" s="1">
        <v>1</v>
      </c>
      <c r="H36" s="1">
        <v>0</v>
      </c>
      <c r="I36" s="1">
        <v>0.25</v>
      </c>
      <c r="J36" s="1">
        <v>1.25</v>
      </c>
      <c r="K36" s="1">
        <v>0.47550000000000003</v>
      </c>
      <c r="L36" s="1">
        <v>0</v>
      </c>
      <c r="M36" s="1">
        <v>0.47550000000000003</v>
      </c>
      <c r="N36" s="1">
        <v>3.7255000000000003</v>
      </c>
      <c r="O36" s="1"/>
      <c r="P36" s="1">
        <v>2.7178</v>
      </c>
      <c r="Q36" s="1">
        <v>1.1067499999999999</v>
      </c>
      <c r="R36" s="1">
        <v>2.3914999999999997</v>
      </c>
      <c r="S36" s="1">
        <v>6.2160499999999992</v>
      </c>
      <c r="T36" s="1">
        <v>1.0250000000000001</v>
      </c>
      <c r="U36" s="1">
        <v>0</v>
      </c>
      <c r="V36" s="1">
        <v>1.7857142857142858</v>
      </c>
      <c r="W36" s="1">
        <v>3.2583333333333337</v>
      </c>
      <c r="X36" s="1">
        <v>1.450119047619048</v>
      </c>
      <c r="Y36" s="1">
        <v>6.1329352380952376</v>
      </c>
      <c r="Z36" s="1"/>
      <c r="AA36" s="2">
        <v>3</v>
      </c>
      <c r="AB36" s="2">
        <v>2</v>
      </c>
      <c r="AC36" s="2">
        <v>5</v>
      </c>
      <c r="AD36" s="2">
        <v>1.01</v>
      </c>
      <c r="AE36" s="2">
        <v>0.75</v>
      </c>
      <c r="AF36" s="2">
        <v>0.68500000000000005</v>
      </c>
      <c r="AG36" s="1">
        <v>0.89300000000000002</v>
      </c>
      <c r="AH36" s="1">
        <v>5.8929999999999998</v>
      </c>
      <c r="AI36" s="2">
        <v>0.87096774193548387</v>
      </c>
      <c r="AJ36" s="2">
        <v>0.5</v>
      </c>
      <c r="AK36" s="1">
        <v>0.68548387096774199</v>
      </c>
      <c r="AL36" s="1">
        <v>2.1739999999999999</v>
      </c>
      <c r="AM36" s="1">
        <v>2.2666666666666666</v>
      </c>
      <c r="AN36" s="1">
        <v>11.01915053763441</v>
      </c>
      <c r="AO36" s="2"/>
      <c r="AP36">
        <v>3</v>
      </c>
      <c r="AQ36">
        <v>2</v>
      </c>
      <c r="AR36" s="1">
        <v>2.6840000000000002</v>
      </c>
      <c r="AS36" s="1">
        <v>1.1425000000000001</v>
      </c>
      <c r="AT36" s="1">
        <v>2.5</v>
      </c>
      <c r="AU36" s="1">
        <v>1.738</v>
      </c>
      <c r="AV36" s="1">
        <v>1.0571428571428572</v>
      </c>
      <c r="AW36" s="1">
        <v>2.5</v>
      </c>
      <c r="AX36" s="1">
        <v>11.621642857142858</v>
      </c>
      <c r="AY36" s="2">
        <v>12.466232142857145</v>
      </c>
      <c r="AZ36" s="2"/>
      <c r="BA36" s="1">
        <v>33.343817918586794</v>
      </c>
      <c r="BB36" s="5">
        <v>82</v>
      </c>
      <c r="BC36" s="5">
        <v>49</v>
      </c>
      <c r="BD36" s="5" t="s">
        <v>86</v>
      </c>
      <c r="BE36" s="3">
        <v>0.23</v>
      </c>
      <c r="BF36" t="s">
        <v>68</v>
      </c>
      <c r="BH36" s="5">
        <v>88</v>
      </c>
      <c r="BI36" s="5">
        <v>-6</v>
      </c>
      <c r="BJ36" s="3">
        <v>0.25</v>
      </c>
      <c r="BK36" s="3">
        <v>-1.999999999999999E-2</v>
      </c>
      <c r="BO36" s="3"/>
    </row>
    <row r="37" spans="1:74">
      <c r="A37">
        <v>36</v>
      </c>
      <c r="B37" t="s">
        <v>165</v>
      </c>
      <c r="C37" t="s">
        <v>107</v>
      </c>
      <c r="D37" t="s">
        <v>79</v>
      </c>
      <c r="E37" s="4" t="s">
        <v>166</v>
      </c>
      <c r="F37" s="1">
        <v>3.5</v>
      </c>
      <c r="G37" s="1">
        <v>1</v>
      </c>
      <c r="H37" s="1">
        <v>1.25</v>
      </c>
      <c r="I37" s="1">
        <v>0.25</v>
      </c>
      <c r="J37" s="1">
        <v>2.5</v>
      </c>
      <c r="K37" s="1">
        <v>1.9915</v>
      </c>
      <c r="L37" s="1">
        <v>0.75</v>
      </c>
      <c r="M37" s="1">
        <v>2.7415000000000003</v>
      </c>
      <c r="N37" s="1">
        <v>12.2415</v>
      </c>
      <c r="O37" s="1"/>
      <c r="P37" s="1">
        <v>5.0465999999999998</v>
      </c>
      <c r="Q37" s="1">
        <v>3.06575</v>
      </c>
      <c r="R37" s="1">
        <v>3.1192499999999996</v>
      </c>
      <c r="S37" s="1">
        <v>11.231599999999998</v>
      </c>
      <c r="T37" s="1">
        <v>2.7493750000000001</v>
      </c>
      <c r="U37" s="1">
        <v>0</v>
      </c>
      <c r="V37" s="1">
        <v>1.0571428571428572</v>
      </c>
      <c r="W37" s="1">
        <v>0</v>
      </c>
      <c r="X37" s="1">
        <v>1.5226071428571428</v>
      </c>
      <c r="Y37" s="1">
        <v>10.203365714285713</v>
      </c>
      <c r="Z37" s="1"/>
      <c r="AA37" s="2">
        <v>5</v>
      </c>
      <c r="AB37" s="2">
        <v>5</v>
      </c>
      <c r="AC37" s="2">
        <v>10</v>
      </c>
      <c r="AD37" s="2">
        <v>1.6800000000000002</v>
      </c>
      <c r="AE37" s="2">
        <v>1.5</v>
      </c>
      <c r="AF37" s="2">
        <v>1.7066666666666668</v>
      </c>
      <c r="AG37" s="1">
        <v>1.6493333333333333</v>
      </c>
      <c r="AH37" s="1">
        <v>11.649333333333333</v>
      </c>
      <c r="AI37" s="2">
        <v>0.82258064516129026</v>
      </c>
      <c r="AJ37" s="2">
        <v>0.75</v>
      </c>
      <c r="AK37" s="1">
        <v>0.78629032258064513</v>
      </c>
      <c r="AL37" s="1">
        <v>4.6970000000000001</v>
      </c>
      <c r="AM37" s="1">
        <v>0</v>
      </c>
      <c r="AN37" s="1">
        <v>17.132623655913978</v>
      </c>
      <c r="AO37" s="2"/>
      <c r="AP37">
        <v>5</v>
      </c>
      <c r="AQ37">
        <v>5</v>
      </c>
      <c r="AR37" s="1">
        <v>1.286</v>
      </c>
      <c r="AS37" s="1">
        <v>2.3925000000000001</v>
      </c>
      <c r="AT37" s="1">
        <v>3.5</v>
      </c>
      <c r="AU37" s="1">
        <v>1.238</v>
      </c>
      <c r="AV37" s="1">
        <v>2.2571428571428571</v>
      </c>
      <c r="AW37" s="1">
        <v>3.4375</v>
      </c>
      <c r="AX37" s="1">
        <v>14.111142857142855</v>
      </c>
      <c r="AY37" s="2">
        <v>18.083357142857142</v>
      </c>
      <c r="AZ37" s="2"/>
      <c r="BA37" s="1">
        <v>57.660846513056825</v>
      </c>
      <c r="BB37" s="5">
        <v>141</v>
      </c>
      <c r="BC37" s="5">
        <v>7</v>
      </c>
      <c r="BD37" s="5" t="s">
        <v>95</v>
      </c>
      <c r="BE37" s="3">
        <v>0.9</v>
      </c>
      <c r="BF37" t="s">
        <v>81</v>
      </c>
      <c r="BH37" s="5">
        <v>127</v>
      </c>
      <c r="BI37" s="5">
        <v>14</v>
      </c>
      <c r="BJ37" s="3">
        <v>0.83</v>
      </c>
      <c r="BK37" s="3">
        <v>7.0000000000000062E-2</v>
      </c>
      <c r="BO37" s="3"/>
    </row>
    <row r="38" spans="1:74">
      <c r="A38">
        <v>37</v>
      </c>
      <c r="B38" t="s">
        <v>167</v>
      </c>
      <c r="C38" t="s">
        <v>167</v>
      </c>
      <c r="D38" t="s">
        <v>65</v>
      </c>
      <c r="E38" s="4" t="s">
        <v>168</v>
      </c>
      <c r="F38" s="1">
        <v>0</v>
      </c>
      <c r="G38" s="1">
        <v>0</v>
      </c>
      <c r="H38" s="1">
        <v>0</v>
      </c>
      <c r="I38" s="1">
        <v>0</v>
      </c>
      <c r="J38" s="1">
        <v>0</v>
      </c>
      <c r="K38" s="1">
        <v>0.87850000000000006</v>
      </c>
      <c r="L38" s="1">
        <v>0</v>
      </c>
      <c r="M38" s="1">
        <v>0.87850000000000006</v>
      </c>
      <c r="N38" s="1">
        <v>0.87850000000000006</v>
      </c>
      <c r="O38" s="1"/>
      <c r="P38" s="1">
        <v>1.8280000000000001</v>
      </c>
      <c r="Q38" s="1">
        <v>2.5647500000000001</v>
      </c>
      <c r="R38" s="1">
        <v>0</v>
      </c>
      <c r="S38" s="1">
        <v>4.3927500000000004</v>
      </c>
      <c r="T38" s="1">
        <v>0</v>
      </c>
      <c r="U38" s="1">
        <v>0</v>
      </c>
      <c r="V38" s="1">
        <v>0.56428571428571428</v>
      </c>
      <c r="W38" s="1">
        <v>0</v>
      </c>
      <c r="X38" s="1">
        <v>0.22571428571428573</v>
      </c>
      <c r="Y38" s="1">
        <v>3.6947714285714293</v>
      </c>
      <c r="Z38" s="1"/>
      <c r="AA38" s="2">
        <v>2</v>
      </c>
      <c r="AB38" s="2">
        <v>2</v>
      </c>
      <c r="AC38" s="2">
        <v>4</v>
      </c>
      <c r="AD38" s="2">
        <v>0.26</v>
      </c>
      <c r="AE38" s="2">
        <v>0.5</v>
      </c>
      <c r="AF38" s="2">
        <v>0.49666666666666665</v>
      </c>
      <c r="AG38" s="1">
        <v>0.35533333333333333</v>
      </c>
      <c r="AH38" s="1">
        <v>4.3553333333333333</v>
      </c>
      <c r="AI38" s="2">
        <v>0</v>
      </c>
      <c r="AJ38" s="2">
        <v>1.25</v>
      </c>
      <c r="AK38" s="1">
        <v>0.625</v>
      </c>
      <c r="AL38" s="1">
        <v>1.125</v>
      </c>
      <c r="AM38" s="1">
        <v>0</v>
      </c>
      <c r="AN38" s="1">
        <v>6.1053333333333333</v>
      </c>
      <c r="AO38" s="2"/>
      <c r="AP38">
        <v>2</v>
      </c>
      <c r="AQ38">
        <v>1</v>
      </c>
      <c r="AR38" s="1">
        <v>0.44599999999999995</v>
      </c>
      <c r="AS38" s="1">
        <v>1.274</v>
      </c>
      <c r="AT38" s="1">
        <v>0</v>
      </c>
      <c r="AU38" s="1">
        <v>0</v>
      </c>
      <c r="AV38" s="1">
        <v>0</v>
      </c>
      <c r="AW38" s="1">
        <v>0</v>
      </c>
      <c r="AX38" s="1">
        <v>1.72</v>
      </c>
      <c r="AY38" s="2">
        <v>3.54</v>
      </c>
      <c r="AZ38" s="2"/>
      <c r="BA38" s="1">
        <v>14.218604761904761</v>
      </c>
      <c r="BB38" s="5">
        <v>35</v>
      </c>
      <c r="BC38" s="5">
        <v>64</v>
      </c>
      <c r="BD38" s="5" t="s">
        <v>76</v>
      </c>
      <c r="BE38" s="3">
        <v>0</v>
      </c>
      <c r="BF38" t="s">
        <v>133</v>
      </c>
      <c r="BH38" s="5">
        <v>44</v>
      </c>
      <c r="BI38" s="5">
        <v>-9</v>
      </c>
      <c r="BJ38" s="3">
        <v>0</v>
      </c>
      <c r="BK38" s="3">
        <v>0</v>
      </c>
      <c r="BO38" s="3"/>
      <c r="BR38" s="2"/>
      <c r="BS38" s="5"/>
      <c r="BT38" s="5"/>
      <c r="BU38" s="2"/>
      <c r="BV38" s="5"/>
    </row>
    <row r="39" spans="1:74">
      <c r="A39">
        <v>38</v>
      </c>
      <c r="B39" t="s">
        <v>169</v>
      </c>
      <c r="C39" t="s">
        <v>107</v>
      </c>
      <c r="D39" t="s">
        <v>74</v>
      </c>
      <c r="E39" s="4" t="s">
        <v>170</v>
      </c>
      <c r="F39" s="1">
        <v>1</v>
      </c>
      <c r="G39" s="1">
        <v>0</v>
      </c>
      <c r="H39" s="1">
        <v>0</v>
      </c>
      <c r="I39" s="1">
        <v>0</v>
      </c>
      <c r="J39" s="1">
        <v>0</v>
      </c>
      <c r="K39" s="1">
        <v>1.9259999999999999</v>
      </c>
      <c r="L39" s="1">
        <v>0</v>
      </c>
      <c r="M39" s="1">
        <v>1.9259999999999999</v>
      </c>
      <c r="N39" s="1">
        <v>3.9260000000000002</v>
      </c>
      <c r="O39" s="1"/>
      <c r="P39" s="1">
        <v>4.5539000000000005</v>
      </c>
      <c r="Q39" s="1">
        <v>2.5834999999999999</v>
      </c>
      <c r="R39" s="1">
        <v>1.91825</v>
      </c>
      <c r="S39" s="1">
        <v>9.05565</v>
      </c>
      <c r="T39" s="1">
        <v>3.1906250000000003</v>
      </c>
      <c r="U39" s="1">
        <v>0.52500000000000002</v>
      </c>
      <c r="V39" s="1">
        <v>3.4357142857142855</v>
      </c>
      <c r="W39" s="1">
        <v>4.3225000000000007</v>
      </c>
      <c r="X39" s="1">
        <v>3.1352857142857147</v>
      </c>
      <c r="Y39" s="1">
        <v>9.7527485714285724</v>
      </c>
      <c r="Z39" s="1"/>
      <c r="AA39" s="2">
        <v>3</v>
      </c>
      <c r="AB39" s="2">
        <v>4</v>
      </c>
      <c r="AC39" s="2">
        <v>7</v>
      </c>
      <c r="AD39" s="2">
        <v>2.0099999999999998</v>
      </c>
      <c r="AE39" s="2">
        <v>1.75</v>
      </c>
      <c r="AF39" s="2">
        <v>1.1416666666666668</v>
      </c>
      <c r="AG39" s="1">
        <v>1.7843333333333331</v>
      </c>
      <c r="AH39" s="1">
        <v>8.7843333333333327</v>
      </c>
      <c r="AI39" s="2">
        <v>0.5161290322580645</v>
      </c>
      <c r="AJ39" s="2">
        <v>2.75</v>
      </c>
      <c r="AK39" s="1">
        <v>1.6330645161290323</v>
      </c>
      <c r="AL39" s="1">
        <v>3.9649999999999999</v>
      </c>
      <c r="AM39" s="1">
        <v>2.2666666666666666</v>
      </c>
      <c r="AN39" s="1">
        <v>16.64906451612903</v>
      </c>
      <c r="AO39" s="2"/>
      <c r="AP39">
        <v>3</v>
      </c>
      <c r="AQ39">
        <v>2</v>
      </c>
      <c r="AR39" s="1">
        <v>2.3899999999999997</v>
      </c>
      <c r="AS39" s="1">
        <v>3.25</v>
      </c>
      <c r="AT39" s="1">
        <v>2.25</v>
      </c>
      <c r="AU39" s="1">
        <v>2.3959999999999999</v>
      </c>
      <c r="AV39" s="1">
        <v>2.2571428571428571</v>
      </c>
      <c r="AW39" s="1">
        <v>1.875</v>
      </c>
      <c r="AX39" s="1">
        <v>14.418142857142858</v>
      </c>
      <c r="AY39" s="2">
        <v>14.563607142857144</v>
      </c>
      <c r="AZ39" s="2"/>
      <c r="BA39" s="1">
        <v>44.891420230414745</v>
      </c>
      <c r="BB39" s="5">
        <v>110</v>
      </c>
      <c r="BC39" s="5">
        <v>26</v>
      </c>
      <c r="BD39" s="5" t="s">
        <v>99</v>
      </c>
      <c r="BE39" s="3">
        <v>0.6</v>
      </c>
      <c r="BF39" t="s">
        <v>68</v>
      </c>
      <c r="BH39" s="5">
        <v>116</v>
      </c>
      <c r="BI39" s="5">
        <v>-6</v>
      </c>
      <c r="BJ39" s="3">
        <v>0.75</v>
      </c>
      <c r="BK39" s="3">
        <v>-0.15000000000000002</v>
      </c>
      <c r="BL39" s="5"/>
      <c r="BO39" s="3"/>
      <c r="BR39" s="2"/>
      <c r="BS39" s="5"/>
      <c r="BT39" s="5"/>
      <c r="BU39" s="2"/>
      <c r="BV39" s="5"/>
    </row>
    <row r="40" spans="1:74">
      <c r="A40">
        <v>39</v>
      </c>
      <c r="B40" t="s">
        <v>171</v>
      </c>
      <c r="C40" t="s">
        <v>172</v>
      </c>
      <c r="D40" t="s">
        <v>91</v>
      </c>
      <c r="E40" s="4" t="s">
        <v>173</v>
      </c>
      <c r="F40" s="1">
        <v>1</v>
      </c>
      <c r="G40" s="1">
        <v>1.25</v>
      </c>
      <c r="H40" s="1">
        <v>1</v>
      </c>
      <c r="I40" s="1">
        <v>0.5</v>
      </c>
      <c r="J40" s="1">
        <v>2.75</v>
      </c>
      <c r="K40" s="1">
        <v>7.2499999999999995E-2</v>
      </c>
      <c r="L40" s="1">
        <v>0.25</v>
      </c>
      <c r="M40" s="1">
        <v>0.32250000000000001</v>
      </c>
      <c r="N40" s="1">
        <v>5.0724999999999998</v>
      </c>
      <c r="O40" s="1"/>
      <c r="P40" s="1">
        <v>2.8715999999999999</v>
      </c>
      <c r="Q40" s="1">
        <v>0</v>
      </c>
      <c r="R40" s="1">
        <v>0.46775</v>
      </c>
      <c r="S40" s="1">
        <v>3.33935</v>
      </c>
      <c r="T40" s="1">
        <v>0</v>
      </c>
      <c r="U40" s="1">
        <v>0</v>
      </c>
      <c r="V40" s="1">
        <v>0</v>
      </c>
      <c r="W40" s="1">
        <v>0</v>
      </c>
      <c r="X40" s="1">
        <v>0</v>
      </c>
      <c r="Y40" s="1">
        <v>2.6714799999999999</v>
      </c>
      <c r="Z40" s="1"/>
      <c r="AA40" s="2">
        <v>2</v>
      </c>
      <c r="AB40" s="2">
        <v>2</v>
      </c>
      <c r="AC40" s="2">
        <v>4</v>
      </c>
      <c r="AD40" s="2">
        <v>1.51</v>
      </c>
      <c r="AE40" s="2">
        <v>1</v>
      </c>
      <c r="AF40" s="2">
        <v>0.68500000000000005</v>
      </c>
      <c r="AG40" s="1">
        <v>1.2429999999999999</v>
      </c>
      <c r="AH40" s="1">
        <v>5.2430000000000003</v>
      </c>
      <c r="AI40" s="2">
        <v>0</v>
      </c>
      <c r="AJ40" s="2">
        <v>0</v>
      </c>
      <c r="AK40" s="1">
        <v>0</v>
      </c>
      <c r="AL40" s="1">
        <v>1.9019999999999999</v>
      </c>
      <c r="AM40" s="1">
        <v>0.53333333333333333</v>
      </c>
      <c r="AN40" s="1">
        <v>7.6783333333333337</v>
      </c>
      <c r="AO40" s="2"/>
      <c r="AP40">
        <v>3</v>
      </c>
      <c r="AQ40">
        <v>3</v>
      </c>
      <c r="AR40" s="1">
        <v>2.93</v>
      </c>
      <c r="AS40" s="1">
        <v>0.95699999999999996</v>
      </c>
      <c r="AT40" s="1">
        <v>0</v>
      </c>
      <c r="AU40" s="1">
        <v>0</v>
      </c>
      <c r="AV40" s="1">
        <v>0</v>
      </c>
      <c r="AW40" s="1">
        <v>0</v>
      </c>
      <c r="AX40" s="1">
        <v>3.887</v>
      </c>
      <c r="AY40" s="2">
        <v>7.4152500000000003</v>
      </c>
      <c r="AZ40" s="2"/>
      <c r="BA40" s="1">
        <v>22.837563333333335</v>
      </c>
      <c r="BB40" s="5">
        <v>56</v>
      </c>
      <c r="BC40" s="5">
        <v>58</v>
      </c>
      <c r="BD40" s="5" t="s">
        <v>76</v>
      </c>
      <c r="BE40" s="3">
        <v>0.09</v>
      </c>
      <c r="BF40" t="s">
        <v>133</v>
      </c>
      <c r="BH40" s="5">
        <v>80</v>
      </c>
      <c r="BI40" s="5">
        <v>-24</v>
      </c>
      <c r="BJ40" s="3">
        <v>0.16</v>
      </c>
      <c r="BK40" s="3">
        <v>-7.0000000000000007E-2</v>
      </c>
      <c r="BO40" s="3"/>
    </row>
    <row r="41" spans="1:74">
      <c r="A41">
        <v>40</v>
      </c>
      <c r="B41" t="s">
        <v>174</v>
      </c>
      <c r="C41" t="s">
        <v>175</v>
      </c>
      <c r="D41" t="s">
        <v>74</v>
      </c>
      <c r="E41" s="4" t="s">
        <v>176</v>
      </c>
      <c r="F41" s="1">
        <v>1</v>
      </c>
      <c r="G41" s="1">
        <v>0</v>
      </c>
      <c r="H41" s="1">
        <v>0</v>
      </c>
      <c r="I41" s="1">
        <v>0</v>
      </c>
      <c r="J41" s="1">
        <v>0</v>
      </c>
      <c r="K41" s="1">
        <v>0.99950000000000006</v>
      </c>
      <c r="L41" s="1">
        <v>0.5</v>
      </c>
      <c r="M41" s="1">
        <v>1.4995000000000001</v>
      </c>
      <c r="N41" s="1">
        <v>3.4995000000000003</v>
      </c>
      <c r="O41" s="1"/>
      <c r="P41" s="1">
        <v>6.1166</v>
      </c>
      <c r="Q41" s="1">
        <v>3.26125</v>
      </c>
      <c r="R41" s="1">
        <v>2.048</v>
      </c>
      <c r="S41" s="1">
        <v>11.425850000000001</v>
      </c>
      <c r="T41" s="1">
        <v>2.9143750000000002</v>
      </c>
      <c r="U41" s="1">
        <v>0</v>
      </c>
      <c r="V41" s="1">
        <v>3.75</v>
      </c>
      <c r="W41" s="1">
        <v>3.3816666666666668</v>
      </c>
      <c r="X41" s="1">
        <v>3.003916666666667</v>
      </c>
      <c r="Y41" s="1">
        <v>11.543813333333334</v>
      </c>
      <c r="Z41" s="1"/>
      <c r="AA41" s="2">
        <v>4</v>
      </c>
      <c r="AB41" s="2">
        <v>3</v>
      </c>
      <c r="AC41" s="2">
        <v>7</v>
      </c>
      <c r="AD41" s="2">
        <v>2.2599999999999998</v>
      </c>
      <c r="AE41" s="2">
        <v>2.25</v>
      </c>
      <c r="AF41" s="2">
        <v>2.1616666666666666</v>
      </c>
      <c r="AG41" s="1">
        <v>2.2383333333333333</v>
      </c>
      <c r="AH41" s="1">
        <v>9.2383333333333333</v>
      </c>
      <c r="AI41" s="2">
        <v>2.3904338153503892</v>
      </c>
      <c r="AJ41" s="2">
        <v>2.25</v>
      </c>
      <c r="AK41" s="1">
        <v>2.3202169076751948</v>
      </c>
      <c r="AL41" s="1">
        <v>3.633</v>
      </c>
      <c r="AM41" s="1">
        <v>1.3333333333333333</v>
      </c>
      <c r="AN41" s="1">
        <v>16.52488357434186</v>
      </c>
      <c r="AO41" s="2"/>
      <c r="AP41">
        <v>4</v>
      </c>
      <c r="AQ41">
        <v>3</v>
      </c>
      <c r="AR41" s="1">
        <v>2.258</v>
      </c>
      <c r="AS41" s="1">
        <v>4.75</v>
      </c>
      <c r="AT41" s="1">
        <v>3.25</v>
      </c>
      <c r="AU41" s="1">
        <v>2.238</v>
      </c>
      <c r="AV41" s="1">
        <v>3.3428571428571425</v>
      </c>
      <c r="AW41" s="1">
        <v>1.875</v>
      </c>
      <c r="AX41" s="1">
        <v>17.71385714285714</v>
      </c>
      <c r="AY41" s="2">
        <v>18.535392857142856</v>
      </c>
      <c r="AZ41" s="2"/>
      <c r="BA41" s="1">
        <v>50.103589764818054</v>
      </c>
      <c r="BB41" s="5">
        <v>123</v>
      </c>
      <c r="BC41" s="5">
        <v>15</v>
      </c>
      <c r="BD41" s="5" t="s">
        <v>99</v>
      </c>
      <c r="BE41" s="3">
        <v>0.76</v>
      </c>
      <c r="BF41" t="s">
        <v>81</v>
      </c>
      <c r="BH41" s="5">
        <v>126</v>
      </c>
      <c r="BI41" s="5">
        <v>-3</v>
      </c>
      <c r="BJ41" s="3">
        <v>0.81</v>
      </c>
      <c r="BK41" s="3">
        <v>-5.0000000000000044E-2</v>
      </c>
      <c r="BO41" s="3"/>
      <c r="BR41" s="2"/>
      <c r="BS41" s="5"/>
      <c r="BT41" s="5"/>
      <c r="BU41" s="2"/>
      <c r="BV41" s="5"/>
    </row>
    <row r="42" spans="1:74">
      <c r="A42">
        <v>41</v>
      </c>
      <c r="B42" t="s">
        <v>177</v>
      </c>
      <c r="C42" t="s">
        <v>178</v>
      </c>
      <c r="D42" t="s">
        <v>91</v>
      </c>
      <c r="E42" s="4" t="s">
        <v>179</v>
      </c>
      <c r="F42" s="1">
        <v>0</v>
      </c>
      <c r="G42" s="1">
        <v>1.0625</v>
      </c>
      <c r="H42" s="1">
        <v>1.125</v>
      </c>
      <c r="I42" s="1">
        <v>0.3125</v>
      </c>
      <c r="J42" s="1">
        <v>2.5</v>
      </c>
      <c r="K42" s="1">
        <v>0.48299999999999998</v>
      </c>
      <c r="L42" s="1">
        <v>0.5</v>
      </c>
      <c r="M42" s="1">
        <v>0.98299999999999998</v>
      </c>
      <c r="N42" s="1">
        <v>3.4830000000000001</v>
      </c>
      <c r="O42" s="1"/>
      <c r="P42" s="1">
        <v>2.7050999999999998</v>
      </c>
      <c r="Q42" s="1">
        <v>2.1007499999999997</v>
      </c>
      <c r="R42" s="1">
        <v>0.26224999999999998</v>
      </c>
      <c r="S42" s="1">
        <v>5.0680999999999994</v>
      </c>
      <c r="T42" s="1">
        <v>1.8718750000000002</v>
      </c>
      <c r="U42" s="1">
        <v>0</v>
      </c>
      <c r="V42" s="1">
        <v>1.8142857142857143</v>
      </c>
      <c r="W42" s="1">
        <v>0</v>
      </c>
      <c r="X42" s="1">
        <v>1.4744642857142858</v>
      </c>
      <c r="Y42" s="1">
        <v>5.2340514285714281</v>
      </c>
      <c r="Z42" s="1"/>
      <c r="AA42" s="2">
        <v>2</v>
      </c>
      <c r="AB42" s="2">
        <v>2</v>
      </c>
      <c r="AC42" s="2">
        <v>4</v>
      </c>
      <c r="AD42" s="2">
        <v>1.23</v>
      </c>
      <c r="AE42" s="2">
        <v>0.75</v>
      </c>
      <c r="AF42" s="2">
        <v>1.5983333333333334</v>
      </c>
      <c r="AG42" s="1">
        <v>1.2076666666666667</v>
      </c>
      <c r="AH42" s="1">
        <v>5.2076666666666664</v>
      </c>
      <c r="AI42" s="2">
        <v>0.4838709677419355</v>
      </c>
      <c r="AJ42" s="2">
        <v>1</v>
      </c>
      <c r="AK42" s="1">
        <v>0.74193548387096775</v>
      </c>
      <c r="AL42" s="1">
        <v>2.2829999999999999</v>
      </c>
      <c r="AM42" s="1">
        <v>0</v>
      </c>
      <c r="AN42" s="1">
        <v>8.2326021505376339</v>
      </c>
      <c r="AO42" s="2"/>
      <c r="AP42">
        <v>2</v>
      </c>
      <c r="AQ42">
        <v>2</v>
      </c>
      <c r="AR42" s="1">
        <v>1.254</v>
      </c>
      <c r="AS42" s="1">
        <v>0.64249999999999996</v>
      </c>
      <c r="AT42" s="1">
        <v>0</v>
      </c>
      <c r="AU42" s="1">
        <v>3.1E-2</v>
      </c>
      <c r="AV42" s="1">
        <v>0</v>
      </c>
      <c r="AW42" s="1">
        <v>0</v>
      </c>
      <c r="AX42" s="1">
        <v>1.9275</v>
      </c>
      <c r="AY42" s="2">
        <v>4.4456250000000006</v>
      </c>
      <c r="AZ42" s="2"/>
      <c r="BA42" s="1">
        <v>21.395278579109061</v>
      </c>
      <c r="BB42" s="5">
        <v>52</v>
      </c>
      <c r="BC42" s="5">
        <v>59</v>
      </c>
      <c r="BD42" s="5" t="s">
        <v>76</v>
      </c>
      <c r="BE42" s="3">
        <v>7.0000000000000007E-2</v>
      </c>
      <c r="BF42" t="s">
        <v>133</v>
      </c>
      <c r="BH42" s="5"/>
      <c r="BI42" s="5" t="s">
        <v>89</v>
      </c>
      <c r="BJ42" s="3"/>
      <c r="BK42" s="3" t="s">
        <v>89</v>
      </c>
      <c r="BL42" s="5"/>
      <c r="BO42" s="3"/>
    </row>
    <row r="43" spans="1:74">
      <c r="A43">
        <v>42</v>
      </c>
      <c r="B43" t="s">
        <v>180</v>
      </c>
      <c r="C43" t="s">
        <v>180</v>
      </c>
      <c r="D43" t="s">
        <v>65</v>
      </c>
      <c r="E43" s="4" t="s">
        <v>181</v>
      </c>
      <c r="F43" s="1">
        <v>1</v>
      </c>
      <c r="G43" s="1">
        <v>1.5</v>
      </c>
      <c r="H43" s="1">
        <v>1.5</v>
      </c>
      <c r="I43" s="1">
        <v>0.75</v>
      </c>
      <c r="J43" s="1">
        <v>3.75</v>
      </c>
      <c r="K43" s="1">
        <v>0.39449999999999996</v>
      </c>
      <c r="L43" s="1">
        <v>0</v>
      </c>
      <c r="M43" s="1">
        <v>0.39449999999999996</v>
      </c>
      <c r="N43" s="1">
        <v>6.1444999999999999</v>
      </c>
      <c r="O43" s="1"/>
      <c r="P43" s="1">
        <v>4.4622999999999999</v>
      </c>
      <c r="Q43" s="1">
        <v>2.5025000000000004</v>
      </c>
      <c r="R43" s="1">
        <v>1.9617499999999999</v>
      </c>
      <c r="S43" s="1">
        <v>8.9265500000000007</v>
      </c>
      <c r="T43" s="1">
        <v>2.3918749999999998</v>
      </c>
      <c r="U43" s="1">
        <v>0</v>
      </c>
      <c r="V43" s="1">
        <v>1.2571428571428571</v>
      </c>
      <c r="W43" s="1">
        <v>0</v>
      </c>
      <c r="X43" s="1">
        <v>1.4596071428571429</v>
      </c>
      <c r="Y43" s="1">
        <v>8.3089257142857154</v>
      </c>
      <c r="Z43" s="1"/>
      <c r="AA43" s="2">
        <v>2</v>
      </c>
      <c r="AB43" s="2">
        <v>3</v>
      </c>
      <c r="AC43" s="2">
        <v>5</v>
      </c>
      <c r="AD43" s="2">
        <v>1.51</v>
      </c>
      <c r="AE43" s="2">
        <v>0.5</v>
      </c>
      <c r="AF43" s="2">
        <v>1.5166666666666668</v>
      </c>
      <c r="AG43" s="1">
        <v>1.3093333333333335</v>
      </c>
      <c r="AH43" s="1">
        <v>6.309333333333333</v>
      </c>
      <c r="AI43" s="2">
        <v>0</v>
      </c>
      <c r="AJ43" s="2">
        <v>1.25</v>
      </c>
      <c r="AK43" s="1">
        <v>0.625</v>
      </c>
      <c r="AL43" s="1">
        <v>1.8540000000000001</v>
      </c>
      <c r="AM43" s="1">
        <v>2</v>
      </c>
      <c r="AN43" s="1">
        <v>10.788333333333334</v>
      </c>
      <c r="AO43" s="2"/>
      <c r="AP43">
        <v>3</v>
      </c>
      <c r="AQ43">
        <v>3</v>
      </c>
      <c r="AR43" s="1">
        <v>2.4379999999999997</v>
      </c>
      <c r="AS43" s="1">
        <v>1.9595</v>
      </c>
      <c r="AT43" s="1">
        <v>1.75</v>
      </c>
      <c r="AU43" s="1">
        <v>2.4159999999999999</v>
      </c>
      <c r="AV43" s="1">
        <v>0.8</v>
      </c>
      <c r="AW43" s="1">
        <v>1.875</v>
      </c>
      <c r="AX43" s="1">
        <v>11.2385</v>
      </c>
      <c r="AY43" s="2">
        <v>12.928875000000001</v>
      </c>
      <c r="AZ43" s="2"/>
      <c r="BA43" s="1">
        <v>38.170634047619046</v>
      </c>
      <c r="BB43" s="5">
        <v>93</v>
      </c>
      <c r="BC43" s="5">
        <v>40</v>
      </c>
      <c r="BD43" s="5" t="s">
        <v>67</v>
      </c>
      <c r="BE43" s="3">
        <v>0.36</v>
      </c>
      <c r="BF43" t="s">
        <v>68</v>
      </c>
      <c r="BH43" s="5">
        <v>90</v>
      </c>
      <c r="BI43" s="5">
        <v>3</v>
      </c>
      <c r="BJ43" s="3">
        <v>0.33</v>
      </c>
      <c r="BK43" s="3">
        <v>2.9999999999999971E-2</v>
      </c>
      <c r="BO43" s="3"/>
    </row>
    <row r="44" spans="1:74">
      <c r="A44">
        <v>43</v>
      </c>
      <c r="B44" t="s">
        <v>182</v>
      </c>
      <c r="C44" t="s">
        <v>183</v>
      </c>
      <c r="D44" t="s">
        <v>74</v>
      </c>
      <c r="E44" s="4" t="s">
        <v>184</v>
      </c>
      <c r="F44" s="1">
        <v>2.5</v>
      </c>
      <c r="G44" s="1">
        <v>0</v>
      </c>
      <c r="H44" s="1">
        <v>0</v>
      </c>
      <c r="I44" s="1">
        <v>0</v>
      </c>
      <c r="J44" s="1">
        <v>0</v>
      </c>
      <c r="K44" s="1">
        <v>1.3860000000000001</v>
      </c>
      <c r="L44" s="1">
        <v>0</v>
      </c>
      <c r="M44" s="1">
        <v>1.3860000000000001</v>
      </c>
      <c r="N44" s="1">
        <v>6.3860000000000001</v>
      </c>
      <c r="O44" s="1"/>
      <c r="P44" s="1">
        <v>5.2295999999999996</v>
      </c>
      <c r="Q44" s="1">
        <v>2.8279999999999998</v>
      </c>
      <c r="R44" s="1">
        <v>0.66525000000000001</v>
      </c>
      <c r="S44" s="1">
        <v>8.7228499999999993</v>
      </c>
      <c r="T44" s="1">
        <v>2.8293750000000002</v>
      </c>
      <c r="U44" s="1">
        <v>1.7749999999999999</v>
      </c>
      <c r="V44" s="1">
        <v>3.7928571428571431</v>
      </c>
      <c r="W44" s="1">
        <v>1.0483333333333333</v>
      </c>
      <c r="X44" s="1">
        <v>2.9312261904761909</v>
      </c>
      <c r="Y44" s="1">
        <v>9.3232609523809522</v>
      </c>
      <c r="Z44" s="1"/>
      <c r="AA44" s="2">
        <v>2</v>
      </c>
      <c r="AB44" s="2">
        <v>3</v>
      </c>
      <c r="AC44" s="2">
        <v>5</v>
      </c>
      <c r="AD44" s="2">
        <v>2.2599999999999998</v>
      </c>
      <c r="AE44" s="2">
        <v>1.5</v>
      </c>
      <c r="AF44" s="2">
        <v>1.9733333333333334</v>
      </c>
      <c r="AG44" s="1">
        <v>2.0506666666666664</v>
      </c>
      <c r="AH44" s="1">
        <v>7.0506666666666664</v>
      </c>
      <c r="AI44" s="2">
        <v>2.1879866518353728</v>
      </c>
      <c r="AJ44" s="2">
        <v>3.25</v>
      </c>
      <c r="AK44" s="1">
        <v>2.7189933259176864</v>
      </c>
      <c r="AL44" s="1">
        <v>2.0129999999999999</v>
      </c>
      <c r="AM44" s="1">
        <v>2.8666666666666663</v>
      </c>
      <c r="AN44" s="1">
        <v>14.64932665925102</v>
      </c>
      <c r="AO44" s="2"/>
      <c r="AP44">
        <v>4</v>
      </c>
      <c r="AQ44">
        <v>3</v>
      </c>
      <c r="AR44" s="1">
        <v>3.18</v>
      </c>
      <c r="AS44" s="1">
        <v>3.5</v>
      </c>
      <c r="AT44" s="1">
        <v>4</v>
      </c>
      <c r="AU44" s="1">
        <v>2.238</v>
      </c>
      <c r="AV44" s="1">
        <v>1.9142857142857141</v>
      </c>
      <c r="AW44" s="1">
        <v>1.25</v>
      </c>
      <c r="AX44" s="1">
        <v>16.082285714285714</v>
      </c>
      <c r="AY44" s="2">
        <v>17.311714285714288</v>
      </c>
      <c r="AZ44" s="2"/>
      <c r="BA44" s="1">
        <v>47.670301897346263</v>
      </c>
      <c r="BB44" s="5">
        <v>117</v>
      </c>
      <c r="BC44" s="5">
        <v>18</v>
      </c>
      <c r="BD44" s="5" t="s">
        <v>99</v>
      </c>
      <c r="BE44" s="3">
        <v>0.71</v>
      </c>
      <c r="BF44" t="s">
        <v>68</v>
      </c>
      <c r="BH44" s="5">
        <v>96</v>
      </c>
      <c r="BI44" s="5">
        <v>21</v>
      </c>
      <c r="BJ44" s="3">
        <v>0.45</v>
      </c>
      <c r="BK44" s="3">
        <v>0.25999999999999995</v>
      </c>
      <c r="BL44" s="5"/>
      <c r="BO44" s="3"/>
      <c r="BR44" s="2"/>
      <c r="BS44" s="5"/>
      <c r="BT44" s="5"/>
      <c r="BU44" s="2"/>
      <c r="BV44" s="5"/>
    </row>
    <row r="45" spans="1:74">
      <c r="A45">
        <v>44</v>
      </c>
      <c r="B45" t="s">
        <v>185</v>
      </c>
      <c r="C45" t="s">
        <v>185</v>
      </c>
      <c r="D45" t="s">
        <v>65</v>
      </c>
      <c r="E45" s="4" t="s">
        <v>186</v>
      </c>
      <c r="F45" s="1">
        <v>4.5</v>
      </c>
      <c r="G45" s="1">
        <v>0</v>
      </c>
      <c r="H45" s="1">
        <v>0</v>
      </c>
      <c r="I45" s="1">
        <v>0</v>
      </c>
      <c r="J45" s="1">
        <v>0</v>
      </c>
      <c r="K45" s="1">
        <v>0.81400000000000006</v>
      </c>
      <c r="L45" s="1">
        <v>0</v>
      </c>
      <c r="M45" s="1">
        <v>0.81400000000000006</v>
      </c>
      <c r="N45" s="1">
        <v>9.8140000000000001</v>
      </c>
      <c r="O45" s="1"/>
      <c r="P45" s="1">
        <v>2.6982999999999997</v>
      </c>
      <c r="Q45" s="1">
        <v>2.6779999999999999</v>
      </c>
      <c r="R45" s="1">
        <v>1.137</v>
      </c>
      <c r="S45" s="1">
        <v>6.5132999999999992</v>
      </c>
      <c r="T45" s="1">
        <v>1.5449999999999997</v>
      </c>
      <c r="U45" s="1">
        <v>0</v>
      </c>
      <c r="V45" s="1">
        <v>2.5214285714285718</v>
      </c>
      <c r="W45" s="1">
        <v>0</v>
      </c>
      <c r="X45" s="1">
        <v>1.6265714285714286</v>
      </c>
      <c r="Y45" s="1">
        <v>6.5118971428571424</v>
      </c>
      <c r="Z45" s="1"/>
      <c r="AA45" s="2">
        <v>2</v>
      </c>
      <c r="AB45" s="2">
        <v>3</v>
      </c>
      <c r="AC45" s="2">
        <v>5</v>
      </c>
      <c r="AD45" s="2">
        <v>1.01</v>
      </c>
      <c r="AE45" s="2">
        <v>0.5</v>
      </c>
      <c r="AF45" s="2">
        <v>0.68500000000000005</v>
      </c>
      <c r="AG45" s="1">
        <v>0.84299999999999997</v>
      </c>
      <c r="AH45" s="1">
        <v>5.843</v>
      </c>
      <c r="AI45" s="2">
        <v>0</v>
      </c>
      <c r="AJ45" s="2">
        <v>1.5</v>
      </c>
      <c r="AK45" s="1">
        <v>0.75</v>
      </c>
      <c r="AL45" s="1">
        <v>0.28400000000000003</v>
      </c>
      <c r="AM45" s="1">
        <v>1.3333333333333333</v>
      </c>
      <c r="AN45" s="1">
        <v>8.2103333333333328</v>
      </c>
      <c r="AO45" s="2"/>
      <c r="AP45">
        <v>3</v>
      </c>
      <c r="AQ45">
        <v>3</v>
      </c>
      <c r="AR45" s="1">
        <v>3.8740000000000001</v>
      </c>
      <c r="AS45" s="1">
        <v>2.524</v>
      </c>
      <c r="AT45" s="1">
        <v>1</v>
      </c>
      <c r="AU45" s="1">
        <v>2.6659999999999999</v>
      </c>
      <c r="AV45" s="1">
        <v>2.1428571428571428</v>
      </c>
      <c r="AW45" s="1">
        <v>1.25</v>
      </c>
      <c r="AX45" s="1">
        <v>13.456857142857142</v>
      </c>
      <c r="AY45" s="2">
        <v>14.592642857142858</v>
      </c>
      <c r="AZ45" s="2"/>
      <c r="BA45" s="1">
        <v>39.128873333333331</v>
      </c>
      <c r="BB45" s="5">
        <v>96</v>
      </c>
      <c r="BC45" s="5">
        <v>35</v>
      </c>
      <c r="BD45" s="5" t="s">
        <v>67</v>
      </c>
      <c r="BE45" s="3">
        <v>0.42</v>
      </c>
      <c r="BF45" t="s">
        <v>68</v>
      </c>
      <c r="BH45" s="5">
        <v>110</v>
      </c>
      <c r="BI45" s="5">
        <v>-14</v>
      </c>
      <c r="BJ45" s="3">
        <v>0.68</v>
      </c>
      <c r="BK45" s="3">
        <v>-0.26000000000000006</v>
      </c>
      <c r="BO45" s="3"/>
    </row>
    <row r="46" spans="1:74">
      <c r="A46">
        <v>45</v>
      </c>
      <c r="B46" t="s">
        <v>187</v>
      </c>
      <c r="C46" t="s">
        <v>188</v>
      </c>
      <c r="D46" t="s">
        <v>91</v>
      </c>
      <c r="E46" s="4" t="s">
        <v>189</v>
      </c>
      <c r="F46" s="1">
        <v>2.5</v>
      </c>
      <c r="G46" s="1">
        <v>0</v>
      </c>
      <c r="H46" s="1">
        <v>0</v>
      </c>
      <c r="I46" s="1">
        <v>0</v>
      </c>
      <c r="J46" s="1">
        <v>0</v>
      </c>
      <c r="K46" s="1">
        <v>0.87050000000000005</v>
      </c>
      <c r="L46" s="1">
        <v>0.25</v>
      </c>
      <c r="M46" s="1">
        <v>1.1205000000000001</v>
      </c>
      <c r="N46" s="1">
        <v>6.1204999999999998</v>
      </c>
      <c r="O46" s="1"/>
      <c r="P46" s="1">
        <v>3.3075000000000001</v>
      </c>
      <c r="Q46" s="1">
        <v>0</v>
      </c>
      <c r="R46" s="1">
        <v>2.5042499999999999</v>
      </c>
      <c r="S46" s="1">
        <v>5.81175</v>
      </c>
      <c r="T46" s="1">
        <v>0</v>
      </c>
      <c r="U46" s="1">
        <v>0</v>
      </c>
      <c r="V46" s="1">
        <v>0</v>
      </c>
      <c r="W46" s="1">
        <v>3.4200000000000004</v>
      </c>
      <c r="X46" s="1">
        <v>0.34200000000000008</v>
      </c>
      <c r="Y46" s="1">
        <v>4.923</v>
      </c>
      <c r="Z46" s="1"/>
      <c r="AA46" s="2">
        <v>3</v>
      </c>
      <c r="AB46" s="2">
        <v>4</v>
      </c>
      <c r="AC46" s="2">
        <v>7</v>
      </c>
      <c r="AD46" s="2">
        <v>1.01</v>
      </c>
      <c r="AE46" s="2">
        <v>1</v>
      </c>
      <c r="AF46" s="2">
        <v>0.68500000000000005</v>
      </c>
      <c r="AG46" s="1">
        <v>0.94300000000000006</v>
      </c>
      <c r="AH46" s="1">
        <v>7.9429999999999996</v>
      </c>
      <c r="AI46" s="2">
        <v>0.59677419354838712</v>
      </c>
      <c r="AJ46" s="2">
        <v>0.5</v>
      </c>
      <c r="AK46" s="1">
        <v>0.54838709677419351</v>
      </c>
      <c r="AL46" s="1">
        <v>4.6800000000000006</v>
      </c>
      <c r="AM46" s="1">
        <v>0.26666666666666666</v>
      </c>
      <c r="AN46" s="1">
        <v>13.438053763440861</v>
      </c>
      <c r="AO46" s="2"/>
      <c r="AP46">
        <v>4</v>
      </c>
      <c r="AQ46">
        <v>4</v>
      </c>
      <c r="AR46" s="1">
        <v>1.232</v>
      </c>
      <c r="AS46" s="1">
        <v>1.282</v>
      </c>
      <c r="AT46" s="1">
        <v>0</v>
      </c>
      <c r="AU46" s="1">
        <v>1.1659999999999999</v>
      </c>
      <c r="AV46" s="1">
        <v>2.0571428571428569</v>
      </c>
      <c r="AW46" s="1">
        <v>0.625</v>
      </c>
      <c r="AX46" s="1">
        <v>6.3621428571428567</v>
      </c>
      <c r="AY46" s="2">
        <v>10.771607142857142</v>
      </c>
      <c r="AZ46" s="2"/>
      <c r="BA46" s="1">
        <v>35.253160906298007</v>
      </c>
      <c r="BB46" s="5">
        <v>86</v>
      </c>
      <c r="BC46" s="5">
        <v>47</v>
      </c>
      <c r="BD46" s="5" t="s">
        <v>86</v>
      </c>
      <c r="BE46" s="3">
        <v>0.26</v>
      </c>
      <c r="BF46" t="s">
        <v>68</v>
      </c>
      <c r="BH46" s="5">
        <v>73</v>
      </c>
      <c r="BI46" s="5">
        <v>13</v>
      </c>
      <c r="BJ46" s="3">
        <v>0.1</v>
      </c>
      <c r="BK46" s="3">
        <v>0.16</v>
      </c>
      <c r="BO46" s="3"/>
      <c r="BR46" s="2"/>
      <c r="BS46" s="5"/>
      <c r="BT46" s="5"/>
      <c r="BU46" s="2"/>
      <c r="BV46" s="5"/>
    </row>
    <row r="47" spans="1:74">
      <c r="A47">
        <v>46</v>
      </c>
      <c r="B47" t="s">
        <v>190</v>
      </c>
      <c r="C47" t="s">
        <v>191</v>
      </c>
      <c r="D47" t="s">
        <v>74</v>
      </c>
      <c r="E47" s="4" t="s">
        <v>192</v>
      </c>
      <c r="F47" s="1">
        <v>5</v>
      </c>
      <c r="G47" s="1">
        <v>1.375</v>
      </c>
      <c r="H47" s="1">
        <v>1.25</v>
      </c>
      <c r="I47" s="1">
        <v>0.625</v>
      </c>
      <c r="J47" s="1">
        <v>3.25</v>
      </c>
      <c r="K47" s="1">
        <v>0.85450000000000004</v>
      </c>
      <c r="L47" s="1">
        <v>1.25</v>
      </c>
      <c r="M47" s="1">
        <v>2.1044999999999998</v>
      </c>
      <c r="N47" s="1">
        <v>15.3545</v>
      </c>
      <c r="O47" s="1"/>
      <c r="P47" s="1">
        <v>4.5732999999999997</v>
      </c>
      <c r="Q47" s="1">
        <v>3.1825000000000001</v>
      </c>
      <c r="R47" s="1">
        <v>2.4547499999999998</v>
      </c>
      <c r="S47" s="1">
        <v>10.21055</v>
      </c>
      <c r="T47" s="1">
        <v>1.7318750000000001</v>
      </c>
      <c r="U47" s="1">
        <v>0</v>
      </c>
      <c r="V47" s="1">
        <v>1.0785714285714285</v>
      </c>
      <c r="W47" s="1">
        <v>0</v>
      </c>
      <c r="X47" s="1">
        <v>1.1241785714285715</v>
      </c>
      <c r="Y47" s="1">
        <v>9.0677828571428556</v>
      </c>
      <c r="Z47" s="1"/>
      <c r="AA47" s="2">
        <v>5</v>
      </c>
      <c r="AB47" s="2">
        <v>4</v>
      </c>
      <c r="AC47" s="2">
        <v>9</v>
      </c>
      <c r="AD47" s="2">
        <v>3.93</v>
      </c>
      <c r="AE47" s="2">
        <v>2</v>
      </c>
      <c r="AF47" s="2">
        <v>3.5600000000000005</v>
      </c>
      <c r="AG47" s="1">
        <v>3.47</v>
      </c>
      <c r="AH47" s="1">
        <v>12.47</v>
      </c>
      <c r="AI47" s="2">
        <v>3.1718576195773083</v>
      </c>
      <c r="AJ47" s="2">
        <v>1.5</v>
      </c>
      <c r="AK47" s="1">
        <v>2.3359288097886539</v>
      </c>
      <c r="AL47" s="1">
        <v>4.3149999999999995</v>
      </c>
      <c r="AM47" s="1">
        <v>1.8666666666666665</v>
      </c>
      <c r="AN47" s="1">
        <v>20.987595476455319</v>
      </c>
      <c r="AO47" s="2"/>
      <c r="AP47">
        <v>4</v>
      </c>
      <c r="AQ47">
        <v>5</v>
      </c>
      <c r="AR47" s="1">
        <v>1.66</v>
      </c>
      <c r="AS47" s="1">
        <v>3.6855000000000002</v>
      </c>
      <c r="AT47" s="1">
        <v>2</v>
      </c>
      <c r="AU47" s="1">
        <v>2.488</v>
      </c>
      <c r="AV47" s="1">
        <v>1.7714285714285714</v>
      </c>
      <c r="AW47" s="1">
        <v>1.875</v>
      </c>
      <c r="AX47" s="1">
        <v>13.479928571428573</v>
      </c>
      <c r="AY47" s="2">
        <v>16.85994642857143</v>
      </c>
      <c r="AZ47" s="2"/>
      <c r="BA47" s="1">
        <v>62.269824762169605</v>
      </c>
      <c r="BB47" s="5">
        <v>152</v>
      </c>
      <c r="BC47" s="5">
        <v>2</v>
      </c>
      <c r="BD47" s="5" t="s">
        <v>95</v>
      </c>
      <c r="BE47" s="3">
        <v>0.98</v>
      </c>
      <c r="BF47" t="s">
        <v>68</v>
      </c>
      <c r="BH47" s="5">
        <v>135</v>
      </c>
      <c r="BI47" s="5">
        <v>17</v>
      </c>
      <c r="BJ47" s="3">
        <v>0.87</v>
      </c>
      <c r="BK47" s="3">
        <v>0.10999999999999999</v>
      </c>
      <c r="BO47" s="3"/>
      <c r="BR47" s="2"/>
      <c r="BS47" s="5"/>
      <c r="BT47" s="5"/>
      <c r="BU47" s="2"/>
      <c r="BV47" s="5"/>
    </row>
    <row r="48" spans="1:74">
      <c r="A48">
        <v>47</v>
      </c>
      <c r="B48" t="s">
        <v>193</v>
      </c>
      <c r="C48" t="s">
        <v>194</v>
      </c>
      <c r="D48" t="s">
        <v>91</v>
      </c>
      <c r="E48" s="4" t="s">
        <v>195</v>
      </c>
      <c r="F48" s="1">
        <v>3.5</v>
      </c>
      <c r="G48" s="1">
        <v>0</v>
      </c>
      <c r="H48" s="1">
        <v>0</v>
      </c>
      <c r="I48" s="1">
        <v>0</v>
      </c>
      <c r="J48" s="1">
        <v>0</v>
      </c>
      <c r="K48" s="1">
        <v>0.1125</v>
      </c>
      <c r="L48" s="1">
        <v>0</v>
      </c>
      <c r="M48" s="1">
        <v>0.1125</v>
      </c>
      <c r="N48" s="1">
        <v>7.1124999999999998</v>
      </c>
      <c r="O48" s="1"/>
      <c r="P48" s="1">
        <v>4.9075000000000006</v>
      </c>
      <c r="Q48" s="1">
        <v>3.1492499999999999</v>
      </c>
      <c r="R48" s="1">
        <v>2.2032500000000002</v>
      </c>
      <c r="S48" s="1">
        <v>10.260000000000002</v>
      </c>
      <c r="T48" s="1">
        <v>2.2124999999999999</v>
      </c>
      <c r="U48" s="1">
        <v>0</v>
      </c>
      <c r="V48" s="1">
        <v>0</v>
      </c>
      <c r="W48" s="1">
        <v>3.4841666666666669</v>
      </c>
      <c r="X48" s="1">
        <v>1.2334166666666668</v>
      </c>
      <c r="Y48" s="1">
        <v>9.1947333333333354</v>
      </c>
      <c r="Z48" s="1"/>
      <c r="AA48" s="2">
        <v>2</v>
      </c>
      <c r="AB48" s="2">
        <v>2</v>
      </c>
      <c r="AC48" s="2">
        <v>4</v>
      </c>
      <c r="AD48" s="2">
        <v>2.54</v>
      </c>
      <c r="AE48" s="2">
        <v>1.25</v>
      </c>
      <c r="AF48" s="2">
        <v>2.1616666666666666</v>
      </c>
      <c r="AG48" s="1">
        <v>2.2063333333333333</v>
      </c>
      <c r="AH48" s="1">
        <v>6.2063333333333333</v>
      </c>
      <c r="AI48" s="2">
        <v>0</v>
      </c>
      <c r="AJ48" s="2">
        <v>0.25</v>
      </c>
      <c r="AK48" s="1">
        <v>0.125</v>
      </c>
      <c r="AL48" s="1">
        <v>2.4899999999999998</v>
      </c>
      <c r="AM48" s="1">
        <v>2</v>
      </c>
      <c r="AN48" s="1">
        <v>10.821333333333333</v>
      </c>
      <c r="AO48" s="2"/>
      <c r="AP48">
        <v>3</v>
      </c>
      <c r="AQ48">
        <v>3</v>
      </c>
      <c r="AR48" s="1">
        <v>2.1639999999999997</v>
      </c>
      <c r="AS48" s="1">
        <v>2.274</v>
      </c>
      <c r="AT48" s="1">
        <v>0.5</v>
      </c>
      <c r="AU48" s="1">
        <v>2.4159999999999999</v>
      </c>
      <c r="AV48" s="1">
        <v>2.1428571428571428</v>
      </c>
      <c r="AW48" s="1">
        <v>0.625</v>
      </c>
      <c r="AX48" s="1">
        <v>10.121857142857142</v>
      </c>
      <c r="AY48" s="2">
        <v>12.091392857142857</v>
      </c>
      <c r="AZ48" s="2"/>
      <c r="BA48" s="1">
        <v>39.219959523809528</v>
      </c>
      <c r="BB48" s="5">
        <v>96</v>
      </c>
      <c r="BC48" s="5">
        <v>35</v>
      </c>
      <c r="BD48" s="5" t="s">
        <v>67</v>
      </c>
      <c r="BE48" s="3">
        <v>0.42</v>
      </c>
      <c r="BF48" t="s">
        <v>68</v>
      </c>
      <c r="BH48" s="5">
        <v>92</v>
      </c>
      <c r="BI48" s="5">
        <v>4</v>
      </c>
      <c r="BJ48" s="3">
        <v>0.41</v>
      </c>
      <c r="BK48" s="3">
        <v>1.0000000000000009E-2</v>
      </c>
      <c r="BO48" s="3"/>
      <c r="BR48" s="2"/>
      <c r="BS48" s="5"/>
      <c r="BT48" s="5"/>
      <c r="BU48" s="2"/>
      <c r="BV48" s="5"/>
    </row>
    <row r="49" spans="1:74">
      <c r="A49">
        <v>48</v>
      </c>
      <c r="B49" t="s">
        <v>196</v>
      </c>
      <c r="C49" t="s">
        <v>197</v>
      </c>
      <c r="D49" t="s">
        <v>91</v>
      </c>
      <c r="E49" s="4" t="s">
        <v>198</v>
      </c>
      <c r="F49" s="1">
        <v>5</v>
      </c>
      <c r="G49" s="1">
        <v>0</v>
      </c>
      <c r="H49" s="1">
        <v>0</v>
      </c>
      <c r="I49" s="1">
        <v>0</v>
      </c>
      <c r="J49" s="1">
        <v>0</v>
      </c>
      <c r="K49" s="1">
        <v>0.42699999999999999</v>
      </c>
      <c r="L49" s="1">
        <v>0.25</v>
      </c>
      <c r="M49" s="1">
        <v>0.67700000000000005</v>
      </c>
      <c r="N49" s="1">
        <v>10.677</v>
      </c>
      <c r="O49" s="1"/>
      <c r="P49" s="1">
        <v>3.1162000000000001</v>
      </c>
      <c r="Q49" s="1">
        <v>2.3529999999999998</v>
      </c>
      <c r="R49" s="1">
        <v>2.0912500000000001</v>
      </c>
      <c r="S49" s="1">
        <v>7.5604499999999994</v>
      </c>
      <c r="T49" s="1">
        <v>2.2837499999999999</v>
      </c>
      <c r="U49" s="1">
        <v>0</v>
      </c>
      <c r="V49" s="1">
        <v>0.34285714285714286</v>
      </c>
      <c r="W49" s="1">
        <v>0</v>
      </c>
      <c r="X49" s="1">
        <v>1.0506428571428572</v>
      </c>
      <c r="Y49" s="1">
        <v>6.8888742857142855</v>
      </c>
      <c r="Z49" s="1"/>
      <c r="AA49" s="2">
        <v>2</v>
      </c>
      <c r="AB49" s="2">
        <v>3</v>
      </c>
      <c r="AC49" s="2">
        <v>5</v>
      </c>
      <c r="AD49" s="2">
        <v>1.51</v>
      </c>
      <c r="AE49" s="2">
        <v>1</v>
      </c>
      <c r="AF49" s="2">
        <v>1.1416666666666668</v>
      </c>
      <c r="AG49" s="1">
        <v>1.3343333333333334</v>
      </c>
      <c r="AH49" s="1">
        <v>6.3343333333333334</v>
      </c>
      <c r="AI49" s="2">
        <v>0.88709677419354838</v>
      </c>
      <c r="AJ49" s="2">
        <v>2</v>
      </c>
      <c r="AK49" s="1">
        <v>1.4435483870967742</v>
      </c>
      <c r="AL49" s="1">
        <v>3.1399999999999997</v>
      </c>
      <c r="AM49" s="1">
        <v>0</v>
      </c>
      <c r="AN49" s="1">
        <v>10.917881720430106</v>
      </c>
      <c r="AO49" s="2"/>
      <c r="AP49">
        <v>3</v>
      </c>
      <c r="AQ49">
        <v>3</v>
      </c>
      <c r="AR49" s="1">
        <v>2.298</v>
      </c>
      <c r="AS49" s="1">
        <v>2.25</v>
      </c>
      <c r="AT49" s="1">
        <v>0</v>
      </c>
      <c r="AU49" s="1">
        <v>0.98799999999999999</v>
      </c>
      <c r="AV49" s="1">
        <v>1.5428571428571429</v>
      </c>
      <c r="AW49" s="1">
        <v>1.25</v>
      </c>
      <c r="AX49" s="1">
        <v>8.3288571428571423</v>
      </c>
      <c r="AY49" s="2">
        <v>10.746642857142858</v>
      </c>
      <c r="AZ49" s="2"/>
      <c r="BA49" s="1">
        <v>39.230398863287249</v>
      </c>
      <c r="BB49" s="5">
        <v>96</v>
      </c>
      <c r="BC49" s="5">
        <v>35</v>
      </c>
      <c r="BD49" s="5" t="s">
        <v>67</v>
      </c>
      <c r="BE49" s="3">
        <v>0.42</v>
      </c>
      <c r="BF49" t="s">
        <v>68</v>
      </c>
      <c r="BH49" s="5">
        <v>89</v>
      </c>
      <c r="BI49" s="5">
        <v>7</v>
      </c>
      <c r="BJ49" s="3">
        <v>0.31</v>
      </c>
      <c r="BK49" s="3">
        <v>0.10999999999999999</v>
      </c>
      <c r="BO49" s="3"/>
    </row>
    <row r="50" spans="1:74">
      <c r="A50">
        <v>49</v>
      </c>
      <c r="B50" t="s">
        <v>199</v>
      </c>
      <c r="C50" t="s">
        <v>64</v>
      </c>
      <c r="D50" t="s">
        <v>91</v>
      </c>
      <c r="E50" s="4" t="s">
        <v>200</v>
      </c>
      <c r="F50" s="1">
        <v>5</v>
      </c>
      <c r="G50" s="1">
        <v>0</v>
      </c>
      <c r="H50" s="1">
        <v>0</v>
      </c>
      <c r="I50" s="1">
        <v>0</v>
      </c>
      <c r="J50" s="1">
        <v>0</v>
      </c>
      <c r="K50" s="1">
        <v>2.4E-2</v>
      </c>
      <c r="L50" s="1">
        <v>0</v>
      </c>
      <c r="M50" s="1">
        <v>2.4E-2</v>
      </c>
      <c r="N50" s="1">
        <v>10.023999999999999</v>
      </c>
      <c r="O50" s="1"/>
      <c r="P50" s="1">
        <v>3.2477999999999998</v>
      </c>
      <c r="Q50" s="1">
        <v>2.4815</v>
      </c>
      <c r="R50" s="1">
        <v>2.5500000000000002E-2</v>
      </c>
      <c r="S50" s="1">
        <v>5.7548000000000004</v>
      </c>
      <c r="T50" s="1">
        <v>0</v>
      </c>
      <c r="U50" s="1">
        <v>0</v>
      </c>
      <c r="V50" s="1">
        <v>0</v>
      </c>
      <c r="W50" s="1">
        <v>0</v>
      </c>
      <c r="X50" s="1">
        <v>0</v>
      </c>
      <c r="Y50" s="1">
        <v>4.6038399999999999</v>
      </c>
      <c r="Z50" s="1"/>
      <c r="AA50" s="2">
        <v>2</v>
      </c>
      <c r="AB50" s="2">
        <v>2</v>
      </c>
      <c r="AC50" s="2">
        <v>4</v>
      </c>
      <c r="AD50" s="2">
        <v>1.79</v>
      </c>
      <c r="AE50" s="2">
        <v>1.25</v>
      </c>
      <c r="AF50" s="2">
        <v>1.7049999999999998</v>
      </c>
      <c r="AG50" s="1">
        <v>1.665</v>
      </c>
      <c r="AH50" s="1">
        <v>5.665</v>
      </c>
      <c r="AI50" s="2">
        <v>0</v>
      </c>
      <c r="AJ50" s="2">
        <v>0</v>
      </c>
      <c r="AK50" s="1">
        <v>0</v>
      </c>
      <c r="AL50" s="1">
        <v>1.22</v>
      </c>
      <c r="AM50" s="1">
        <v>2.1999999999999997</v>
      </c>
      <c r="AN50" s="1">
        <v>9.0849999999999991</v>
      </c>
      <c r="AO50" s="2"/>
      <c r="AP50">
        <v>2</v>
      </c>
      <c r="AQ50">
        <v>3</v>
      </c>
      <c r="AR50" s="1">
        <v>2.3660000000000001</v>
      </c>
      <c r="AS50" s="1">
        <v>1.4355</v>
      </c>
      <c r="AT50" s="1">
        <v>0.5</v>
      </c>
      <c r="AU50" s="1">
        <v>1.8959999999999999</v>
      </c>
      <c r="AV50" s="1">
        <v>2.0571428571428569</v>
      </c>
      <c r="AW50" s="1">
        <v>1.25</v>
      </c>
      <c r="AX50" s="1">
        <v>9.5046428571428567</v>
      </c>
      <c r="AY50" s="2">
        <v>10.878482142857143</v>
      </c>
      <c r="AZ50" s="2"/>
      <c r="BA50" s="1">
        <v>34.591322142857145</v>
      </c>
      <c r="BB50" s="5">
        <v>85</v>
      </c>
      <c r="BC50" s="5">
        <v>48</v>
      </c>
      <c r="BD50" s="5" t="s">
        <v>86</v>
      </c>
      <c r="BE50" s="3">
        <v>0.25</v>
      </c>
      <c r="BF50" t="s">
        <v>68</v>
      </c>
      <c r="BH50" s="5"/>
      <c r="BI50" s="5" t="s">
        <v>89</v>
      </c>
      <c r="BJ50" s="3"/>
      <c r="BK50" s="3" t="s">
        <v>89</v>
      </c>
      <c r="BO50" s="3"/>
      <c r="BR50" s="2"/>
      <c r="BS50" s="5"/>
      <c r="BT50" s="5"/>
      <c r="BU50" s="2"/>
      <c r="BV50" s="5"/>
    </row>
    <row r="51" spans="1:74">
      <c r="A51">
        <v>50</v>
      </c>
      <c r="B51" t="s">
        <v>201</v>
      </c>
      <c r="C51" t="s">
        <v>64</v>
      </c>
      <c r="D51" t="s">
        <v>65</v>
      </c>
      <c r="E51" s="4" t="s">
        <v>202</v>
      </c>
      <c r="F51" s="1">
        <v>5</v>
      </c>
      <c r="G51" s="1">
        <v>0</v>
      </c>
      <c r="H51" s="1">
        <v>1.25</v>
      </c>
      <c r="I51" s="1">
        <v>0.5</v>
      </c>
      <c r="J51" s="1">
        <v>1.75</v>
      </c>
      <c r="K51" s="1">
        <v>1.5390000000000001</v>
      </c>
      <c r="L51" s="1">
        <v>0.75</v>
      </c>
      <c r="M51" s="1">
        <v>2.2890000000000001</v>
      </c>
      <c r="N51" s="1">
        <v>14.039</v>
      </c>
      <c r="O51" s="1"/>
      <c r="P51" s="1">
        <v>4.7385999999999999</v>
      </c>
      <c r="Q51" s="1">
        <v>3.6234999999999999</v>
      </c>
      <c r="R51" s="1">
        <v>1.1684999999999999</v>
      </c>
      <c r="S51" s="1">
        <v>9.5305999999999997</v>
      </c>
      <c r="T51" s="1">
        <v>1.3987499999999997</v>
      </c>
      <c r="U51" s="1">
        <v>1.1499999999999999</v>
      </c>
      <c r="V51" s="1">
        <v>3.55</v>
      </c>
      <c r="W51" s="1">
        <v>3.5183333333333331</v>
      </c>
      <c r="X51" s="1">
        <v>2.4463333333333335</v>
      </c>
      <c r="Y51" s="1">
        <v>9.5815466666666662</v>
      </c>
      <c r="Z51" s="1"/>
      <c r="AA51" s="2">
        <v>2</v>
      </c>
      <c r="AB51" s="2">
        <v>1</v>
      </c>
      <c r="AC51" s="2">
        <v>3</v>
      </c>
      <c r="AD51" s="2">
        <v>1.51</v>
      </c>
      <c r="AE51" s="2">
        <v>1.75</v>
      </c>
      <c r="AF51" s="2">
        <v>1.7066666666666668</v>
      </c>
      <c r="AG51" s="1">
        <v>1.5973333333333333</v>
      </c>
      <c r="AH51" s="1">
        <v>4.5973333333333333</v>
      </c>
      <c r="AI51" s="2">
        <v>2.2452725250278087</v>
      </c>
      <c r="AJ51" s="2">
        <v>0</v>
      </c>
      <c r="AK51" s="1">
        <v>1.1226362625139044</v>
      </c>
      <c r="AL51" s="1">
        <v>2.726</v>
      </c>
      <c r="AM51" s="1">
        <v>1.4666666666666668</v>
      </c>
      <c r="AN51" s="1">
        <v>9.9126362625139048</v>
      </c>
      <c r="AO51" s="2"/>
      <c r="AP51">
        <v>5</v>
      </c>
      <c r="AQ51">
        <v>5</v>
      </c>
      <c r="AR51" s="1">
        <v>2.29</v>
      </c>
      <c r="AS51" s="1">
        <v>2.5</v>
      </c>
      <c r="AT51" s="1">
        <v>1.5</v>
      </c>
      <c r="AU51" s="1">
        <v>1.9159999999999999</v>
      </c>
      <c r="AV51" s="1">
        <v>3.3428571428571425</v>
      </c>
      <c r="AW51" s="1">
        <v>2.1875</v>
      </c>
      <c r="AX51" s="1">
        <v>13.736357142857141</v>
      </c>
      <c r="AY51" s="2">
        <v>17.802267857142859</v>
      </c>
      <c r="AZ51" s="2"/>
      <c r="BA51" s="1">
        <v>51.335450786323428</v>
      </c>
      <c r="BB51" s="5">
        <v>126</v>
      </c>
      <c r="BC51" s="5">
        <v>13</v>
      </c>
      <c r="BD51" s="5" t="s">
        <v>99</v>
      </c>
      <c r="BE51" s="3">
        <v>0.8</v>
      </c>
      <c r="BF51" t="s">
        <v>68</v>
      </c>
      <c r="BH51" s="5"/>
      <c r="BI51" s="5" t="s">
        <v>89</v>
      </c>
      <c r="BJ51" s="3"/>
      <c r="BK51" s="3" t="s">
        <v>89</v>
      </c>
      <c r="BL51" s="5"/>
      <c r="BO51" s="3"/>
      <c r="BR51" s="2"/>
      <c r="BS51" s="5"/>
      <c r="BT51" s="5"/>
      <c r="BU51" s="2"/>
      <c r="BV51" s="5"/>
    </row>
    <row r="52" spans="1:74">
      <c r="A52">
        <v>51</v>
      </c>
      <c r="B52" t="s">
        <v>203</v>
      </c>
      <c r="C52" t="s">
        <v>204</v>
      </c>
      <c r="D52" t="s">
        <v>74</v>
      </c>
      <c r="E52" s="4" t="s">
        <v>205</v>
      </c>
      <c r="F52" s="1">
        <v>4.5</v>
      </c>
      <c r="G52" s="1">
        <v>0</v>
      </c>
      <c r="H52" s="1">
        <v>0</v>
      </c>
      <c r="I52" s="1">
        <v>0</v>
      </c>
      <c r="J52" s="1">
        <v>0</v>
      </c>
      <c r="K52" s="1">
        <v>0.185</v>
      </c>
      <c r="L52" s="1">
        <v>0</v>
      </c>
      <c r="M52" s="1">
        <v>0.185</v>
      </c>
      <c r="N52" s="1">
        <v>9.1850000000000005</v>
      </c>
      <c r="O52" s="1"/>
      <c r="P52" s="1">
        <v>4.5450999999999997</v>
      </c>
      <c r="Q52" s="1">
        <v>1.931</v>
      </c>
      <c r="R52" s="1">
        <v>0.70825000000000005</v>
      </c>
      <c r="S52" s="1">
        <v>7.1843500000000002</v>
      </c>
      <c r="T52" s="1">
        <v>0</v>
      </c>
      <c r="U52" s="1">
        <v>0</v>
      </c>
      <c r="V52" s="1">
        <v>2.0428571428571431</v>
      </c>
      <c r="W52" s="1">
        <v>0</v>
      </c>
      <c r="X52" s="1">
        <v>0.81714285714285728</v>
      </c>
      <c r="Y52" s="1">
        <v>6.4011942857142854</v>
      </c>
      <c r="Z52" s="1"/>
      <c r="AA52" s="2">
        <v>2</v>
      </c>
      <c r="AB52" s="2">
        <v>2</v>
      </c>
      <c r="AC52" s="2">
        <v>4</v>
      </c>
      <c r="AD52" s="2">
        <v>2.2599999999999998</v>
      </c>
      <c r="AE52" s="2">
        <v>1</v>
      </c>
      <c r="AF52" s="2">
        <v>1.7049999999999998</v>
      </c>
      <c r="AG52" s="1">
        <v>1.8969999999999998</v>
      </c>
      <c r="AH52" s="1">
        <v>5.8970000000000002</v>
      </c>
      <c r="AI52" s="2">
        <v>1.5517241379310345</v>
      </c>
      <c r="AJ52" s="2">
        <v>0</v>
      </c>
      <c r="AK52" s="1">
        <v>0.77586206896551724</v>
      </c>
      <c r="AL52" s="1">
        <v>0.63400000000000001</v>
      </c>
      <c r="AM52" s="1">
        <v>1.3333333333333333</v>
      </c>
      <c r="AN52" s="1">
        <v>8.6401954022988505</v>
      </c>
      <c r="AO52" s="2"/>
      <c r="AP52">
        <v>3</v>
      </c>
      <c r="AQ52">
        <v>2</v>
      </c>
      <c r="AR52" s="1">
        <v>1.35</v>
      </c>
      <c r="AS52" s="1">
        <v>3.75</v>
      </c>
      <c r="AT52" s="1">
        <v>1</v>
      </c>
      <c r="AU52" s="1">
        <v>3.92</v>
      </c>
      <c r="AV52" s="1">
        <v>1.0571428571428572</v>
      </c>
      <c r="AW52" s="1">
        <v>1.25</v>
      </c>
      <c r="AX52" s="1">
        <v>12.327142857142857</v>
      </c>
      <c r="AY52" s="2">
        <v>12.995357142857143</v>
      </c>
      <c r="AZ52" s="2"/>
      <c r="BA52" s="1">
        <v>37.221746830870281</v>
      </c>
      <c r="BB52" s="5">
        <v>91</v>
      </c>
      <c r="BC52" s="5">
        <v>42</v>
      </c>
      <c r="BD52" s="5" t="s">
        <v>67</v>
      </c>
      <c r="BE52" s="3">
        <v>0.34</v>
      </c>
      <c r="BF52" t="s">
        <v>68</v>
      </c>
      <c r="BH52" s="5">
        <v>100</v>
      </c>
      <c r="BI52" s="5">
        <v>-9</v>
      </c>
      <c r="BJ52" s="3">
        <v>0.54</v>
      </c>
      <c r="BK52" s="3">
        <v>-0.2</v>
      </c>
      <c r="BL52" s="5"/>
      <c r="BO52" s="3"/>
    </row>
    <row r="53" spans="1:74">
      <c r="A53">
        <v>52</v>
      </c>
      <c r="B53" t="s">
        <v>206</v>
      </c>
      <c r="C53" t="s">
        <v>207</v>
      </c>
      <c r="D53" t="s">
        <v>65</v>
      </c>
      <c r="E53" s="4" t="s">
        <v>208</v>
      </c>
      <c r="F53" s="1">
        <v>5</v>
      </c>
      <c r="G53" s="1">
        <v>0</v>
      </c>
      <c r="H53" s="1">
        <v>0</v>
      </c>
      <c r="I53" s="1">
        <v>0</v>
      </c>
      <c r="J53" s="1">
        <v>0</v>
      </c>
      <c r="K53" s="1">
        <v>0.314</v>
      </c>
      <c r="L53" s="1">
        <v>0</v>
      </c>
      <c r="M53" s="1">
        <v>0.314</v>
      </c>
      <c r="N53" s="1">
        <v>10.314</v>
      </c>
      <c r="O53" s="1"/>
      <c r="P53" s="1">
        <v>3.8593999999999999</v>
      </c>
      <c r="Q53" s="1">
        <v>2.42</v>
      </c>
      <c r="R53" s="1">
        <v>2.1564999999999999</v>
      </c>
      <c r="S53" s="1">
        <v>8.4359000000000002</v>
      </c>
      <c r="T53" s="1">
        <v>1.87</v>
      </c>
      <c r="U53" s="1">
        <v>0</v>
      </c>
      <c r="V53" s="1">
        <v>0</v>
      </c>
      <c r="W53" s="1">
        <v>0</v>
      </c>
      <c r="X53" s="1">
        <v>0.74800000000000011</v>
      </c>
      <c r="Y53" s="1">
        <v>7.3471199999999994</v>
      </c>
      <c r="Z53" s="1"/>
      <c r="AA53" s="2">
        <v>2</v>
      </c>
      <c r="AB53" s="2">
        <v>2</v>
      </c>
      <c r="AC53" s="2">
        <v>4</v>
      </c>
      <c r="AD53" s="2">
        <v>2.5099999999999998</v>
      </c>
      <c r="AE53" s="2">
        <v>1</v>
      </c>
      <c r="AF53" s="2">
        <v>2.6716666666666669</v>
      </c>
      <c r="AG53" s="1">
        <v>2.2403333333333331</v>
      </c>
      <c r="AH53" s="1">
        <v>6.2403333333333331</v>
      </c>
      <c r="AI53" s="2">
        <v>2.0678531701890992</v>
      </c>
      <c r="AJ53" s="2">
        <v>1</v>
      </c>
      <c r="AK53" s="1">
        <v>1.5339265850945496</v>
      </c>
      <c r="AL53" s="1">
        <v>1.712</v>
      </c>
      <c r="AM53" s="1">
        <v>3.7333333333333329</v>
      </c>
      <c r="AN53" s="1">
        <v>13.219593251761216</v>
      </c>
      <c r="AO53" s="2"/>
      <c r="AP53">
        <v>3</v>
      </c>
      <c r="AQ53">
        <v>2</v>
      </c>
      <c r="AR53" s="1">
        <v>1.532</v>
      </c>
      <c r="AS53" s="1">
        <v>3.75</v>
      </c>
      <c r="AT53" s="1">
        <v>2.25</v>
      </c>
      <c r="AU53" s="1">
        <v>2.8959999999999999</v>
      </c>
      <c r="AV53" s="1">
        <v>3.4857142857142858</v>
      </c>
      <c r="AW53" s="1">
        <v>1.875</v>
      </c>
      <c r="AX53" s="1">
        <v>15.788714285714287</v>
      </c>
      <c r="AY53" s="2">
        <v>15.591535714285714</v>
      </c>
      <c r="AZ53" s="2"/>
      <c r="BA53" s="1">
        <v>46.472248966046926</v>
      </c>
      <c r="BB53" s="5">
        <v>114</v>
      </c>
      <c r="BC53" s="5">
        <v>24</v>
      </c>
      <c r="BD53" s="5" t="s">
        <v>99</v>
      </c>
      <c r="BE53" s="3">
        <v>0.63</v>
      </c>
      <c r="BF53" t="s">
        <v>68</v>
      </c>
      <c r="BH53" s="5"/>
      <c r="BI53" s="5" t="s">
        <v>89</v>
      </c>
      <c r="BJ53" s="3"/>
      <c r="BK53" s="3" t="s">
        <v>89</v>
      </c>
      <c r="BO53" s="3"/>
      <c r="BR53" s="2"/>
      <c r="BS53" s="5"/>
      <c r="BT53" s="5"/>
      <c r="BU53" s="2"/>
      <c r="BV53" s="5"/>
    </row>
    <row r="54" spans="1:74">
      <c r="A54">
        <v>53</v>
      </c>
      <c r="B54" t="s">
        <v>209</v>
      </c>
      <c r="C54" t="s">
        <v>210</v>
      </c>
      <c r="D54" t="s">
        <v>211</v>
      </c>
      <c r="E54" s="4" t="s">
        <v>212</v>
      </c>
      <c r="F54" s="1">
        <v>1</v>
      </c>
      <c r="G54" s="1">
        <v>0</v>
      </c>
      <c r="H54" s="1">
        <v>0</v>
      </c>
      <c r="I54" s="1">
        <v>0</v>
      </c>
      <c r="J54" s="1">
        <v>0</v>
      </c>
      <c r="K54" s="1">
        <v>1.4105000000000001</v>
      </c>
      <c r="L54" s="1">
        <v>0</v>
      </c>
      <c r="M54" s="1">
        <v>1.4105000000000001</v>
      </c>
      <c r="N54" s="1">
        <v>3.4104999999999999</v>
      </c>
      <c r="O54" s="1"/>
      <c r="P54" s="1">
        <v>3.8337000000000003</v>
      </c>
      <c r="Q54" s="1">
        <v>2.508</v>
      </c>
      <c r="R54" s="1">
        <v>0</v>
      </c>
      <c r="S54" s="1">
        <v>6.3417000000000003</v>
      </c>
      <c r="T54" s="1">
        <v>1.9725000000000001</v>
      </c>
      <c r="U54" s="1">
        <v>0</v>
      </c>
      <c r="V54" s="1">
        <v>2.4928571428571429</v>
      </c>
      <c r="W54" s="1">
        <v>0</v>
      </c>
      <c r="X54" s="1">
        <v>1.7861428571428575</v>
      </c>
      <c r="Y54" s="1">
        <v>6.5022742857142859</v>
      </c>
      <c r="Z54" s="1"/>
      <c r="AA54" s="2">
        <v>2</v>
      </c>
      <c r="AB54" s="2">
        <v>2</v>
      </c>
      <c r="AC54" s="2">
        <v>4</v>
      </c>
      <c r="AD54" s="2">
        <v>1.04</v>
      </c>
      <c r="AE54" s="2">
        <v>0</v>
      </c>
      <c r="AF54" s="2">
        <v>0.49666666666666665</v>
      </c>
      <c r="AG54" s="1">
        <v>0.72333333333333338</v>
      </c>
      <c r="AH54" s="1">
        <v>4.7233333333333336</v>
      </c>
      <c r="AI54" s="2">
        <v>3.3420467185761957</v>
      </c>
      <c r="AJ54" s="2">
        <v>0</v>
      </c>
      <c r="AK54" s="1">
        <v>1.6710233592880979</v>
      </c>
      <c r="AL54" s="1">
        <v>0.49</v>
      </c>
      <c r="AM54" s="1">
        <v>1.8666666666666665</v>
      </c>
      <c r="AN54" s="1">
        <v>8.7510233592880979</v>
      </c>
      <c r="AO54" s="2"/>
      <c r="AP54">
        <v>3</v>
      </c>
      <c r="AQ54">
        <v>2</v>
      </c>
      <c r="AR54" s="1">
        <v>2.9059999999999997</v>
      </c>
      <c r="AS54" s="1">
        <v>3.024</v>
      </c>
      <c r="AT54" s="1">
        <v>1.25</v>
      </c>
      <c r="AU54" s="1">
        <v>1.988</v>
      </c>
      <c r="AV54" s="1">
        <v>1.5428571428571429</v>
      </c>
      <c r="AW54" s="1">
        <v>0.625</v>
      </c>
      <c r="AX54" s="1">
        <v>11.335857142857142</v>
      </c>
      <c r="AY54" s="2">
        <v>12.251892857142858</v>
      </c>
      <c r="AZ54" s="2"/>
      <c r="BA54" s="1">
        <v>30.915690502145239</v>
      </c>
      <c r="BB54" s="5">
        <v>76</v>
      </c>
      <c r="BC54" s="5">
        <v>50</v>
      </c>
      <c r="BD54" s="5" t="s">
        <v>86</v>
      </c>
      <c r="BE54" s="3">
        <v>0.22</v>
      </c>
      <c r="BF54" t="s">
        <v>68</v>
      </c>
      <c r="BH54" s="5">
        <v>92</v>
      </c>
      <c r="BI54" s="5">
        <v>-16</v>
      </c>
      <c r="BJ54" s="3">
        <v>0.37</v>
      </c>
      <c r="BK54" s="3">
        <v>-0.15</v>
      </c>
      <c r="BO54" s="3"/>
    </row>
    <row r="55" spans="1:74">
      <c r="A55">
        <v>54</v>
      </c>
      <c r="B55" t="s">
        <v>213</v>
      </c>
      <c r="C55" t="s">
        <v>107</v>
      </c>
      <c r="D55" t="s">
        <v>65</v>
      </c>
      <c r="E55" s="4" t="s">
        <v>214</v>
      </c>
      <c r="F55" s="1">
        <v>2.5</v>
      </c>
      <c r="G55" s="1">
        <v>0</v>
      </c>
      <c r="H55" s="1">
        <v>0</v>
      </c>
      <c r="I55" s="1">
        <v>0</v>
      </c>
      <c r="J55" s="1">
        <v>0</v>
      </c>
      <c r="K55" s="1">
        <v>0.52349999999999997</v>
      </c>
      <c r="L55" s="1">
        <v>0</v>
      </c>
      <c r="M55" s="1">
        <v>0.52349999999999997</v>
      </c>
      <c r="N55" s="1">
        <v>5.5235000000000003</v>
      </c>
      <c r="O55" s="1"/>
      <c r="P55" s="1">
        <v>4.3846000000000007</v>
      </c>
      <c r="Q55" s="1">
        <v>1.6402500000000002</v>
      </c>
      <c r="R55" s="1">
        <v>2.4957500000000001</v>
      </c>
      <c r="S55" s="1">
        <v>8.5206000000000017</v>
      </c>
      <c r="T55" s="1">
        <v>1.1168749999999998</v>
      </c>
      <c r="U55" s="1">
        <v>0</v>
      </c>
      <c r="V55" s="1">
        <v>0</v>
      </c>
      <c r="W55" s="1">
        <v>2.5525000000000002</v>
      </c>
      <c r="X55" s="1">
        <v>0.70199999999999996</v>
      </c>
      <c r="Y55" s="1">
        <v>7.3780800000000015</v>
      </c>
      <c r="Z55" s="1"/>
      <c r="AA55" s="2">
        <v>2</v>
      </c>
      <c r="AB55" s="2">
        <v>2</v>
      </c>
      <c r="AC55" s="2">
        <v>4</v>
      </c>
      <c r="AD55" s="2">
        <v>1.26</v>
      </c>
      <c r="AE55" s="2">
        <v>1.25</v>
      </c>
      <c r="AF55" s="2">
        <v>1.1416666666666668</v>
      </c>
      <c r="AG55" s="1">
        <v>1.2343333333333333</v>
      </c>
      <c r="AH55" s="1">
        <v>5.2343333333333337</v>
      </c>
      <c r="AI55" s="2">
        <v>0</v>
      </c>
      <c r="AJ55" s="2">
        <v>0.25</v>
      </c>
      <c r="AK55" s="1">
        <v>0.125</v>
      </c>
      <c r="AL55" s="1">
        <v>1.6949999999999998</v>
      </c>
      <c r="AM55" s="1">
        <v>0.26666666666666666</v>
      </c>
      <c r="AN55" s="1">
        <v>7.3210000000000006</v>
      </c>
      <c r="AO55" s="2"/>
      <c r="AP55">
        <v>4</v>
      </c>
      <c r="AQ55">
        <v>3</v>
      </c>
      <c r="AR55" s="1">
        <v>2.7119999999999997</v>
      </c>
      <c r="AS55" s="1">
        <v>4.75</v>
      </c>
      <c r="AT55" s="1">
        <v>1.5</v>
      </c>
      <c r="AU55" s="1">
        <v>4.6660000000000004</v>
      </c>
      <c r="AV55" s="1">
        <v>2.6285714285714286</v>
      </c>
      <c r="AW55" s="1">
        <v>1.25</v>
      </c>
      <c r="AX55" s="1">
        <v>17.50657142857143</v>
      </c>
      <c r="AY55" s="2">
        <v>18.379928571428575</v>
      </c>
      <c r="AZ55" s="2"/>
      <c r="BA55" s="1">
        <v>38.602508571428579</v>
      </c>
      <c r="BB55" s="5">
        <v>94</v>
      </c>
      <c r="BC55" s="5">
        <v>39</v>
      </c>
      <c r="BD55" s="5" t="s">
        <v>67</v>
      </c>
      <c r="BE55" s="3">
        <v>0.39</v>
      </c>
      <c r="BF55" t="s">
        <v>68</v>
      </c>
      <c r="BH55" s="5"/>
      <c r="BI55" s="5" t="s">
        <v>89</v>
      </c>
      <c r="BJ55" s="3"/>
      <c r="BK55" s="3" t="s">
        <v>89</v>
      </c>
      <c r="BO55" s="3"/>
    </row>
    <row r="56" spans="1:74">
      <c r="A56">
        <v>55</v>
      </c>
      <c r="B56" t="s">
        <v>215</v>
      </c>
      <c r="C56" t="s">
        <v>216</v>
      </c>
      <c r="D56" t="s">
        <v>91</v>
      </c>
      <c r="E56" s="4" t="s">
        <v>217</v>
      </c>
      <c r="F56" s="1">
        <v>1</v>
      </c>
      <c r="G56" s="1">
        <v>0</v>
      </c>
      <c r="H56" s="1">
        <v>1</v>
      </c>
      <c r="I56" s="1">
        <v>0.375</v>
      </c>
      <c r="J56" s="1">
        <v>1.375</v>
      </c>
      <c r="K56" s="1">
        <v>0.40249999999999997</v>
      </c>
      <c r="L56" s="1">
        <v>0.25</v>
      </c>
      <c r="M56" s="1">
        <v>0.65249999999999997</v>
      </c>
      <c r="N56" s="1">
        <v>4.0274999999999999</v>
      </c>
      <c r="O56" s="1"/>
      <c r="P56" s="1">
        <v>3.8852000000000002</v>
      </c>
      <c r="Q56" s="1">
        <v>0</v>
      </c>
      <c r="R56" s="1">
        <v>1.0422500000000001</v>
      </c>
      <c r="S56" s="1">
        <v>4.9274500000000003</v>
      </c>
      <c r="T56" s="1">
        <v>0</v>
      </c>
      <c r="U56" s="1">
        <v>0</v>
      </c>
      <c r="V56" s="1">
        <v>0</v>
      </c>
      <c r="W56" s="1">
        <v>0</v>
      </c>
      <c r="X56" s="1">
        <v>0</v>
      </c>
      <c r="Y56" s="1">
        <v>3.9419600000000004</v>
      </c>
      <c r="Z56" s="1"/>
      <c r="AA56" s="2">
        <v>2</v>
      </c>
      <c r="AB56" s="2">
        <v>3</v>
      </c>
      <c r="AC56" s="2">
        <v>5</v>
      </c>
      <c r="AD56" s="2">
        <v>0.76</v>
      </c>
      <c r="AE56" s="2">
        <v>0.75</v>
      </c>
      <c r="AF56" s="2">
        <v>0.68500000000000005</v>
      </c>
      <c r="AG56" s="1">
        <v>0.74299999999999999</v>
      </c>
      <c r="AH56" s="1">
        <v>5.7430000000000003</v>
      </c>
      <c r="AI56" s="2">
        <v>0</v>
      </c>
      <c r="AJ56" s="2">
        <v>0.25</v>
      </c>
      <c r="AK56" s="1">
        <v>0.125</v>
      </c>
      <c r="AL56" s="1">
        <v>0.32900000000000001</v>
      </c>
      <c r="AM56" s="1">
        <v>1</v>
      </c>
      <c r="AN56" s="1">
        <v>7.1970000000000001</v>
      </c>
      <c r="AO56" s="2"/>
      <c r="AP56">
        <v>3</v>
      </c>
      <c r="AQ56">
        <v>4</v>
      </c>
      <c r="AR56" s="1">
        <v>2.524</v>
      </c>
      <c r="AS56" s="1">
        <v>3.75</v>
      </c>
      <c r="AT56" s="1">
        <v>1.25</v>
      </c>
      <c r="AU56" s="1">
        <v>1.8959999999999999</v>
      </c>
      <c r="AV56" s="1">
        <v>1.9142857142857141</v>
      </c>
      <c r="AW56" s="1">
        <v>1.875</v>
      </c>
      <c r="AX56" s="1">
        <v>13.209285714285715</v>
      </c>
      <c r="AY56" s="2">
        <v>15.156964285714285</v>
      </c>
      <c r="AZ56" s="2"/>
      <c r="BA56" s="1">
        <v>30.323424285714285</v>
      </c>
      <c r="BB56" s="5">
        <v>74</v>
      </c>
      <c r="BC56" s="5">
        <v>54</v>
      </c>
      <c r="BD56" s="5" t="s">
        <v>86</v>
      </c>
      <c r="BE56" s="3">
        <v>0.15</v>
      </c>
      <c r="BF56" t="s">
        <v>68</v>
      </c>
      <c r="BH56" s="5">
        <v>62</v>
      </c>
      <c r="BI56" s="5">
        <v>12</v>
      </c>
      <c r="BJ56" s="3">
        <v>0.08</v>
      </c>
      <c r="BK56" s="3">
        <v>6.9999999999999993E-2</v>
      </c>
      <c r="BO56" s="3"/>
    </row>
    <row r="57" spans="1:74">
      <c r="A57">
        <v>56</v>
      </c>
      <c r="B57" t="s">
        <v>218</v>
      </c>
      <c r="C57" t="s">
        <v>97</v>
      </c>
      <c r="D57" t="s">
        <v>74</v>
      </c>
      <c r="E57" s="4" t="s">
        <v>219</v>
      </c>
      <c r="F57" s="1">
        <v>5</v>
      </c>
      <c r="G57" s="1">
        <v>0</v>
      </c>
      <c r="H57" s="1">
        <v>1</v>
      </c>
      <c r="I57" s="1">
        <v>0</v>
      </c>
      <c r="J57" s="1">
        <v>1</v>
      </c>
      <c r="K57" s="1">
        <v>1.04</v>
      </c>
      <c r="L57" s="1">
        <v>0.5</v>
      </c>
      <c r="M57" s="1">
        <v>1.54</v>
      </c>
      <c r="N57" s="1">
        <v>12.54</v>
      </c>
      <c r="O57" s="1"/>
      <c r="P57" s="1">
        <v>5.0313999999999997</v>
      </c>
      <c r="Q57" s="1">
        <v>2.6014999999999997</v>
      </c>
      <c r="R57" s="1">
        <v>2.6172499999999999</v>
      </c>
      <c r="S57" s="1">
        <v>10.25015</v>
      </c>
      <c r="T57" s="1">
        <v>1.6193750000000002</v>
      </c>
      <c r="U57" s="1">
        <v>3.0750000000000002</v>
      </c>
      <c r="V57" s="1">
        <v>2.2571428571428571</v>
      </c>
      <c r="W57" s="1">
        <v>3.1516666666666668</v>
      </c>
      <c r="X57" s="1">
        <v>2.1732738095238098</v>
      </c>
      <c r="Y57" s="1">
        <v>9.9387390476190483</v>
      </c>
      <c r="Z57" s="1"/>
      <c r="AA57" s="2">
        <v>3</v>
      </c>
      <c r="AB57" s="2">
        <v>3</v>
      </c>
      <c r="AC57" s="2">
        <v>6</v>
      </c>
      <c r="AD57" s="2">
        <v>3.79</v>
      </c>
      <c r="AE57" s="2">
        <v>1.5</v>
      </c>
      <c r="AF57" s="2">
        <v>2.8333333333333335</v>
      </c>
      <c r="AG57" s="1">
        <v>3.1406666666666667</v>
      </c>
      <c r="AH57" s="1">
        <v>9.1406666666666663</v>
      </c>
      <c r="AI57" s="2">
        <v>4.850389321468298</v>
      </c>
      <c r="AJ57" s="2">
        <v>0</v>
      </c>
      <c r="AK57" s="1">
        <v>2.425194660734149</v>
      </c>
      <c r="AL57" s="1">
        <v>2.871</v>
      </c>
      <c r="AM57" s="1">
        <v>1.8666666666666665</v>
      </c>
      <c r="AN57" s="1">
        <v>16.303527994067483</v>
      </c>
      <c r="AO57" s="2"/>
      <c r="AP57">
        <v>3</v>
      </c>
      <c r="AQ57">
        <v>3</v>
      </c>
      <c r="AR57" s="1">
        <v>1.954</v>
      </c>
      <c r="AS57" s="1">
        <v>4.5</v>
      </c>
      <c r="AT57" s="1">
        <v>3</v>
      </c>
      <c r="AU57" s="1">
        <v>1.3959999999999999</v>
      </c>
      <c r="AV57" s="1">
        <v>2.6285714285714286</v>
      </c>
      <c r="AW57" s="1">
        <v>1.875</v>
      </c>
      <c r="AX57" s="1">
        <v>15.35357142857143</v>
      </c>
      <c r="AY57" s="2">
        <v>16.015178571428571</v>
      </c>
      <c r="AZ57" s="2"/>
      <c r="BA57" s="1">
        <v>54.797445613115102</v>
      </c>
      <c r="BB57" s="5">
        <v>134</v>
      </c>
      <c r="BC57" s="5">
        <v>10</v>
      </c>
      <c r="BD57" s="5" t="s">
        <v>99</v>
      </c>
      <c r="BE57" s="3">
        <v>0.85</v>
      </c>
      <c r="BF57" t="s">
        <v>68</v>
      </c>
      <c r="BH57" s="5"/>
      <c r="BI57" s="5" t="s">
        <v>89</v>
      </c>
      <c r="BJ57" s="3"/>
      <c r="BK57" s="3" t="s">
        <v>89</v>
      </c>
      <c r="BO57" s="3"/>
      <c r="BR57" s="2"/>
      <c r="BS57" s="5"/>
      <c r="BT57" s="5"/>
      <c r="BU57" s="2"/>
      <c r="BV57" s="5"/>
    </row>
    <row r="58" spans="1:74">
      <c r="A58">
        <v>57</v>
      </c>
      <c r="B58" t="s">
        <v>220</v>
      </c>
      <c r="C58" t="s">
        <v>220</v>
      </c>
      <c r="D58" t="s">
        <v>74</v>
      </c>
      <c r="E58" s="4" t="s">
        <v>221</v>
      </c>
      <c r="F58" s="1">
        <v>5</v>
      </c>
      <c r="G58" s="1">
        <v>1.5</v>
      </c>
      <c r="H58" s="1">
        <v>1</v>
      </c>
      <c r="I58" s="1">
        <v>0.75</v>
      </c>
      <c r="J58" s="1">
        <v>3.25</v>
      </c>
      <c r="K58" s="1">
        <v>0.49149999999999994</v>
      </c>
      <c r="L58" s="1">
        <v>0.5</v>
      </c>
      <c r="M58" s="1">
        <v>0.99149999999999994</v>
      </c>
      <c r="N58" s="1">
        <v>14.2415</v>
      </c>
      <c r="O58" s="1"/>
      <c r="P58" s="1">
        <v>4.8413000000000004</v>
      </c>
      <c r="Q58" s="1">
        <v>2.4525000000000001</v>
      </c>
      <c r="R58" s="1">
        <v>2.2842500000000001</v>
      </c>
      <c r="S58" s="1">
        <v>9.5780500000000011</v>
      </c>
      <c r="T58" s="1">
        <v>3.0031249999999998</v>
      </c>
      <c r="U58" s="1">
        <v>0</v>
      </c>
      <c r="V58" s="1">
        <v>3.2357142857142858</v>
      </c>
      <c r="W58" s="1">
        <v>3.8283333333333331</v>
      </c>
      <c r="X58" s="1">
        <v>2.8783690476190475</v>
      </c>
      <c r="Y58" s="1">
        <v>9.9651352380952396</v>
      </c>
      <c r="Z58" s="1"/>
      <c r="AA58" s="2">
        <v>4</v>
      </c>
      <c r="AB58" s="2">
        <v>4</v>
      </c>
      <c r="AC58" s="2">
        <v>8</v>
      </c>
      <c r="AD58" s="2">
        <v>3</v>
      </c>
      <c r="AE58" s="2">
        <v>1.75</v>
      </c>
      <c r="AF58" s="2">
        <v>2.6716666666666669</v>
      </c>
      <c r="AG58" s="1">
        <v>2.6843333333333335</v>
      </c>
      <c r="AH58" s="1">
        <v>10.684333333333333</v>
      </c>
      <c r="AI58" s="2">
        <v>3.2775305895439377</v>
      </c>
      <c r="AJ58" s="2">
        <v>2</v>
      </c>
      <c r="AK58" s="1">
        <v>2.6387652947719689</v>
      </c>
      <c r="AL58" s="1">
        <v>2.9489999999999998</v>
      </c>
      <c r="AM58" s="1">
        <v>1.5999999999999999</v>
      </c>
      <c r="AN58" s="1">
        <v>17.872098628105306</v>
      </c>
      <c r="AO58" s="2"/>
      <c r="AP58">
        <v>4</v>
      </c>
      <c r="AQ58">
        <v>4</v>
      </c>
      <c r="AR58" s="1">
        <v>3.31</v>
      </c>
      <c r="AS58" s="1">
        <v>4.25</v>
      </c>
      <c r="AT58" s="1">
        <v>1.75</v>
      </c>
      <c r="AU58" s="1">
        <v>3.6459999999999999</v>
      </c>
      <c r="AV58" s="1">
        <v>1.5428571428571429</v>
      </c>
      <c r="AW58" s="1">
        <v>1.875</v>
      </c>
      <c r="AX58" s="1">
        <v>16.37385714285714</v>
      </c>
      <c r="AY58" s="2">
        <v>18.280392857142857</v>
      </c>
      <c r="AZ58" s="2"/>
      <c r="BA58" s="1">
        <v>60.359126723343401</v>
      </c>
      <c r="BB58" s="5">
        <v>148</v>
      </c>
      <c r="BC58" s="5">
        <v>3</v>
      </c>
      <c r="BD58" s="5" t="s">
        <v>95</v>
      </c>
      <c r="BE58" s="3">
        <v>0.95</v>
      </c>
      <c r="BF58" t="s">
        <v>68</v>
      </c>
      <c r="BH58" s="5">
        <v>136</v>
      </c>
      <c r="BI58" s="5">
        <v>12</v>
      </c>
      <c r="BJ58" s="3">
        <v>0.89</v>
      </c>
      <c r="BK58" s="3">
        <v>5.9999999999999942E-2</v>
      </c>
      <c r="BO58" s="3"/>
      <c r="BR58" s="2"/>
      <c r="BS58" s="5"/>
      <c r="BT58" s="5"/>
      <c r="BU58" s="2"/>
      <c r="BV58" s="5"/>
    </row>
    <row r="59" spans="1:74">
      <c r="A59">
        <v>58</v>
      </c>
      <c r="B59" t="s">
        <v>222</v>
      </c>
      <c r="C59" t="s">
        <v>223</v>
      </c>
      <c r="D59" t="s">
        <v>91</v>
      </c>
      <c r="E59" s="4" t="s">
        <v>224</v>
      </c>
      <c r="F59" s="1">
        <v>2.5</v>
      </c>
      <c r="G59" s="1">
        <v>0</v>
      </c>
      <c r="H59" s="1">
        <v>1.5</v>
      </c>
      <c r="I59" s="1">
        <v>0.5</v>
      </c>
      <c r="J59" s="1">
        <v>2</v>
      </c>
      <c r="K59" s="1">
        <v>0.34649999999999997</v>
      </c>
      <c r="L59" s="1">
        <v>0</v>
      </c>
      <c r="M59" s="1">
        <v>0.34649999999999997</v>
      </c>
      <c r="N59" s="1">
        <v>7.3464999999999998</v>
      </c>
      <c r="O59" s="1"/>
      <c r="P59" s="1">
        <v>4.8583999999999996</v>
      </c>
      <c r="Q59" s="1">
        <v>2.4815</v>
      </c>
      <c r="R59" s="1">
        <v>1.5365</v>
      </c>
      <c r="S59" s="1">
        <v>8.8764000000000003</v>
      </c>
      <c r="T59" s="1">
        <v>1.9806250000000001</v>
      </c>
      <c r="U59" s="1">
        <v>2.8249999999999997</v>
      </c>
      <c r="V59" s="1">
        <v>3.1642857142857141</v>
      </c>
      <c r="W59" s="1">
        <v>0</v>
      </c>
      <c r="X59" s="1">
        <v>2.3404642857142859</v>
      </c>
      <c r="Y59" s="1">
        <v>8.97349142857143</v>
      </c>
      <c r="Z59" s="1"/>
      <c r="AA59" s="2">
        <v>2</v>
      </c>
      <c r="AB59" s="2">
        <v>2</v>
      </c>
      <c r="AC59" s="2">
        <v>4</v>
      </c>
      <c r="AD59" s="2">
        <v>1.01</v>
      </c>
      <c r="AE59" s="2">
        <v>0.5</v>
      </c>
      <c r="AF59" s="2">
        <v>1.1000000000000001</v>
      </c>
      <c r="AG59" s="1">
        <v>0.92599999999999993</v>
      </c>
      <c r="AH59" s="1">
        <v>4.9260000000000002</v>
      </c>
      <c r="AI59" s="2">
        <v>0</v>
      </c>
      <c r="AJ59" s="2">
        <v>0.5</v>
      </c>
      <c r="AK59" s="1">
        <v>0.25</v>
      </c>
      <c r="AL59" s="1">
        <v>0.72899999999999998</v>
      </c>
      <c r="AM59" s="1">
        <v>3.1333333333333333</v>
      </c>
      <c r="AN59" s="1">
        <v>9.038333333333334</v>
      </c>
      <c r="AO59" s="2"/>
      <c r="AP59">
        <v>4</v>
      </c>
      <c r="AQ59">
        <v>4</v>
      </c>
      <c r="AR59" s="1">
        <v>3.1080000000000001</v>
      </c>
      <c r="AS59" s="1">
        <v>1.274</v>
      </c>
      <c r="AT59" s="1">
        <v>0</v>
      </c>
      <c r="AU59" s="1">
        <v>1.9159999999999999</v>
      </c>
      <c r="AV59" s="1">
        <v>2.6285714285714286</v>
      </c>
      <c r="AW59" s="1">
        <v>1.25</v>
      </c>
      <c r="AX59" s="1">
        <v>10.176571428571428</v>
      </c>
      <c r="AY59" s="2">
        <v>13.632428571428571</v>
      </c>
      <c r="AZ59" s="2"/>
      <c r="BA59" s="1">
        <v>38.990753333333338</v>
      </c>
      <c r="BB59" s="5">
        <v>95</v>
      </c>
      <c r="BC59" s="5">
        <v>38</v>
      </c>
      <c r="BD59" s="5" t="s">
        <v>67</v>
      </c>
      <c r="BE59" s="3">
        <v>0.41</v>
      </c>
      <c r="BF59" t="s">
        <v>68</v>
      </c>
      <c r="BH59" s="5">
        <v>91</v>
      </c>
      <c r="BI59" s="5">
        <v>4</v>
      </c>
      <c r="BJ59" s="3">
        <v>0.35</v>
      </c>
      <c r="BK59" s="3">
        <v>0.06</v>
      </c>
      <c r="BL59" s="5"/>
      <c r="BO59" s="3"/>
      <c r="BR59" s="2"/>
      <c r="BS59" s="5"/>
      <c r="BT59" s="5"/>
      <c r="BU59" s="2"/>
      <c r="BV59" s="5"/>
    </row>
    <row r="60" spans="1:74">
      <c r="A60">
        <v>59</v>
      </c>
      <c r="B60" t="s">
        <v>225</v>
      </c>
      <c r="C60" t="s">
        <v>226</v>
      </c>
      <c r="D60" t="s">
        <v>91</v>
      </c>
      <c r="E60" s="4" t="s">
        <v>227</v>
      </c>
      <c r="F60" s="1">
        <v>2.5</v>
      </c>
      <c r="G60" s="1">
        <v>0</v>
      </c>
      <c r="H60" s="1">
        <v>1</v>
      </c>
      <c r="I60" s="1">
        <v>0</v>
      </c>
      <c r="J60" s="1">
        <v>1</v>
      </c>
      <c r="K60" s="1">
        <v>0.34650000000000003</v>
      </c>
      <c r="L60" s="1">
        <v>0</v>
      </c>
      <c r="M60" s="1">
        <v>0.34650000000000003</v>
      </c>
      <c r="N60" s="1">
        <v>6.3464999999999998</v>
      </c>
      <c r="O60" s="1"/>
      <c r="P60" s="1">
        <v>3.2893999999999997</v>
      </c>
      <c r="Q60" s="1">
        <v>2.3767499999999999</v>
      </c>
      <c r="R60" s="1">
        <v>1.3250000000000002</v>
      </c>
      <c r="S60" s="1">
        <v>6.9911500000000002</v>
      </c>
      <c r="T60" s="1">
        <v>2.5874999999999999</v>
      </c>
      <c r="U60" s="1">
        <v>0</v>
      </c>
      <c r="V60" s="1">
        <v>1.9714285714285713</v>
      </c>
      <c r="W60" s="1">
        <v>4.3224999999999998</v>
      </c>
      <c r="X60" s="1">
        <v>2.2558214285714282</v>
      </c>
      <c r="Y60" s="1">
        <v>7.3975771428571422</v>
      </c>
      <c r="Z60" s="1"/>
      <c r="AA60" s="2">
        <v>2</v>
      </c>
      <c r="AB60" s="2">
        <v>3</v>
      </c>
      <c r="AC60" s="2">
        <v>5</v>
      </c>
      <c r="AD60" s="2">
        <v>1.79</v>
      </c>
      <c r="AE60" s="2">
        <v>0.75</v>
      </c>
      <c r="AF60" s="2">
        <v>1.8133333333333335</v>
      </c>
      <c r="AG60" s="1">
        <v>1.5866666666666669</v>
      </c>
      <c r="AH60" s="1">
        <v>6.5866666666666669</v>
      </c>
      <c r="AI60" s="2">
        <v>0</v>
      </c>
      <c r="AJ60" s="2">
        <v>0.25</v>
      </c>
      <c r="AK60" s="1">
        <v>0.125</v>
      </c>
      <c r="AL60" s="1">
        <v>4.0760000000000005</v>
      </c>
      <c r="AM60" s="1">
        <v>1.5333333333333332</v>
      </c>
      <c r="AN60" s="1">
        <v>12.321</v>
      </c>
      <c r="AO60" s="2"/>
      <c r="AP60">
        <v>4</v>
      </c>
      <c r="AQ60">
        <v>3</v>
      </c>
      <c r="AR60" s="1">
        <v>3.4699999999999998</v>
      </c>
      <c r="AS60" s="1">
        <v>1.024</v>
      </c>
      <c r="AT60" s="1">
        <v>1.25</v>
      </c>
      <c r="AU60" s="1">
        <v>1.2810000000000001</v>
      </c>
      <c r="AV60" s="1">
        <v>0</v>
      </c>
      <c r="AW60" s="1">
        <v>0</v>
      </c>
      <c r="AX60" s="1">
        <v>7.0250000000000004</v>
      </c>
      <c r="AY60" s="2">
        <v>10.518750000000001</v>
      </c>
      <c r="AZ60" s="2"/>
      <c r="BA60" s="1">
        <v>36.583827142857146</v>
      </c>
      <c r="BB60" s="5">
        <v>90</v>
      </c>
      <c r="BC60" s="5">
        <v>43</v>
      </c>
      <c r="BD60" s="5" t="s">
        <v>67</v>
      </c>
      <c r="BE60" s="3">
        <v>0.33</v>
      </c>
      <c r="BF60" t="s">
        <v>133</v>
      </c>
      <c r="BH60" s="5">
        <v>82</v>
      </c>
      <c r="BI60" s="5">
        <v>8</v>
      </c>
      <c r="BJ60" s="3">
        <v>0.18</v>
      </c>
      <c r="BK60" s="3">
        <v>0.15000000000000002</v>
      </c>
      <c r="BO60" s="3"/>
      <c r="BR60" s="2"/>
      <c r="BS60" s="5"/>
      <c r="BT60" s="5"/>
      <c r="BU60" s="2"/>
      <c r="BV60" s="5"/>
    </row>
    <row r="61" spans="1:74">
      <c r="A61">
        <v>60</v>
      </c>
      <c r="B61" t="s">
        <v>228</v>
      </c>
      <c r="C61" t="s">
        <v>228</v>
      </c>
      <c r="D61" t="s">
        <v>65</v>
      </c>
      <c r="E61" s="4"/>
      <c r="F61" s="1">
        <v>5</v>
      </c>
      <c r="G61" s="1">
        <v>0</v>
      </c>
      <c r="H61" s="1">
        <v>1</v>
      </c>
      <c r="I61" s="1">
        <v>0</v>
      </c>
      <c r="J61" s="1">
        <v>1</v>
      </c>
      <c r="K61" s="1">
        <v>0.04</v>
      </c>
      <c r="L61" s="1">
        <v>0</v>
      </c>
      <c r="M61" s="1">
        <v>0.04</v>
      </c>
      <c r="N61" s="1">
        <v>11.04</v>
      </c>
      <c r="O61" s="1"/>
      <c r="P61" s="1">
        <v>4.0359999999999996</v>
      </c>
      <c r="Q61" s="1">
        <v>2.9022499999999996</v>
      </c>
      <c r="R61" s="1">
        <v>1.69675</v>
      </c>
      <c r="S61" s="1">
        <v>8.6349999999999998</v>
      </c>
      <c r="T61" s="1">
        <v>2.2243750000000002</v>
      </c>
      <c r="U61" s="1">
        <v>0.52500000000000002</v>
      </c>
      <c r="V61" s="1">
        <v>2.2928571428571427</v>
      </c>
      <c r="W61" s="1">
        <v>3.4725000000000001</v>
      </c>
      <c r="X61" s="1">
        <v>2.2066428571428576</v>
      </c>
      <c r="Y61" s="1">
        <v>8.6733142857142873</v>
      </c>
      <c r="Z61" s="1"/>
      <c r="AA61" s="2">
        <v>2</v>
      </c>
      <c r="AB61" s="2">
        <v>3</v>
      </c>
      <c r="AC61" s="2">
        <v>5</v>
      </c>
      <c r="AD61" s="2">
        <v>1.29</v>
      </c>
      <c r="AE61" s="2">
        <v>1</v>
      </c>
      <c r="AF61" s="2">
        <v>0.95333333333333348</v>
      </c>
      <c r="AG61" s="1">
        <v>1.1646666666666667</v>
      </c>
      <c r="AH61" s="1">
        <v>6.1646666666666672</v>
      </c>
      <c r="AI61" s="2">
        <v>0</v>
      </c>
      <c r="AJ61" s="2">
        <v>0.25</v>
      </c>
      <c r="AK61" s="1">
        <v>0.125</v>
      </c>
      <c r="AL61" s="1">
        <v>2.347</v>
      </c>
      <c r="AM61" s="1">
        <v>1</v>
      </c>
      <c r="AN61" s="1">
        <v>9.6366666666666667</v>
      </c>
      <c r="AO61" s="2"/>
      <c r="AP61">
        <v>3</v>
      </c>
      <c r="AQ61">
        <v>4</v>
      </c>
      <c r="AR61" s="1">
        <v>3.0920000000000001</v>
      </c>
      <c r="AS61" s="1">
        <v>1.3924999999999998</v>
      </c>
      <c r="AT61" s="1">
        <v>1</v>
      </c>
      <c r="AU61" s="1">
        <v>2.4159999999999999</v>
      </c>
      <c r="AV61" s="1">
        <v>2.6285714285714286</v>
      </c>
      <c r="AW61" s="1">
        <v>1.875</v>
      </c>
      <c r="AX61" s="1">
        <v>12.404071428571427</v>
      </c>
      <c r="AY61" s="2">
        <v>14.55305357142857</v>
      </c>
      <c r="AZ61" s="2"/>
      <c r="BA61" s="1">
        <v>43.903034523809524</v>
      </c>
      <c r="BB61" s="5">
        <v>107</v>
      </c>
      <c r="BC61" s="5">
        <v>27</v>
      </c>
      <c r="BD61" s="5" t="s">
        <v>67</v>
      </c>
      <c r="BE61" s="3">
        <v>0.57999999999999996</v>
      </c>
      <c r="BF61" t="s">
        <v>68</v>
      </c>
      <c r="BH61" s="5"/>
      <c r="BI61" s="5" t="s">
        <v>89</v>
      </c>
      <c r="BJ61" s="3"/>
      <c r="BK61" s="3" t="s">
        <v>89</v>
      </c>
      <c r="BO61" s="3"/>
      <c r="BR61" s="2"/>
      <c r="BS61" s="5"/>
      <c r="BT61" s="5"/>
      <c r="BU61" s="2"/>
      <c r="BV61" s="5"/>
    </row>
    <row r="62" spans="1:74">
      <c r="A62">
        <v>61</v>
      </c>
      <c r="B62" t="s">
        <v>229</v>
      </c>
      <c r="C62" t="s">
        <v>64</v>
      </c>
      <c r="D62" t="s">
        <v>79</v>
      </c>
      <c r="E62" s="4" t="s">
        <v>230</v>
      </c>
      <c r="F62" s="1">
        <v>5</v>
      </c>
      <c r="G62" s="1">
        <v>1</v>
      </c>
      <c r="H62" s="1">
        <v>0</v>
      </c>
      <c r="I62" s="1">
        <v>0.25</v>
      </c>
      <c r="J62" s="1">
        <v>1.25</v>
      </c>
      <c r="K62" s="1">
        <v>0.75750000000000006</v>
      </c>
      <c r="L62" s="1">
        <v>0</v>
      </c>
      <c r="M62" s="1">
        <v>0.75750000000000006</v>
      </c>
      <c r="N62" s="1">
        <v>12.0075</v>
      </c>
      <c r="O62" s="1"/>
      <c r="P62" s="1">
        <v>2.8826000000000001</v>
      </c>
      <c r="Q62" s="1">
        <v>1.8927500000000002</v>
      </c>
      <c r="R62" s="1">
        <v>2.2212499999999999</v>
      </c>
      <c r="S62" s="1">
        <v>6.9966000000000008</v>
      </c>
      <c r="T62" s="1">
        <v>1.57</v>
      </c>
      <c r="U62" s="1">
        <v>0</v>
      </c>
      <c r="V62" s="1">
        <v>1.6642857142857144</v>
      </c>
      <c r="W62" s="1">
        <v>2.2441666666666666</v>
      </c>
      <c r="X62" s="1">
        <v>1.5181309523809527</v>
      </c>
      <c r="Y62" s="1">
        <v>6.8117847619047627</v>
      </c>
      <c r="Z62" s="1"/>
      <c r="AA62" s="2">
        <v>3</v>
      </c>
      <c r="AB62" s="2">
        <v>3</v>
      </c>
      <c r="AC62" s="2">
        <v>6</v>
      </c>
      <c r="AD62" s="2">
        <v>2.5099999999999998</v>
      </c>
      <c r="AE62" s="2">
        <v>2</v>
      </c>
      <c r="AF62" s="2">
        <v>2.4566666666666666</v>
      </c>
      <c r="AG62" s="1">
        <v>2.3973333333333331</v>
      </c>
      <c r="AH62" s="1">
        <v>8.3973333333333322</v>
      </c>
      <c r="AI62" s="2">
        <v>1.9944382647385983</v>
      </c>
      <c r="AJ62" s="2">
        <v>0.25</v>
      </c>
      <c r="AK62" s="1">
        <v>1.1222191323692992</v>
      </c>
      <c r="AL62" s="1">
        <v>3.125</v>
      </c>
      <c r="AM62" s="1">
        <v>0.66666666666666663</v>
      </c>
      <c r="AN62" s="1">
        <v>13.311219132369297</v>
      </c>
      <c r="AO62" s="2"/>
      <c r="AP62">
        <v>4</v>
      </c>
      <c r="AQ62">
        <v>3</v>
      </c>
      <c r="AR62" s="1">
        <v>2.7439999999999998</v>
      </c>
      <c r="AS62" s="1">
        <v>2.9355000000000002</v>
      </c>
      <c r="AT62" s="1">
        <v>0.5</v>
      </c>
      <c r="AU62" s="1">
        <v>1.488</v>
      </c>
      <c r="AV62" s="1">
        <v>2.2571428571428571</v>
      </c>
      <c r="AW62" s="1">
        <v>1.25</v>
      </c>
      <c r="AX62" s="1">
        <v>11.174642857142857</v>
      </c>
      <c r="AY62" s="2">
        <v>13.630982142857142</v>
      </c>
      <c r="AZ62" s="2"/>
      <c r="BA62" s="1">
        <v>45.761486037131199</v>
      </c>
      <c r="BB62" s="5">
        <v>112</v>
      </c>
      <c r="BC62" s="5">
        <v>25</v>
      </c>
      <c r="BD62" s="5" t="s">
        <v>99</v>
      </c>
      <c r="BE62" s="3">
        <v>0.61</v>
      </c>
      <c r="BF62" t="s">
        <v>68</v>
      </c>
      <c r="BH62" s="5">
        <v>103</v>
      </c>
      <c r="BI62" s="5">
        <v>9</v>
      </c>
      <c r="BJ62" s="3">
        <v>0.6</v>
      </c>
      <c r="BK62" s="3">
        <v>1.0000000000000009E-2</v>
      </c>
      <c r="BL62" s="5"/>
      <c r="BO62" s="3"/>
    </row>
    <row r="63" spans="1:74">
      <c r="A63">
        <v>62</v>
      </c>
      <c r="B63" t="s">
        <v>231</v>
      </c>
      <c r="C63" t="s">
        <v>232</v>
      </c>
      <c r="D63" t="s">
        <v>74</v>
      </c>
      <c r="E63" s="4" t="s">
        <v>233</v>
      </c>
      <c r="F63" s="1">
        <v>0</v>
      </c>
      <c r="G63" s="1">
        <v>0</v>
      </c>
      <c r="H63" s="1">
        <v>0</v>
      </c>
      <c r="I63" s="1">
        <v>0</v>
      </c>
      <c r="J63" s="1">
        <v>0</v>
      </c>
      <c r="K63" s="1">
        <v>0.3785</v>
      </c>
      <c r="L63" s="1">
        <v>0</v>
      </c>
      <c r="M63" s="1">
        <v>0.3785</v>
      </c>
      <c r="N63" s="1">
        <v>0.3785</v>
      </c>
      <c r="O63" s="1"/>
      <c r="P63" s="1">
        <v>2.6574999999999998</v>
      </c>
      <c r="Q63" s="1">
        <v>2.8624999999999998</v>
      </c>
      <c r="R63" s="1">
        <v>0.5</v>
      </c>
      <c r="S63" s="1">
        <v>6.02</v>
      </c>
      <c r="T63" s="1">
        <v>1.4325000000000001</v>
      </c>
      <c r="U63" s="1">
        <v>1.825</v>
      </c>
      <c r="V63" s="1">
        <v>2.8357142857142863</v>
      </c>
      <c r="W63" s="1">
        <v>0</v>
      </c>
      <c r="X63" s="1">
        <v>1.8897857142857146</v>
      </c>
      <c r="Y63" s="1">
        <v>6.3278285714285714</v>
      </c>
      <c r="Z63" s="1"/>
      <c r="AA63" s="2">
        <v>1</v>
      </c>
      <c r="AB63" s="2">
        <v>1</v>
      </c>
      <c r="AC63" s="2">
        <v>2</v>
      </c>
      <c r="AD63" s="2">
        <v>2.0099999999999998</v>
      </c>
      <c r="AE63" s="2">
        <v>0.75</v>
      </c>
      <c r="AF63" s="2">
        <v>1.4366666666666668</v>
      </c>
      <c r="AG63" s="1">
        <v>1.6433333333333333</v>
      </c>
      <c r="AH63" s="1">
        <v>3.6433333333333335</v>
      </c>
      <c r="AI63" s="2">
        <v>0</v>
      </c>
      <c r="AJ63" s="2">
        <v>0</v>
      </c>
      <c r="AK63" s="1">
        <v>0</v>
      </c>
      <c r="AL63" s="1">
        <v>0.7589999999999999</v>
      </c>
      <c r="AM63" s="1">
        <v>0</v>
      </c>
      <c r="AN63" s="1">
        <v>4.402333333333333</v>
      </c>
      <c r="AO63" s="2"/>
      <c r="AP63">
        <v>2</v>
      </c>
      <c r="AQ63">
        <v>1</v>
      </c>
      <c r="AR63" s="1">
        <v>0.53200000000000003</v>
      </c>
      <c r="AS63" s="1">
        <v>1.75</v>
      </c>
      <c r="AT63" s="1">
        <v>0</v>
      </c>
      <c r="AU63" s="1">
        <v>0.53100000000000003</v>
      </c>
      <c r="AV63" s="1">
        <v>0</v>
      </c>
      <c r="AW63" s="1">
        <v>0</v>
      </c>
      <c r="AX63" s="1">
        <v>2.8130000000000002</v>
      </c>
      <c r="AY63" s="2">
        <v>4.3597500000000009</v>
      </c>
      <c r="AZ63" s="2"/>
      <c r="BA63" s="1">
        <v>15.468411904761904</v>
      </c>
      <c r="BB63" s="5">
        <v>38</v>
      </c>
      <c r="BC63" s="5">
        <v>63</v>
      </c>
      <c r="BD63" s="5" t="s">
        <v>76</v>
      </c>
      <c r="BE63" s="3">
        <v>0.01</v>
      </c>
      <c r="BF63" t="s">
        <v>133</v>
      </c>
      <c r="BH63" s="5">
        <v>52</v>
      </c>
      <c r="BI63" s="5">
        <v>-14</v>
      </c>
      <c r="BJ63" s="3">
        <v>0.04</v>
      </c>
      <c r="BK63" s="3">
        <v>-0.03</v>
      </c>
      <c r="BO63" s="3"/>
      <c r="BR63" s="2"/>
      <c r="BS63" s="5"/>
      <c r="BT63" s="5"/>
      <c r="BU63" s="2"/>
      <c r="BV63" s="5"/>
    </row>
    <row r="64" spans="1:74">
      <c r="A64">
        <v>63</v>
      </c>
      <c r="B64" t="s">
        <v>234</v>
      </c>
      <c r="C64" t="s">
        <v>83</v>
      </c>
      <c r="D64" t="s">
        <v>74</v>
      </c>
      <c r="E64" s="4" t="s">
        <v>235</v>
      </c>
      <c r="F64" s="1">
        <v>1</v>
      </c>
      <c r="G64" s="1">
        <v>0</v>
      </c>
      <c r="H64" s="1">
        <v>0</v>
      </c>
      <c r="I64" s="1">
        <v>0</v>
      </c>
      <c r="J64" s="1">
        <v>0</v>
      </c>
      <c r="K64" s="1">
        <v>0.185</v>
      </c>
      <c r="L64" s="1">
        <v>0</v>
      </c>
      <c r="M64" s="1">
        <v>0.185</v>
      </c>
      <c r="N64" s="1">
        <v>2.1850000000000001</v>
      </c>
      <c r="O64" s="1"/>
      <c r="P64" s="1">
        <v>1.9100999999999999</v>
      </c>
      <c r="Q64" s="1">
        <v>1.9457499999999999</v>
      </c>
      <c r="R64" s="1">
        <v>0.5</v>
      </c>
      <c r="S64" s="1">
        <v>4.3558500000000002</v>
      </c>
      <c r="T64" s="1">
        <v>2.1793750000000003</v>
      </c>
      <c r="U64" s="1">
        <v>0</v>
      </c>
      <c r="V64" s="1">
        <v>0.91428571428571448</v>
      </c>
      <c r="W64" s="1">
        <v>0</v>
      </c>
      <c r="X64" s="1">
        <v>1.2374642857142859</v>
      </c>
      <c r="Y64" s="1">
        <v>4.4746514285714287</v>
      </c>
      <c r="Z64" s="1"/>
      <c r="AA64" s="2">
        <v>1</v>
      </c>
      <c r="AB64" s="2">
        <v>1</v>
      </c>
      <c r="AC64" s="2">
        <v>2</v>
      </c>
      <c r="AD64" s="2">
        <v>1.79</v>
      </c>
      <c r="AE64" s="2">
        <v>0.5</v>
      </c>
      <c r="AF64" s="2">
        <v>1.5983333333333334</v>
      </c>
      <c r="AG64" s="1">
        <v>1.4936666666666669</v>
      </c>
      <c r="AH64" s="1">
        <v>3.4936666666666669</v>
      </c>
      <c r="AI64" s="2">
        <v>0</v>
      </c>
      <c r="AJ64" s="2">
        <v>0</v>
      </c>
      <c r="AK64" s="1">
        <v>0</v>
      </c>
      <c r="AL64" s="1">
        <v>0.61699999999999999</v>
      </c>
      <c r="AM64" s="1">
        <v>0.33333333333333331</v>
      </c>
      <c r="AN64" s="1">
        <v>4.444</v>
      </c>
      <c r="AO64" s="2"/>
      <c r="AP64">
        <v>2</v>
      </c>
      <c r="AQ64">
        <v>2</v>
      </c>
      <c r="AR64" s="1">
        <v>1.224</v>
      </c>
      <c r="AS64" s="1">
        <v>2.5</v>
      </c>
      <c r="AT64" s="1">
        <v>0.5</v>
      </c>
      <c r="AU64" s="1">
        <v>1.472</v>
      </c>
      <c r="AV64" s="1">
        <v>2.8571428571428598E-2</v>
      </c>
      <c r="AW64" s="1">
        <v>0</v>
      </c>
      <c r="AX64" s="1">
        <v>5.7245714285714282</v>
      </c>
      <c r="AY64" s="2">
        <v>7.2934285714285716</v>
      </c>
      <c r="AZ64" s="2"/>
      <c r="BA64" s="1">
        <v>18.397079999999999</v>
      </c>
      <c r="BB64" s="5">
        <v>45</v>
      </c>
      <c r="BC64" s="5">
        <v>60</v>
      </c>
      <c r="BD64" s="5" t="s">
        <v>76</v>
      </c>
      <c r="BE64" s="3">
        <v>0.06</v>
      </c>
      <c r="BF64" t="s">
        <v>68</v>
      </c>
      <c r="BH64" s="5"/>
      <c r="BI64" s="5" t="s">
        <v>89</v>
      </c>
      <c r="BJ64" s="3"/>
      <c r="BK64" s="3" t="s">
        <v>89</v>
      </c>
      <c r="BO64" s="3"/>
    </row>
    <row r="65" spans="1:74">
      <c r="A65">
        <v>64</v>
      </c>
      <c r="B65" t="s">
        <v>236</v>
      </c>
      <c r="C65" t="s">
        <v>237</v>
      </c>
      <c r="D65" t="s">
        <v>74</v>
      </c>
      <c r="E65" t="s">
        <v>238</v>
      </c>
      <c r="F65" s="1">
        <v>5</v>
      </c>
      <c r="G65" s="1">
        <v>1.25</v>
      </c>
      <c r="H65" s="1">
        <v>0</v>
      </c>
      <c r="I65" s="1">
        <v>0</v>
      </c>
      <c r="J65" s="1">
        <v>1.25</v>
      </c>
      <c r="K65" s="1">
        <v>0.6875</v>
      </c>
      <c r="L65" s="1">
        <v>0</v>
      </c>
      <c r="M65" s="1">
        <v>0.6875</v>
      </c>
      <c r="N65" s="1">
        <v>11.9375</v>
      </c>
      <c r="O65" s="1"/>
      <c r="P65" s="1">
        <v>5.3843999999999994</v>
      </c>
      <c r="Q65" s="1">
        <v>2.19625</v>
      </c>
      <c r="R65" s="1">
        <v>1.8747499999999999</v>
      </c>
      <c r="S65" s="1">
        <v>9.4553999999999991</v>
      </c>
      <c r="T65" s="1">
        <v>2.5287499999999996</v>
      </c>
      <c r="U65" s="1">
        <v>0</v>
      </c>
      <c r="V65" s="1">
        <v>2.3028571428571429</v>
      </c>
      <c r="W65" s="1">
        <v>3.5975000000000001</v>
      </c>
      <c r="X65" s="1">
        <v>2.2923928571428571</v>
      </c>
      <c r="Y65" s="1">
        <v>9.3982342857142847</v>
      </c>
      <c r="Z65" s="1"/>
      <c r="AA65" s="2">
        <v>3</v>
      </c>
      <c r="AB65" s="2">
        <v>2</v>
      </c>
      <c r="AC65" s="2">
        <v>5</v>
      </c>
      <c r="AD65" s="2">
        <v>2.4500000000000002</v>
      </c>
      <c r="AE65" s="2">
        <v>1.3</v>
      </c>
      <c r="AF65" s="2">
        <v>2.4500000000000002</v>
      </c>
      <c r="AG65" s="1">
        <v>2.2200000000000002</v>
      </c>
      <c r="AH65" s="1">
        <v>7.2200000000000006</v>
      </c>
      <c r="AI65" s="2">
        <v>1.2380952380952381</v>
      </c>
      <c r="AJ65" s="2">
        <v>1</v>
      </c>
      <c r="AK65" s="1">
        <v>1.1190476190476191</v>
      </c>
      <c r="AL65" s="1">
        <v>1.806</v>
      </c>
      <c r="AM65" s="1">
        <v>0.26666666666666666</v>
      </c>
      <c r="AN65" s="1">
        <v>10.411714285714288</v>
      </c>
      <c r="AO65" s="2"/>
      <c r="AP65">
        <v>2</v>
      </c>
      <c r="AQ65">
        <v>2</v>
      </c>
      <c r="AR65" s="1">
        <v>2.9020000000000001</v>
      </c>
      <c r="AS65" s="1">
        <v>4.75</v>
      </c>
      <c r="AT65" s="1">
        <v>1.75</v>
      </c>
      <c r="AU65" s="1">
        <v>2.238</v>
      </c>
      <c r="AV65" s="1">
        <v>3.3428571428571425</v>
      </c>
      <c r="AW65" s="1">
        <v>2.1875</v>
      </c>
      <c r="AX65" s="1">
        <v>17.170357142857142</v>
      </c>
      <c r="AY65" s="2">
        <v>15.877767857142857</v>
      </c>
      <c r="AZ65" s="2"/>
      <c r="BA65" s="1">
        <v>47.625216428571427</v>
      </c>
      <c r="BB65" s="5">
        <v>117</v>
      </c>
      <c r="BC65" s="5">
        <v>18</v>
      </c>
      <c r="BD65" s="5" t="s">
        <v>99</v>
      </c>
      <c r="BE65" s="3">
        <v>0.71</v>
      </c>
      <c r="BF65" t="s">
        <v>68</v>
      </c>
      <c r="BH65" s="5"/>
      <c r="BI65" s="5" t="s">
        <v>89</v>
      </c>
      <c r="BJ65" s="3"/>
      <c r="BK65" s="3" t="s">
        <v>89</v>
      </c>
      <c r="BO65" s="3"/>
      <c r="BR65" s="2"/>
      <c r="BS65" s="5"/>
      <c r="BT65" s="5"/>
      <c r="BU65" s="2"/>
      <c r="BV65" s="5"/>
    </row>
    <row r="66" spans="1:74">
      <c r="AY66" s="2"/>
      <c r="AZ66" s="2"/>
      <c r="BE66" s="3"/>
      <c r="BF66">
        <v>51</v>
      </c>
      <c r="BG66">
        <v>0</v>
      </c>
      <c r="BJ66" s="3"/>
      <c r="BK66" s="3"/>
      <c r="BO66" s="3"/>
    </row>
    <row r="67" spans="1:74">
      <c r="AY67" s="2"/>
      <c r="AZ67" s="2"/>
      <c r="BE67" s="3"/>
      <c r="BF67">
        <v>13</v>
      </c>
      <c r="BG67">
        <v>0</v>
      </c>
      <c r="BJ67" s="3"/>
      <c r="BK67" s="3"/>
      <c r="BO67" s="3"/>
    </row>
    <row r="68" spans="1:74">
      <c r="AY68" s="2"/>
      <c r="AZ68" s="2"/>
      <c r="BE68" s="3"/>
      <c r="BF68" s="6">
        <v>0.796875</v>
      </c>
      <c r="BG68" s="6" t="e">
        <v>#DIV/0!</v>
      </c>
      <c r="BJ68" s="3"/>
      <c r="BK68" s="3"/>
      <c r="BO68" s="3"/>
    </row>
    <row r="69" spans="1:74">
      <c r="AY69" s="2"/>
      <c r="AZ69" s="2"/>
      <c r="BE69" s="3"/>
      <c r="BJ69" s="3"/>
      <c r="BK69" s="3"/>
      <c r="BO69" s="3"/>
    </row>
    <row r="70" spans="1:74">
      <c r="AY70" s="2"/>
      <c r="AZ70" s="2"/>
      <c r="BE70" s="3"/>
      <c r="BJ70" s="3"/>
      <c r="BK70" s="3"/>
      <c r="BO70" s="3"/>
    </row>
    <row r="71" spans="1:74">
      <c r="AY71" s="2"/>
      <c r="AZ71" s="2"/>
      <c r="BE71" s="3"/>
      <c r="BJ71" s="3"/>
      <c r="BK71" s="3"/>
      <c r="BO71" s="3"/>
    </row>
    <row r="72" spans="1:74">
      <c r="AY72" s="2"/>
      <c r="AZ72" s="2"/>
      <c r="BE72" s="3"/>
      <c r="BJ72" s="3"/>
      <c r="BK72" s="3"/>
      <c r="BO72" s="3"/>
    </row>
  </sheetData>
  <autoFilter ref="A1:BV65"/>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X79"/>
  <sheetViews>
    <sheetView workbookViewId="0">
      <pane xSplit="2" ySplit="1" topLeftCell="J54" activePane="bottomRight" state="frozen"/>
      <selection pane="topRight" activeCell="C1" sqref="C1"/>
      <selection pane="bottomLeft" activeCell="A2" sqref="A2"/>
      <selection pane="bottomRight" activeCell="O54" sqref="O54"/>
    </sheetView>
  </sheetViews>
  <sheetFormatPr baseColWidth="10" defaultColWidth="21.83203125" defaultRowHeight="14" x14ac:dyDescent="0"/>
  <cols>
    <col min="1" max="8" width="21.83203125" style="194"/>
    <col min="9" max="9" width="39.6640625" style="194" bestFit="1" customWidth="1"/>
    <col min="10" max="16" width="21.83203125" style="194" customWidth="1"/>
    <col min="17" max="17" width="21.83203125" style="200" customWidth="1"/>
    <col min="18" max="37" width="21.83203125" style="194" customWidth="1"/>
    <col min="38" max="38" width="21.83203125" style="200" customWidth="1"/>
    <col min="39" max="39" width="21.83203125" style="194" customWidth="1"/>
    <col min="40" max="40" width="21.83203125" style="194"/>
    <col min="41" max="41" width="21.83203125" style="200"/>
    <col min="42" max="16384" width="21.83203125" style="194"/>
  </cols>
  <sheetData>
    <row r="1" spans="1:50" s="200" customFormat="1" ht="56">
      <c r="A1" s="195" t="s">
        <v>1100</v>
      </c>
      <c r="B1" s="195" t="s">
        <v>1405</v>
      </c>
      <c r="C1" s="195" t="s">
        <v>1406</v>
      </c>
      <c r="D1" s="195" t="s">
        <v>1407</v>
      </c>
      <c r="E1" s="195" t="s">
        <v>1408</v>
      </c>
      <c r="F1" s="195" t="s">
        <v>1409</v>
      </c>
      <c r="G1" s="195" t="s">
        <v>1101</v>
      </c>
      <c r="H1" s="195" t="s">
        <v>1410</v>
      </c>
      <c r="I1" s="195" t="s">
        <v>1411</v>
      </c>
      <c r="J1" s="195" t="s">
        <v>1412</v>
      </c>
      <c r="K1" s="195" t="s">
        <v>1413</v>
      </c>
      <c r="L1" s="195" t="s">
        <v>1414</v>
      </c>
      <c r="M1" s="195" t="s">
        <v>1415</v>
      </c>
      <c r="N1" s="146" t="s">
        <v>1416</v>
      </c>
      <c r="O1" s="195" t="s">
        <v>1417</v>
      </c>
      <c r="P1" s="146" t="s">
        <v>1418</v>
      </c>
      <c r="Q1" s="195" t="s">
        <v>1419</v>
      </c>
      <c r="R1" s="148" t="s">
        <v>1420</v>
      </c>
      <c r="S1" s="196" t="s">
        <v>1421</v>
      </c>
      <c r="T1" s="146" t="s">
        <v>1422</v>
      </c>
      <c r="U1" s="195" t="s">
        <v>1423</v>
      </c>
      <c r="V1" s="195" t="s">
        <v>1424</v>
      </c>
      <c r="W1" s="146" t="s">
        <v>1425</v>
      </c>
      <c r="X1" s="195" t="s">
        <v>1426</v>
      </c>
      <c r="Y1" s="195" t="s">
        <v>1427</v>
      </c>
      <c r="Z1" s="197" t="s">
        <v>1428</v>
      </c>
      <c r="AA1" s="146" t="s">
        <v>1429</v>
      </c>
      <c r="AB1" s="197" t="s">
        <v>1430</v>
      </c>
      <c r="AC1" s="146" t="s">
        <v>1431</v>
      </c>
      <c r="AD1" s="148" t="s">
        <v>1432</v>
      </c>
      <c r="AE1" s="195" t="s">
        <v>1433</v>
      </c>
      <c r="AF1" s="195" t="s">
        <v>1434</v>
      </c>
      <c r="AG1" s="195" t="s">
        <v>1435</v>
      </c>
      <c r="AH1" s="195" t="s">
        <v>1436</v>
      </c>
      <c r="AI1" s="195" t="s">
        <v>1437</v>
      </c>
      <c r="AJ1" s="146" t="s">
        <v>1438</v>
      </c>
      <c r="AK1" s="195" t="s">
        <v>1439</v>
      </c>
      <c r="AL1" s="195" t="s">
        <v>1440</v>
      </c>
      <c r="AM1" s="146" t="s">
        <v>1441</v>
      </c>
      <c r="AN1" s="198" t="s">
        <v>1442</v>
      </c>
      <c r="AO1" s="195" t="s">
        <v>1443</v>
      </c>
      <c r="AP1" s="195" t="s">
        <v>1444</v>
      </c>
      <c r="AQ1" s="195" t="s">
        <v>1445</v>
      </c>
      <c r="AR1" s="195" t="s">
        <v>1446</v>
      </c>
      <c r="AS1" s="197" t="s">
        <v>1447</v>
      </c>
      <c r="AT1" s="148" t="s">
        <v>1448</v>
      </c>
      <c r="AU1" s="148" t="s">
        <v>1449</v>
      </c>
      <c r="AV1" s="199" t="s">
        <v>1450</v>
      </c>
    </row>
    <row r="2" spans="1:50" ht="126" hidden="1">
      <c r="A2" s="201">
        <v>1</v>
      </c>
      <c r="B2" s="202" t="s">
        <v>63</v>
      </c>
      <c r="C2" s="178" t="s">
        <v>1174</v>
      </c>
      <c r="D2" s="178" t="s">
        <v>1451</v>
      </c>
      <c r="E2" s="178" t="s">
        <v>1452</v>
      </c>
      <c r="F2" s="178" t="s">
        <v>1174</v>
      </c>
      <c r="G2" s="178" t="s">
        <v>413</v>
      </c>
      <c r="H2" s="178" t="s">
        <v>63</v>
      </c>
      <c r="I2" s="178" t="s">
        <v>1453</v>
      </c>
      <c r="J2" s="203">
        <v>41103</v>
      </c>
      <c r="K2" s="204">
        <v>716040</v>
      </c>
      <c r="L2" s="205">
        <v>12279</v>
      </c>
      <c r="M2" s="178" t="s">
        <v>1176</v>
      </c>
      <c r="N2" s="206">
        <v>0</v>
      </c>
      <c r="O2" s="178" t="s">
        <v>1176</v>
      </c>
      <c r="P2" s="206">
        <v>0</v>
      </c>
      <c r="Q2" s="207" t="s">
        <v>1454</v>
      </c>
      <c r="R2" s="162">
        <f>SUM(P2,N2)</f>
        <v>0</v>
      </c>
      <c r="S2" s="208">
        <v>2.8</v>
      </c>
      <c r="T2" s="209">
        <f>IF(S2&lt;$S$72,0,IF(S2&lt;$S$73,0.25,IF(S2&lt;$S$74,0.5,IF(S2&lt;$S$75,0.75,IF(S2&lt;$S$76,1,IF(S2&lt;$S$77,0.75,IF(S2&lt;$S$78,0.5,IF(S2&lt;$S$79,0.25,0))))))))</f>
        <v>0.25</v>
      </c>
      <c r="U2" s="203">
        <v>41134</v>
      </c>
      <c r="V2" s="204">
        <v>767483</v>
      </c>
      <c r="W2" s="210">
        <f>PERCENTRANK($V$2:$V$65,V2)*2</f>
        <v>1.3640000000000001</v>
      </c>
      <c r="X2" s="205">
        <v>17928</v>
      </c>
      <c r="Y2" s="205">
        <v>31</v>
      </c>
      <c r="Z2" s="211">
        <f>V2-K2</f>
        <v>51443</v>
      </c>
      <c r="AA2" s="212">
        <f>PERCENTRANK($Z$2:$Z$65,Z2)*0.5</f>
        <v>0.373</v>
      </c>
      <c r="AB2" s="213">
        <f>(V2/K2)-1</f>
        <v>7.1843751745712447E-2</v>
      </c>
      <c r="AC2" s="212">
        <f>PERCENTRANK($AB$2:$AB$65,AB2,2)*0.5</f>
        <v>0.39500000000000002</v>
      </c>
      <c r="AD2" s="214">
        <f>SUM(AC2,AA2,W2,T2,R2)</f>
        <v>2.3820000000000001</v>
      </c>
      <c r="AE2" s="207" t="s">
        <v>1176</v>
      </c>
      <c r="AF2" s="178" t="s">
        <v>1176</v>
      </c>
      <c r="AG2" s="178" t="s">
        <v>1176</v>
      </c>
      <c r="AH2" s="178" t="s">
        <v>1176</v>
      </c>
      <c r="AI2" s="178" t="s">
        <v>1176</v>
      </c>
      <c r="AJ2" s="206">
        <v>0</v>
      </c>
      <c r="AK2" s="178" t="s">
        <v>1174</v>
      </c>
      <c r="AL2" s="207" t="s">
        <v>1455</v>
      </c>
      <c r="AM2" s="206">
        <v>0.25</v>
      </c>
      <c r="AN2" s="215">
        <v>0</v>
      </c>
      <c r="AO2" s="207" t="s">
        <v>1456</v>
      </c>
      <c r="AP2" s="216">
        <v>0.42</v>
      </c>
      <c r="AQ2" s="216">
        <v>0</v>
      </c>
      <c r="AR2" s="216">
        <v>0.03</v>
      </c>
      <c r="AS2" s="213">
        <v>1.5E-3</v>
      </c>
      <c r="AT2" s="214">
        <f>PERCENTRANK($AS$2:$AS$65,AS2,4)*2</f>
        <v>1.238</v>
      </c>
      <c r="AU2" s="214">
        <f>SUM(AT2,AN2,AM2,AJ2)</f>
        <v>1.488</v>
      </c>
      <c r="AV2" s="217">
        <f>AU2+AD2</f>
        <v>3.87</v>
      </c>
      <c r="AX2" s="194">
        <f>CORREL(AS2:AS64,S2:S64)</f>
        <v>-0.27986704607627183</v>
      </c>
    </row>
    <row r="3" spans="1:50" ht="210" hidden="1">
      <c r="A3" s="201">
        <v>2</v>
      </c>
      <c r="B3" s="202" t="s">
        <v>69</v>
      </c>
      <c r="C3" s="178" t="s">
        <v>1174</v>
      </c>
      <c r="D3" s="178" t="s">
        <v>1451</v>
      </c>
      <c r="E3" s="178" t="s">
        <v>1452</v>
      </c>
      <c r="F3" s="178" t="s">
        <v>1174</v>
      </c>
      <c r="G3" s="178" t="s">
        <v>74</v>
      </c>
      <c r="H3" s="178" t="s">
        <v>69</v>
      </c>
      <c r="I3" s="178" t="s">
        <v>1457</v>
      </c>
      <c r="J3" s="203">
        <v>41103</v>
      </c>
      <c r="K3" s="204">
        <v>80565</v>
      </c>
      <c r="L3" s="205">
        <v>700</v>
      </c>
      <c r="M3" s="178" t="s">
        <v>1174</v>
      </c>
      <c r="N3" s="206">
        <v>0.5</v>
      </c>
      <c r="O3" s="178" t="s">
        <v>1174</v>
      </c>
      <c r="P3" s="206">
        <v>0.5</v>
      </c>
      <c r="Q3" s="207" t="s">
        <v>1458</v>
      </c>
      <c r="R3" s="162">
        <f t="shared" ref="R3:R65" si="0">SUM(P3,N3)</f>
        <v>1</v>
      </c>
      <c r="S3" s="208">
        <v>3.33</v>
      </c>
      <c r="T3" s="209">
        <f t="shared" ref="T3:T65" si="1">IF(S3&lt;$S$72,0,IF(S3&lt;$S$73,0.25,IF(S3&lt;$S$74,0.5,IF(S3&lt;$S$75,0.75,IF(S3&lt;$S$76,1,IF(S3&lt;$S$77,0.75,IF(S3&lt;$S$78,0.5,IF(S3&lt;$S$79,0.25,0))))))))</f>
        <v>0.5</v>
      </c>
      <c r="U3" s="203">
        <v>41134</v>
      </c>
      <c r="V3" s="204">
        <v>89591</v>
      </c>
      <c r="W3" s="210">
        <f t="shared" ref="W3:W65" si="2">PERCENTRANK($V$2:$V$65,V3)*2</f>
        <v>0.47599999999999998</v>
      </c>
      <c r="X3" s="205">
        <v>8042</v>
      </c>
      <c r="Y3" s="205">
        <v>31</v>
      </c>
      <c r="Z3" s="211">
        <f t="shared" ref="Z3:Z65" si="3">V3-K3</f>
        <v>9026</v>
      </c>
      <c r="AA3" s="212">
        <f t="shared" ref="AA3:AA65" si="4">PERCENTRANK($Z$2:$Z$65,Z3)*0.5</f>
        <v>0.17449999999999999</v>
      </c>
      <c r="AB3" s="213">
        <f t="shared" ref="AB3:AB65" si="5">(V3/K3)-1</f>
        <v>0.1120337615589897</v>
      </c>
      <c r="AC3" s="212">
        <f t="shared" ref="AC3:AC65" si="6">PERCENTRANK($AB$2:$AB$65,AB3,2)*0.5</f>
        <v>0.435</v>
      </c>
      <c r="AD3" s="214">
        <f t="shared" ref="AD3:AD65" si="7">SUM(AC3,AA3,W3,T3,R3)</f>
        <v>2.5854999999999997</v>
      </c>
      <c r="AE3" s="207" t="s">
        <v>1174</v>
      </c>
      <c r="AF3" s="178" t="s">
        <v>1176</v>
      </c>
      <c r="AG3" s="178" t="s">
        <v>1176</v>
      </c>
      <c r="AH3" s="178" t="s">
        <v>1176</v>
      </c>
      <c r="AI3" s="178" t="s">
        <v>1174</v>
      </c>
      <c r="AJ3" s="206">
        <v>0.4</v>
      </c>
      <c r="AK3" s="178" t="s">
        <v>1174</v>
      </c>
      <c r="AL3" s="207" t="s">
        <v>1459</v>
      </c>
      <c r="AM3" s="206">
        <v>0.5</v>
      </c>
      <c r="AN3" s="215">
        <v>0.25</v>
      </c>
      <c r="AO3" s="207" t="s">
        <v>1460</v>
      </c>
      <c r="AP3" s="216">
        <v>0.41</v>
      </c>
      <c r="AQ3" s="216">
        <v>0.01</v>
      </c>
      <c r="AR3" s="216">
        <v>0.03</v>
      </c>
      <c r="AS3" s="213">
        <v>1.5E-3</v>
      </c>
      <c r="AT3" s="214">
        <f t="shared" ref="AT3:AT65" si="8">PERCENTRANK($AS$2:$AS$64,AS3,4)*2</f>
        <v>1.2258</v>
      </c>
      <c r="AU3" s="214">
        <f t="shared" ref="AU3:AU65" si="9">SUM(AT3,AN3,AM3,AJ3)</f>
        <v>2.3757999999999999</v>
      </c>
      <c r="AV3" s="217">
        <f t="shared" ref="AV3:AV65" si="10">AU3+AD3</f>
        <v>4.9612999999999996</v>
      </c>
    </row>
    <row r="4" spans="1:50" ht="70" hidden="1">
      <c r="A4" s="201">
        <v>3</v>
      </c>
      <c r="B4" s="202" t="s">
        <v>72</v>
      </c>
      <c r="C4" s="178" t="s">
        <v>1174</v>
      </c>
      <c r="D4" s="178" t="s">
        <v>1451</v>
      </c>
      <c r="E4" s="178" t="s">
        <v>1452</v>
      </c>
      <c r="F4" s="178" t="s">
        <v>1174</v>
      </c>
      <c r="G4" s="178" t="s">
        <v>413</v>
      </c>
      <c r="H4" s="178" t="s">
        <v>72</v>
      </c>
      <c r="I4" s="178" t="s">
        <v>1461</v>
      </c>
      <c r="J4" s="203">
        <v>41103</v>
      </c>
      <c r="K4" s="204">
        <v>28625</v>
      </c>
      <c r="L4" s="205">
        <v>657</v>
      </c>
      <c r="M4" s="178" t="s">
        <v>1174</v>
      </c>
      <c r="N4" s="206">
        <v>0.5</v>
      </c>
      <c r="O4" s="178" t="s">
        <v>1176</v>
      </c>
      <c r="P4" s="206">
        <v>0</v>
      </c>
      <c r="Q4" s="207" t="s">
        <v>1462</v>
      </c>
      <c r="R4" s="162">
        <f t="shared" si="0"/>
        <v>0.5</v>
      </c>
      <c r="S4" s="208">
        <v>2.41</v>
      </c>
      <c r="T4" s="209">
        <f t="shared" si="1"/>
        <v>0.25</v>
      </c>
      <c r="U4" s="203">
        <v>41134</v>
      </c>
      <c r="V4" s="204">
        <v>29800</v>
      </c>
      <c r="W4" s="210">
        <f t="shared" si="2"/>
        <v>0.158</v>
      </c>
      <c r="X4" s="205">
        <v>2114</v>
      </c>
      <c r="Y4" s="205">
        <v>31</v>
      </c>
      <c r="Z4" s="211">
        <f t="shared" si="3"/>
        <v>1175</v>
      </c>
      <c r="AA4" s="212">
        <f t="shared" si="4"/>
        <v>3.95E-2</v>
      </c>
      <c r="AB4" s="213">
        <f t="shared" si="5"/>
        <v>4.1048034934497712E-2</v>
      </c>
      <c r="AC4" s="212">
        <f t="shared" si="6"/>
        <v>0.27500000000000002</v>
      </c>
      <c r="AD4" s="214">
        <f t="shared" si="7"/>
        <v>1.2225000000000001</v>
      </c>
      <c r="AE4" s="207" t="s">
        <v>1176</v>
      </c>
      <c r="AF4" s="178" t="s">
        <v>1176</v>
      </c>
      <c r="AG4" s="178" t="s">
        <v>1176</v>
      </c>
      <c r="AH4" s="178" t="s">
        <v>1176</v>
      </c>
      <c r="AI4" s="178" t="s">
        <v>1176</v>
      </c>
      <c r="AJ4" s="206">
        <v>0</v>
      </c>
      <c r="AK4" s="178" t="s">
        <v>1174</v>
      </c>
      <c r="AL4" s="207" t="s">
        <v>1455</v>
      </c>
      <c r="AM4" s="206">
        <v>0.25</v>
      </c>
      <c r="AN4" s="215">
        <v>0</v>
      </c>
      <c r="AO4" s="207" t="s">
        <v>1463</v>
      </c>
      <c r="AP4" s="216">
        <v>1.01</v>
      </c>
      <c r="AQ4" s="216">
        <v>0.04</v>
      </c>
      <c r="AR4" s="216">
        <v>0.1</v>
      </c>
      <c r="AS4" s="213">
        <v>3.8E-3</v>
      </c>
      <c r="AT4" s="214">
        <f t="shared" si="8"/>
        <v>1.9354</v>
      </c>
      <c r="AU4" s="214">
        <f t="shared" si="9"/>
        <v>2.1854</v>
      </c>
      <c r="AV4" s="217">
        <f t="shared" si="10"/>
        <v>3.4079000000000002</v>
      </c>
    </row>
    <row r="5" spans="1:50" ht="140" hidden="1">
      <c r="A5" s="201">
        <v>4</v>
      </c>
      <c r="B5" s="202" t="s">
        <v>78</v>
      </c>
      <c r="C5" s="178" t="s">
        <v>1174</v>
      </c>
      <c r="D5" s="178" t="s">
        <v>1451</v>
      </c>
      <c r="E5" s="178" t="s">
        <v>1452</v>
      </c>
      <c r="F5" s="178" t="s">
        <v>1174</v>
      </c>
      <c r="G5" s="178" t="s">
        <v>413</v>
      </c>
      <c r="H5" s="178" t="s">
        <v>1464</v>
      </c>
      <c r="I5" s="178" t="s">
        <v>1465</v>
      </c>
      <c r="J5" s="203">
        <v>41103</v>
      </c>
      <c r="K5" s="204">
        <v>363864</v>
      </c>
      <c r="L5" s="205">
        <v>2604</v>
      </c>
      <c r="M5" s="178" t="s">
        <v>1176</v>
      </c>
      <c r="N5" s="206">
        <v>0</v>
      </c>
      <c r="O5" s="178" t="s">
        <v>1176</v>
      </c>
      <c r="P5" s="206">
        <v>0</v>
      </c>
      <c r="Q5" s="207" t="s">
        <v>1466</v>
      </c>
      <c r="R5" s="162">
        <f t="shared" si="0"/>
        <v>0</v>
      </c>
      <c r="S5" s="208">
        <v>1.0900000000000001</v>
      </c>
      <c r="T5" s="209">
        <f t="shared" si="1"/>
        <v>0.25</v>
      </c>
      <c r="U5" s="203">
        <v>41134</v>
      </c>
      <c r="V5" s="204">
        <v>373811</v>
      </c>
      <c r="W5" s="210">
        <f t="shared" si="2"/>
        <v>0.98399999999999999</v>
      </c>
      <c r="X5" s="205">
        <v>2828</v>
      </c>
      <c r="Y5" s="205">
        <v>31</v>
      </c>
      <c r="Z5" s="211">
        <f t="shared" si="3"/>
        <v>9947</v>
      </c>
      <c r="AA5" s="212">
        <f t="shared" si="4"/>
        <v>0.19</v>
      </c>
      <c r="AB5" s="213">
        <f t="shared" si="5"/>
        <v>2.7337136952267915E-2</v>
      </c>
      <c r="AC5" s="212">
        <f t="shared" si="6"/>
        <v>0.15</v>
      </c>
      <c r="AD5" s="214">
        <f t="shared" si="7"/>
        <v>1.5739999999999998</v>
      </c>
      <c r="AE5" s="207" t="s">
        <v>1176</v>
      </c>
      <c r="AF5" s="178" t="s">
        <v>1176</v>
      </c>
      <c r="AG5" s="178" t="s">
        <v>1176</v>
      </c>
      <c r="AH5" s="178" t="s">
        <v>1176</v>
      </c>
      <c r="AI5" s="178" t="s">
        <v>1176</v>
      </c>
      <c r="AJ5" s="206">
        <v>0</v>
      </c>
      <c r="AK5" s="178" t="s">
        <v>1174</v>
      </c>
      <c r="AL5" s="207" t="s">
        <v>1459</v>
      </c>
      <c r="AM5" s="206">
        <v>0.5</v>
      </c>
      <c r="AN5" s="215">
        <v>0.25</v>
      </c>
      <c r="AO5" s="207" t="s">
        <v>1467</v>
      </c>
      <c r="AP5" s="216">
        <v>0.53</v>
      </c>
      <c r="AQ5" s="216">
        <v>0.02</v>
      </c>
      <c r="AR5" s="216">
        <v>0.04</v>
      </c>
      <c r="AS5" s="213">
        <v>2E-3</v>
      </c>
      <c r="AT5" s="214">
        <f t="shared" si="8"/>
        <v>1.5806</v>
      </c>
      <c r="AU5" s="214">
        <f t="shared" si="9"/>
        <v>2.3306</v>
      </c>
      <c r="AV5" s="217">
        <f t="shared" si="10"/>
        <v>3.9045999999999998</v>
      </c>
    </row>
    <row r="6" spans="1:50" ht="196" hidden="1">
      <c r="A6" s="201">
        <v>5</v>
      </c>
      <c r="B6" s="202" t="s">
        <v>82</v>
      </c>
      <c r="C6" s="178" t="s">
        <v>1174</v>
      </c>
      <c r="D6" s="178" t="s">
        <v>1451</v>
      </c>
      <c r="E6" s="178" t="s">
        <v>1452</v>
      </c>
      <c r="F6" s="178" t="s">
        <v>1176</v>
      </c>
      <c r="G6" s="178" t="s">
        <v>413</v>
      </c>
      <c r="H6" s="178" t="s">
        <v>82</v>
      </c>
      <c r="I6" s="178" t="s">
        <v>1468</v>
      </c>
      <c r="J6" s="203">
        <v>41103</v>
      </c>
      <c r="K6" s="204">
        <v>78640</v>
      </c>
      <c r="L6" s="205">
        <v>2250</v>
      </c>
      <c r="M6" s="178" t="s">
        <v>1176</v>
      </c>
      <c r="N6" s="206">
        <v>0</v>
      </c>
      <c r="O6" s="178" t="s">
        <v>1176</v>
      </c>
      <c r="P6" s="206">
        <v>0</v>
      </c>
      <c r="Q6" s="207" t="s">
        <v>1469</v>
      </c>
      <c r="R6" s="162">
        <f t="shared" si="0"/>
        <v>0</v>
      </c>
      <c r="S6" s="208">
        <v>11.67</v>
      </c>
      <c r="T6" s="209">
        <f t="shared" si="1"/>
        <v>0.25</v>
      </c>
      <c r="U6" s="203">
        <v>41134</v>
      </c>
      <c r="V6" s="204">
        <v>112308</v>
      </c>
      <c r="W6" s="210">
        <f t="shared" si="2"/>
        <v>0.56999999999999995</v>
      </c>
      <c r="X6" s="205">
        <v>13686</v>
      </c>
      <c r="Y6" s="205">
        <v>31</v>
      </c>
      <c r="Z6" s="211">
        <f t="shared" si="3"/>
        <v>33668</v>
      </c>
      <c r="AA6" s="212">
        <f t="shared" si="4"/>
        <v>0.34100000000000003</v>
      </c>
      <c r="AB6" s="213">
        <f t="shared" si="5"/>
        <v>0.42812817904374367</v>
      </c>
      <c r="AC6" s="212">
        <f t="shared" si="6"/>
        <v>0.48</v>
      </c>
      <c r="AD6" s="214">
        <f t="shared" si="7"/>
        <v>1.641</v>
      </c>
      <c r="AE6" s="207" t="s">
        <v>1176</v>
      </c>
      <c r="AF6" s="178" t="s">
        <v>1176</v>
      </c>
      <c r="AG6" s="178" t="s">
        <v>1174</v>
      </c>
      <c r="AH6" s="178" t="s">
        <v>1176</v>
      </c>
      <c r="AI6" s="178" t="s">
        <v>1176</v>
      </c>
      <c r="AJ6" s="206">
        <v>0.2</v>
      </c>
      <c r="AK6" s="178" t="s">
        <v>1174</v>
      </c>
      <c r="AL6" s="207" t="s">
        <v>1455</v>
      </c>
      <c r="AM6" s="206">
        <v>0.25</v>
      </c>
      <c r="AN6" s="215">
        <v>0.75</v>
      </c>
      <c r="AO6" s="207" t="s">
        <v>1470</v>
      </c>
      <c r="AP6" s="216">
        <v>0.46</v>
      </c>
      <c r="AQ6" s="216">
        <v>0.01</v>
      </c>
      <c r="AR6" s="216">
        <v>0.02</v>
      </c>
      <c r="AS6" s="213">
        <v>1.6000000000000001E-3</v>
      </c>
      <c r="AT6" s="214">
        <f t="shared" si="8"/>
        <v>1.4192</v>
      </c>
      <c r="AU6" s="214">
        <f t="shared" si="9"/>
        <v>2.6192000000000002</v>
      </c>
      <c r="AV6" s="217">
        <f t="shared" si="10"/>
        <v>4.2602000000000002</v>
      </c>
    </row>
    <row r="7" spans="1:50" ht="266" hidden="1">
      <c r="A7" s="201">
        <v>6</v>
      </c>
      <c r="B7" s="202" t="s">
        <v>87</v>
      </c>
      <c r="C7" s="178" t="s">
        <v>1174</v>
      </c>
      <c r="D7" s="178" t="s">
        <v>1451</v>
      </c>
      <c r="E7" s="178" t="s">
        <v>1452</v>
      </c>
      <c r="F7" s="178" t="s">
        <v>1176</v>
      </c>
      <c r="G7" s="178" t="s">
        <v>413</v>
      </c>
      <c r="H7" s="178" t="s">
        <v>87</v>
      </c>
      <c r="I7" s="178" t="s">
        <v>1471</v>
      </c>
      <c r="J7" s="203">
        <v>41103</v>
      </c>
      <c r="K7" s="204">
        <v>53399</v>
      </c>
      <c r="L7" s="205">
        <v>7281</v>
      </c>
      <c r="M7" s="178" t="s">
        <v>1176</v>
      </c>
      <c r="N7" s="206">
        <v>0</v>
      </c>
      <c r="O7" s="178" t="s">
        <v>1176</v>
      </c>
      <c r="P7" s="206">
        <v>0</v>
      </c>
      <c r="Q7" s="207" t="s">
        <v>1472</v>
      </c>
      <c r="R7" s="162">
        <f t="shared" si="0"/>
        <v>0</v>
      </c>
      <c r="S7" s="208">
        <v>4.67</v>
      </c>
      <c r="T7" s="209">
        <f t="shared" si="1"/>
        <v>0.75</v>
      </c>
      <c r="U7" s="203">
        <v>41134</v>
      </c>
      <c r="V7" s="204">
        <v>61140</v>
      </c>
      <c r="W7" s="210">
        <f t="shared" si="2"/>
        <v>0.316</v>
      </c>
      <c r="X7" s="205">
        <v>2620</v>
      </c>
      <c r="Y7" s="205">
        <v>31</v>
      </c>
      <c r="Z7" s="211">
        <f t="shared" si="3"/>
        <v>7741</v>
      </c>
      <c r="AA7" s="212">
        <f t="shared" si="4"/>
        <v>0.15049999999999999</v>
      </c>
      <c r="AB7" s="213">
        <f t="shared" si="5"/>
        <v>0.14496526152175138</v>
      </c>
      <c r="AC7" s="212">
        <f t="shared" si="6"/>
        <v>0.46</v>
      </c>
      <c r="AD7" s="214">
        <f t="shared" si="7"/>
        <v>1.6765000000000001</v>
      </c>
      <c r="AE7" s="207" t="s">
        <v>1176</v>
      </c>
      <c r="AF7" s="178" t="s">
        <v>1176</v>
      </c>
      <c r="AG7" s="178" t="s">
        <v>1176</v>
      </c>
      <c r="AH7" s="178" t="s">
        <v>1176</v>
      </c>
      <c r="AI7" s="178" t="s">
        <v>1176</v>
      </c>
      <c r="AJ7" s="206">
        <v>0</v>
      </c>
      <c r="AK7" s="178" t="s">
        <v>1176</v>
      </c>
      <c r="AL7" s="207" t="s">
        <v>579</v>
      </c>
      <c r="AM7" s="206">
        <v>0</v>
      </c>
      <c r="AN7" s="215">
        <v>0.25</v>
      </c>
      <c r="AO7" s="207" t="s">
        <v>1473</v>
      </c>
      <c r="AP7" s="216">
        <v>0.41</v>
      </c>
      <c r="AQ7" s="216">
        <v>0.01</v>
      </c>
      <c r="AR7" s="216">
        <v>0.04</v>
      </c>
      <c r="AS7" s="213">
        <v>1.5E-3</v>
      </c>
      <c r="AT7" s="214">
        <f t="shared" si="8"/>
        <v>1.2258</v>
      </c>
      <c r="AU7" s="214">
        <f t="shared" si="9"/>
        <v>1.4758</v>
      </c>
      <c r="AV7" s="217">
        <f t="shared" si="10"/>
        <v>3.1523000000000003</v>
      </c>
    </row>
    <row r="8" spans="1:50" ht="224" hidden="1">
      <c r="A8" s="201">
        <v>7</v>
      </c>
      <c r="B8" s="202" t="s">
        <v>90</v>
      </c>
      <c r="C8" s="178" t="s">
        <v>1174</v>
      </c>
      <c r="D8" s="178" t="s">
        <v>1451</v>
      </c>
      <c r="E8" s="178" t="s">
        <v>1452</v>
      </c>
      <c r="F8" s="178" t="s">
        <v>1176</v>
      </c>
      <c r="G8" s="178" t="s">
        <v>413</v>
      </c>
      <c r="H8" s="178" t="s">
        <v>90</v>
      </c>
      <c r="I8" s="178" t="s">
        <v>1474</v>
      </c>
      <c r="J8" s="203">
        <v>41103</v>
      </c>
      <c r="K8" s="204">
        <v>231269</v>
      </c>
      <c r="L8" s="205">
        <v>5332</v>
      </c>
      <c r="M8" s="178" t="s">
        <v>1176</v>
      </c>
      <c r="N8" s="206">
        <v>0</v>
      </c>
      <c r="O8" s="178" t="s">
        <v>1176</v>
      </c>
      <c r="P8" s="206">
        <v>0</v>
      </c>
      <c r="Q8" s="207" t="s">
        <v>1475</v>
      </c>
      <c r="R8" s="162">
        <f t="shared" si="0"/>
        <v>0</v>
      </c>
      <c r="S8" s="208">
        <v>2.41</v>
      </c>
      <c r="T8" s="209">
        <f t="shared" si="1"/>
        <v>0.25</v>
      </c>
      <c r="U8" s="203">
        <v>41134</v>
      </c>
      <c r="V8" s="204">
        <v>236566</v>
      </c>
      <c r="W8" s="210">
        <f t="shared" si="2"/>
        <v>0.79200000000000004</v>
      </c>
      <c r="X8" s="205">
        <v>2691</v>
      </c>
      <c r="Y8" s="205">
        <v>31</v>
      </c>
      <c r="Z8" s="211">
        <f t="shared" si="3"/>
        <v>5297</v>
      </c>
      <c r="AA8" s="212">
        <f t="shared" si="4"/>
        <v>0.1265</v>
      </c>
      <c r="AB8" s="213">
        <f t="shared" si="5"/>
        <v>2.2904064098517418E-2</v>
      </c>
      <c r="AC8" s="212">
        <f t="shared" si="6"/>
        <v>7.4999999999999997E-2</v>
      </c>
      <c r="AD8" s="214">
        <f t="shared" si="7"/>
        <v>1.2435</v>
      </c>
      <c r="AE8" s="207" t="s">
        <v>1176</v>
      </c>
      <c r="AF8" s="178" t="s">
        <v>1176</v>
      </c>
      <c r="AG8" s="178" t="s">
        <v>1176</v>
      </c>
      <c r="AH8" s="178" t="s">
        <v>1176</v>
      </c>
      <c r="AI8" s="178" t="s">
        <v>1176</v>
      </c>
      <c r="AJ8" s="206">
        <v>0</v>
      </c>
      <c r="AK8" s="178" t="s">
        <v>1174</v>
      </c>
      <c r="AL8" s="207" t="s">
        <v>1459</v>
      </c>
      <c r="AM8" s="206">
        <v>0.5</v>
      </c>
      <c r="AN8" s="215">
        <v>0.75</v>
      </c>
      <c r="AO8" s="207" t="s">
        <v>1476</v>
      </c>
      <c r="AP8" s="216">
        <v>0.46</v>
      </c>
      <c r="AQ8" s="216">
        <v>0.01</v>
      </c>
      <c r="AR8" s="216">
        <v>0.03</v>
      </c>
      <c r="AS8" s="213">
        <v>1.7000000000000001E-3</v>
      </c>
      <c r="AT8" s="214">
        <f t="shared" si="8"/>
        <v>1.4838</v>
      </c>
      <c r="AU8" s="214">
        <f t="shared" si="9"/>
        <v>2.7338</v>
      </c>
      <c r="AV8" s="217">
        <f t="shared" si="10"/>
        <v>3.9773000000000001</v>
      </c>
    </row>
    <row r="9" spans="1:50" ht="154" hidden="1">
      <c r="A9" s="201">
        <v>8</v>
      </c>
      <c r="B9" s="202" t="s">
        <v>93</v>
      </c>
      <c r="C9" s="178" t="s">
        <v>1174</v>
      </c>
      <c r="D9" s="178" t="s">
        <v>1451</v>
      </c>
      <c r="E9" s="178" t="s">
        <v>1452</v>
      </c>
      <c r="F9" s="178" t="s">
        <v>1174</v>
      </c>
      <c r="G9" s="178" t="s">
        <v>413</v>
      </c>
      <c r="H9" s="178" t="s">
        <v>93</v>
      </c>
      <c r="I9" s="178" t="s">
        <v>1477</v>
      </c>
      <c r="J9" s="203">
        <v>41103</v>
      </c>
      <c r="K9" s="204">
        <v>13048730</v>
      </c>
      <c r="L9" s="205">
        <v>125862</v>
      </c>
      <c r="M9" s="178" t="s">
        <v>1174</v>
      </c>
      <c r="N9" s="206">
        <v>0.5</v>
      </c>
      <c r="O9" s="178" t="s">
        <v>1176</v>
      </c>
      <c r="P9" s="206">
        <v>0</v>
      </c>
      <c r="Q9" s="207" t="s">
        <v>1478</v>
      </c>
      <c r="R9" s="162">
        <f t="shared" si="0"/>
        <v>0.5</v>
      </c>
      <c r="S9" s="208">
        <v>6.36</v>
      </c>
      <c r="T9" s="209">
        <f t="shared" si="1"/>
        <v>1</v>
      </c>
      <c r="U9" s="203">
        <v>41134</v>
      </c>
      <c r="V9" s="204">
        <v>13278083</v>
      </c>
      <c r="W9" s="210">
        <f t="shared" si="2"/>
        <v>2</v>
      </c>
      <c r="X9" s="205">
        <v>243612</v>
      </c>
      <c r="Y9" s="205">
        <v>31</v>
      </c>
      <c r="Z9" s="211">
        <f t="shared" si="3"/>
        <v>229353</v>
      </c>
      <c r="AA9" s="212">
        <f t="shared" si="4"/>
        <v>0.46800000000000003</v>
      </c>
      <c r="AB9" s="213">
        <f t="shared" si="5"/>
        <v>1.7576653053592128E-2</v>
      </c>
      <c r="AC9" s="212">
        <f t="shared" si="6"/>
        <v>3.5000000000000003E-2</v>
      </c>
      <c r="AD9" s="214">
        <f t="shared" si="7"/>
        <v>4.0030000000000001</v>
      </c>
      <c r="AE9" s="207" t="s">
        <v>1176</v>
      </c>
      <c r="AF9" s="178" t="s">
        <v>1176</v>
      </c>
      <c r="AG9" s="178" t="s">
        <v>1176</v>
      </c>
      <c r="AH9" s="178" t="s">
        <v>1176</v>
      </c>
      <c r="AI9" s="178" t="s">
        <v>1176</v>
      </c>
      <c r="AJ9" s="206">
        <v>0</v>
      </c>
      <c r="AK9" s="178" t="s">
        <v>1174</v>
      </c>
      <c r="AL9" s="207" t="s">
        <v>1459</v>
      </c>
      <c r="AM9" s="206">
        <v>0.5</v>
      </c>
      <c r="AN9" s="215">
        <v>0.25</v>
      </c>
      <c r="AO9" s="207" t="s">
        <v>1479</v>
      </c>
      <c r="AP9" s="216">
        <v>0.37</v>
      </c>
      <c r="AQ9" s="216">
        <v>0</v>
      </c>
      <c r="AR9" s="216">
        <v>0.03</v>
      </c>
      <c r="AS9" s="213">
        <v>1.2999999999999999E-3</v>
      </c>
      <c r="AT9" s="214">
        <f t="shared" si="8"/>
        <v>1.0644</v>
      </c>
      <c r="AU9" s="214">
        <f t="shared" si="9"/>
        <v>1.8144</v>
      </c>
      <c r="AV9" s="217">
        <f t="shared" si="10"/>
        <v>5.8174000000000001</v>
      </c>
    </row>
    <row r="10" spans="1:50" ht="126" hidden="1">
      <c r="A10" s="201">
        <v>9</v>
      </c>
      <c r="B10" s="202" t="s">
        <v>96</v>
      </c>
      <c r="C10" s="178" t="s">
        <v>1174</v>
      </c>
      <c r="D10" s="178" t="s">
        <v>1451</v>
      </c>
      <c r="E10" s="178" t="s">
        <v>1452</v>
      </c>
      <c r="F10" s="178" t="s">
        <v>1174</v>
      </c>
      <c r="G10" s="178" t="s">
        <v>413</v>
      </c>
      <c r="H10" s="178" t="s">
        <v>96</v>
      </c>
      <c r="I10" s="178" t="s">
        <v>1480</v>
      </c>
      <c r="J10" s="203">
        <v>41103</v>
      </c>
      <c r="K10" s="204">
        <v>4330574</v>
      </c>
      <c r="L10" s="205">
        <v>37318</v>
      </c>
      <c r="M10" s="178" t="s">
        <v>1174</v>
      </c>
      <c r="N10" s="206">
        <v>0.5</v>
      </c>
      <c r="O10" s="178" t="s">
        <v>1176</v>
      </c>
      <c r="P10" s="206">
        <v>0</v>
      </c>
      <c r="Q10" s="207" t="s">
        <v>1481</v>
      </c>
      <c r="R10" s="162">
        <f t="shared" si="0"/>
        <v>0.5</v>
      </c>
      <c r="S10" s="208">
        <v>3.89</v>
      </c>
      <c r="T10" s="209">
        <f t="shared" si="1"/>
        <v>0.5</v>
      </c>
      <c r="U10" s="203">
        <v>41134</v>
      </c>
      <c r="V10" s="204">
        <v>4451994</v>
      </c>
      <c r="W10" s="210">
        <f t="shared" si="2"/>
        <v>1.746</v>
      </c>
      <c r="X10" s="205">
        <v>44362</v>
      </c>
      <c r="Y10" s="205">
        <v>31</v>
      </c>
      <c r="Z10" s="211">
        <f t="shared" si="3"/>
        <v>121420</v>
      </c>
      <c r="AA10" s="212">
        <f t="shared" si="4"/>
        <v>0.42849999999999999</v>
      </c>
      <c r="AB10" s="213">
        <f t="shared" si="5"/>
        <v>2.8037853642496335E-2</v>
      </c>
      <c r="AC10" s="212">
        <f t="shared" si="6"/>
        <v>0.155</v>
      </c>
      <c r="AD10" s="214">
        <f t="shared" si="7"/>
        <v>3.3294999999999999</v>
      </c>
      <c r="AE10" s="207" t="s">
        <v>1176</v>
      </c>
      <c r="AF10" s="178" t="s">
        <v>1176</v>
      </c>
      <c r="AG10" s="178" t="s">
        <v>1174</v>
      </c>
      <c r="AH10" s="178" t="s">
        <v>1176</v>
      </c>
      <c r="AI10" s="178" t="s">
        <v>1176</v>
      </c>
      <c r="AJ10" s="206">
        <v>0.2</v>
      </c>
      <c r="AK10" s="178" t="s">
        <v>1174</v>
      </c>
      <c r="AL10" s="207" t="s">
        <v>1459</v>
      </c>
      <c r="AM10" s="206">
        <v>0.5</v>
      </c>
      <c r="AN10" s="215">
        <v>0.5</v>
      </c>
      <c r="AO10" s="207" t="s">
        <v>1482</v>
      </c>
      <c r="AP10" s="216">
        <v>0.08</v>
      </c>
      <c r="AQ10" s="216">
        <v>0</v>
      </c>
      <c r="AR10" s="216">
        <v>0</v>
      </c>
      <c r="AS10" s="213">
        <v>2.9999999999999997E-4</v>
      </c>
      <c r="AT10" s="214">
        <f t="shared" si="8"/>
        <v>0.129</v>
      </c>
      <c r="AU10" s="214">
        <f t="shared" si="9"/>
        <v>1.329</v>
      </c>
      <c r="AV10" s="217">
        <f t="shared" si="10"/>
        <v>4.6585000000000001</v>
      </c>
    </row>
    <row r="11" spans="1:50" ht="98" hidden="1">
      <c r="A11" s="201">
        <v>10</v>
      </c>
      <c r="B11" s="202" t="s">
        <v>100</v>
      </c>
      <c r="C11" s="178" t="s">
        <v>1174</v>
      </c>
      <c r="D11" s="178" t="s">
        <v>1451</v>
      </c>
      <c r="E11" s="178" t="s">
        <v>1452</v>
      </c>
      <c r="F11" s="178" t="s">
        <v>1176</v>
      </c>
      <c r="G11" s="178" t="s">
        <v>413</v>
      </c>
      <c r="H11" s="178" t="s">
        <v>100</v>
      </c>
      <c r="I11" s="178" t="s">
        <v>1483</v>
      </c>
      <c r="J11" s="203">
        <v>41103</v>
      </c>
      <c r="K11" s="204">
        <v>17921</v>
      </c>
      <c r="L11" s="205">
        <v>818</v>
      </c>
      <c r="M11" s="178" t="s">
        <v>1176</v>
      </c>
      <c r="N11" s="206">
        <v>0</v>
      </c>
      <c r="O11" s="178" t="s">
        <v>1176</v>
      </c>
      <c r="P11" s="206">
        <v>0</v>
      </c>
      <c r="Q11" s="207" t="s">
        <v>1484</v>
      </c>
      <c r="R11" s="162">
        <f t="shared" si="0"/>
        <v>0</v>
      </c>
      <c r="S11" s="208">
        <v>6.36</v>
      </c>
      <c r="T11" s="209">
        <f t="shared" si="1"/>
        <v>1</v>
      </c>
      <c r="U11" s="203">
        <v>41134</v>
      </c>
      <c r="V11" s="204">
        <v>18345</v>
      </c>
      <c r="W11" s="210">
        <f t="shared" si="2"/>
        <v>9.4E-2</v>
      </c>
      <c r="X11" s="205">
        <v>755</v>
      </c>
      <c r="Y11" s="205">
        <v>31</v>
      </c>
      <c r="Z11" s="211">
        <f t="shared" si="3"/>
        <v>424</v>
      </c>
      <c r="AA11" s="212">
        <f t="shared" si="4"/>
        <v>1.55E-2</v>
      </c>
      <c r="AB11" s="213">
        <f t="shared" si="5"/>
        <v>2.3659394007030876E-2</v>
      </c>
      <c r="AC11" s="212">
        <f t="shared" si="6"/>
        <v>0.1</v>
      </c>
      <c r="AD11" s="214">
        <f t="shared" si="7"/>
        <v>1.2095</v>
      </c>
      <c r="AE11" s="207" t="s">
        <v>1176</v>
      </c>
      <c r="AF11" s="178" t="s">
        <v>1176</v>
      </c>
      <c r="AG11" s="178" t="s">
        <v>1176</v>
      </c>
      <c r="AH11" s="178" t="s">
        <v>1176</v>
      </c>
      <c r="AI11" s="178" t="s">
        <v>1176</v>
      </c>
      <c r="AJ11" s="206">
        <v>0</v>
      </c>
      <c r="AK11" s="178" t="s">
        <v>1174</v>
      </c>
      <c r="AL11" s="207" t="s">
        <v>1459</v>
      </c>
      <c r="AM11" s="206">
        <v>0.5</v>
      </c>
      <c r="AN11" s="215">
        <v>0.25</v>
      </c>
      <c r="AO11" s="207" t="s">
        <v>1485</v>
      </c>
      <c r="AP11" s="216">
        <v>0.39</v>
      </c>
      <c r="AQ11" s="216">
        <v>0.03</v>
      </c>
      <c r="AR11" s="216">
        <v>0</v>
      </c>
      <c r="AS11" s="213">
        <v>1.4000000000000002E-3</v>
      </c>
      <c r="AT11" s="214">
        <f t="shared" si="8"/>
        <v>1.1612</v>
      </c>
      <c r="AU11" s="214">
        <f t="shared" si="9"/>
        <v>1.9112</v>
      </c>
      <c r="AV11" s="217">
        <f t="shared" si="10"/>
        <v>3.1207000000000003</v>
      </c>
    </row>
    <row r="12" spans="1:50" ht="336" hidden="1">
      <c r="A12" s="201">
        <v>11</v>
      </c>
      <c r="B12" s="202" t="s">
        <v>102</v>
      </c>
      <c r="C12" s="178" t="s">
        <v>1174</v>
      </c>
      <c r="D12" s="178" t="s">
        <v>1451</v>
      </c>
      <c r="E12" s="178" t="s">
        <v>1452</v>
      </c>
      <c r="F12" s="178" t="s">
        <v>1176</v>
      </c>
      <c r="G12" s="178" t="s">
        <v>413</v>
      </c>
      <c r="H12" s="178" t="s">
        <v>1486</v>
      </c>
      <c r="I12" s="178" t="s">
        <v>1487</v>
      </c>
      <c r="J12" s="203">
        <v>41103</v>
      </c>
      <c r="K12" s="204">
        <v>6850909</v>
      </c>
      <c r="L12" s="205">
        <v>68937</v>
      </c>
      <c r="M12" s="178" t="s">
        <v>1176</v>
      </c>
      <c r="N12" s="206">
        <v>0</v>
      </c>
      <c r="O12" s="178" t="s">
        <v>1176</v>
      </c>
      <c r="P12" s="206">
        <v>0</v>
      </c>
      <c r="Q12" s="207" t="s">
        <v>1488</v>
      </c>
      <c r="R12" s="162">
        <f t="shared" si="0"/>
        <v>0</v>
      </c>
      <c r="S12" s="208">
        <v>1.56</v>
      </c>
      <c r="T12" s="209">
        <f t="shared" si="1"/>
        <v>0.25</v>
      </c>
      <c r="U12" s="203">
        <v>41134</v>
      </c>
      <c r="V12" s="204">
        <v>6975591</v>
      </c>
      <c r="W12" s="210">
        <f t="shared" si="2"/>
        <v>1.84</v>
      </c>
      <c r="X12" s="205">
        <v>36994</v>
      </c>
      <c r="Y12" s="205">
        <v>31</v>
      </c>
      <c r="Z12" s="211">
        <f t="shared" si="3"/>
        <v>124682</v>
      </c>
      <c r="AA12" s="212">
        <f t="shared" si="4"/>
        <v>0.4365</v>
      </c>
      <c r="AB12" s="213">
        <f t="shared" si="5"/>
        <v>1.8199336759545437E-2</v>
      </c>
      <c r="AC12" s="212">
        <f t="shared" si="6"/>
        <v>4.4999999999999998E-2</v>
      </c>
      <c r="AD12" s="214">
        <f t="shared" si="7"/>
        <v>2.5714999999999999</v>
      </c>
      <c r="AE12" s="207" t="s">
        <v>1176</v>
      </c>
      <c r="AF12" s="178" t="s">
        <v>1176</v>
      </c>
      <c r="AG12" s="178" t="s">
        <v>1176</v>
      </c>
      <c r="AH12" s="178" t="s">
        <v>1176</v>
      </c>
      <c r="AI12" s="178" t="s">
        <v>1176</v>
      </c>
      <c r="AJ12" s="206">
        <v>0</v>
      </c>
      <c r="AK12" s="178" t="s">
        <v>1176</v>
      </c>
      <c r="AL12" s="207" t="s">
        <v>579</v>
      </c>
      <c r="AM12" s="206">
        <v>0</v>
      </c>
      <c r="AN12" s="215">
        <v>0.5</v>
      </c>
      <c r="AO12" s="207" t="s">
        <v>1489</v>
      </c>
      <c r="AP12" s="216">
        <v>0.25</v>
      </c>
      <c r="AQ12" s="216">
        <v>0.01</v>
      </c>
      <c r="AR12" s="216">
        <v>0.03</v>
      </c>
      <c r="AS12" s="213">
        <v>1E-3</v>
      </c>
      <c r="AT12" s="214">
        <f t="shared" si="8"/>
        <v>0.83860000000000001</v>
      </c>
      <c r="AU12" s="214">
        <f t="shared" si="9"/>
        <v>1.3386</v>
      </c>
      <c r="AV12" s="217">
        <f t="shared" si="10"/>
        <v>3.9100999999999999</v>
      </c>
    </row>
    <row r="13" spans="1:50" ht="112" hidden="1">
      <c r="A13" s="201">
        <v>12</v>
      </c>
      <c r="B13" s="202" t="s">
        <v>104</v>
      </c>
      <c r="C13" s="178" t="s">
        <v>1174</v>
      </c>
      <c r="D13" s="178" t="s">
        <v>1451</v>
      </c>
      <c r="E13" s="178" t="s">
        <v>1452</v>
      </c>
      <c r="F13" s="178" t="s">
        <v>1174</v>
      </c>
      <c r="G13" s="178" t="s">
        <v>413</v>
      </c>
      <c r="H13" s="178" t="s">
        <v>1490</v>
      </c>
      <c r="I13" s="178" t="s">
        <v>1491</v>
      </c>
      <c r="J13" s="203">
        <v>41103</v>
      </c>
      <c r="K13" s="204">
        <v>626002</v>
      </c>
      <c r="L13" s="205">
        <v>6107</v>
      </c>
      <c r="M13" s="178" t="s">
        <v>1174</v>
      </c>
      <c r="N13" s="206">
        <v>0.5</v>
      </c>
      <c r="O13" s="178" t="s">
        <v>1174</v>
      </c>
      <c r="P13" s="206">
        <v>0.5</v>
      </c>
      <c r="Q13" s="207" t="s">
        <v>1492</v>
      </c>
      <c r="R13" s="162">
        <f t="shared" si="0"/>
        <v>1</v>
      </c>
      <c r="S13" s="208">
        <v>1.0900000000000001</v>
      </c>
      <c r="T13" s="209">
        <f t="shared" si="1"/>
        <v>0.25</v>
      </c>
      <c r="U13" s="203">
        <v>41134</v>
      </c>
      <c r="V13" s="204">
        <v>653691</v>
      </c>
      <c r="W13" s="210">
        <f t="shared" si="2"/>
        <v>1.238</v>
      </c>
      <c r="X13" s="205">
        <v>10511</v>
      </c>
      <c r="Y13" s="205">
        <v>31</v>
      </c>
      <c r="Z13" s="211">
        <f t="shared" si="3"/>
        <v>27689</v>
      </c>
      <c r="AA13" s="212">
        <f t="shared" si="4"/>
        <v>0.3095</v>
      </c>
      <c r="AB13" s="213">
        <f t="shared" si="5"/>
        <v>4.4231488078312786E-2</v>
      </c>
      <c r="AC13" s="212">
        <f t="shared" si="6"/>
        <v>0.30499999999999999</v>
      </c>
      <c r="AD13" s="214">
        <f t="shared" si="7"/>
        <v>3.1025</v>
      </c>
      <c r="AE13" s="207" t="s">
        <v>1174</v>
      </c>
      <c r="AF13" s="178" t="s">
        <v>1176</v>
      </c>
      <c r="AG13" s="178" t="s">
        <v>1174</v>
      </c>
      <c r="AH13" s="178" t="s">
        <v>1176</v>
      </c>
      <c r="AI13" s="178" t="s">
        <v>1174</v>
      </c>
      <c r="AJ13" s="206">
        <v>0.6</v>
      </c>
      <c r="AK13" s="178" t="s">
        <v>1176</v>
      </c>
      <c r="AL13" s="207" t="s">
        <v>579</v>
      </c>
      <c r="AM13" s="206">
        <v>0</v>
      </c>
      <c r="AN13" s="218">
        <v>0.75</v>
      </c>
      <c r="AO13" s="207" t="s">
        <v>1493</v>
      </c>
      <c r="AP13" s="216">
        <v>0.59</v>
      </c>
      <c r="AQ13" s="216">
        <v>0.01</v>
      </c>
      <c r="AR13" s="216">
        <v>0.03</v>
      </c>
      <c r="AS13" s="213">
        <v>2.0999999999999999E-3</v>
      </c>
      <c r="AT13" s="214">
        <f t="shared" si="8"/>
        <v>1.645</v>
      </c>
      <c r="AU13" s="214">
        <f t="shared" si="9"/>
        <v>2.9950000000000001</v>
      </c>
      <c r="AV13" s="217">
        <f t="shared" si="10"/>
        <v>6.0975000000000001</v>
      </c>
    </row>
    <row r="14" spans="1:50" ht="70" hidden="1">
      <c r="A14" s="201">
        <v>13</v>
      </c>
      <c r="B14" s="202" t="s">
        <v>106</v>
      </c>
      <c r="C14" s="178" t="s">
        <v>1174</v>
      </c>
      <c r="D14" s="178" t="s">
        <v>1451</v>
      </c>
      <c r="E14" s="178" t="s">
        <v>1452</v>
      </c>
      <c r="F14" s="178" t="s">
        <v>1176</v>
      </c>
      <c r="G14" s="178" t="s">
        <v>413</v>
      </c>
      <c r="H14" s="178" t="s">
        <v>1494</v>
      </c>
      <c r="I14" s="178" t="s">
        <v>1495</v>
      </c>
      <c r="J14" s="203">
        <v>41103</v>
      </c>
      <c r="K14" s="204">
        <v>8344731</v>
      </c>
      <c r="L14" s="205">
        <v>132863</v>
      </c>
      <c r="M14" s="178" t="s">
        <v>1176</v>
      </c>
      <c r="N14" s="206">
        <v>0</v>
      </c>
      <c r="O14" s="178" t="s">
        <v>1176</v>
      </c>
      <c r="P14" s="206">
        <v>0</v>
      </c>
      <c r="Q14" s="207" t="s">
        <v>1496</v>
      </c>
      <c r="R14" s="162">
        <f t="shared" si="0"/>
        <v>0</v>
      </c>
      <c r="S14" s="208">
        <v>2.19</v>
      </c>
      <c r="T14" s="209">
        <f t="shared" si="1"/>
        <v>0.25</v>
      </c>
      <c r="U14" s="203">
        <v>41134</v>
      </c>
      <c r="V14" s="204">
        <v>9039136</v>
      </c>
      <c r="W14" s="210">
        <f t="shared" si="2"/>
        <v>1.9359999999999999</v>
      </c>
      <c r="X14" s="205">
        <v>109081</v>
      </c>
      <c r="Y14" s="205">
        <v>31</v>
      </c>
      <c r="Z14" s="211">
        <f t="shared" si="3"/>
        <v>694405</v>
      </c>
      <c r="AA14" s="212">
        <f t="shared" si="4"/>
        <v>0.49199999999999999</v>
      </c>
      <c r="AB14" s="213">
        <f t="shared" si="5"/>
        <v>8.3214785473612052E-2</v>
      </c>
      <c r="AC14" s="212">
        <f t="shared" si="6"/>
        <v>0.42</v>
      </c>
      <c r="AD14" s="214">
        <f t="shared" si="7"/>
        <v>3.0979999999999999</v>
      </c>
      <c r="AE14" s="207" t="s">
        <v>1176</v>
      </c>
      <c r="AF14" s="178" t="s">
        <v>1176</v>
      </c>
      <c r="AG14" s="178" t="s">
        <v>1176</v>
      </c>
      <c r="AH14" s="178" t="s">
        <v>1176</v>
      </c>
      <c r="AI14" s="178" t="s">
        <v>1176</v>
      </c>
      <c r="AJ14" s="206">
        <v>0</v>
      </c>
      <c r="AK14" s="178" t="s">
        <v>1176</v>
      </c>
      <c r="AL14" s="207" t="s">
        <v>579</v>
      </c>
      <c r="AM14" s="206">
        <v>0</v>
      </c>
      <c r="AN14" s="215">
        <v>0.5</v>
      </c>
      <c r="AO14" s="207" t="s">
        <v>1497</v>
      </c>
      <c r="AP14" s="216">
        <v>0.43</v>
      </c>
      <c r="AQ14" s="216">
        <v>0</v>
      </c>
      <c r="AR14" s="216">
        <v>0.03</v>
      </c>
      <c r="AS14" s="213">
        <v>1.5E-3</v>
      </c>
      <c r="AT14" s="214">
        <f t="shared" si="8"/>
        <v>1.2258</v>
      </c>
      <c r="AU14" s="214">
        <f t="shared" si="9"/>
        <v>1.7258</v>
      </c>
      <c r="AV14" s="217">
        <f t="shared" si="10"/>
        <v>4.8238000000000003</v>
      </c>
    </row>
    <row r="15" spans="1:50" ht="182" hidden="1">
      <c r="A15" s="201">
        <v>14</v>
      </c>
      <c r="B15" s="202" t="s">
        <v>109</v>
      </c>
      <c r="C15" s="178" t="s">
        <v>1174</v>
      </c>
      <c r="D15" s="178" t="s">
        <v>1451</v>
      </c>
      <c r="E15" s="178" t="s">
        <v>1452</v>
      </c>
      <c r="F15" s="178" t="s">
        <v>1176</v>
      </c>
      <c r="G15" s="178" t="s">
        <v>413</v>
      </c>
      <c r="H15" s="178" t="s">
        <v>109</v>
      </c>
      <c r="I15" s="178" t="s">
        <v>1498</v>
      </c>
      <c r="J15" s="203">
        <v>41103</v>
      </c>
      <c r="K15" s="204">
        <v>1250038</v>
      </c>
      <c r="L15" s="205">
        <v>166695</v>
      </c>
      <c r="M15" s="178" t="s">
        <v>1174</v>
      </c>
      <c r="N15" s="206">
        <v>0.5</v>
      </c>
      <c r="O15" s="178" t="s">
        <v>1176</v>
      </c>
      <c r="P15" s="206">
        <v>0</v>
      </c>
      <c r="Q15" s="207" t="s">
        <v>1499</v>
      </c>
      <c r="R15" s="162">
        <f t="shared" si="0"/>
        <v>0.5</v>
      </c>
      <c r="S15" s="208">
        <v>6.36</v>
      </c>
      <c r="T15" s="209">
        <f t="shared" si="1"/>
        <v>1</v>
      </c>
      <c r="U15" s="203">
        <v>41134</v>
      </c>
      <c r="V15" s="204">
        <v>1303541</v>
      </c>
      <c r="W15" s="210">
        <f t="shared" si="2"/>
        <v>1.522</v>
      </c>
      <c r="X15" s="205">
        <v>47938</v>
      </c>
      <c r="Y15" s="205">
        <v>31</v>
      </c>
      <c r="Z15" s="211">
        <f t="shared" si="3"/>
        <v>53503</v>
      </c>
      <c r="AA15" s="212">
        <f t="shared" si="4"/>
        <v>0.38850000000000001</v>
      </c>
      <c r="AB15" s="213">
        <f t="shared" si="5"/>
        <v>4.2801098846594998E-2</v>
      </c>
      <c r="AC15" s="212">
        <f t="shared" si="6"/>
        <v>0.28999999999999998</v>
      </c>
      <c r="AD15" s="214">
        <f t="shared" si="7"/>
        <v>3.7004999999999999</v>
      </c>
      <c r="AE15" s="207" t="s">
        <v>1174</v>
      </c>
      <c r="AF15" s="178" t="s">
        <v>1176</v>
      </c>
      <c r="AG15" s="178" t="s">
        <v>1176</v>
      </c>
      <c r="AH15" s="178" t="s">
        <v>1176</v>
      </c>
      <c r="AI15" s="178" t="s">
        <v>1176</v>
      </c>
      <c r="AJ15" s="206">
        <v>0.2</v>
      </c>
      <c r="AK15" s="178" t="s">
        <v>1176</v>
      </c>
      <c r="AL15" s="207" t="s">
        <v>579</v>
      </c>
      <c r="AM15" s="206">
        <v>0</v>
      </c>
      <c r="AN15" s="215">
        <v>0</v>
      </c>
      <c r="AO15" s="207" t="s">
        <v>1500</v>
      </c>
      <c r="AP15" s="216">
        <v>0.42</v>
      </c>
      <c r="AQ15" s="216">
        <v>0.02</v>
      </c>
      <c r="AR15" s="216">
        <v>0.02</v>
      </c>
      <c r="AS15" s="213">
        <v>1.5E-3</v>
      </c>
      <c r="AT15" s="214">
        <f t="shared" si="8"/>
        <v>1.2258</v>
      </c>
      <c r="AU15" s="214">
        <f t="shared" si="9"/>
        <v>1.4258</v>
      </c>
      <c r="AV15" s="217">
        <f t="shared" si="10"/>
        <v>5.1262999999999996</v>
      </c>
    </row>
    <row r="16" spans="1:50" ht="168" hidden="1">
      <c r="A16" s="201">
        <v>15</v>
      </c>
      <c r="B16" s="202" t="s">
        <v>111</v>
      </c>
      <c r="C16" s="178" t="s">
        <v>1174</v>
      </c>
      <c r="D16" s="178" t="s">
        <v>1451</v>
      </c>
      <c r="E16" s="178" t="s">
        <v>1452</v>
      </c>
      <c r="F16" s="178" t="s">
        <v>1174</v>
      </c>
      <c r="G16" s="178" t="s">
        <v>413</v>
      </c>
      <c r="H16" s="178" t="s">
        <v>111</v>
      </c>
      <c r="I16" s="178" t="s">
        <v>1501</v>
      </c>
      <c r="J16" s="203">
        <v>41103</v>
      </c>
      <c r="K16" s="204">
        <v>3540711</v>
      </c>
      <c r="L16" s="205">
        <v>56323</v>
      </c>
      <c r="M16" s="178" t="s">
        <v>1174</v>
      </c>
      <c r="N16" s="206">
        <v>0.5</v>
      </c>
      <c r="O16" s="178" t="s">
        <v>1174</v>
      </c>
      <c r="P16" s="206">
        <v>0.5</v>
      </c>
      <c r="Q16" s="207" t="s">
        <v>1502</v>
      </c>
      <c r="R16" s="162">
        <f t="shared" si="0"/>
        <v>1</v>
      </c>
      <c r="S16" s="208">
        <v>14</v>
      </c>
      <c r="T16" s="209">
        <f t="shared" si="1"/>
        <v>0</v>
      </c>
      <c r="U16" s="203">
        <v>41134</v>
      </c>
      <c r="V16" s="204">
        <v>3628875</v>
      </c>
      <c r="W16" s="210">
        <f t="shared" si="2"/>
        <v>1.6819999999999999</v>
      </c>
      <c r="X16" s="205">
        <v>77105</v>
      </c>
      <c r="Y16" s="205">
        <v>31</v>
      </c>
      <c r="Z16" s="211">
        <f t="shared" si="3"/>
        <v>88164</v>
      </c>
      <c r="AA16" s="212">
        <f t="shared" si="4"/>
        <v>0.42049999999999998</v>
      </c>
      <c r="AB16" s="213">
        <f t="shared" si="5"/>
        <v>2.4900083627271474E-2</v>
      </c>
      <c r="AC16" s="212">
        <f t="shared" si="6"/>
        <v>0.125</v>
      </c>
      <c r="AD16" s="214">
        <f t="shared" si="7"/>
        <v>3.2275</v>
      </c>
      <c r="AE16" s="207" t="s">
        <v>1176</v>
      </c>
      <c r="AF16" s="178" t="s">
        <v>1176</v>
      </c>
      <c r="AG16" s="178" t="s">
        <v>1176</v>
      </c>
      <c r="AH16" s="178" t="s">
        <v>1174</v>
      </c>
      <c r="AI16" s="178" t="s">
        <v>1174</v>
      </c>
      <c r="AJ16" s="206">
        <v>0.4</v>
      </c>
      <c r="AK16" s="178" t="s">
        <v>1174</v>
      </c>
      <c r="AL16" s="207" t="s">
        <v>1459</v>
      </c>
      <c r="AM16" s="206">
        <v>0.5</v>
      </c>
      <c r="AN16" s="215">
        <v>0.5</v>
      </c>
      <c r="AO16" s="207" t="s">
        <v>1503</v>
      </c>
      <c r="AP16" s="216">
        <v>0.22</v>
      </c>
      <c r="AQ16" s="216">
        <v>0</v>
      </c>
      <c r="AR16" s="216">
        <v>0.01</v>
      </c>
      <c r="AS16" s="213">
        <v>8.0000000000000004E-4</v>
      </c>
      <c r="AT16" s="214">
        <f t="shared" si="8"/>
        <v>0.64500000000000002</v>
      </c>
      <c r="AU16" s="214">
        <f t="shared" si="9"/>
        <v>2.0449999999999999</v>
      </c>
      <c r="AV16" s="217">
        <f t="shared" si="10"/>
        <v>5.2725</v>
      </c>
    </row>
    <row r="17" spans="1:48" ht="266" hidden="1">
      <c r="A17" s="201">
        <v>16</v>
      </c>
      <c r="B17" s="202" t="s">
        <v>114</v>
      </c>
      <c r="C17" s="178" t="s">
        <v>1174</v>
      </c>
      <c r="D17" s="178" t="s">
        <v>1451</v>
      </c>
      <c r="E17" s="178" t="s">
        <v>1452</v>
      </c>
      <c r="F17" s="178" t="s">
        <v>1174</v>
      </c>
      <c r="G17" s="178" t="s">
        <v>413</v>
      </c>
      <c r="H17" s="178" t="s">
        <v>114</v>
      </c>
      <c r="I17" s="178" t="s">
        <v>1504</v>
      </c>
      <c r="J17" s="203">
        <v>41103</v>
      </c>
      <c r="K17" s="204">
        <v>100318</v>
      </c>
      <c r="L17" s="205">
        <v>1262</v>
      </c>
      <c r="M17" s="178" t="s">
        <v>1174</v>
      </c>
      <c r="N17" s="206">
        <v>0.5</v>
      </c>
      <c r="O17" s="178" t="s">
        <v>1174</v>
      </c>
      <c r="P17" s="206">
        <v>0.5</v>
      </c>
      <c r="Q17" s="207" t="s">
        <v>1505</v>
      </c>
      <c r="R17" s="162">
        <f t="shared" si="0"/>
        <v>1</v>
      </c>
      <c r="S17" s="208">
        <v>11.67</v>
      </c>
      <c r="T17" s="209">
        <f t="shared" si="1"/>
        <v>0.25</v>
      </c>
      <c r="U17" s="203">
        <v>41134</v>
      </c>
      <c r="V17" s="204">
        <v>102625</v>
      </c>
      <c r="W17" s="210">
        <f t="shared" si="2"/>
        <v>0.53800000000000003</v>
      </c>
      <c r="X17" s="205">
        <v>1833</v>
      </c>
      <c r="Y17" s="205">
        <v>31</v>
      </c>
      <c r="Z17" s="211">
        <f t="shared" si="3"/>
        <v>2307</v>
      </c>
      <c r="AA17" s="212">
        <f t="shared" si="4"/>
        <v>7.0999999999999994E-2</v>
      </c>
      <c r="AB17" s="213">
        <f t="shared" si="5"/>
        <v>2.2996869953547661E-2</v>
      </c>
      <c r="AC17" s="212">
        <f t="shared" si="6"/>
        <v>8.5000000000000006E-2</v>
      </c>
      <c r="AD17" s="214">
        <f t="shared" si="7"/>
        <v>1.944</v>
      </c>
      <c r="AE17" s="207" t="s">
        <v>1174</v>
      </c>
      <c r="AF17" s="178" t="s">
        <v>1176</v>
      </c>
      <c r="AG17" s="178" t="s">
        <v>1176</v>
      </c>
      <c r="AH17" s="178" t="s">
        <v>1174</v>
      </c>
      <c r="AI17" s="178" t="s">
        <v>1174</v>
      </c>
      <c r="AJ17" s="206">
        <v>0.6</v>
      </c>
      <c r="AK17" s="178" t="s">
        <v>1174</v>
      </c>
      <c r="AL17" s="207" t="s">
        <v>1455</v>
      </c>
      <c r="AM17" s="206">
        <v>0.25</v>
      </c>
      <c r="AN17" s="215">
        <v>0.5</v>
      </c>
      <c r="AO17" s="207" t="s">
        <v>1506</v>
      </c>
      <c r="AP17" s="216">
        <v>0.14000000000000001</v>
      </c>
      <c r="AQ17" s="216">
        <v>0.02</v>
      </c>
      <c r="AR17" s="216">
        <v>0.01</v>
      </c>
      <c r="AS17" s="213">
        <v>5.9999999999999995E-4</v>
      </c>
      <c r="AT17" s="214">
        <f t="shared" si="8"/>
        <v>0.48380000000000001</v>
      </c>
      <c r="AU17" s="214">
        <f t="shared" si="9"/>
        <v>1.8338000000000001</v>
      </c>
      <c r="AV17" s="217">
        <f t="shared" si="10"/>
        <v>3.7778</v>
      </c>
    </row>
    <row r="18" spans="1:48" ht="182" hidden="1">
      <c r="A18" s="201">
        <v>17</v>
      </c>
      <c r="B18" s="202" t="s">
        <v>117</v>
      </c>
      <c r="C18" s="178" t="s">
        <v>1174</v>
      </c>
      <c r="D18" s="178" t="s">
        <v>1451</v>
      </c>
      <c r="E18" s="178" t="s">
        <v>1452</v>
      </c>
      <c r="F18" s="178" t="s">
        <v>1174</v>
      </c>
      <c r="G18" s="178" t="s">
        <v>413</v>
      </c>
      <c r="H18" s="178" t="s">
        <v>1507</v>
      </c>
      <c r="I18" s="178" t="s">
        <v>1508</v>
      </c>
      <c r="J18" s="203">
        <v>41103</v>
      </c>
      <c r="K18" s="204">
        <v>204413</v>
      </c>
      <c r="L18" s="205">
        <v>2049</v>
      </c>
      <c r="M18" s="178" t="s">
        <v>1174</v>
      </c>
      <c r="N18" s="206">
        <v>0.5</v>
      </c>
      <c r="O18" s="178" t="s">
        <v>1174</v>
      </c>
      <c r="P18" s="206">
        <v>0.5</v>
      </c>
      <c r="Q18" s="207" t="s">
        <v>1509</v>
      </c>
      <c r="R18" s="162">
        <f t="shared" si="0"/>
        <v>1</v>
      </c>
      <c r="S18" s="208">
        <v>3.5</v>
      </c>
      <c r="T18" s="209">
        <f t="shared" si="1"/>
        <v>0.5</v>
      </c>
      <c r="U18" s="203">
        <v>41134</v>
      </c>
      <c r="V18" s="204">
        <v>208914</v>
      </c>
      <c r="W18" s="210">
        <f t="shared" si="2"/>
        <v>0.69799999999999995</v>
      </c>
      <c r="X18" s="205">
        <v>2796</v>
      </c>
      <c r="Y18" s="205">
        <v>31</v>
      </c>
      <c r="Z18" s="211">
        <f t="shared" si="3"/>
        <v>4501</v>
      </c>
      <c r="AA18" s="212">
        <f t="shared" si="4"/>
        <v>0.11899999999999999</v>
      </c>
      <c r="AB18" s="213">
        <f t="shared" si="5"/>
        <v>2.2019147510187631E-2</v>
      </c>
      <c r="AC18" s="212">
        <f t="shared" si="6"/>
        <v>7.0000000000000007E-2</v>
      </c>
      <c r="AD18" s="214">
        <f t="shared" si="7"/>
        <v>2.387</v>
      </c>
      <c r="AE18" s="207" t="s">
        <v>1174</v>
      </c>
      <c r="AF18" s="178" t="s">
        <v>1176</v>
      </c>
      <c r="AG18" s="178" t="s">
        <v>1176</v>
      </c>
      <c r="AH18" s="178" t="s">
        <v>1174</v>
      </c>
      <c r="AI18" s="178" t="s">
        <v>1174</v>
      </c>
      <c r="AJ18" s="206">
        <v>0.6</v>
      </c>
      <c r="AK18" s="178" t="s">
        <v>1174</v>
      </c>
      <c r="AL18" s="207" t="s">
        <v>1459</v>
      </c>
      <c r="AM18" s="206">
        <v>0.5</v>
      </c>
      <c r="AN18" s="215">
        <v>0.5</v>
      </c>
      <c r="AO18" s="207" t="s">
        <v>1510</v>
      </c>
      <c r="AP18" s="216">
        <v>0.24</v>
      </c>
      <c r="AQ18" s="216">
        <v>0.01</v>
      </c>
      <c r="AR18" s="216">
        <v>0.02</v>
      </c>
      <c r="AS18" s="213">
        <v>8.9999999999999998E-4</v>
      </c>
      <c r="AT18" s="214">
        <f t="shared" si="8"/>
        <v>0.70960000000000001</v>
      </c>
      <c r="AU18" s="214">
        <f t="shared" si="9"/>
        <v>2.3096000000000001</v>
      </c>
      <c r="AV18" s="217">
        <f t="shared" si="10"/>
        <v>4.6966000000000001</v>
      </c>
    </row>
    <row r="19" spans="1:48" ht="112" hidden="1">
      <c r="A19" s="201">
        <v>18</v>
      </c>
      <c r="B19" s="202" t="s">
        <v>120</v>
      </c>
      <c r="C19" s="178" t="s">
        <v>1174</v>
      </c>
      <c r="D19" s="178" t="s">
        <v>1451</v>
      </c>
      <c r="E19" s="178" t="s">
        <v>1452</v>
      </c>
      <c r="F19" s="178" t="s">
        <v>1174</v>
      </c>
      <c r="G19" s="178" t="s">
        <v>413</v>
      </c>
      <c r="H19" s="178" t="s">
        <v>120</v>
      </c>
      <c r="I19" s="178" t="s">
        <v>1511</v>
      </c>
      <c r="J19" s="203">
        <v>41103</v>
      </c>
      <c r="K19" s="204">
        <v>5578428</v>
      </c>
      <c r="L19" s="205">
        <v>63343</v>
      </c>
      <c r="M19" s="178" t="s">
        <v>1174</v>
      </c>
      <c r="N19" s="206">
        <v>0.5</v>
      </c>
      <c r="O19" s="178" t="s">
        <v>1176</v>
      </c>
      <c r="P19" s="206">
        <v>0</v>
      </c>
      <c r="Q19" s="207" t="s">
        <v>1512</v>
      </c>
      <c r="R19" s="162">
        <f t="shared" si="0"/>
        <v>0.5</v>
      </c>
      <c r="S19" s="208">
        <v>5.38</v>
      </c>
      <c r="T19" s="209">
        <f t="shared" si="1"/>
        <v>0.75</v>
      </c>
      <c r="U19" s="203">
        <v>41134</v>
      </c>
      <c r="V19" s="204">
        <v>5710330</v>
      </c>
      <c r="W19" s="210">
        <f t="shared" si="2"/>
        <v>1.8080000000000001</v>
      </c>
      <c r="X19" s="205">
        <v>67079</v>
      </c>
      <c r="Y19" s="205">
        <v>31</v>
      </c>
      <c r="Z19" s="211">
        <f t="shared" si="3"/>
        <v>131902</v>
      </c>
      <c r="AA19" s="212">
        <f t="shared" si="4"/>
        <v>0.44400000000000001</v>
      </c>
      <c r="AB19" s="213">
        <f t="shared" si="5"/>
        <v>2.3645012537582222E-2</v>
      </c>
      <c r="AC19" s="212">
        <f t="shared" si="6"/>
        <v>9.5000000000000001E-2</v>
      </c>
      <c r="AD19" s="214">
        <f t="shared" si="7"/>
        <v>3.597</v>
      </c>
      <c r="AE19" s="207" t="s">
        <v>1176</v>
      </c>
      <c r="AF19" s="178" t="s">
        <v>1176</v>
      </c>
      <c r="AG19" s="178" t="s">
        <v>1176</v>
      </c>
      <c r="AH19" s="178" t="s">
        <v>1176</v>
      </c>
      <c r="AI19" s="178" t="s">
        <v>1176</v>
      </c>
      <c r="AJ19" s="206">
        <v>0</v>
      </c>
      <c r="AK19" s="178" t="s">
        <v>1174</v>
      </c>
      <c r="AL19" s="207" t="s">
        <v>1455</v>
      </c>
      <c r="AM19" s="206">
        <v>0.25</v>
      </c>
      <c r="AN19" s="215">
        <v>0.25</v>
      </c>
      <c r="AO19" s="207" t="s">
        <v>1513</v>
      </c>
      <c r="AP19" s="216">
        <v>0.08</v>
      </c>
      <c r="AQ19" s="216">
        <v>0</v>
      </c>
      <c r="AR19" s="216">
        <v>0.01</v>
      </c>
      <c r="AS19" s="213">
        <v>2.9999999999999997E-4</v>
      </c>
      <c r="AT19" s="214">
        <f t="shared" si="8"/>
        <v>0.129</v>
      </c>
      <c r="AU19" s="214">
        <f t="shared" si="9"/>
        <v>0.629</v>
      </c>
      <c r="AV19" s="217">
        <f t="shared" si="10"/>
        <v>4.226</v>
      </c>
    </row>
    <row r="20" spans="1:48" ht="126" hidden="1">
      <c r="A20" s="201">
        <v>19</v>
      </c>
      <c r="B20" s="202" t="s">
        <v>123</v>
      </c>
      <c r="C20" s="178" t="s">
        <v>1174</v>
      </c>
      <c r="D20" s="178" t="s">
        <v>1451</v>
      </c>
      <c r="E20" s="178" t="s">
        <v>1452</v>
      </c>
      <c r="F20" s="178" t="s">
        <v>1174</v>
      </c>
      <c r="G20" s="178" t="s">
        <v>413</v>
      </c>
      <c r="H20" s="178" t="s">
        <v>1514</v>
      </c>
      <c r="I20" s="178" t="s">
        <v>1515</v>
      </c>
      <c r="J20" s="203">
        <v>41103</v>
      </c>
      <c r="K20" s="204">
        <v>697359</v>
      </c>
      <c r="L20" s="205">
        <v>5700</v>
      </c>
      <c r="M20" s="178" t="s">
        <v>1174</v>
      </c>
      <c r="N20" s="206">
        <v>0.5</v>
      </c>
      <c r="O20" s="178" t="s">
        <v>1174</v>
      </c>
      <c r="P20" s="206">
        <v>0.5</v>
      </c>
      <c r="Q20" s="207" t="s">
        <v>1516</v>
      </c>
      <c r="R20" s="162">
        <f t="shared" si="0"/>
        <v>1</v>
      </c>
      <c r="S20" s="208">
        <v>2</v>
      </c>
      <c r="T20" s="209">
        <f t="shared" si="1"/>
        <v>0.25</v>
      </c>
      <c r="U20" s="203">
        <v>41134</v>
      </c>
      <c r="V20" s="204">
        <v>719463</v>
      </c>
      <c r="W20" s="210">
        <f t="shared" si="2"/>
        <v>1.3</v>
      </c>
      <c r="X20" s="205">
        <v>5659</v>
      </c>
      <c r="Y20" s="205">
        <v>31</v>
      </c>
      <c r="Z20" s="211">
        <f t="shared" si="3"/>
        <v>22104</v>
      </c>
      <c r="AA20" s="212">
        <f t="shared" si="4"/>
        <v>0.29349999999999998</v>
      </c>
      <c r="AB20" s="213">
        <f t="shared" si="5"/>
        <v>3.1696730091674397E-2</v>
      </c>
      <c r="AC20" s="212">
        <f t="shared" si="6"/>
        <v>0.19500000000000001</v>
      </c>
      <c r="AD20" s="214">
        <f t="shared" si="7"/>
        <v>3.0385</v>
      </c>
      <c r="AE20" s="207" t="s">
        <v>1176</v>
      </c>
      <c r="AF20" s="178" t="s">
        <v>1176</v>
      </c>
      <c r="AG20" s="178" t="s">
        <v>1176</v>
      </c>
      <c r="AH20" s="178" t="s">
        <v>1174</v>
      </c>
      <c r="AI20" s="178" t="s">
        <v>1174</v>
      </c>
      <c r="AJ20" s="206">
        <v>0.4</v>
      </c>
      <c r="AK20" s="178" t="s">
        <v>1174</v>
      </c>
      <c r="AL20" s="207" t="s">
        <v>1459</v>
      </c>
      <c r="AM20" s="206">
        <v>0.5</v>
      </c>
      <c r="AN20" s="215">
        <v>0.25</v>
      </c>
      <c r="AO20" s="207" t="s">
        <v>1517</v>
      </c>
      <c r="AP20" s="216">
        <v>0.04</v>
      </c>
      <c r="AQ20" s="216">
        <v>0</v>
      </c>
      <c r="AR20" s="216">
        <v>0</v>
      </c>
      <c r="AS20" s="213">
        <v>1E-4</v>
      </c>
      <c r="AT20" s="214">
        <f t="shared" si="8"/>
        <v>3.2199999999999999E-2</v>
      </c>
      <c r="AU20" s="214">
        <f t="shared" si="9"/>
        <v>1.1821999999999999</v>
      </c>
      <c r="AV20" s="217">
        <f t="shared" si="10"/>
        <v>4.2206999999999999</v>
      </c>
    </row>
    <row r="21" spans="1:48" ht="140" hidden="1">
      <c r="A21" s="201">
        <v>20</v>
      </c>
      <c r="B21" s="202" t="s">
        <v>125</v>
      </c>
      <c r="C21" s="178" t="s">
        <v>1174</v>
      </c>
      <c r="D21" s="178" t="s">
        <v>1451</v>
      </c>
      <c r="E21" s="178" t="s">
        <v>1452</v>
      </c>
      <c r="F21" s="178" t="s">
        <v>1176</v>
      </c>
      <c r="G21" s="178" t="s">
        <v>413</v>
      </c>
      <c r="H21" s="178" t="s">
        <v>1518</v>
      </c>
      <c r="I21" s="178" t="s">
        <v>1519</v>
      </c>
      <c r="J21" s="203">
        <v>41103</v>
      </c>
      <c r="K21" s="204">
        <v>56297</v>
      </c>
      <c r="L21" s="205">
        <v>1036</v>
      </c>
      <c r="M21" s="178" t="s">
        <v>1176</v>
      </c>
      <c r="N21" s="206">
        <v>0</v>
      </c>
      <c r="O21" s="178" t="s">
        <v>1176</v>
      </c>
      <c r="P21" s="206">
        <v>0</v>
      </c>
      <c r="Q21" s="207" t="s">
        <v>1520</v>
      </c>
      <c r="R21" s="162">
        <f t="shared" si="0"/>
        <v>0</v>
      </c>
      <c r="S21" s="208">
        <v>2.2599999999999998</v>
      </c>
      <c r="T21" s="209">
        <f t="shared" si="1"/>
        <v>0.25</v>
      </c>
      <c r="U21" s="203">
        <v>41134</v>
      </c>
      <c r="V21" s="204">
        <v>58938</v>
      </c>
      <c r="W21" s="210">
        <f t="shared" si="2"/>
        <v>0.28399999999999997</v>
      </c>
      <c r="X21" s="205">
        <v>1957</v>
      </c>
      <c r="Y21" s="205">
        <v>31</v>
      </c>
      <c r="Z21" s="211">
        <f t="shared" si="3"/>
        <v>2641</v>
      </c>
      <c r="AA21" s="212">
        <f t="shared" si="4"/>
        <v>8.6999999999999994E-2</v>
      </c>
      <c r="AB21" s="213">
        <f t="shared" si="5"/>
        <v>4.6911913601080046E-2</v>
      </c>
      <c r="AC21" s="212">
        <f t="shared" si="6"/>
        <v>0.32500000000000001</v>
      </c>
      <c r="AD21" s="214">
        <f t="shared" si="7"/>
        <v>0.94599999999999995</v>
      </c>
      <c r="AE21" s="207" t="s">
        <v>1176</v>
      </c>
      <c r="AF21" s="178" t="s">
        <v>1176</v>
      </c>
      <c r="AG21" s="178" t="s">
        <v>1176</v>
      </c>
      <c r="AH21" s="178" t="s">
        <v>1176</v>
      </c>
      <c r="AI21" s="178" t="s">
        <v>1176</v>
      </c>
      <c r="AJ21" s="206">
        <v>0</v>
      </c>
      <c r="AK21" s="178" t="s">
        <v>1174</v>
      </c>
      <c r="AL21" s="207" t="s">
        <v>1455</v>
      </c>
      <c r="AM21" s="206">
        <v>0.25</v>
      </c>
      <c r="AN21" s="215">
        <v>0.25</v>
      </c>
      <c r="AP21" s="216">
        <v>0.83</v>
      </c>
      <c r="AQ21" s="216">
        <v>0.03</v>
      </c>
      <c r="AR21" s="216">
        <v>0.11</v>
      </c>
      <c r="AS21" s="213">
        <v>3.2000000000000002E-3</v>
      </c>
      <c r="AT21" s="214">
        <f t="shared" si="8"/>
        <v>1.8708</v>
      </c>
      <c r="AU21" s="214">
        <f t="shared" si="9"/>
        <v>2.3708</v>
      </c>
      <c r="AV21" s="217">
        <f t="shared" si="10"/>
        <v>3.3167999999999997</v>
      </c>
    </row>
    <row r="22" spans="1:48" ht="140" hidden="1">
      <c r="A22" s="201">
        <v>21</v>
      </c>
      <c r="B22" s="202" t="s">
        <v>127</v>
      </c>
      <c r="C22" s="178" t="s">
        <v>1174</v>
      </c>
      <c r="D22" s="178" t="s">
        <v>1451</v>
      </c>
      <c r="E22" s="178" t="s">
        <v>1452</v>
      </c>
      <c r="F22" s="178" t="s">
        <v>1174</v>
      </c>
      <c r="G22" s="178" t="s">
        <v>413</v>
      </c>
      <c r="H22" s="178" t="s">
        <v>1521</v>
      </c>
      <c r="I22" s="178" t="s">
        <v>1522</v>
      </c>
      <c r="J22" s="203">
        <v>41103</v>
      </c>
      <c r="K22" s="204">
        <v>90077</v>
      </c>
      <c r="L22" s="205">
        <v>1062</v>
      </c>
      <c r="M22" s="178" t="s">
        <v>1174</v>
      </c>
      <c r="N22" s="206">
        <v>0.5</v>
      </c>
      <c r="O22" s="178" t="s">
        <v>1176</v>
      </c>
      <c r="P22" s="206">
        <v>0</v>
      </c>
      <c r="Q22" s="207" t="s">
        <v>1523</v>
      </c>
      <c r="R22" s="162">
        <f t="shared" si="0"/>
        <v>0.5</v>
      </c>
      <c r="S22" s="208">
        <v>3.33</v>
      </c>
      <c r="T22" s="209">
        <f t="shared" si="1"/>
        <v>0.5</v>
      </c>
      <c r="U22" s="203">
        <v>41134</v>
      </c>
      <c r="V22" s="204">
        <v>93649</v>
      </c>
      <c r="W22" s="210">
        <f t="shared" si="2"/>
        <v>0.50600000000000001</v>
      </c>
      <c r="X22" s="205">
        <v>1097</v>
      </c>
      <c r="Y22" s="205">
        <v>31</v>
      </c>
      <c r="Z22" s="211">
        <f t="shared" si="3"/>
        <v>3572</v>
      </c>
      <c r="AA22" s="212">
        <f t="shared" si="4"/>
        <v>0.111</v>
      </c>
      <c r="AB22" s="213">
        <f t="shared" si="5"/>
        <v>3.9654961865959182E-2</v>
      </c>
      <c r="AC22" s="212">
        <f t="shared" si="6"/>
        <v>0.25</v>
      </c>
      <c r="AD22" s="214">
        <f t="shared" si="7"/>
        <v>1.867</v>
      </c>
      <c r="AE22" s="207" t="s">
        <v>1176</v>
      </c>
      <c r="AF22" s="178" t="s">
        <v>1176</v>
      </c>
      <c r="AG22" s="178" t="s">
        <v>1176</v>
      </c>
      <c r="AH22" s="178" t="s">
        <v>1176</v>
      </c>
      <c r="AI22" s="178" t="s">
        <v>1176</v>
      </c>
      <c r="AJ22" s="206">
        <v>0</v>
      </c>
      <c r="AK22" s="178" t="s">
        <v>1176</v>
      </c>
      <c r="AL22" s="207" t="s">
        <v>579</v>
      </c>
      <c r="AM22" s="206">
        <v>0</v>
      </c>
      <c r="AN22" s="215">
        <v>0</v>
      </c>
      <c r="AO22" s="207" t="s">
        <v>1500</v>
      </c>
      <c r="AP22" s="216">
        <v>0.68</v>
      </c>
      <c r="AQ22" s="216">
        <v>0.02</v>
      </c>
      <c r="AR22" s="216">
        <v>0.06</v>
      </c>
      <c r="AS22" s="213">
        <v>2.5000000000000001E-3</v>
      </c>
      <c r="AT22" s="214">
        <f t="shared" si="8"/>
        <v>1.7096</v>
      </c>
      <c r="AU22" s="214">
        <f t="shared" si="9"/>
        <v>1.7096</v>
      </c>
      <c r="AV22" s="217">
        <f t="shared" si="10"/>
        <v>3.5766</v>
      </c>
    </row>
    <row r="23" spans="1:48" ht="182" hidden="1">
      <c r="A23" s="201">
        <v>22</v>
      </c>
      <c r="B23" s="202" t="s">
        <v>129</v>
      </c>
      <c r="C23" s="178" t="s">
        <v>1174</v>
      </c>
      <c r="D23" s="178" t="s">
        <v>1451</v>
      </c>
      <c r="E23" s="178" t="s">
        <v>1452</v>
      </c>
      <c r="F23" s="178" t="s">
        <v>1176</v>
      </c>
      <c r="G23" s="178" t="s">
        <v>413</v>
      </c>
      <c r="H23" s="178" t="s">
        <v>1524</v>
      </c>
      <c r="I23" s="178" t="s">
        <v>1525</v>
      </c>
      <c r="J23" s="203">
        <v>41103</v>
      </c>
      <c r="K23" s="204">
        <v>224328</v>
      </c>
      <c r="L23" s="205">
        <v>8800</v>
      </c>
      <c r="M23" s="178" t="s">
        <v>1176</v>
      </c>
      <c r="N23" s="206">
        <v>0</v>
      </c>
      <c r="O23" s="178" t="s">
        <v>1174</v>
      </c>
      <c r="P23" s="206">
        <v>0.5</v>
      </c>
      <c r="Q23" s="207" t="s">
        <v>1526</v>
      </c>
      <c r="R23" s="162">
        <f t="shared" si="0"/>
        <v>0.5</v>
      </c>
      <c r="S23" s="208">
        <v>7</v>
      </c>
      <c r="T23" s="209">
        <f t="shared" si="1"/>
        <v>1</v>
      </c>
      <c r="U23" s="203">
        <v>41134</v>
      </c>
      <c r="V23" s="204">
        <v>233744</v>
      </c>
      <c r="W23" s="210">
        <f t="shared" si="2"/>
        <v>0.76</v>
      </c>
      <c r="X23" s="205">
        <v>5322</v>
      </c>
      <c r="Y23" s="205">
        <v>31</v>
      </c>
      <c r="Z23" s="211">
        <f t="shared" si="3"/>
        <v>9416</v>
      </c>
      <c r="AA23" s="212">
        <f t="shared" si="4"/>
        <v>0.1825</v>
      </c>
      <c r="AB23" s="213">
        <f t="shared" si="5"/>
        <v>4.1974251988160294E-2</v>
      </c>
      <c r="AC23" s="212">
        <f t="shared" si="6"/>
        <v>0.28499999999999998</v>
      </c>
      <c r="AD23" s="214">
        <f t="shared" si="7"/>
        <v>2.7275</v>
      </c>
      <c r="AE23" s="207" t="s">
        <v>1174</v>
      </c>
      <c r="AF23" s="178" t="s">
        <v>1176</v>
      </c>
      <c r="AG23" s="178" t="s">
        <v>1176</v>
      </c>
      <c r="AH23" s="178" t="s">
        <v>1176</v>
      </c>
      <c r="AI23" s="178" t="s">
        <v>1174</v>
      </c>
      <c r="AJ23" s="206">
        <v>0.4</v>
      </c>
      <c r="AK23" s="178" t="s">
        <v>1176</v>
      </c>
      <c r="AL23" s="207" t="s">
        <v>579</v>
      </c>
      <c r="AM23" s="206">
        <v>0</v>
      </c>
      <c r="AN23" s="215">
        <v>0.25</v>
      </c>
      <c r="AO23" s="207" t="s">
        <v>1527</v>
      </c>
      <c r="AP23" s="216">
        <v>0.16</v>
      </c>
      <c r="AQ23" s="216">
        <v>0</v>
      </c>
      <c r="AR23" s="216">
        <v>0.01</v>
      </c>
      <c r="AS23" s="213">
        <v>5.9999999999999995E-4</v>
      </c>
      <c r="AT23" s="214">
        <f t="shared" si="8"/>
        <v>0.48380000000000001</v>
      </c>
      <c r="AU23" s="214">
        <f t="shared" si="9"/>
        <v>1.1337999999999999</v>
      </c>
      <c r="AV23" s="217">
        <f t="shared" si="10"/>
        <v>3.8613</v>
      </c>
    </row>
    <row r="24" spans="1:48" ht="140" hidden="1">
      <c r="A24" s="201">
        <v>23</v>
      </c>
      <c r="B24" s="202" t="s">
        <v>134</v>
      </c>
      <c r="C24" s="178" t="s">
        <v>1174</v>
      </c>
      <c r="D24" s="178" t="s">
        <v>1451</v>
      </c>
      <c r="E24" s="178" t="s">
        <v>1452</v>
      </c>
      <c r="F24" s="178" t="s">
        <v>1176</v>
      </c>
      <c r="G24" s="178" t="s">
        <v>413</v>
      </c>
      <c r="H24" s="178" t="s">
        <v>134</v>
      </c>
      <c r="I24" s="178" t="s">
        <v>1528</v>
      </c>
      <c r="J24" s="203">
        <v>41103</v>
      </c>
      <c r="K24" s="204">
        <v>1729868</v>
      </c>
      <c r="L24" s="205">
        <v>24912</v>
      </c>
      <c r="M24" s="178" t="s">
        <v>1174</v>
      </c>
      <c r="N24" s="206">
        <v>0.5</v>
      </c>
      <c r="O24" s="178" t="s">
        <v>1176</v>
      </c>
      <c r="P24" s="206">
        <v>0</v>
      </c>
      <c r="Q24" s="207" t="s">
        <v>1529</v>
      </c>
      <c r="R24" s="162">
        <f t="shared" si="0"/>
        <v>0.5</v>
      </c>
      <c r="S24" s="208">
        <v>4.12</v>
      </c>
      <c r="T24" s="209">
        <f t="shared" si="1"/>
        <v>0.5</v>
      </c>
      <c r="U24" s="203">
        <v>41134</v>
      </c>
      <c r="V24" s="204">
        <v>1743238</v>
      </c>
      <c r="W24" s="210">
        <f t="shared" si="2"/>
        <v>1.554</v>
      </c>
      <c r="X24" s="205">
        <v>17250</v>
      </c>
      <c r="Y24" s="205">
        <v>31</v>
      </c>
      <c r="Z24" s="211">
        <f t="shared" si="3"/>
        <v>13370</v>
      </c>
      <c r="AA24" s="212">
        <f t="shared" si="4"/>
        <v>0.23799999999999999</v>
      </c>
      <c r="AB24" s="213">
        <f t="shared" si="5"/>
        <v>7.7289134199833853E-3</v>
      </c>
      <c r="AC24" s="212">
        <f t="shared" si="6"/>
        <v>5.0000000000000001E-3</v>
      </c>
      <c r="AD24" s="214">
        <f t="shared" si="7"/>
        <v>2.7970000000000002</v>
      </c>
      <c r="AE24" s="207" t="s">
        <v>1176</v>
      </c>
      <c r="AF24" s="178" t="s">
        <v>1176</v>
      </c>
      <c r="AG24" s="178" t="s">
        <v>1174</v>
      </c>
      <c r="AH24" s="178" t="s">
        <v>1176</v>
      </c>
      <c r="AI24" s="178" t="s">
        <v>1176</v>
      </c>
      <c r="AJ24" s="206">
        <v>0.2</v>
      </c>
      <c r="AK24" s="178" t="s">
        <v>1176</v>
      </c>
      <c r="AL24" s="207" t="s">
        <v>579</v>
      </c>
      <c r="AM24" s="206">
        <v>0</v>
      </c>
      <c r="AN24" s="215">
        <v>0.25</v>
      </c>
      <c r="AO24" s="207" t="s">
        <v>1500</v>
      </c>
      <c r="AP24" s="216">
        <v>0.13</v>
      </c>
      <c r="AQ24" s="216">
        <v>0</v>
      </c>
      <c r="AR24" s="216">
        <v>0.01</v>
      </c>
      <c r="AS24" s="213">
        <v>5.0000000000000001E-4</v>
      </c>
      <c r="AT24" s="214">
        <f t="shared" si="8"/>
        <v>0.3548</v>
      </c>
      <c r="AU24" s="214">
        <f t="shared" si="9"/>
        <v>0.80479999999999996</v>
      </c>
      <c r="AV24" s="217">
        <f t="shared" si="10"/>
        <v>3.6017999999999999</v>
      </c>
    </row>
    <row r="25" spans="1:48" ht="112" hidden="1">
      <c r="A25" s="201">
        <v>24</v>
      </c>
      <c r="B25" s="202" t="s">
        <v>136</v>
      </c>
      <c r="C25" s="178" t="s">
        <v>1174</v>
      </c>
      <c r="D25" s="178" t="s">
        <v>1451</v>
      </c>
      <c r="E25" s="178" t="s">
        <v>1452</v>
      </c>
      <c r="F25" s="178" t="s">
        <v>1174</v>
      </c>
      <c r="G25" s="178" t="s">
        <v>413</v>
      </c>
      <c r="H25" s="178" t="s">
        <v>1530</v>
      </c>
      <c r="I25" s="178" t="s">
        <v>1531</v>
      </c>
      <c r="J25" s="203">
        <v>41103</v>
      </c>
      <c r="K25" s="204">
        <v>3266041</v>
      </c>
      <c r="L25" s="205">
        <v>27719</v>
      </c>
      <c r="M25" s="178" t="s">
        <v>1176</v>
      </c>
      <c r="N25" s="206">
        <v>0</v>
      </c>
      <c r="O25" s="178" t="s">
        <v>1176</v>
      </c>
      <c r="P25" s="206">
        <v>0</v>
      </c>
      <c r="Q25" s="207" t="s">
        <v>1532</v>
      </c>
      <c r="R25" s="162">
        <f t="shared" si="0"/>
        <v>0</v>
      </c>
      <c r="S25" s="208">
        <v>4.67</v>
      </c>
      <c r="T25" s="209">
        <f t="shared" si="1"/>
        <v>0.75</v>
      </c>
      <c r="U25" s="203">
        <v>41134</v>
      </c>
      <c r="V25" s="219">
        <v>3346901</v>
      </c>
      <c r="W25" s="210">
        <f t="shared" si="2"/>
        <v>1.65</v>
      </c>
      <c r="X25" s="205">
        <v>26089</v>
      </c>
      <c r="Y25" s="205">
        <v>31</v>
      </c>
      <c r="Z25" s="211">
        <f t="shared" si="3"/>
        <v>80860</v>
      </c>
      <c r="AA25" s="212">
        <f t="shared" si="4"/>
        <v>0.40450000000000003</v>
      </c>
      <c r="AB25" s="213">
        <f t="shared" si="5"/>
        <v>2.4757803101675746E-2</v>
      </c>
      <c r="AC25" s="212">
        <f t="shared" si="6"/>
        <v>0.115</v>
      </c>
      <c r="AD25" s="214">
        <f t="shared" si="7"/>
        <v>2.9195000000000002</v>
      </c>
      <c r="AE25" s="207" t="s">
        <v>1174</v>
      </c>
      <c r="AF25" s="178" t="s">
        <v>1176</v>
      </c>
      <c r="AG25" s="178" t="s">
        <v>1176</v>
      </c>
      <c r="AH25" s="178" t="s">
        <v>1176</v>
      </c>
      <c r="AI25" s="178" t="s">
        <v>1176</v>
      </c>
      <c r="AJ25" s="206">
        <v>0.2</v>
      </c>
      <c r="AK25" s="178" t="s">
        <v>1176</v>
      </c>
      <c r="AL25" s="207" t="s">
        <v>579</v>
      </c>
      <c r="AM25" s="206">
        <v>0</v>
      </c>
      <c r="AN25" s="215">
        <v>0.5</v>
      </c>
      <c r="AO25" s="207" t="s">
        <v>1533</v>
      </c>
      <c r="AP25" s="216">
        <v>0.11</v>
      </c>
      <c r="AQ25" s="216">
        <v>0</v>
      </c>
      <c r="AR25" s="216">
        <v>0.01</v>
      </c>
      <c r="AS25" s="213">
        <v>4.0000000000000002E-4</v>
      </c>
      <c r="AT25" s="214">
        <f t="shared" si="8"/>
        <v>0.19339999999999999</v>
      </c>
      <c r="AU25" s="214">
        <f t="shared" si="9"/>
        <v>0.89339999999999997</v>
      </c>
      <c r="AV25" s="217">
        <f t="shared" si="10"/>
        <v>3.8129</v>
      </c>
    </row>
    <row r="26" spans="1:48" ht="84" hidden="1">
      <c r="A26" s="201">
        <v>25</v>
      </c>
      <c r="B26" s="202" t="s">
        <v>139</v>
      </c>
      <c r="C26" s="178" t="s">
        <v>1174</v>
      </c>
      <c r="D26" s="178" t="s">
        <v>1451</v>
      </c>
      <c r="E26" s="178" t="s">
        <v>1452</v>
      </c>
      <c r="F26" s="178" t="s">
        <v>1174</v>
      </c>
      <c r="G26" s="178" t="s">
        <v>413</v>
      </c>
      <c r="H26" s="178" t="s">
        <v>139</v>
      </c>
      <c r="I26" s="178" t="s">
        <v>1534</v>
      </c>
      <c r="J26" s="203">
        <v>41103</v>
      </c>
      <c r="K26" s="204">
        <v>298247</v>
      </c>
      <c r="L26" s="205">
        <v>19806</v>
      </c>
      <c r="M26" s="178" t="s">
        <v>1176</v>
      </c>
      <c r="N26" s="206">
        <v>0</v>
      </c>
      <c r="O26" s="178" t="s">
        <v>1176</v>
      </c>
      <c r="P26" s="206">
        <v>0</v>
      </c>
      <c r="Q26" s="207" t="s">
        <v>1535</v>
      </c>
      <c r="R26" s="162">
        <f t="shared" si="0"/>
        <v>0</v>
      </c>
      <c r="S26" s="208">
        <v>1.71</v>
      </c>
      <c r="T26" s="209">
        <f t="shared" si="1"/>
        <v>0.25</v>
      </c>
      <c r="U26" s="203">
        <v>41134</v>
      </c>
      <c r="V26" s="204">
        <v>317578</v>
      </c>
      <c r="W26" s="210">
        <f t="shared" si="2"/>
        <v>0.95199999999999996</v>
      </c>
      <c r="X26" s="205">
        <v>8677</v>
      </c>
      <c r="Y26" s="205">
        <v>31</v>
      </c>
      <c r="Z26" s="211">
        <f t="shared" si="3"/>
        <v>19331</v>
      </c>
      <c r="AA26" s="212">
        <f t="shared" si="4"/>
        <v>0.26950000000000002</v>
      </c>
      <c r="AB26" s="213">
        <f t="shared" si="5"/>
        <v>6.4815404681354716E-2</v>
      </c>
      <c r="AC26" s="212">
        <f t="shared" si="6"/>
        <v>0.38</v>
      </c>
      <c r="AD26" s="214">
        <f t="shared" si="7"/>
        <v>1.8514999999999999</v>
      </c>
      <c r="AE26" s="207" t="s">
        <v>1176</v>
      </c>
      <c r="AF26" s="178" t="s">
        <v>1176</v>
      </c>
      <c r="AG26" s="178" t="s">
        <v>1176</v>
      </c>
      <c r="AH26" s="178" t="s">
        <v>1176</v>
      </c>
      <c r="AI26" s="178" t="s">
        <v>1176</v>
      </c>
      <c r="AJ26" s="206">
        <v>0</v>
      </c>
      <c r="AK26" s="178" t="s">
        <v>1176</v>
      </c>
      <c r="AL26" s="207" t="s">
        <v>579</v>
      </c>
      <c r="AM26" s="206">
        <v>0</v>
      </c>
      <c r="AN26" s="215">
        <v>0</v>
      </c>
      <c r="AO26" s="207" t="s">
        <v>1500</v>
      </c>
      <c r="AP26" s="216">
        <v>0.55000000000000004</v>
      </c>
      <c r="AQ26" s="216">
        <v>0.01</v>
      </c>
      <c r="AR26" s="216">
        <v>0.05</v>
      </c>
      <c r="AS26" s="213">
        <v>2E-3</v>
      </c>
      <c r="AT26" s="214">
        <f t="shared" si="8"/>
        <v>1.5806</v>
      </c>
      <c r="AU26" s="214">
        <f t="shared" si="9"/>
        <v>1.5806</v>
      </c>
      <c r="AV26" s="217">
        <f t="shared" si="10"/>
        <v>3.4321000000000002</v>
      </c>
    </row>
    <row r="27" spans="1:48" ht="252" hidden="1">
      <c r="A27" s="201">
        <v>26</v>
      </c>
      <c r="B27" s="202" t="s">
        <v>141</v>
      </c>
      <c r="C27" s="178" t="s">
        <v>1174</v>
      </c>
      <c r="D27" s="178" t="s">
        <v>1451</v>
      </c>
      <c r="E27" s="178" t="s">
        <v>1452</v>
      </c>
      <c r="F27" s="178" t="s">
        <v>1174</v>
      </c>
      <c r="G27" s="178" t="s">
        <v>413</v>
      </c>
      <c r="H27" s="178" t="s">
        <v>141</v>
      </c>
      <c r="I27" s="178" t="s">
        <v>1536</v>
      </c>
      <c r="J27" s="203">
        <v>41103</v>
      </c>
      <c r="K27" s="204">
        <v>8635557</v>
      </c>
      <c r="L27" s="205">
        <v>119400</v>
      </c>
      <c r="M27" s="178" t="s">
        <v>1176</v>
      </c>
      <c r="N27" s="206">
        <v>0</v>
      </c>
      <c r="O27" s="178" t="s">
        <v>1176</v>
      </c>
      <c r="P27" s="206">
        <v>0</v>
      </c>
      <c r="Q27" s="207" t="s">
        <v>1537</v>
      </c>
      <c r="R27" s="162">
        <f t="shared" si="0"/>
        <v>0</v>
      </c>
      <c r="S27" s="208">
        <v>5.83</v>
      </c>
      <c r="T27" s="209">
        <f t="shared" si="1"/>
        <v>0.75</v>
      </c>
      <c r="U27" s="203">
        <v>41134</v>
      </c>
      <c r="V27" s="204">
        <v>8849305</v>
      </c>
      <c r="W27" s="210">
        <f t="shared" si="2"/>
        <v>1.8720000000000001</v>
      </c>
      <c r="X27" s="205">
        <v>103197</v>
      </c>
      <c r="Y27" s="205">
        <v>31</v>
      </c>
      <c r="Z27" s="211">
        <f t="shared" si="3"/>
        <v>213748</v>
      </c>
      <c r="AA27" s="212">
        <f t="shared" si="4"/>
        <v>0.46</v>
      </c>
      <c r="AB27" s="213">
        <f t="shared" si="5"/>
        <v>2.4752080265349363E-2</v>
      </c>
      <c r="AC27" s="212">
        <f t="shared" si="6"/>
        <v>0.11</v>
      </c>
      <c r="AD27" s="214">
        <f t="shared" si="7"/>
        <v>3.1920000000000002</v>
      </c>
      <c r="AE27" s="207" t="s">
        <v>1176</v>
      </c>
      <c r="AF27" s="178" t="s">
        <v>1176</v>
      </c>
      <c r="AG27" s="178" t="s">
        <v>1176</v>
      </c>
      <c r="AH27" s="178" t="s">
        <v>1174</v>
      </c>
      <c r="AI27" s="178" t="s">
        <v>1176</v>
      </c>
      <c r="AJ27" s="206">
        <v>0.2</v>
      </c>
      <c r="AK27" s="178" t="s">
        <v>1174</v>
      </c>
      <c r="AL27" s="207" t="s">
        <v>1455</v>
      </c>
      <c r="AM27" s="206">
        <v>0.25</v>
      </c>
      <c r="AN27" s="215">
        <v>0.25</v>
      </c>
      <c r="AO27" s="207" t="s">
        <v>1538</v>
      </c>
      <c r="AP27" s="216">
        <v>0.12</v>
      </c>
      <c r="AQ27" s="216">
        <v>0</v>
      </c>
      <c r="AR27" s="216">
        <v>0.01</v>
      </c>
      <c r="AS27" s="213">
        <v>4.0000000000000002E-4</v>
      </c>
      <c r="AT27" s="214">
        <f t="shared" si="8"/>
        <v>0.19339999999999999</v>
      </c>
      <c r="AU27" s="214">
        <f t="shared" si="9"/>
        <v>0.89339999999999997</v>
      </c>
      <c r="AV27" s="217">
        <f t="shared" si="10"/>
        <v>4.0853999999999999</v>
      </c>
    </row>
    <row r="28" spans="1:48" ht="182" hidden="1">
      <c r="A28" s="201">
        <v>27</v>
      </c>
      <c r="B28" s="202" t="s">
        <v>143</v>
      </c>
      <c r="C28" s="178" t="s">
        <v>1174</v>
      </c>
      <c r="D28" s="178" t="s">
        <v>1451</v>
      </c>
      <c r="E28" s="178" t="s">
        <v>1452</v>
      </c>
      <c r="F28" s="178" t="s">
        <v>1176</v>
      </c>
      <c r="G28" s="178" t="s">
        <v>413</v>
      </c>
      <c r="H28" s="178" t="s">
        <v>143</v>
      </c>
      <c r="I28" s="178" t="s">
        <v>1539</v>
      </c>
      <c r="J28" s="203">
        <v>41103</v>
      </c>
      <c r="K28" s="204">
        <v>642458</v>
      </c>
      <c r="L28" s="205">
        <v>7403</v>
      </c>
      <c r="M28" s="178" t="s">
        <v>1176</v>
      </c>
      <c r="N28" s="206">
        <v>0</v>
      </c>
      <c r="O28" s="178" t="s">
        <v>1176</v>
      </c>
      <c r="P28" s="206">
        <v>0</v>
      </c>
      <c r="Q28" s="207" t="s">
        <v>1540</v>
      </c>
      <c r="R28" s="162">
        <f t="shared" si="0"/>
        <v>0</v>
      </c>
      <c r="S28" s="208">
        <v>0.69</v>
      </c>
      <c r="T28" s="209">
        <f t="shared" si="1"/>
        <v>0.25</v>
      </c>
      <c r="U28" s="203">
        <v>41134</v>
      </c>
      <c r="V28" s="204">
        <v>695850</v>
      </c>
      <c r="W28" s="210">
        <f t="shared" si="2"/>
        <v>1.268</v>
      </c>
      <c r="X28" s="205">
        <v>8791</v>
      </c>
      <c r="Y28" s="205">
        <v>31</v>
      </c>
      <c r="Z28" s="211">
        <f t="shared" si="3"/>
        <v>53392</v>
      </c>
      <c r="AA28" s="212">
        <f t="shared" si="4"/>
        <v>0.3805</v>
      </c>
      <c r="AB28" s="213">
        <f t="shared" si="5"/>
        <v>8.3105821703519878E-2</v>
      </c>
      <c r="AC28" s="212">
        <f t="shared" si="6"/>
        <v>0.41</v>
      </c>
      <c r="AD28" s="214">
        <f t="shared" si="7"/>
        <v>2.3085</v>
      </c>
      <c r="AE28" s="207" t="s">
        <v>1176</v>
      </c>
      <c r="AF28" s="178" t="s">
        <v>1176</v>
      </c>
      <c r="AG28" s="178" t="s">
        <v>1176</v>
      </c>
      <c r="AH28" s="178" t="s">
        <v>1176</v>
      </c>
      <c r="AI28" s="178" t="s">
        <v>1176</v>
      </c>
      <c r="AJ28" s="206">
        <v>0</v>
      </c>
      <c r="AK28" s="178" t="s">
        <v>1174</v>
      </c>
      <c r="AL28" s="207" t="s">
        <v>1455</v>
      </c>
      <c r="AM28" s="206">
        <v>0.25</v>
      </c>
      <c r="AN28" s="215">
        <v>0.25</v>
      </c>
      <c r="AO28" s="207" t="s">
        <v>1541</v>
      </c>
      <c r="AP28" s="216">
        <v>0.12</v>
      </c>
      <c r="AQ28" s="216">
        <v>0</v>
      </c>
      <c r="AR28" s="216">
        <v>0.02</v>
      </c>
      <c r="AS28" s="213">
        <v>5.0000000000000001E-4</v>
      </c>
      <c r="AT28" s="214">
        <f t="shared" si="8"/>
        <v>0.3548</v>
      </c>
      <c r="AU28" s="214">
        <f t="shared" si="9"/>
        <v>0.8548</v>
      </c>
      <c r="AV28" s="217">
        <f t="shared" si="10"/>
        <v>3.1633</v>
      </c>
    </row>
    <row r="29" spans="1:48" ht="196" hidden="1">
      <c r="A29" s="201">
        <v>28</v>
      </c>
      <c r="B29" s="202" t="s">
        <v>145</v>
      </c>
      <c r="C29" s="178" t="s">
        <v>1174</v>
      </c>
      <c r="D29" s="178" t="s">
        <v>1451</v>
      </c>
      <c r="E29" s="178" t="s">
        <v>1452</v>
      </c>
      <c r="F29" s="178" t="s">
        <v>1174</v>
      </c>
      <c r="G29" s="178" t="s">
        <v>413</v>
      </c>
      <c r="H29" s="178" t="s">
        <v>1542</v>
      </c>
      <c r="I29" s="178" t="s">
        <v>1543</v>
      </c>
      <c r="J29" s="203">
        <v>41103</v>
      </c>
      <c r="K29" s="204">
        <v>2545278</v>
      </c>
      <c r="L29" s="205">
        <v>88791</v>
      </c>
      <c r="M29" s="178" t="s">
        <v>1176</v>
      </c>
      <c r="N29" s="206">
        <v>0</v>
      </c>
      <c r="O29" s="178" t="s">
        <v>1176</v>
      </c>
      <c r="P29" s="206">
        <v>0</v>
      </c>
      <c r="Q29" s="207" t="s">
        <v>1544</v>
      </c>
      <c r="R29" s="162">
        <f t="shared" si="0"/>
        <v>0</v>
      </c>
      <c r="S29" s="208">
        <v>5.38</v>
      </c>
      <c r="T29" s="209">
        <f t="shared" si="1"/>
        <v>0.75</v>
      </c>
      <c r="U29" s="203">
        <v>41134</v>
      </c>
      <c r="V29" s="204">
        <v>2951148</v>
      </c>
      <c r="W29" s="210">
        <f t="shared" si="2"/>
        <v>1.6180000000000001</v>
      </c>
      <c r="X29" s="205">
        <v>149991</v>
      </c>
      <c r="Y29" s="205">
        <v>31</v>
      </c>
      <c r="Z29" s="211">
        <f t="shared" si="3"/>
        <v>405870</v>
      </c>
      <c r="AA29" s="212">
        <f t="shared" si="4"/>
        <v>0.47599999999999998</v>
      </c>
      <c r="AB29" s="213">
        <f t="shared" si="5"/>
        <v>0.15945998826061447</v>
      </c>
      <c r="AC29" s="212">
        <f t="shared" si="6"/>
        <v>0.47499999999999998</v>
      </c>
      <c r="AD29" s="214">
        <f t="shared" si="7"/>
        <v>3.319</v>
      </c>
      <c r="AE29" s="207" t="s">
        <v>1176</v>
      </c>
      <c r="AF29" s="178" t="s">
        <v>1174</v>
      </c>
      <c r="AG29" s="178" t="s">
        <v>1174</v>
      </c>
      <c r="AH29" s="178" t="s">
        <v>1176</v>
      </c>
      <c r="AI29" s="178" t="s">
        <v>1176</v>
      </c>
      <c r="AJ29" s="206">
        <v>0.4</v>
      </c>
      <c r="AK29" s="178" t="s">
        <v>1174</v>
      </c>
      <c r="AL29" s="207" t="s">
        <v>1455</v>
      </c>
      <c r="AM29" s="206">
        <v>0.25</v>
      </c>
      <c r="AN29" s="215">
        <v>0.5</v>
      </c>
      <c r="AO29" s="207" t="s">
        <v>1545</v>
      </c>
      <c r="AP29" s="216">
        <v>0.16</v>
      </c>
      <c r="AQ29" s="216">
        <v>0</v>
      </c>
      <c r="AR29" s="216">
        <v>0.01</v>
      </c>
      <c r="AS29" s="213">
        <v>5.9999999999999995E-4</v>
      </c>
      <c r="AT29" s="214">
        <f t="shared" si="8"/>
        <v>0.48380000000000001</v>
      </c>
      <c r="AU29" s="214">
        <f t="shared" si="9"/>
        <v>1.6337999999999999</v>
      </c>
      <c r="AV29" s="217">
        <f t="shared" si="10"/>
        <v>4.9527999999999999</v>
      </c>
    </row>
    <row r="30" spans="1:48" ht="210" hidden="1">
      <c r="A30" s="201">
        <v>29</v>
      </c>
      <c r="B30" s="202" t="s">
        <v>148</v>
      </c>
      <c r="C30" s="178" t="s">
        <v>1174</v>
      </c>
      <c r="D30" s="178" t="s">
        <v>1451</v>
      </c>
      <c r="E30" s="178" t="s">
        <v>1452</v>
      </c>
      <c r="F30" s="178" t="s">
        <v>1174</v>
      </c>
      <c r="G30" s="178" t="s">
        <v>413</v>
      </c>
      <c r="H30" s="178" t="s">
        <v>1546</v>
      </c>
      <c r="I30" s="178" t="s">
        <v>1547</v>
      </c>
      <c r="J30" s="203">
        <v>41103</v>
      </c>
      <c r="K30" s="204">
        <v>1146146</v>
      </c>
      <c r="L30" s="205">
        <v>18532</v>
      </c>
      <c r="M30" s="178" t="s">
        <v>1174</v>
      </c>
      <c r="N30" s="206">
        <v>0.5</v>
      </c>
      <c r="O30" s="178" t="s">
        <v>1176</v>
      </c>
      <c r="P30" s="206">
        <v>0</v>
      </c>
      <c r="Q30" s="207" t="s">
        <v>1548</v>
      </c>
      <c r="R30" s="162">
        <f t="shared" si="0"/>
        <v>0.5</v>
      </c>
      <c r="S30" s="208">
        <v>6.36</v>
      </c>
      <c r="T30" s="209">
        <f t="shared" si="1"/>
        <v>1</v>
      </c>
      <c r="U30" s="203">
        <v>41134</v>
      </c>
      <c r="V30" s="204">
        <v>1167441</v>
      </c>
      <c r="W30" s="210">
        <f t="shared" si="2"/>
        <v>1.492</v>
      </c>
      <c r="X30" s="205">
        <v>23764</v>
      </c>
      <c r="Y30" s="205">
        <v>31</v>
      </c>
      <c r="Z30" s="211">
        <f t="shared" si="3"/>
        <v>21295</v>
      </c>
      <c r="AA30" s="212">
        <f t="shared" si="4"/>
        <v>0.28549999999999998</v>
      </c>
      <c r="AB30" s="213">
        <f t="shared" si="5"/>
        <v>1.8579657390943138E-2</v>
      </c>
      <c r="AC30" s="212">
        <f t="shared" si="6"/>
        <v>5.5E-2</v>
      </c>
      <c r="AD30" s="214">
        <f t="shared" si="7"/>
        <v>3.3325</v>
      </c>
      <c r="AE30" s="207" t="s">
        <v>1176</v>
      </c>
      <c r="AF30" s="178" t="s">
        <v>1176</v>
      </c>
      <c r="AG30" s="178" t="s">
        <v>1174</v>
      </c>
      <c r="AH30" s="178" t="s">
        <v>1174</v>
      </c>
      <c r="AI30" s="178" t="s">
        <v>1176</v>
      </c>
      <c r="AJ30" s="206">
        <v>0.4</v>
      </c>
      <c r="AK30" s="178" t="s">
        <v>1174</v>
      </c>
      <c r="AL30" s="207" t="s">
        <v>1459</v>
      </c>
      <c r="AM30" s="206">
        <v>0.5</v>
      </c>
      <c r="AN30" s="215">
        <v>0.25</v>
      </c>
      <c r="AO30" s="207" t="s">
        <v>1549</v>
      </c>
      <c r="AP30" s="216">
        <v>0.28000000000000003</v>
      </c>
      <c r="AQ30" s="216">
        <v>0</v>
      </c>
      <c r="AR30" s="216">
        <v>0.01</v>
      </c>
      <c r="AS30" s="213">
        <v>1E-3</v>
      </c>
      <c r="AT30" s="214">
        <f t="shared" si="8"/>
        <v>0.83860000000000001</v>
      </c>
      <c r="AU30" s="214">
        <f t="shared" si="9"/>
        <v>1.9885999999999999</v>
      </c>
      <c r="AV30" s="217">
        <f t="shared" si="10"/>
        <v>5.3210999999999995</v>
      </c>
    </row>
    <row r="31" spans="1:48" ht="126" hidden="1">
      <c r="A31" s="201">
        <v>30</v>
      </c>
      <c r="B31" s="202" t="s">
        <v>150</v>
      </c>
      <c r="C31" s="178" t="s">
        <v>1174</v>
      </c>
      <c r="D31" s="178" t="s">
        <v>1451</v>
      </c>
      <c r="E31" s="178" t="s">
        <v>1452</v>
      </c>
      <c r="F31" s="178" t="s">
        <v>1176</v>
      </c>
      <c r="G31" s="178" t="s">
        <v>413</v>
      </c>
      <c r="H31" s="178" t="s">
        <v>150</v>
      </c>
      <c r="I31" s="178" t="s">
        <v>1550</v>
      </c>
      <c r="J31" s="203">
        <v>41103</v>
      </c>
      <c r="K31" s="204">
        <v>222995</v>
      </c>
      <c r="L31" s="205">
        <v>2096</v>
      </c>
      <c r="M31" s="178" t="s">
        <v>1174</v>
      </c>
      <c r="N31" s="206">
        <v>0.5</v>
      </c>
      <c r="O31" s="178" t="s">
        <v>1176</v>
      </c>
      <c r="P31" s="206">
        <v>0</v>
      </c>
      <c r="Q31" s="207" t="s">
        <v>1551</v>
      </c>
      <c r="R31" s="162">
        <f t="shared" si="0"/>
        <v>0.5</v>
      </c>
      <c r="S31" s="208">
        <v>3.18</v>
      </c>
      <c r="T31" s="209">
        <f t="shared" si="1"/>
        <v>0.5</v>
      </c>
      <c r="U31" s="203">
        <v>41134</v>
      </c>
      <c r="V31" s="204">
        <v>238955</v>
      </c>
      <c r="W31" s="210">
        <f t="shared" si="2"/>
        <v>0.82399999999999995</v>
      </c>
      <c r="X31" s="205">
        <v>6603</v>
      </c>
      <c r="Y31" s="205">
        <v>31</v>
      </c>
      <c r="Z31" s="211">
        <f t="shared" si="3"/>
        <v>15960</v>
      </c>
      <c r="AA31" s="212">
        <f t="shared" si="4"/>
        <v>0.246</v>
      </c>
      <c r="AB31" s="213">
        <f t="shared" si="5"/>
        <v>7.1571111459898251E-2</v>
      </c>
      <c r="AC31" s="212">
        <f t="shared" si="6"/>
        <v>0.38500000000000001</v>
      </c>
      <c r="AD31" s="214">
        <f t="shared" si="7"/>
        <v>2.4550000000000001</v>
      </c>
      <c r="AE31" s="207" t="s">
        <v>1176</v>
      </c>
      <c r="AF31" s="178" t="s">
        <v>1174</v>
      </c>
      <c r="AG31" s="178" t="s">
        <v>1176</v>
      </c>
      <c r="AH31" s="178" t="s">
        <v>1174</v>
      </c>
      <c r="AI31" s="178" t="s">
        <v>1176</v>
      </c>
      <c r="AJ31" s="206">
        <v>0.4</v>
      </c>
      <c r="AK31" s="178" t="s">
        <v>1174</v>
      </c>
      <c r="AL31" s="207" t="s">
        <v>1455</v>
      </c>
      <c r="AM31" s="206">
        <v>0.25</v>
      </c>
      <c r="AN31" s="215">
        <v>0.5</v>
      </c>
      <c r="AO31" s="207" t="s">
        <v>1552</v>
      </c>
      <c r="AP31" s="216">
        <v>0.3</v>
      </c>
      <c r="AQ31" s="216">
        <v>0.01</v>
      </c>
      <c r="AR31" s="216">
        <v>0.03</v>
      </c>
      <c r="AS31" s="213">
        <v>1.1000000000000001E-3</v>
      </c>
      <c r="AT31" s="214">
        <f t="shared" si="8"/>
        <v>0.96760000000000002</v>
      </c>
      <c r="AU31" s="214">
        <f t="shared" si="9"/>
        <v>2.1175999999999999</v>
      </c>
      <c r="AV31" s="217">
        <f t="shared" si="10"/>
        <v>4.5725999999999996</v>
      </c>
    </row>
    <row r="32" spans="1:48" ht="280" hidden="1">
      <c r="A32" s="201">
        <v>31</v>
      </c>
      <c r="B32" s="202" t="s">
        <v>153</v>
      </c>
      <c r="C32" s="178" t="s">
        <v>1174</v>
      </c>
      <c r="D32" s="178" t="s">
        <v>1451</v>
      </c>
      <c r="E32" s="178" t="s">
        <v>1452</v>
      </c>
      <c r="F32" s="178" t="s">
        <v>1174</v>
      </c>
      <c r="G32" s="178" t="s">
        <v>413</v>
      </c>
      <c r="H32" s="178" t="s">
        <v>1553</v>
      </c>
      <c r="I32" s="178" t="s">
        <v>1554</v>
      </c>
      <c r="J32" s="203">
        <v>41103</v>
      </c>
      <c r="K32" s="204">
        <v>564010</v>
      </c>
      <c r="L32" s="205">
        <v>4459</v>
      </c>
      <c r="M32" s="178" t="s">
        <v>1176</v>
      </c>
      <c r="N32" s="206">
        <v>0</v>
      </c>
      <c r="O32" s="178" t="s">
        <v>1174</v>
      </c>
      <c r="P32" s="206">
        <v>0.5</v>
      </c>
      <c r="Q32" s="207" t="s">
        <v>1555</v>
      </c>
      <c r="R32" s="162">
        <f t="shared" si="0"/>
        <v>0.5</v>
      </c>
      <c r="S32" s="208">
        <v>7.78</v>
      </c>
      <c r="T32" s="209">
        <f t="shared" si="1"/>
        <v>0.75</v>
      </c>
      <c r="U32" s="203">
        <v>41134</v>
      </c>
      <c r="V32" s="204">
        <v>572025</v>
      </c>
      <c r="W32" s="210">
        <f t="shared" si="2"/>
        <v>1.1739999999999999</v>
      </c>
      <c r="X32" s="205">
        <v>8572</v>
      </c>
      <c r="Y32" s="205">
        <v>31</v>
      </c>
      <c r="Z32" s="211">
        <f t="shared" si="3"/>
        <v>8015</v>
      </c>
      <c r="AA32" s="212">
        <f t="shared" si="4"/>
        <v>0.1585</v>
      </c>
      <c r="AB32" s="213">
        <f t="shared" si="5"/>
        <v>1.4210740944309519E-2</v>
      </c>
      <c r="AC32" s="212">
        <f t="shared" si="6"/>
        <v>0.02</v>
      </c>
      <c r="AD32" s="214">
        <f t="shared" si="7"/>
        <v>2.6025</v>
      </c>
      <c r="AE32" s="207" t="s">
        <v>1176</v>
      </c>
      <c r="AF32" s="178" t="s">
        <v>1176</v>
      </c>
      <c r="AG32" s="178" t="s">
        <v>1176</v>
      </c>
      <c r="AH32" s="178" t="s">
        <v>1174</v>
      </c>
      <c r="AI32" s="178" t="s">
        <v>1174</v>
      </c>
      <c r="AJ32" s="206">
        <v>0.4</v>
      </c>
      <c r="AK32" s="178" t="s">
        <v>1174</v>
      </c>
      <c r="AL32" s="207" t="s">
        <v>1459</v>
      </c>
      <c r="AM32" s="206">
        <v>0.5</v>
      </c>
      <c r="AN32" s="215">
        <v>0.75</v>
      </c>
      <c r="AO32" s="207" t="s">
        <v>1556</v>
      </c>
      <c r="AP32" s="216">
        <v>0.11</v>
      </c>
      <c r="AQ32" s="216">
        <v>0</v>
      </c>
      <c r="AR32" s="216">
        <v>0.02</v>
      </c>
      <c r="AS32" s="213">
        <v>4.0000000000000002E-4</v>
      </c>
      <c r="AT32" s="214">
        <f t="shared" si="8"/>
        <v>0.19339999999999999</v>
      </c>
      <c r="AU32" s="214">
        <f t="shared" si="9"/>
        <v>1.8433999999999999</v>
      </c>
      <c r="AV32" s="217">
        <f t="shared" si="10"/>
        <v>4.4459</v>
      </c>
    </row>
    <row r="33" spans="1:48" ht="98" hidden="1">
      <c r="A33" s="201">
        <v>32</v>
      </c>
      <c r="B33" s="202" t="s">
        <v>156</v>
      </c>
      <c r="C33" s="178" t="s">
        <v>1174</v>
      </c>
      <c r="D33" s="178" t="s">
        <v>1451</v>
      </c>
      <c r="E33" s="178" t="s">
        <v>1452</v>
      </c>
      <c r="F33" s="178" t="s">
        <v>1174</v>
      </c>
      <c r="G33" s="178" t="s">
        <v>413</v>
      </c>
      <c r="H33" s="178" t="s">
        <v>156</v>
      </c>
      <c r="I33" s="178" t="s">
        <v>1557</v>
      </c>
      <c r="J33" s="203">
        <v>41103</v>
      </c>
      <c r="K33" s="204">
        <v>9979377</v>
      </c>
      <c r="L33" s="205">
        <v>63668</v>
      </c>
      <c r="M33" s="178" t="s">
        <v>1176</v>
      </c>
      <c r="N33" s="206">
        <v>0</v>
      </c>
      <c r="O33" s="178" t="s">
        <v>1176</v>
      </c>
      <c r="P33" s="206">
        <v>0</v>
      </c>
      <c r="Q33" s="207" t="s">
        <v>1558</v>
      </c>
      <c r="R33" s="162">
        <f t="shared" si="0"/>
        <v>0</v>
      </c>
      <c r="S33" s="208">
        <v>4.12</v>
      </c>
      <c r="T33" s="209">
        <f t="shared" si="1"/>
        <v>0.5</v>
      </c>
      <c r="U33" s="203">
        <v>41134</v>
      </c>
      <c r="V33" s="204">
        <v>10115870</v>
      </c>
      <c r="W33" s="210">
        <f t="shared" si="2"/>
        <v>1.968</v>
      </c>
      <c r="X33" s="205">
        <v>73382</v>
      </c>
      <c r="Y33" s="205">
        <v>31</v>
      </c>
      <c r="Z33" s="211">
        <f t="shared" si="3"/>
        <v>136493</v>
      </c>
      <c r="AA33" s="212">
        <f t="shared" si="4"/>
        <v>0.45200000000000001</v>
      </c>
      <c r="AB33" s="213">
        <f t="shared" si="5"/>
        <v>1.3677507122939581E-2</v>
      </c>
      <c r="AC33" s="212">
        <f t="shared" si="6"/>
        <v>1.4999999999999999E-2</v>
      </c>
      <c r="AD33" s="214">
        <f t="shared" si="7"/>
        <v>2.9350000000000001</v>
      </c>
      <c r="AE33" s="207" t="s">
        <v>1176</v>
      </c>
      <c r="AF33" s="178" t="s">
        <v>1176</v>
      </c>
      <c r="AG33" s="178" t="s">
        <v>1176</v>
      </c>
      <c r="AH33" s="178" t="s">
        <v>1174</v>
      </c>
      <c r="AI33" s="178" t="s">
        <v>1176</v>
      </c>
      <c r="AJ33" s="206">
        <v>0.2</v>
      </c>
      <c r="AK33" s="178" t="s">
        <v>1174</v>
      </c>
      <c r="AL33" s="207" t="s">
        <v>1455</v>
      </c>
      <c r="AM33" s="206">
        <v>0.25</v>
      </c>
      <c r="AN33" s="215">
        <v>0.5</v>
      </c>
      <c r="AO33" s="207" t="s">
        <v>1559</v>
      </c>
      <c r="AP33" s="216">
        <v>0.03</v>
      </c>
      <c r="AQ33" s="216">
        <v>0</v>
      </c>
      <c r="AR33" s="216">
        <v>0</v>
      </c>
      <c r="AS33" s="213">
        <v>1E-4</v>
      </c>
      <c r="AT33" s="214">
        <f t="shared" si="8"/>
        <v>3.2199999999999999E-2</v>
      </c>
      <c r="AU33" s="214">
        <f t="shared" si="9"/>
        <v>0.98219999999999996</v>
      </c>
      <c r="AV33" s="217">
        <f t="shared" si="10"/>
        <v>3.9172000000000002</v>
      </c>
    </row>
    <row r="34" spans="1:48" ht="84" hidden="1">
      <c r="A34" s="201">
        <v>33</v>
      </c>
      <c r="B34" s="202" t="s">
        <v>158</v>
      </c>
      <c r="C34" s="178" t="s">
        <v>1174</v>
      </c>
      <c r="D34" s="178" t="s">
        <v>1451</v>
      </c>
      <c r="E34" s="178" t="s">
        <v>1452</v>
      </c>
      <c r="F34" s="178" t="s">
        <v>1176</v>
      </c>
      <c r="G34" s="178" t="s">
        <v>413</v>
      </c>
      <c r="H34" s="178" t="s">
        <v>158</v>
      </c>
      <c r="I34" s="178" t="s">
        <v>1560</v>
      </c>
      <c r="J34" s="203">
        <v>41103</v>
      </c>
      <c r="K34" s="204">
        <v>86611</v>
      </c>
      <c r="L34" s="205">
        <v>2414</v>
      </c>
      <c r="M34" s="178" t="s">
        <v>1176</v>
      </c>
      <c r="N34" s="206">
        <v>0</v>
      </c>
      <c r="O34" s="178" t="s">
        <v>1176</v>
      </c>
      <c r="P34" s="206">
        <v>0</v>
      </c>
      <c r="Q34" s="207" t="s">
        <v>1561</v>
      </c>
      <c r="R34" s="162">
        <f t="shared" si="0"/>
        <v>0</v>
      </c>
      <c r="S34" s="208">
        <v>1.37</v>
      </c>
      <c r="T34" s="209">
        <f t="shared" si="1"/>
        <v>0.25</v>
      </c>
      <c r="U34" s="203">
        <v>41134</v>
      </c>
      <c r="V34" s="204">
        <v>88229</v>
      </c>
      <c r="W34" s="210">
        <f t="shared" si="2"/>
        <v>0.44400000000000001</v>
      </c>
      <c r="X34" s="205">
        <v>2417</v>
      </c>
      <c r="Y34" s="205">
        <v>31</v>
      </c>
      <c r="Z34" s="211">
        <f t="shared" si="3"/>
        <v>1618</v>
      </c>
      <c r="AA34" s="212">
        <f t="shared" si="4"/>
        <v>5.5500000000000001E-2</v>
      </c>
      <c r="AB34" s="213">
        <f t="shared" si="5"/>
        <v>1.8681229866875926E-2</v>
      </c>
      <c r="AC34" s="212">
        <f t="shared" si="6"/>
        <v>0.06</v>
      </c>
      <c r="AD34" s="214">
        <f t="shared" si="7"/>
        <v>0.8095</v>
      </c>
      <c r="AE34" s="207" t="s">
        <v>1176</v>
      </c>
      <c r="AF34" s="178" t="s">
        <v>1176</v>
      </c>
      <c r="AG34" s="178" t="s">
        <v>1176</v>
      </c>
      <c r="AH34" s="178" t="s">
        <v>1176</v>
      </c>
      <c r="AI34" s="178" t="s">
        <v>1176</v>
      </c>
      <c r="AJ34" s="206">
        <v>0</v>
      </c>
      <c r="AK34" s="178" t="s">
        <v>1176</v>
      </c>
      <c r="AL34" s="207" t="s">
        <v>579</v>
      </c>
      <c r="AM34" s="206">
        <v>0</v>
      </c>
      <c r="AN34" s="215">
        <v>0.25</v>
      </c>
      <c r="AO34" s="207" t="s">
        <v>1562</v>
      </c>
      <c r="AP34" s="216">
        <v>0.81</v>
      </c>
      <c r="AQ34" s="216">
        <v>0.04</v>
      </c>
      <c r="AR34" s="216">
        <v>7.0000000000000007E-2</v>
      </c>
      <c r="AS34" s="213">
        <v>3.0999999999999999E-3</v>
      </c>
      <c r="AT34" s="214">
        <f t="shared" si="8"/>
        <v>1.8386</v>
      </c>
      <c r="AU34" s="214">
        <f t="shared" si="9"/>
        <v>2.0886</v>
      </c>
      <c r="AV34" s="217">
        <f t="shared" si="10"/>
        <v>2.8980999999999999</v>
      </c>
    </row>
    <row r="35" spans="1:48" ht="168" hidden="1">
      <c r="A35" s="201">
        <v>34</v>
      </c>
      <c r="B35" s="202" t="s">
        <v>161</v>
      </c>
      <c r="C35" s="178" t="s">
        <v>1174</v>
      </c>
      <c r="D35" s="178" t="s">
        <v>1451</v>
      </c>
      <c r="E35" s="178" t="s">
        <v>1452</v>
      </c>
      <c r="F35" s="178" t="s">
        <v>1176</v>
      </c>
      <c r="G35" s="178" t="s">
        <v>413</v>
      </c>
      <c r="H35" s="178" t="s">
        <v>1563</v>
      </c>
      <c r="I35" s="178" t="s">
        <v>1564</v>
      </c>
      <c r="J35" s="203">
        <v>41103</v>
      </c>
      <c r="K35" s="204">
        <v>237665</v>
      </c>
      <c r="L35" s="205">
        <v>3369</v>
      </c>
      <c r="N35" s="177"/>
      <c r="P35" s="177"/>
      <c r="Q35" s="207" t="s">
        <v>1565</v>
      </c>
      <c r="R35" s="162">
        <f>SUM(P35,N35)</f>
        <v>0</v>
      </c>
      <c r="S35" s="208">
        <v>1.56</v>
      </c>
      <c r="T35" s="209">
        <f t="shared" si="1"/>
        <v>0.25</v>
      </c>
      <c r="U35" s="203">
        <v>41134</v>
      </c>
      <c r="V35" s="204">
        <v>244372</v>
      </c>
      <c r="W35" s="210">
        <f t="shared" si="2"/>
        <v>0.85599999999999998</v>
      </c>
      <c r="X35" s="205">
        <v>2968</v>
      </c>
      <c r="Y35" s="205">
        <v>31</v>
      </c>
      <c r="Z35" s="211">
        <f t="shared" si="3"/>
        <v>6707</v>
      </c>
      <c r="AA35" s="212">
        <f t="shared" si="4"/>
        <v>0.14249999999999999</v>
      </c>
      <c r="AB35" s="213">
        <f t="shared" si="5"/>
        <v>2.8220394252414183E-2</v>
      </c>
      <c r="AC35" s="212">
        <f t="shared" si="6"/>
        <v>0.16500000000000001</v>
      </c>
      <c r="AD35" s="214">
        <f t="shared" si="7"/>
        <v>1.4135</v>
      </c>
      <c r="AE35" s="207" t="s">
        <v>1176</v>
      </c>
      <c r="AF35" s="178" t="s">
        <v>1176</v>
      </c>
      <c r="AG35" s="178" t="s">
        <v>1176</v>
      </c>
      <c r="AH35" s="178" t="s">
        <v>1176</v>
      </c>
      <c r="AI35" s="178" t="s">
        <v>1176</v>
      </c>
      <c r="AJ35" s="206">
        <v>0</v>
      </c>
      <c r="AK35" s="178" t="s">
        <v>1174</v>
      </c>
      <c r="AL35" s="207" t="s">
        <v>1455</v>
      </c>
      <c r="AM35" s="206">
        <v>0.25</v>
      </c>
      <c r="AN35" s="215">
        <v>0.25</v>
      </c>
      <c r="AO35" s="207" t="s">
        <v>1566</v>
      </c>
      <c r="AP35" s="216">
        <v>0.74</v>
      </c>
      <c r="AQ35" s="216">
        <v>0.02</v>
      </c>
      <c r="AR35" s="216">
        <v>0.11</v>
      </c>
      <c r="AS35" s="213">
        <v>2.8999999999999998E-3</v>
      </c>
      <c r="AT35" s="214">
        <f t="shared" si="8"/>
        <v>1.774</v>
      </c>
      <c r="AU35" s="214">
        <f t="shared" si="9"/>
        <v>2.274</v>
      </c>
      <c r="AV35" s="217">
        <f t="shared" si="10"/>
        <v>3.6875</v>
      </c>
    </row>
    <row r="36" spans="1:48" ht="210" hidden="1">
      <c r="A36" s="201">
        <v>35</v>
      </c>
      <c r="B36" s="202" t="s">
        <v>163</v>
      </c>
      <c r="C36" s="178" t="s">
        <v>1174</v>
      </c>
      <c r="D36" s="178" t="s">
        <v>1451</v>
      </c>
      <c r="E36" s="178" t="s">
        <v>1452</v>
      </c>
      <c r="F36" s="178" t="s">
        <v>1174</v>
      </c>
      <c r="G36" s="178" t="s">
        <v>413</v>
      </c>
      <c r="H36" s="178" t="s">
        <v>163</v>
      </c>
      <c r="I36" s="178" t="s">
        <v>1567</v>
      </c>
      <c r="J36" s="203">
        <v>41103</v>
      </c>
      <c r="K36" s="204">
        <v>603006</v>
      </c>
      <c r="L36" s="205">
        <v>14251</v>
      </c>
      <c r="M36" s="178" t="s">
        <v>1176</v>
      </c>
      <c r="N36" s="206">
        <v>0</v>
      </c>
      <c r="O36" s="178" t="s">
        <v>1176</v>
      </c>
      <c r="P36" s="206">
        <v>0</v>
      </c>
      <c r="Q36" s="207" t="s">
        <v>1568</v>
      </c>
      <c r="R36" s="162">
        <f t="shared" si="0"/>
        <v>0</v>
      </c>
      <c r="S36" s="208">
        <v>2.41</v>
      </c>
      <c r="T36" s="209">
        <f t="shared" si="1"/>
        <v>0.25</v>
      </c>
      <c r="U36" s="203">
        <v>41134</v>
      </c>
      <c r="V36" s="204">
        <v>632473</v>
      </c>
      <c r="W36" s="210">
        <f t="shared" si="2"/>
        <v>1.206</v>
      </c>
      <c r="X36" s="205">
        <v>11238</v>
      </c>
      <c r="Y36" s="205">
        <v>31</v>
      </c>
      <c r="Z36" s="211">
        <f t="shared" si="3"/>
        <v>29467</v>
      </c>
      <c r="AA36" s="212">
        <f t="shared" si="4"/>
        <v>0.317</v>
      </c>
      <c r="AB36" s="213">
        <f t="shared" si="5"/>
        <v>4.8866843779332259E-2</v>
      </c>
      <c r="AC36" s="212">
        <f t="shared" si="6"/>
        <v>0.34</v>
      </c>
      <c r="AD36" s="214">
        <f t="shared" si="7"/>
        <v>2.113</v>
      </c>
      <c r="AE36" s="207" t="s">
        <v>1176</v>
      </c>
      <c r="AF36" s="178" t="s">
        <v>1176</v>
      </c>
      <c r="AG36" s="178" t="s">
        <v>1176</v>
      </c>
      <c r="AH36" s="178" t="s">
        <v>1176</v>
      </c>
      <c r="AI36" s="178" t="s">
        <v>1176</v>
      </c>
      <c r="AJ36" s="206">
        <v>0</v>
      </c>
      <c r="AK36" s="178" t="s">
        <v>1176</v>
      </c>
      <c r="AL36" s="207" t="s">
        <v>579</v>
      </c>
      <c r="AM36" s="206">
        <v>0</v>
      </c>
      <c r="AN36" s="215">
        <v>0.25</v>
      </c>
      <c r="AO36" s="207" t="s">
        <v>1569</v>
      </c>
      <c r="AP36" s="216">
        <v>0.14000000000000001</v>
      </c>
      <c r="AQ36" s="216">
        <v>0</v>
      </c>
      <c r="AR36" s="216">
        <v>0.01</v>
      </c>
      <c r="AS36" s="213">
        <v>5.0000000000000001E-4</v>
      </c>
      <c r="AT36" s="214">
        <f t="shared" si="8"/>
        <v>0.3548</v>
      </c>
      <c r="AU36" s="214">
        <f t="shared" si="9"/>
        <v>0.6048</v>
      </c>
      <c r="AV36" s="217">
        <f t="shared" si="10"/>
        <v>2.7178</v>
      </c>
    </row>
    <row r="37" spans="1:48" ht="280" hidden="1">
      <c r="A37" s="201">
        <v>36</v>
      </c>
      <c r="B37" s="202" t="s">
        <v>165</v>
      </c>
      <c r="C37" s="178" t="s">
        <v>1174</v>
      </c>
      <c r="D37" s="178" t="s">
        <v>1451</v>
      </c>
      <c r="E37" s="178" t="s">
        <v>1452</v>
      </c>
      <c r="F37" s="178" t="s">
        <v>1176</v>
      </c>
      <c r="G37" s="178" t="s">
        <v>413</v>
      </c>
      <c r="H37" s="178" t="s">
        <v>165</v>
      </c>
      <c r="I37" s="178" t="s">
        <v>1570</v>
      </c>
      <c r="J37" s="203">
        <v>41103</v>
      </c>
      <c r="K37" s="204">
        <v>8169789</v>
      </c>
      <c r="L37" s="205">
        <v>223518</v>
      </c>
      <c r="M37" s="178" t="s">
        <v>1176</v>
      </c>
      <c r="N37" s="206">
        <v>0</v>
      </c>
      <c r="O37" s="178" t="s">
        <v>1176</v>
      </c>
      <c r="P37" s="206">
        <v>0</v>
      </c>
      <c r="Q37" s="207" t="s">
        <v>1571</v>
      </c>
      <c r="R37" s="162">
        <f t="shared" si="0"/>
        <v>0</v>
      </c>
      <c r="S37" s="208">
        <v>6.36</v>
      </c>
      <c r="T37" s="209">
        <f t="shared" si="1"/>
        <v>1</v>
      </c>
      <c r="U37" s="203">
        <v>41134</v>
      </c>
      <c r="V37" s="204">
        <v>8872334</v>
      </c>
      <c r="W37" s="210">
        <f t="shared" si="2"/>
        <v>1.9039999999999999</v>
      </c>
      <c r="X37" s="205">
        <v>227862</v>
      </c>
      <c r="Y37" s="205">
        <v>31</v>
      </c>
      <c r="Z37" s="211">
        <f t="shared" si="3"/>
        <v>702545</v>
      </c>
      <c r="AA37" s="212">
        <f t="shared" si="4"/>
        <v>0.5</v>
      </c>
      <c r="AB37" s="213">
        <f t="shared" si="5"/>
        <v>8.5993040946345189E-2</v>
      </c>
      <c r="AC37" s="212">
        <f t="shared" si="6"/>
        <v>0.42499999999999999</v>
      </c>
      <c r="AD37" s="214">
        <f t="shared" si="7"/>
        <v>3.8289999999999997</v>
      </c>
      <c r="AE37" s="207" t="s">
        <v>1176</v>
      </c>
      <c r="AF37" s="178" t="s">
        <v>1176</v>
      </c>
      <c r="AG37" s="178" t="s">
        <v>1176</v>
      </c>
      <c r="AH37" s="178" t="s">
        <v>1176</v>
      </c>
      <c r="AI37" s="178" t="s">
        <v>1176</v>
      </c>
      <c r="AJ37" s="206">
        <v>0</v>
      </c>
      <c r="AK37" s="178" t="s">
        <v>1176</v>
      </c>
      <c r="AL37" s="207" t="s">
        <v>579</v>
      </c>
      <c r="AM37" s="206">
        <v>0</v>
      </c>
      <c r="AN37" s="215">
        <v>0.25</v>
      </c>
      <c r="AO37" s="207" t="s">
        <v>1572</v>
      </c>
      <c r="AP37" s="216">
        <v>0.31</v>
      </c>
      <c r="AQ37" s="216">
        <v>0</v>
      </c>
      <c r="AR37" s="216">
        <v>0.02</v>
      </c>
      <c r="AS37" s="213">
        <v>1.1000000000000001E-3</v>
      </c>
      <c r="AT37" s="214">
        <f t="shared" si="8"/>
        <v>0.96760000000000002</v>
      </c>
      <c r="AU37" s="214">
        <f t="shared" si="9"/>
        <v>1.2176</v>
      </c>
      <c r="AV37" s="217">
        <f t="shared" si="10"/>
        <v>5.0465999999999998</v>
      </c>
    </row>
    <row r="38" spans="1:48" ht="70" hidden="1">
      <c r="A38" s="201">
        <v>37</v>
      </c>
      <c r="B38" s="202" t="s">
        <v>167</v>
      </c>
      <c r="C38" s="178" t="s">
        <v>1174</v>
      </c>
      <c r="D38" s="178" t="s">
        <v>1451</v>
      </c>
      <c r="E38" s="178" t="s">
        <v>1452</v>
      </c>
      <c r="F38" s="220" t="s">
        <v>1176</v>
      </c>
      <c r="G38" s="220" t="s">
        <v>413</v>
      </c>
      <c r="H38" s="220" t="s">
        <v>1573</v>
      </c>
      <c r="I38" s="220" t="s">
        <v>1574</v>
      </c>
      <c r="J38" s="221">
        <v>41103</v>
      </c>
      <c r="K38" s="222">
        <v>430603</v>
      </c>
      <c r="L38" s="215">
        <v>2086</v>
      </c>
      <c r="M38" s="220" t="s">
        <v>1174</v>
      </c>
      <c r="N38" s="206">
        <v>0.5</v>
      </c>
      <c r="O38" s="220" t="s">
        <v>1176</v>
      </c>
      <c r="P38" s="206">
        <v>0</v>
      </c>
      <c r="Q38" s="223" t="s">
        <v>1575</v>
      </c>
      <c r="R38" s="162">
        <f t="shared" si="0"/>
        <v>0.5</v>
      </c>
      <c r="S38" s="224">
        <v>0</v>
      </c>
      <c r="T38" s="209">
        <f t="shared" si="1"/>
        <v>0.25</v>
      </c>
      <c r="U38" s="180"/>
      <c r="V38" s="225">
        <v>430603</v>
      </c>
      <c r="W38" s="210">
        <f t="shared" si="2"/>
        <v>1.0780000000000001</v>
      </c>
      <c r="X38" s="180"/>
      <c r="Y38" s="205">
        <v>31</v>
      </c>
      <c r="Z38" s="211">
        <f t="shared" si="3"/>
        <v>0</v>
      </c>
      <c r="AA38" s="212">
        <f t="shared" si="4"/>
        <v>0</v>
      </c>
      <c r="AB38" s="213">
        <f t="shared" si="5"/>
        <v>0</v>
      </c>
      <c r="AC38" s="212">
        <f t="shared" si="6"/>
        <v>0</v>
      </c>
      <c r="AD38" s="214">
        <f t="shared" si="7"/>
        <v>1.8280000000000001</v>
      </c>
      <c r="AE38" s="223" t="s">
        <v>1176</v>
      </c>
      <c r="AF38" s="220" t="s">
        <v>1176</v>
      </c>
      <c r="AG38" s="220" t="s">
        <v>1176</v>
      </c>
      <c r="AH38" s="220" t="s">
        <v>1176</v>
      </c>
      <c r="AI38" s="220" t="s">
        <v>1176</v>
      </c>
      <c r="AJ38" s="206">
        <v>0</v>
      </c>
      <c r="AK38" s="220" t="s">
        <v>1176</v>
      </c>
      <c r="AL38" s="223" t="s">
        <v>579</v>
      </c>
      <c r="AM38" s="206">
        <v>0</v>
      </c>
      <c r="AN38" s="215">
        <v>0</v>
      </c>
      <c r="AO38" s="223" t="s">
        <v>1576</v>
      </c>
      <c r="AP38" s="216" t="s">
        <v>1577</v>
      </c>
      <c r="AQ38" s="216" t="s">
        <v>1577</v>
      </c>
      <c r="AR38" s="216" t="s">
        <v>1577</v>
      </c>
      <c r="AS38" s="213">
        <v>0</v>
      </c>
      <c r="AT38" s="214">
        <f t="shared" si="8"/>
        <v>0</v>
      </c>
      <c r="AU38" s="214">
        <f t="shared" si="9"/>
        <v>0</v>
      </c>
      <c r="AV38" s="217">
        <f t="shared" si="10"/>
        <v>1.8280000000000001</v>
      </c>
    </row>
    <row r="39" spans="1:48" ht="182" hidden="1">
      <c r="A39" s="201">
        <v>38</v>
      </c>
      <c r="B39" s="202" t="s">
        <v>169</v>
      </c>
      <c r="C39" s="178" t="s">
        <v>1174</v>
      </c>
      <c r="D39" s="178" t="s">
        <v>1451</v>
      </c>
      <c r="E39" s="178" t="s">
        <v>1452</v>
      </c>
      <c r="F39" s="178" t="s">
        <v>1174</v>
      </c>
      <c r="G39" s="178" t="s">
        <v>413</v>
      </c>
      <c r="H39" s="178" t="s">
        <v>1578</v>
      </c>
      <c r="I39" s="178" t="s">
        <v>1579</v>
      </c>
      <c r="J39" s="203">
        <v>41103</v>
      </c>
      <c r="K39" s="204">
        <v>731953</v>
      </c>
      <c r="L39" s="205">
        <v>15682</v>
      </c>
      <c r="M39" s="178" t="s">
        <v>1174</v>
      </c>
      <c r="N39" s="206">
        <v>0.5</v>
      </c>
      <c r="O39" s="178" t="s">
        <v>1176</v>
      </c>
      <c r="P39" s="206">
        <v>0</v>
      </c>
      <c r="Q39" s="207" t="s">
        <v>1580</v>
      </c>
      <c r="R39" s="162">
        <f t="shared" si="0"/>
        <v>0.5</v>
      </c>
      <c r="S39" s="208">
        <v>5.38</v>
      </c>
      <c r="T39" s="209">
        <f t="shared" si="1"/>
        <v>0.75</v>
      </c>
      <c r="U39" s="203">
        <v>41134</v>
      </c>
      <c r="V39" s="204">
        <v>751446</v>
      </c>
      <c r="W39" s="210">
        <f t="shared" si="2"/>
        <v>1.3320000000000001</v>
      </c>
      <c r="X39" s="205">
        <v>16155</v>
      </c>
      <c r="Y39" s="205">
        <v>31</v>
      </c>
      <c r="Z39" s="211">
        <f t="shared" si="3"/>
        <v>19493</v>
      </c>
      <c r="AA39" s="212">
        <f t="shared" si="4"/>
        <v>0.27750000000000002</v>
      </c>
      <c r="AB39" s="213">
        <f t="shared" si="5"/>
        <v>2.6631491366248872E-2</v>
      </c>
      <c r="AC39" s="212">
        <f t="shared" si="6"/>
        <v>0.13</v>
      </c>
      <c r="AD39" s="214">
        <f t="shared" si="7"/>
        <v>2.9895</v>
      </c>
      <c r="AE39" s="207" t="s">
        <v>1176</v>
      </c>
      <c r="AF39" s="178" t="s">
        <v>1176</v>
      </c>
      <c r="AG39" s="178" t="s">
        <v>1176</v>
      </c>
      <c r="AH39" s="178" t="s">
        <v>1176</v>
      </c>
      <c r="AI39" s="178" t="s">
        <v>1176</v>
      </c>
      <c r="AJ39" s="206">
        <v>0</v>
      </c>
      <c r="AK39" s="178" t="s">
        <v>1174</v>
      </c>
      <c r="AL39" s="207" t="s">
        <v>1455</v>
      </c>
      <c r="AM39" s="206">
        <v>0.25</v>
      </c>
      <c r="AN39" s="215">
        <v>0.25</v>
      </c>
      <c r="AO39" s="207" t="s">
        <v>1581</v>
      </c>
      <c r="AP39" s="216">
        <v>0.37</v>
      </c>
      <c r="AQ39" s="216">
        <v>0</v>
      </c>
      <c r="AR39" s="216">
        <v>0.02</v>
      </c>
      <c r="AS39" s="213">
        <v>1.2999999999999999E-3</v>
      </c>
      <c r="AT39" s="214">
        <f t="shared" si="8"/>
        <v>1.0644</v>
      </c>
      <c r="AU39" s="214">
        <f t="shared" si="9"/>
        <v>1.5644</v>
      </c>
      <c r="AV39" s="217">
        <f t="shared" si="10"/>
        <v>4.5539000000000005</v>
      </c>
    </row>
    <row r="40" spans="1:48" ht="154" hidden="1">
      <c r="A40" s="201">
        <v>39</v>
      </c>
      <c r="B40" s="202" t="s">
        <v>171</v>
      </c>
      <c r="C40" s="178" t="s">
        <v>1174</v>
      </c>
      <c r="D40" s="178" t="s">
        <v>1451</v>
      </c>
      <c r="E40" s="178" t="s">
        <v>1452</v>
      </c>
      <c r="F40" s="178" t="s">
        <v>1176</v>
      </c>
      <c r="G40" s="178" t="s">
        <v>413</v>
      </c>
      <c r="H40" s="178" t="s">
        <v>171</v>
      </c>
      <c r="I40" s="178" t="s">
        <v>1582</v>
      </c>
      <c r="J40" s="203">
        <v>41103</v>
      </c>
      <c r="K40" s="204">
        <v>65441</v>
      </c>
      <c r="L40" s="205">
        <v>1143</v>
      </c>
      <c r="M40" s="178" t="s">
        <v>1174</v>
      </c>
      <c r="N40" s="206">
        <v>0.5</v>
      </c>
      <c r="O40" s="178" t="s">
        <v>1176</v>
      </c>
      <c r="P40" s="206">
        <v>0</v>
      </c>
      <c r="Q40" s="207" t="s">
        <v>1583</v>
      </c>
      <c r="R40" s="162">
        <f t="shared" si="0"/>
        <v>0.5</v>
      </c>
      <c r="S40" s="208">
        <v>2.41</v>
      </c>
      <c r="T40" s="209">
        <f t="shared" si="1"/>
        <v>0.25</v>
      </c>
      <c r="U40" s="203">
        <v>41134</v>
      </c>
      <c r="V40" s="204">
        <v>68019</v>
      </c>
      <c r="W40" s="210">
        <f t="shared" si="2"/>
        <v>0.38</v>
      </c>
      <c r="X40" s="205">
        <v>1108</v>
      </c>
      <c r="Y40" s="205">
        <v>31</v>
      </c>
      <c r="Z40" s="211">
        <f t="shared" si="3"/>
        <v>2578</v>
      </c>
      <c r="AA40" s="212">
        <f t="shared" si="4"/>
        <v>7.9000000000000001E-2</v>
      </c>
      <c r="AB40" s="213">
        <f t="shared" si="5"/>
        <v>3.9394263535092788E-2</v>
      </c>
      <c r="AC40" s="212">
        <f t="shared" si="6"/>
        <v>0.245</v>
      </c>
      <c r="AD40" s="214">
        <f t="shared" si="7"/>
        <v>1.454</v>
      </c>
      <c r="AE40" s="207" t="s">
        <v>1176</v>
      </c>
      <c r="AF40" s="178" t="s">
        <v>1176</v>
      </c>
      <c r="AG40" s="178" t="s">
        <v>1174</v>
      </c>
      <c r="AH40" s="178" t="s">
        <v>1176</v>
      </c>
      <c r="AI40" s="178" t="s">
        <v>1176</v>
      </c>
      <c r="AJ40" s="206">
        <v>0.2</v>
      </c>
      <c r="AK40" s="178" t="s">
        <v>1176</v>
      </c>
      <c r="AL40" s="207" t="s">
        <v>579</v>
      </c>
      <c r="AM40" s="206">
        <v>0</v>
      </c>
      <c r="AN40" s="215">
        <v>0.25</v>
      </c>
      <c r="AO40" s="207" t="s">
        <v>1500</v>
      </c>
      <c r="AP40" s="216">
        <v>0.28999999999999998</v>
      </c>
      <c r="AQ40" s="216">
        <v>0</v>
      </c>
      <c r="AR40" s="216">
        <v>0.03</v>
      </c>
      <c r="AS40" s="213">
        <v>1.1000000000000001E-3</v>
      </c>
      <c r="AT40" s="214">
        <f t="shared" si="8"/>
        <v>0.96760000000000002</v>
      </c>
      <c r="AU40" s="214">
        <f t="shared" si="9"/>
        <v>1.4176</v>
      </c>
      <c r="AV40" s="217">
        <f t="shared" si="10"/>
        <v>2.8715999999999999</v>
      </c>
    </row>
    <row r="41" spans="1:48" ht="140" hidden="1">
      <c r="A41" s="201">
        <v>40</v>
      </c>
      <c r="B41" s="202" t="s">
        <v>174</v>
      </c>
      <c r="C41" s="178" t="s">
        <v>1174</v>
      </c>
      <c r="D41" s="178" t="s">
        <v>1451</v>
      </c>
      <c r="E41" s="178" t="s">
        <v>1452</v>
      </c>
      <c r="F41" s="178" t="s">
        <v>1176</v>
      </c>
      <c r="G41" s="178" t="s">
        <v>74</v>
      </c>
      <c r="H41" s="178" t="s">
        <v>174</v>
      </c>
      <c r="I41" s="178" t="s">
        <v>1584</v>
      </c>
      <c r="J41" s="203">
        <v>41103</v>
      </c>
      <c r="K41" s="204">
        <v>1111166</v>
      </c>
      <c r="L41" s="205">
        <v>46084</v>
      </c>
      <c r="M41" s="178" t="s">
        <v>1174</v>
      </c>
      <c r="N41" s="206">
        <v>0.5</v>
      </c>
      <c r="O41" s="178" t="s">
        <v>1176</v>
      </c>
      <c r="P41" s="206">
        <v>0</v>
      </c>
      <c r="Q41" s="207" t="s">
        <v>1585</v>
      </c>
      <c r="R41" s="162">
        <f t="shared" si="0"/>
        <v>0.5</v>
      </c>
      <c r="S41" s="208">
        <v>5.83</v>
      </c>
      <c r="T41" s="209">
        <f t="shared" si="1"/>
        <v>0.75</v>
      </c>
      <c r="U41" s="203">
        <v>41134</v>
      </c>
      <c r="V41" s="204">
        <v>1146232</v>
      </c>
      <c r="W41" s="210">
        <f t="shared" si="2"/>
        <v>1.46</v>
      </c>
      <c r="X41" s="205">
        <v>59189</v>
      </c>
      <c r="Y41" s="205">
        <v>31</v>
      </c>
      <c r="Z41" s="211">
        <f t="shared" si="3"/>
        <v>35066</v>
      </c>
      <c r="AA41" s="212">
        <f t="shared" si="4"/>
        <v>0.35699999999999998</v>
      </c>
      <c r="AB41" s="213">
        <f t="shared" si="5"/>
        <v>3.1557841042652468E-2</v>
      </c>
      <c r="AC41" s="212">
        <f t="shared" si="6"/>
        <v>0.19</v>
      </c>
      <c r="AD41" s="214">
        <f t="shared" si="7"/>
        <v>3.2569999999999997</v>
      </c>
      <c r="AE41" s="207" t="s">
        <v>1174</v>
      </c>
      <c r="AF41" s="178" t="s">
        <v>1176</v>
      </c>
      <c r="AG41" s="178" t="s">
        <v>1174</v>
      </c>
      <c r="AH41" s="178" t="s">
        <v>1176</v>
      </c>
      <c r="AI41" s="178" t="s">
        <v>1176</v>
      </c>
      <c r="AJ41" s="206">
        <v>0.4</v>
      </c>
      <c r="AK41" s="178" t="s">
        <v>1174</v>
      </c>
      <c r="AL41" s="207" t="s">
        <v>1459</v>
      </c>
      <c r="AM41" s="206">
        <v>0.5</v>
      </c>
      <c r="AN41" s="215">
        <v>0.25</v>
      </c>
      <c r="AO41" s="207" t="s">
        <v>1586</v>
      </c>
      <c r="AP41" s="216">
        <v>0.69</v>
      </c>
      <c r="AQ41" s="216">
        <v>0.02</v>
      </c>
      <c r="AR41" s="216">
        <v>0.03</v>
      </c>
      <c r="AS41" s="213">
        <v>2.5000000000000001E-3</v>
      </c>
      <c r="AT41" s="214">
        <f t="shared" si="8"/>
        <v>1.7096</v>
      </c>
      <c r="AU41" s="214">
        <f t="shared" si="9"/>
        <v>2.8595999999999999</v>
      </c>
      <c r="AV41" s="217">
        <f t="shared" si="10"/>
        <v>6.1166</v>
      </c>
    </row>
    <row r="42" spans="1:48" ht="42" hidden="1">
      <c r="A42" s="201">
        <v>41</v>
      </c>
      <c r="B42" s="202" t="s">
        <v>177</v>
      </c>
      <c r="C42" s="178" t="s">
        <v>1174</v>
      </c>
      <c r="D42" s="178" t="s">
        <v>1451</v>
      </c>
      <c r="E42" s="178" t="s">
        <v>1452</v>
      </c>
      <c r="F42" s="178" t="s">
        <v>1174</v>
      </c>
      <c r="G42" s="178" t="s">
        <v>413</v>
      </c>
      <c r="H42" s="178" t="s">
        <v>177</v>
      </c>
      <c r="I42" s="178" t="s">
        <v>1587</v>
      </c>
      <c r="J42" s="203">
        <v>41103</v>
      </c>
      <c r="K42" s="204">
        <v>27708</v>
      </c>
      <c r="L42" s="205">
        <v>1155</v>
      </c>
      <c r="M42" s="178" t="s">
        <v>1174</v>
      </c>
      <c r="N42" s="206">
        <v>0.5</v>
      </c>
      <c r="O42" s="178" t="s">
        <v>1176</v>
      </c>
      <c r="P42" s="206">
        <v>0</v>
      </c>
      <c r="Q42" s="207" t="s">
        <v>1588</v>
      </c>
      <c r="R42" s="162">
        <f t="shared" si="0"/>
        <v>0.5</v>
      </c>
      <c r="S42" s="194">
        <v>4.12</v>
      </c>
      <c r="T42" s="209">
        <f t="shared" si="1"/>
        <v>0.5</v>
      </c>
      <c r="U42" s="203">
        <v>41134</v>
      </c>
      <c r="V42" s="204">
        <v>44718</v>
      </c>
      <c r="W42" s="210">
        <f t="shared" si="2"/>
        <v>0.252</v>
      </c>
      <c r="X42" s="205">
        <v>1172</v>
      </c>
      <c r="Y42" s="205">
        <v>31</v>
      </c>
      <c r="Z42" s="211">
        <f t="shared" si="3"/>
        <v>17010</v>
      </c>
      <c r="AA42" s="212">
        <f t="shared" si="4"/>
        <v>0.2535</v>
      </c>
      <c r="AB42" s="213">
        <f t="shared" si="5"/>
        <v>0.61390212213079254</v>
      </c>
      <c r="AC42" s="212">
        <f t="shared" si="6"/>
        <v>0.49</v>
      </c>
      <c r="AD42" s="214">
        <f t="shared" si="7"/>
        <v>1.9955000000000001</v>
      </c>
      <c r="AE42" s="207" t="s">
        <v>1176</v>
      </c>
      <c r="AF42" s="178" t="s">
        <v>1176</v>
      </c>
      <c r="AG42" s="178" t="s">
        <v>1176</v>
      </c>
      <c r="AH42" s="178" t="s">
        <v>1176</v>
      </c>
      <c r="AI42" s="178" t="s">
        <v>1176</v>
      </c>
      <c r="AJ42" s="206">
        <v>0</v>
      </c>
      <c r="AK42" s="178" t="s">
        <v>1176</v>
      </c>
      <c r="AL42" s="207" t="s">
        <v>579</v>
      </c>
      <c r="AM42" s="206">
        <v>0</v>
      </c>
      <c r="AN42" s="215">
        <v>0</v>
      </c>
      <c r="AO42" s="207" t="s">
        <v>1589</v>
      </c>
      <c r="AP42" s="216">
        <v>0.25</v>
      </c>
      <c r="AQ42" s="216">
        <v>0.01</v>
      </c>
      <c r="AR42" s="216">
        <v>0.02</v>
      </c>
      <c r="AS42" s="213">
        <v>8.9999999999999998E-4</v>
      </c>
      <c r="AT42" s="214">
        <f t="shared" si="8"/>
        <v>0.70960000000000001</v>
      </c>
      <c r="AU42" s="214">
        <f t="shared" si="9"/>
        <v>0.70960000000000001</v>
      </c>
      <c r="AV42" s="217">
        <f t="shared" si="10"/>
        <v>2.7050999999999998</v>
      </c>
    </row>
    <row r="43" spans="1:48" ht="140" hidden="1">
      <c r="A43" s="201">
        <v>42</v>
      </c>
      <c r="B43" s="202" t="s">
        <v>180</v>
      </c>
      <c r="C43" s="178" t="s">
        <v>1174</v>
      </c>
      <c r="D43" s="178" t="s">
        <v>1451</v>
      </c>
      <c r="E43" s="178" t="s">
        <v>1452</v>
      </c>
      <c r="F43" s="178" t="s">
        <v>1176</v>
      </c>
      <c r="G43" s="178" t="s">
        <v>413</v>
      </c>
      <c r="H43" s="178" t="s">
        <v>1590</v>
      </c>
      <c r="I43" s="178" t="s">
        <v>1591</v>
      </c>
      <c r="J43" s="203">
        <v>41103</v>
      </c>
      <c r="K43" s="204">
        <v>110481</v>
      </c>
      <c r="L43" s="205">
        <v>4037</v>
      </c>
      <c r="M43" s="178" t="s">
        <v>1176</v>
      </c>
      <c r="N43" s="206">
        <v>0</v>
      </c>
      <c r="O43" s="178" t="s">
        <v>1174</v>
      </c>
      <c r="P43" s="206">
        <v>0.5</v>
      </c>
      <c r="Q43" s="207" t="s">
        <v>1592</v>
      </c>
      <c r="R43" s="162">
        <f t="shared" si="0"/>
        <v>0.5</v>
      </c>
      <c r="S43" s="208">
        <v>2.92</v>
      </c>
      <c r="T43" s="209">
        <f t="shared" si="1"/>
        <v>0.25</v>
      </c>
      <c r="U43" s="203">
        <v>41134</v>
      </c>
      <c r="V43" s="204">
        <v>116826</v>
      </c>
      <c r="W43" s="210">
        <f t="shared" si="2"/>
        <v>0.60199999999999998</v>
      </c>
      <c r="X43" s="205">
        <v>4884</v>
      </c>
      <c r="Y43" s="205">
        <v>31</v>
      </c>
      <c r="Z43" s="211">
        <f t="shared" si="3"/>
        <v>6345</v>
      </c>
      <c r="AA43" s="212">
        <f t="shared" si="4"/>
        <v>0.13450000000000001</v>
      </c>
      <c r="AB43" s="213">
        <f t="shared" si="5"/>
        <v>5.743068943981311E-2</v>
      </c>
      <c r="AC43" s="212">
        <f t="shared" si="6"/>
        <v>0.35499999999999998</v>
      </c>
      <c r="AD43" s="214">
        <f t="shared" si="7"/>
        <v>1.8414999999999999</v>
      </c>
      <c r="AE43" s="207" t="s">
        <v>1176</v>
      </c>
      <c r="AF43" s="178" t="s">
        <v>1176</v>
      </c>
      <c r="AG43" s="178" t="s">
        <v>1176</v>
      </c>
      <c r="AH43" s="178" t="s">
        <v>1176</v>
      </c>
      <c r="AI43" s="178" t="s">
        <v>1176</v>
      </c>
      <c r="AJ43" s="206">
        <v>0</v>
      </c>
      <c r="AK43" s="178" t="s">
        <v>1174</v>
      </c>
      <c r="AL43" s="207" t="s">
        <v>1459</v>
      </c>
      <c r="AM43" s="206">
        <v>0.5</v>
      </c>
      <c r="AN43" s="215">
        <v>0.25</v>
      </c>
      <c r="AO43" s="207" t="s">
        <v>1593</v>
      </c>
      <c r="AP43" s="216">
        <v>0.9</v>
      </c>
      <c r="AQ43" s="216">
        <v>0.02</v>
      </c>
      <c r="AR43" s="216">
        <v>0.04</v>
      </c>
      <c r="AS43" s="213">
        <v>3.2000000000000002E-3</v>
      </c>
      <c r="AT43" s="214">
        <f t="shared" si="8"/>
        <v>1.8708</v>
      </c>
      <c r="AU43" s="214">
        <f t="shared" si="9"/>
        <v>2.6208</v>
      </c>
      <c r="AV43" s="217">
        <f t="shared" si="10"/>
        <v>4.4622999999999999</v>
      </c>
    </row>
    <row r="44" spans="1:48" ht="126" hidden="1">
      <c r="A44" s="201">
        <v>43</v>
      </c>
      <c r="B44" s="202" t="s">
        <v>182</v>
      </c>
      <c r="C44" s="178" t="s">
        <v>1174</v>
      </c>
      <c r="D44" s="178" t="s">
        <v>1451</v>
      </c>
      <c r="E44" s="178" t="s">
        <v>1452</v>
      </c>
      <c r="F44" s="178" t="s">
        <v>1176</v>
      </c>
      <c r="G44" s="178" t="s">
        <v>413</v>
      </c>
      <c r="H44" s="178" t="s">
        <v>182</v>
      </c>
      <c r="I44" s="178" t="s">
        <v>1594</v>
      </c>
      <c r="J44" s="203">
        <v>41103</v>
      </c>
      <c r="K44" s="204">
        <v>392290</v>
      </c>
      <c r="L44" s="205">
        <v>11467</v>
      </c>
      <c r="M44" s="178" t="s">
        <v>1174</v>
      </c>
      <c r="N44" s="206">
        <v>0.5</v>
      </c>
      <c r="O44" s="178" t="s">
        <v>1176</v>
      </c>
      <c r="P44" s="206">
        <v>0</v>
      </c>
      <c r="Q44" s="207" t="s">
        <v>1595</v>
      </c>
      <c r="R44" s="162">
        <f t="shared" si="0"/>
        <v>0.5</v>
      </c>
      <c r="S44" s="208">
        <v>7</v>
      </c>
      <c r="T44" s="209">
        <f t="shared" si="1"/>
        <v>1</v>
      </c>
      <c r="U44" s="203">
        <v>41134</v>
      </c>
      <c r="V44" s="204">
        <v>404763</v>
      </c>
      <c r="W44" s="210">
        <f t="shared" si="2"/>
        <v>1.014</v>
      </c>
      <c r="X44" s="205">
        <v>5927</v>
      </c>
      <c r="Y44" s="205">
        <v>31</v>
      </c>
      <c r="Z44" s="211">
        <f t="shared" si="3"/>
        <v>12473</v>
      </c>
      <c r="AA44" s="212">
        <f t="shared" si="4"/>
        <v>0.222</v>
      </c>
      <c r="AB44" s="213">
        <f t="shared" si="5"/>
        <v>3.1795355476815557E-2</v>
      </c>
      <c r="AC44" s="212">
        <f t="shared" si="6"/>
        <v>0.20499999999999999</v>
      </c>
      <c r="AD44" s="214">
        <f t="shared" si="7"/>
        <v>2.9409999999999998</v>
      </c>
      <c r="AE44" s="207" t="s">
        <v>1176</v>
      </c>
      <c r="AF44" s="178" t="s">
        <v>1176</v>
      </c>
      <c r="AG44" s="178" t="s">
        <v>1174</v>
      </c>
      <c r="AH44" s="178" t="s">
        <v>1176</v>
      </c>
      <c r="AI44" s="178" t="s">
        <v>1176</v>
      </c>
      <c r="AJ44" s="206">
        <v>0.2</v>
      </c>
      <c r="AK44" s="178" t="s">
        <v>1174</v>
      </c>
      <c r="AL44" s="207" t="s">
        <v>1596</v>
      </c>
      <c r="AM44" s="206">
        <v>0.75</v>
      </c>
      <c r="AN44" s="215">
        <v>0.5</v>
      </c>
      <c r="AO44" s="207" t="s">
        <v>1597</v>
      </c>
      <c r="AP44" s="216">
        <v>0.28000000000000003</v>
      </c>
      <c r="AQ44" s="216">
        <v>0.01</v>
      </c>
      <c r="AR44" s="216">
        <v>0.02</v>
      </c>
      <c r="AS44" s="213">
        <v>1E-3</v>
      </c>
      <c r="AT44" s="214">
        <f t="shared" si="8"/>
        <v>0.83860000000000001</v>
      </c>
      <c r="AU44" s="214">
        <f t="shared" si="9"/>
        <v>2.2886000000000002</v>
      </c>
      <c r="AV44" s="217">
        <f t="shared" si="10"/>
        <v>5.2295999999999996</v>
      </c>
    </row>
    <row r="45" spans="1:48" ht="224" hidden="1">
      <c r="A45" s="201">
        <v>44</v>
      </c>
      <c r="B45" s="202" t="s">
        <v>185</v>
      </c>
      <c r="C45" s="178" t="s">
        <v>1174</v>
      </c>
      <c r="D45" s="178" t="s">
        <v>1451</v>
      </c>
      <c r="E45" s="178" t="s">
        <v>1452</v>
      </c>
      <c r="F45" s="178" t="s">
        <v>1176</v>
      </c>
      <c r="G45" s="178" t="s">
        <v>65</v>
      </c>
      <c r="H45" s="178" t="s">
        <v>185</v>
      </c>
      <c r="I45" s="178" t="s">
        <v>1598</v>
      </c>
      <c r="J45" s="203">
        <v>41103</v>
      </c>
      <c r="K45" s="204">
        <v>244737</v>
      </c>
      <c r="L45" s="205">
        <v>7741</v>
      </c>
      <c r="M45" s="178" t="s">
        <v>1176</v>
      </c>
      <c r="N45" s="206">
        <v>0</v>
      </c>
      <c r="O45" s="178" t="s">
        <v>1176</v>
      </c>
      <c r="P45" s="206">
        <v>0</v>
      </c>
      <c r="Q45" s="207" t="s">
        <v>1599</v>
      </c>
      <c r="R45" s="162">
        <f t="shared" si="0"/>
        <v>0</v>
      </c>
      <c r="S45" s="208">
        <v>14</v>
      </c>
      <c r="T45" s="209">
        <f t="shared" si="1"/>
        <v>0</v>
      </c>
      <c r="U45" s="203">
        <v>41134</v>
      </c>
      <c r="V45" s="204">
        <v>252962</v>
      </c>
      <c r="W45" s="210">
        <f t="shared" si="2"/>
        <v>0.88800000000000001</v>
      </c>
      <c r="X45" s="205">
        <v>4973</v>
      </c>
      <c r="Y45" s="205">
        <v>31</v>
      </c>
      <c r="Z45" s="211">
        <f t="shared" si="3"/>
        <v>8225</v>
      </c>
      <c r="AA45" s="212">
        <f t="shared" si="4"/>
        <v>0.16650000000000001</v>
      </c>
      <c r="AB45" s="213">
        <f t="shared" si="5"/>
        <v>3.3607505199459098E-2</v>
      </c>
      <c r="AC45" s="212">
        <f t="shared" si="6"/>
        <v>0.21</v>
      </c>
      <c r="AD45" s="214">
        <f t="shared" si="7"/>
        <v>1.2645</v>
      </c>
      <c r="AE45" s="207" t="s">
        <v>1176</v>
      </c>
      <c r="AF45" s="178" t="s">
        <v>1176</v>
      </c>
      <c r="AG45" s="178" t="s">
        <v>1176</v>
      </c>
      <c r="AH45" s="178" t="s">
        <v>1174</v>
      </c>
      <c r="AI45" s="178" t="s">
        <v>1176</v>
      </c>
      <c r="AJ45" s="206">
        <v>0.2</v>
      </c>
      <c r="AK45" s="178" t="s">
        <v>1174</v>
      </c>
      <c r="AL45" s="207" t="s">
        <v>1459</v>
      </c>
      <c r="AM45" s="206">
        <v>0.5</v>
      </c>
      <c r="AN45" s="215">
        <v>0.25</v>
      </c>
      <c r="AO45" s="207" t="s">
        <v>1600</v>
      </c>
      <c r="AP45" s="216">
        <v>0.16</v>
      </c>
      <c r="AQ45" s="216">
        <v>0</v>
      </c>
      <c r="AR45" s="216">
        <v>0.01</v>
      </c>
      <c r="AS45" s="213">
        <v>5.9999999999999995E-4</v>
      </c>
      <c r="AT45" s="214">
        <f t="shared" si="8"/>
        <v>0.48380000000000001</v>
      </c>
      <c r="AU45" s="214">
        <f t="shared" si="9"/>
        <v>1.4338</v>
      </c>
      <c r="AV45" s="217">
        <f t="shared" si="10"/>
        <v>2.6982999999999997</v>
      </c>
    </row>
    <row r="46" spans="1:48" ht="168" hidden="1">
      <c r="A46" s="201">
        <v>45</v>
      </c>
      <c r="B46" s="202" t="s">
        <v>187</v>
      </c>
      <c r="C46" s="178" t="s">
        <v>1174</v>
      </c>
      <c r="D46" s="178" t="s">
        <v>1451</v>
      </c>
      <c r="E46" s="178" t="s">
        <v>1452</v>
      </c>
      <c r="F46" s="178" t="s">
        <v>1174</v>
      </c>
      <c r="G46" s="178" t="s">
        <v>413</v>
      </c>
      <c r="H46" s="178" t="s">
        <v>187</v>
      </c>
      <c r="I46" s="178" t="s">
        <v>1601</v>
      </c>
      <c r="J46" s="203">
        <v>41103</v>
      </c>
      <c r="K46" s="204">
        <v>1804506</v>
      </c>
      <c r="L46" s="205">
        <v>11903</v>
      </c>
      <c r="M46" s="178" t="s">
        <v>1176</v>
      </c>
      <c r="N46" s="206">
        <v>0</v>
      </c>
      <c r="O46" s="178" t="s">
        <v>1176</v>
      </c>
      <c r="P46" s="206">
        <v>0</v>
      </c>
      <c r="Q46" s="207" t="s">
        <v>1602</v>
      </c>
      <c r="R46" s="162">
        <f t="shared" si="0"/>
        <v>0</v>
      </c>
      <c r="S46" s="208">
        <v>1.84</v>
      </c>
      <c r="T46" s="209">
        <f t="shared" si="1"/>
        <v>0.25</v>
      </c>
      <c r="U46" s="203">
        <v>41134</v>
      </c>
      <c r="V46" s="204">
        <v>1858616</v>
      </c>
      <c r="W46" s="210">
        <f t="shared" si="2"/>
        <v>1.5860000000000001</v>
      </c>
      <c r="X46" s="205">
        <v>15100</v>
      </c>
      <c r="Y46" s="205">
        <v>31</v>
      </c>
      <c r="Z46" s="211">
        <f t="shared" si="3"/>
        <v>54110</v>
      </c>
      <c r="AA46" s="212">
        <f t="shared" si="4"/>
        <v>0.39650000000000002</v>
      </c>
      <c r="AB46" s="213">
        <f t="shared" si="5"/>
        <v>2.9986046042518089E-2</v>
      </c>
      <c r="AC46" s="212">
        <f t="shared" si="6"/>
        <v>0.18</v>
      </c>
      <c r="AD46" s="214">
        <f t="shared" si="7"/>
        <v>2.4125000000000001</v>
      </c>
      <c r="AE46" s="207" t="s">
        <v>1176</v>
      </c>
      <c r="AF46" s="178" t="s">
        <v>1176</v>
      </c>
      <c r="AG46" s="178" t="s">
        <v>1176</v>
      </c>
      <c r="AH46" s="178" t="s">
        <v>1176</v>
      </c>
      <c r="AI46" s="178" t="s">
        <v>1176</v>
      </c>
      <c r="AJ46" s="206">
        <v>0</v>
      </c>
      <c r="AK46" s="178" t="s">
        <v>1176</v>
      </c>
      <c r="AL46" s="207" t="s">
        <v>579</v>
      </c>
      <c r="AM46" s="206">
        <v>0</v>
      </c>
      <c r="AN46" s="215">
        <v>0.25</v>
      </c>
      <c r="AO46" s="207" t="s">
        <v>1603</v>
      </c>
      <c r="AP46" s="216">
        <v>0.22</v>
      </c>
      <c r="AQ46" s="216">
        <v>0.01</v>
      </c>
      <c r="AR46" s="216">
        <v>0.02</v>
      </c>
      <c r="AS46" s="213">
        <v>8.0000000000000004E-4</v>
      </c>
      <c r="AT46" s="214">
        <f t="shared" si="8"/>
        <v>0.64500000000000002</v>
      </c>
      <c r="AU46" s="214">
        <f t="shared" si="9"/>
        <v>0.89500000000000002</v>
      </c>
      <c r="AV46" s="217">
        <f t="shared" si="10"/>
        <v>3.3075000000000001</v>
      </c>
    </row>
    <row r="47" spans="1:48" ht="140" hidden="1">
      <c r="A47" s="201">
        <v>46</v>
      </c>
      <c r="B47" s="202" t="s">
        <v>190</v>
      </c>
      <c r="C47" s="178" t="s">
        <v>1174</v>
      </c>
      <c r="D47" s="178" t="s">
        <v>1451</v>
      </c>
      <c r="E47" s="178" t="s">
        <v>1452</v>
      </c>
      <c r="F47" s="178" t="s">
        <v>1174</v>
      </c>
      <c r="G47" s="178" t="s">
        <v>413</v>
      </c>
      <c r="H47" s="178" t="s">
        <v>190</v>
      </c>
      <c r="I47" s="178" t="s">
        <v>1604</v>
      </c>
      <c r="J47" s="203">
        <v>41103</v>
      </c>
      <c r="K47" s="204">
        <v>5066582</v>
      </c>
      <c r="L47" s="205">
        <v>34950</v>
      </c>
      <c r="M47" s="178" t="s">
        <v>1174</v>
      </c>
      <c r="N47" s="206">
        <v>0.5</v>
      </c>
      <c r="O47" s="178" t="s">
        <v>1176</v>
      </c>
      <c r="P47" s="206">
        <v>0</v>
      </c>
      <c r="Q47" s="207" t="s">
        <v>1605</v>
      </c>
      <c r="R47" s="162">
        <f t="shared" si="0"/>
        <v>0.5</v>
      </c>
      <c r="S47" s="208">
        <v>4.38</v>
      </c>
      <c r="T47" s="209">
        <f t="shared" si="1"/>
        <v>0.5</v>
      </c>
      <c r="U47" s="203">
        <v>41134</v>
      </c>
      <c r="V47" s="204">
        <v>5148877</v>
      </c>
      <c r="W47" s="210">
        <f t="shared" si="2"/>
        <v>1.776</v>
      </c>
      <c r="X47" s="205">
        <v>51910</v>
      </c>
      <c r="Y47" s="205">
        <v>31</v>
      </c>
      <c r="Z47" s="211">
        <f t="shared" si="3"/>
        <v>82295</v>
      </c>
      <c r="AA47" s="212">
        <f t="shared" si="4"/>
        <v>0.41249999999999998</v>
      </c>
      <c r="AB47" s="213">
        <f t="shared" si="5"/>
        <v>1.6242705634686327E-2</v>
      </c>
      <c r="AC47" s="212">
        <f t="shared" si="6"/>
        <v>0.03</v>
      </c>
      <c r="AD47" s="214">
        <f t="shared" si="7"/>
        <v>3.2185000000000001</v>
      </c>
      <c r="AE47" s="207" t="s">
        <v>1176</v>
      </c>
      <c r="AF47" s="178" t="s">
        <v>1176</v>
      </c>
      <c r="AG47" s="178" t="s">
        <v>1176</v>
      </c>
      <c r="AH47" s="178" t="s">
        <v>1176</v>
      </c>
      <c r="AI47" s="178" t="s">
        <v>1176</v>
      </c>
      <c r="AJ47" s="206">
        <v>0</v>
      </c>
      <c r="AK47" s="178" t="s">
        <v>1174</v>
      </c>
      <c r="AL47" s="207" t="s">
        <v>1459</v>
      </c>
      <c r="AM47" s="206">
        <v>0.5</v>
      </c>
      <c r="AN47" s="215">
        <v>0.5</v>
      </c>
      <c r="AO47" s="207" t="s">
        <v>1606</v>
      </c>
      <c r="AP47" s="216">
        <v>0.13</v>
      </c>
      <c r="AQ47" s="216">
        <v>0</v>
      </c>
      <c r="AR47" s="216">
        <v>0.01</v>
      </c>
      <c r="AS47" s="213">
        <v>5.0000000000000001E-4</v>
      </c>
      <c r="AT47" s="214">
        <f t="shared" si="8"/>
        <v>0.3548</v>
      </c>
      <c r="AU47" s="214">
        <f t="shared" si="9"/>
        <v>1.3548</v>
      </c>
      <c r="AV47" s="217">
        <f t="shared" si="10"/>
        <v>4.5732999999999997</v>
      </c>
    </row>
    <row r="48" spans="1:48" ht="266" hidden="1">
      <c r="A48" s="201">
        <v>47</v>
      </c>
      <c r="B48" s="202" t="s">
        <v>193</v>
      </c>
      <c r="C48" s="178" t="s">
        <v>1174</v>
      </c>
      <c r="D48" s="178" t="s">
        <v>1451</v>
      </c>
      <c r="E48" s="178" t="s">
        <v>1452</v>
      </c>
      <c r="F48" s="178" t="s">
        <v>1174</v>
      </c>
      <c r="G48" s="178" t="s">
        <v>413</v>
      </c>
      <c r="H48" s="178" t="s">
        <v>193</v>
      </c>
      <c r="I48" s="178" t="s">
        <v>1607</v>
      </c>
      <c r="J48" s="203">
        <v>41103</v>
      </c>
      <c r="K48" s="204">
        <v>471855</v>
      </c>
      <c r="L48" s="205">
        <v>24921</v>
      </c>
      <c r="M48" s="178" t="s">
        <v>1176</v>
      </c>
      <c r="N48" s="206">
        <v>0</v>
      </c>
      <c r="O48" s="178" t="s">
        <v>1176</v>
      </c>
      <c r="P48" s="206">
        <v>0</v>
      </c>
      <c r="Q48" s="207" t="s">
        <v>1608</v>
      </c>
      <c r="R48" s="162">
        <f t="shared" si="0"/>
        <v>0</v>
      </c>
      <c r="S48" s="208">
        <v>4.67</v>
      </c>
      <c r="T48" s="209">
        <f t="shared" si="1"/>
        <v>0.75</v>
      </c>
      <c r="U48" s="203">
        <v>41134</v>
      </c>
      <c r="V48" s="204">
        <v>494693</v>
      </c>
      <c r="W48" s="210">
        <f t="shared" si="2"/>
        <v>1.1100000000000001</v>
      </c>
      <c r="X48" s="205">
        <v>16987</v>
      </c>
      <c r="Y48" s="205">
        <v>31</v>
      </c>
      <c r="Z48" s="211">
        <f t="shared" si="3"/>
        <v>22838</v>
      </c>
      <c r="AA48" s="212">
        <f t="shared" si="4"/>
        <v>0.30149999999999999</v>
      </c>
      <c r="AB48" s="213">
        <f t="shared" si="5"/>
        <v>4.8400462006336742E-2</v>
      </c>
      <c r="AC48" s="212">
        <f t="shared" si="6"/>
        <v>0.33</v>
      </c>
      <c r="AD48" s="214">
        <f t="shared" si="7"/>
        <v>2.4915000000000003</v>
      </c>
      <c r="AE48" s="207" t="s">
        <v>1174</v>
      </c>
      <c r="AF48" s="178" t="s">
        <v>1176</v>
      </c>
      <c r="AG48" s="178" t="s">
        <v>1176</v>
      </c>
      <c r="AH48" s="178" t="s">
        <v>1174</v>
      </c>
      <c r="AI48" s="178" t="s">
        <v>1176</v>
      </c>
      <c r="AJ48" s="206">
        <v>0.4</v>
      </c>
      <c r="AK48" s="178" t="s">
        <v>1174</v>
      </c>
      <c r="AL48" s="207" t="s">
        <v>1455</v>
      </c>
      <c r="AM48" s="206">
        <v>0.25</v>
      </c>
      <c r="AN48" s="215">
        <v>0.25</v>
      </c>
      <c r="AO48" s="207" t="s">
        <v>1609</v>
      </c>
      <c r="AP48" s="216">
        <v>0.49</v>
      </c>
      <c r="AQ48" s="216">
        <v>0.01</v>
      </c>
      <c r="AR48" s="216">
        <v>0.04</v>
      </c>
      <c r="AS48" s="213">
        <v>1.8E-3</v>
      </c>
      <c r="AT48" s="214">
        <f t="shared" si="8"/>
        <v>1.516</v>
      </c>
      <c r="AU48" s="214">
        <f t="shared" si="9"/>
        <v>2.4159999999999999</v>
      </c>
      <c r="AV48" s="217">
        <f t="shared" si="10"/>
        <v>4.9075000000000006</v>
      </c>
    </row>
    <row r="49" spans="1:48" ht="112" hidden="1">
      <c r="A49" s="201">
        <v>48</v>
      </c>
      <c r="B49" s="202" t="s">
        <v>196</v>
      </c>
      <c r="C49" s="178" t="s">
        <v>1174</v>
      </c>
      <c r="D49" s="178" t="s">
        <v>1451</v>
      </c>
      <c r="E49" s="178" t="s">
        <v>1452</v>
      </c>
      <c r="F49" s="178" t="s">
        <v>1176</v>
      </c>
      <c r="G49" s="178" t="s">
        <v>413</v>
      </c>
      <c r="H49" s="178" t="s">
        <v>196</v>
      </c>
      <c r="I49" s="178" t="s">
        <v>1610</v>
      </c>
      <c r="J49" s="203">
        <v>41103</v>
      </c>
      <c r="K49" s="204">
        <v>191165</v>
      </c>
      <c r="L49" s="205">
        <v>7075</v>
      </c>
      <c r="M49" s="178" t="s">
        <v>1176</v>
      </c>
      <c r="N49" s="206">
        <v>0</v>
      </c>
      <c r="O49" s="178" t="s">
        <v>1176</v>
      </c>
      <c r="P49" s="206">
        <v>0</v>
      </c>
      <c r="Q49" s="207" t="s">
        <v>1611</v>
      </c>
      <c r="R49" s="162">
        <f t="shared" si="0"/>
        <v>0</v>
      </c>
      <c r="S49" s="208">
        <v>3.33</v>
      </c>
      <c r="T49" s="209">
        <f t="shared" si="1"/>
        <v>0.5</v>
      </c>
      <c r="U49" s="203">
        <v>41134</v>
      </c>
      <c r="V49" s="204">
        <v>202273</v>
      </c>
      <c r="W49" s="210">
        <f t="shared" si="2"/>
        <v>0.63400000000000001</v>
      </c>
      <c r="X49" s="205">
        <v>6486</v>
      </c>
      <c r="Y49" s="205">
        <v>31</v>
      </c>
      <c r="Z49" s="211">
        <f t="shared" si="3"/>
        <v>11108</v>
      </c>
      <c r="AA49" s="212">
        <f t="shared" si="4"/>
        <v>0.19800000000000001</v>
      </c>
      <c r="AB49" s="213">
        <f t="shared" si="5"/>
        <v>5.8106871027646223E-2</v>
      </c>
      <c r="AC49" s="212">
        <f t="shared" si="6"/>
        <v>0.36499999999999999</v>
      </c>
      <c r="AD49" s="214">
        <f t="shared" si="7"/>
        <v>1.6970000000000001</v>
      </c>
      <c r="AE49" s="207" t="s">
        <v>1176</v>
      </c>
      <c r="AF49" s="178" t="s">
        <v>1176</v>
      </c>
      <c r="AG49" s="178" t="s">
        <v>1176</v>
      </c>
      <c r="AH49" s="178" t="s">
        <v>1176</v>
      </c>
      <c r="AI49" s="178" t="s">
        <v>1176</v>
      </c>
      <c r="AJ49" s="206">
        <v>0</v>
      </c>
      <c r="AK49" s="178" t="s">
        <v>1176</v>
      </c>
      <c r="AL49" s="207" t="s">
        <v>579</v>
      </c>
      <c r="AM49" s="206">
        <v>0</v>
      </c>
      <c r="AN49" s="215">
        <v>0</v>
      </c>
      <c r="AO49" s="207" t="s">
        <v>1612</v>
      </c>
      <c r="AP49" s="216">
        <v>0.43</v>
      </c>
      <c r="AQ49" s="216">
        <v>0.01</v>
      </c>
      <c r="AR49" s="216">
        <v>0.04</v>
      </c>
      <c r="AS49" s="213">
        <v>1.6000000000000001E-3</v>
      </c>
      <c r="AT49" s="214">
        <f t="shared" si="8"/>
        <v>1.4192</v>
      </c>
      <c r="AU49" s="214">
        <f t="shared" si="9"/>
        <v>1.4192</v>
      </c>
      <c r="AV49" s="217">
        <f t="shared" si="10"/>
        <v>3.1162000000000001</v>
      </c>
    </row>
    <row r="50" spans="1:48" ht="98" hidden="1">
      <c r="A50" s="201">
        <v>49</v>
      </c>
      <c r="B50" s="202" t="s">
        <v>199</v>
      </c>
      <c r="C50" s="178" t="s">
        <v>1174</v>
      </c>
      <c r="D50" s="178" t="s">
        <v>1451</v>
      </c>
      <c r="E50" s="178" t="s">
        <v>1452</v>
      </c>
      <c r="F50" s="178" t="s">
        <v>1176</v>
      </c>
      <c r="G50" s="178" t="s">
        <v>413</v>
      </c>
      <c r="H50" s="178" t="s">
        <v>199</v>
      </c>
      <c r="I50" s="178" t="s">
        <v>1613</v>
      </c>
      <c r="J50" s="203">
        <v>41103</v>
      </c>
      <c r="K50" s="204">
        <v>65769</v>
      </c>
      <c r="L50" s="205">
        <v>3065</v>
      </c>
      <c r="M50" s="178" t="s">
        <v>1176</v>
      </c>
      <c r="N50" s="206">
        <v>0</v>
      </c>
      <c r="O50" s="178" t="s">
        <v>1176</v>
      </c>
      <c r="P50" s="206">
        <v>0</v>
      </c>
      <c r="Q50" s="207" t="s">
        <v>1614</v>
      </c>
      <c r="R50" s="162">
        <f t="shared" si="0"/>
        <v>0</v>
      </c>
      <c r="S50" s="208">
        <v>5.83</v>
      </c>
      <c r="T50" s="209">
        <f t="shared" si="1"/>
        <v>0.75</v>
      </c>
      <c r="U50" s="203">
        <v>41134</v>
      </c>
      <c r="V50" s="204">
        <v>68458</v>
      </c>
      <c r="W50" s="210">
        <f t="shared" si="2"/>
        <v>0.41199999999999998</v>
      </c>
      <c r="X50" s="205">
        <v>1737</v>
      </c>
      <c r="Y50" s="205">
        <v>31</v>
      </c>
      <c r="Z50" s="211">
        <f t="shared" si="3"/>
        <v>2689</v>
      </c>
      <c r="AA50" s="212">
        <f t="shared" si="4"/>
        <v>9.5000000000000001E-2</v>
      </c>
      <c r="AB50" s="213">
        <f t="shared" si="5"/>
        <v>4.0885523574936578E-2</v>
      </c>
      <c r="AC50" s="212">
        <f t="shared" si="6"/>
        <v>0.26500000000000001</v>
      </c>
      <c r="AD50" s="214">
        <f t="shared" si="7"/>
        <v>1.522</v>
      </c>
      <c r="AE50" s="207" t="s">
        <v>1176</v>
      </c>
      <c r="AF50" s="178" t="s">
        <v>1176</v>
      </c>
      <c r="AG50" s="178" t="s">
        <v>1176</v>
      </c>
      <c r="AH50" s="178" t="s">
        <v>1176</v>
      </c>
      <c r="AI50" s="178" t="s">
        <v>1176</v>
      </c>
      <c r="AJ50" s="206">
        <v>0</v>
      </c>
      <c r="AK50" s="178" t="s">
        <v>1176</v>
      </c>
      <c r="AL50" s="207" t="s">
        <v>1459</v>
      </c>
      <c r="AM50" s="206">
        <v>0.5</v>
      </c>
      <c r="AN50" s="215">
        <v>0</v>
      </c>
      <c r="AO50" s="207" t="s">
        <v>1615</v>
      </c>
      <c r="AP50" s="216">
        <v>0.39</v>
      </c>
      <c r="AQ50" s="216">
        <v>0.01</v>
      </c>
      <c r="AR50" s="216">
        <v>0.04</v>
      </c>
      <c r="AS50" s="213">
        <v>1.5E-3</v>
      </c>
      <c r="AT50" s="214">
        <f t="shared" si="8"/>
        <v>1.2258</v>
      </c>
      <c r="AU50" s="214">
        <f t="shared" si="9"/>
        <v>1.7258</v>
      </c>
      <c r="AV50" s="217">
        <f t="shared" si="10"/>
        <v>3.2477999999999998</v>
      </c>
    </row>
    <row r="51" spans="1:48" ht="112" hidden="1">
      <c r="A51" s="201">
        <v>50</v>
      </c>
      <c r="B51" s="202" t="s">
        <v>201</v>
      </c>
      <c r="C51" s="178" t="s">
        <v>1174</v>
      </c>
      <c r="D51" s="178" t="s">
        <v>1451</v>
      </c>
      <c r="E51" s="178" t="s">
        <v>1452</v>
      </c>
      <c r="F51" s="178" t="s">
        <v>1174</v>
      </c>
      <c r="G51" s="178" t="s">
        <v>413</v>
      </c>
      <c r="H51" s="178" t="s">
        <v>201</v>
      </c>
      <c r="I51" s="178" t="s">
        <v>1616</v>
      </c>
      <c r="J51" s="203">
        <v>41103</v>
      </c>
      <c r="K51" s="204">
        <v>194700</v>
      </c>
      <c r="L51" s="205">
        <v>2158</v>
      </c>
      <c r="M51" s="178" t="s">
        <v>1174</v>
      </c>
      <c r="N51" s="206">
        <v>0.5</v>
      </c>
      <c r="O51" s="178" t="s">
        <v>1174</v>
      </c>
      <c r="P51" s="206">
        <v>0.5</v>
      </c>
      <c r="Q51" s="207" t="s">
        <v>1617</v>
      </c>
      <c r="R51" s="162">
        <f t="shared" si="0"/>
        <v>1</v>
      </c>
      <c r="S51" s="208">
        <v>7.78</v>
      </c>
      <c r="T51" s="209">
        <f t="shared" si="1"/>
        <v>0.75</v>
      </c>
      <c r="U51" s="203">
        <v>41134</v>
      </c>
      <c r="V51" s="204">
        <v>207119</v>
      </c>
      <c r="W51" s="210">
        <f t="shared" si="2"/>
        <v>0.66600000000000004</v>
      </c>
      <c r="X51" s="205">
        <v>7117</v>
      </c>
      <c r="Y51" s="205">
        <v>31</v>
      </c>
      <c r="Z51" s="211">
        <f t="shared" si="3"/>
        <v>12419</v>
      </c>
      <c r="AA51" s="212">
        <f t="shared" si="4"/>
        <v>0.214</v>
      </c>
      <c r="AB51" s="213">
        <f t="shared" si="5"/>
        <v>6.3785310734463252E-2</v>
      </c>
      <c r="AC51" s="212">
        <f t="shared" si="6"/>
        <v>0.37</v>
      </c>
      <c r="AD51" s="214">
        <f t="shared" si="7"/>
        <v>3</v>
      </c>
      <c r="AE51" s="207" t="s">
        <v>1176</v>
      </c>
      <c r="AF51" s="178" t="s">
        <v>1176</v>
      </c>
      <c r="AG51" s="178" t="s">
        <v>1176</v>
      </c>
      <c r="AH51" s="178" t="s">
        <v>1174</v>
      </c>
      <c r="AI51" s="178" t="s">
        <v>1174</v>
      </c>
      <c r="AJ51" s="206">
        <v>0.4</v>
      </c>
      <c r="AK51" s="178" t="s">
        <v>1174</v>
      </c>
      <c r="AL51" s="207" t="s">
        <v>1459</v>
      </c>
      <c r="AM51" s="206">
        <v>0.5</v>
      </c>
      <c r="AN51" s="215">
        <v>0</v>
      </c>
      <c r="AO51" s="207" t="s">
        <v>1618</v>
      </c>
      <c r="AP51" s="216">
        <v>0.28000000000000003</v>
      </c>
      <c r="AQ51" s="216">
        <v>0.01</v>
      </c>
      <c r="AR51" s="216">
        <v>0.02</v>
      </c>
      <c r="AS51" s="213">
        <v>1E-3</v>
      </c>
      <c r="AT51" s="214">
        <f t="shared" si="8"/>
        <v>0.83860000000000001</v>
      </c>
      <c r="AU51" s="214">
        <f t="shared" si="9"/>
        <v>1.7385999999999999</v>
      </c>
      <c r="AV51" s="217">
        <f t="shared" si="10"/>
        <v>4.7385999999999999</v>
      </c>
    </row>
    <row r="52" spans="1:48" ht="140" hidden="1">
      <c r="A52" s="201">
        <v>51</v>
      </c>
      <c r="B52" s="202" t="s">
        <v>203</v>
      </c>
      <c r="C52" s="178" t="s">
        <v>1174</v>
      </c>
      <c r="D52" s="178" t="s">
        <v>1451</v>
      </c>
      <c r="E52" s="178" t="s">
        <v>1452</v>
      </c>
      <c r="F52" s="178" t="s">
        <v>1174</v>
      </c>
      <c r="G52" s="178" t="s">
        <v>413</v>
      </c>
      <c r="H52" s="178" t="s">
        <v>203</v>
      </c>
      <c r="I52" s="178" t="s">
        <v>1619</v>
      </c>
      <c r="J52" s="203">
        <v>41103</v>
      </c>
      <c r="K52" s="204">
        <v>28540</v>
      </c>
      <c r="L52" s="205">
        <v>234</v>
      </c>
      <c r="M52" s="178" t="s">
        <v>1174</v>
      </c>
      <c r="N52" s="206">
        <v>0.5</v>
      </c>
      <c r="O52" s="178" t="s">
        <v>1174</v>
      </c>
      <c r="P52" s="206">
        <v>0.5</v>
      </c>
      <c r="Q52" s="207" t="s">
        <v>1620</v>
      </c>
      <c r="R52" s="162">
        <f t="shared" si="0"/>
        <v>1</v>
      </c>
      <c r="S52" s="208">
        <v>3.5</v>
      </c>
      <c r="T52" s="209">
        <f t="shared" si="1"/>
        <v>0.5</v>
      </c>
      <c r="U52" s="203">
        <v>41134</v>
      </c>
      <c r="V52" s="204">
        <v>29556</v>
      </c>
      <c r="W52" s="210">
        <f t="shared" si="2"/>
        <v>0.126</v>
      </c>
      <c r="X52" s="205">
        <v>1339</v>
      </c>
      <c r="Y52" s="205">
        <v>31</v>
      </c>
      <c r="Z52" s="211">
        <f t="shared" si="3"/>
        <v>1016</v>
      </c>
      <c r="AA52" s="212">
        <f t="shared" si="4"/>
        <v>3.15E-2</v>
      </c>
      <c r="AB52" s="213">
        <f t="shared" si="5"/>
        <v>3.5599159074982456E-2</v>
      </c>
      <c r="AC52" s="212">
        <f t="shared" si="6"/>
        <v>0.22</v>
      </c>
      <c r="AD52" s="214">
        <f t="shared" si="7"/>
        <v>1.8774999999999999</v>
      </c>
      <c r="AE52" s="207" t="s">
        <v>1176</v>
      </c>
      <c r="AF52" s="178" t="s">
        <v>1176</v>
      </c>
      <c r="AG52" s="178" t="s">
        <v>1176</v>
      </c>
      <c r="AH52" s="178" t="s">
        <v>1176</v>
      </c>
      <c r="AI52" s="178" t="s">
        <v>1174</v>
      </c>
      <c r="AJ52" s="206">
        <v>0.2</v>
      </c>
      <c r="AK52" s="178" t="s">
        <v>1174</v>
      </c>
      <c r="AL52" s="207" t="s">
        <v>1459</v>
      </c>
      <c r="AM52" s="206">
        <v>0.5</v>
      </c>
      <c r="AN52" s="215">
        <v>0</v>
      </c>
      <c r="AO52" s="207" t="s">
        <v>1621</v>
      </c>
      <c r="AP52" s="216">
        <v>1.05</v>
      </c>
      <c r="AQ52" s="216">
        <v>7.0000000000000007E-2</v>
      </c>
      <c r="AR52" s="216">
        <v>0.15</v>
      </c>
      <c r="AS52" s="213">
        <v>4.1999999999999997E-3</v>
      </c>
      <c r="AT52" s="214">
        <f t="shared" si="8"/>
        <v>1.9676</v>
      </c>
      <c r="AU52" s="214">
        <f t="shared" si="9"/>
        <v>2.6676000000000002</v>
      </c>
      <c r="AV52" s="217">
        <f t="shared" si="10"/>
        <v>4.5450999999999997</v>
      </c>
    </row>
    <row r="53" spans="1:48" ht="112" hidden="1">
      <c r="A53" s="201">
        <v>52</v>
      </c>
      <c r="B53" s="202" t="s">
        <v>206</v>
      </c>
      <c r="C53" s="178" t="s">
        <v>1174</v>
      </c>
      <c r="D53" s="178" t="s">
        <v>1451</v>
      </c>
      <c r="E53" s="178" t="s">
        <v>1452</v>
      </c>
      <c r="F53" s="178" t="s">
        <v>1174</v>
      </c>
      <c r="G53" s="178" t="s">
        <v>413</v>
      </c>
      <c r="H53" s="178" t="s">
        <v>206</v>
      </c>
      <c r="I53" s="178" t="s">
        <v>1622</v>
      </c>
      <c r="J53" s="203">
        <v>41103</v>
      </c>
      <c r="K53" s="204">
        <v>64884</v>
      </c>
      <c r="L53" s="205">
        <v>624</v>
      </c>
      <c r="M53" s="178" t="s">
        <v>1174</v>
      </c>
      <c r="N53" s="206">
        <v>0.5</v>
      </c>
      <c r="O53" s="178" t="s">
        <v>1174</v>
      </c>
      <c r="P53" s="206">
        <v>0.5</v>
      </c>
      <c r="Q53" s="207" t="s">
        <v>1623</v>
      </c>
      <c r="R53" s="162">
        <f t="shared" si="0"/>
        <v>1</v>
      </c>
      <c r="S53" s="208">
        <v>5.38</v>
      </c>
      <c r="T53" s="209">
        <f t="shared" si="1"/>
        <v>0.75</v>
      </c>
      <c r="U53" s="203">
        <v>41134</v>
      </c>
      <c r="V53" s="204">
        <v>67899</v>
      </c>
      <c r="W53" s="210">
        <f t="shared" si="2"/>
        <v>0.34799999999999998</v>
      </c>
      <c r="X53" s="205">
        <v>1768</v>
      </c>
      <c r="Y53" s="205">
        <v>31</v>
      </c>
      <c r="Z53" s="211">
        <f t="shared" si="3"/>
        <v>3015</v>
      </c>
      <c r="AA53" s="212">
        <f t="shared" si="4"/>
        <v>0.10299999999999999</v>
      </c>
      <c r="AB53" s="213">
        <f t="shared" si="5"/>
        <v>4.6467542075087742E-2</v>
      </c>
      <c r="AC53" s="212">
        <f t="shared" si="6"/>
        <v>0.315</v>
      </c>
      <c r="AD53" s="214">
        <f t="shared" si="7"/>
        <v>2.516</v>
      </c>
      <c r="AE53" s="207" t="s">
        <v>1176</v>
      </c>
      <c r="AF53" s="178" t="s">
        <v>1176</v>
      </c>
      <c r="AG53" s="178" t="s">
        <v>1176</v>
      </c>
      <c r="AH53" s="178" t="s">
        <v>1174</v>
      </c>
      <c r="AI53" s="178" t="s">
        <v>1174</v>
      </c>
      <c r="AJ53" s="206">
        <v>0.4</v>
      </c>
      <c r="AK53" s="178" t="s">
        <v>1174</v>
      </c>
      <c r="AL53" s="207" t="s">
        <v>1455</v>
      </c>
      <c r="AM53" s="206">
        <v>0.25</v>
      </c>
      <c r="AN53" s="215">
        <v>0.5</v>
      </c>
      <c r="AO53" s="207" t="s">
        <v>1624</v>
      </c>
      <c r="AP53" s="216">
        <v>0.11</v>
      </c>
      <c r="AQ53" s="216">
        <v>0</v>
      </c>
      <c r="AR53" s="216">
        <v>0</v>
      </c>
      <c r="AS53" s="213">
        <v>4.0000000000000002E-4</v>
      </c>
      <c r="AT53" s="214">
        <f t="shared" si="8"/>
        <v>0.19339999999999999</v>
      </c>
      <c r="AU53" s="214">
        <f t="shared" si="9"/>
        <v>1.3433999999999999</v>
      </c>
      <c r="AV53" s="217">
        <f t="shared" si="10"/>
        <v>3.8593999999999999</v>
      </c>
    </row>
    <row r="54" spans="1:48" ht="168">
      <c r="A54" s="201">
        <v>53</v>
      </c>
      <c r="B54" s="202" t="s">
        <v>209</v>
      </c>
      <c r="C54" s="178" t="s">
        <v>1174</v>
      </c>
      <c r="D54" s="178" t="s">
        <v>1451</v>
      </c>
      <c r="E54" s="178" t="s">
        <v>1452</v>
      </c>
      <c r="F54" s="178" t="s">
        <v>1176</v>
      </c>
      <c r="G54" s="178" t="s">
        <v>413</v>
      </c>
      <c r="H54" s="178" t="s">
        <v>209</v>
      </c>
      <c r="I54" s="178" t="s">
        <v>1625</v>
      </c>
      <c r="J54" s="203">
        <v>41103</v>
      </c>
      <c r="K54" s="204">
        <v>31252</v>
      </c>
      <c r="L54" s="205">
        <v>508</v>
      </c>
      <c r="M54" s="178" t="s">
        <v>1174</v>
      </c>
      <c r="N54" s="206">
        <v>0.5</v>
      </c>
      <c r="O54" s="178" t="s">
        <v>1176</v>
      </c>
      <c r="P54" s="206">
        <v>0</v>
      </c>
      <c r="Q54" s="207" t="s">
        <v>1626</v>
      </c>
      <c r="R54" s="162">
        <f t="shared" si="0"/>
        <v>0.5</v>
      </c>
      <c r="S54" s="208">
        <v>5.83</v>
      </c>
      <c r="T54" s="209">
        <f t="shared" si="1"/>
        <v>0.75</v>
      </c>
      <c r="U54" s="203">
        <v>41134</v>
      </c>
      <c r="V54" s="204">
        <v>32449</v>
      </c>
      <c r="W54" s="210">
        <f t="shared" si="2"/>
        <v>0.19</v>
      </c>
      <c r="X54" s="205">
        <v>641</v>
      </c>
      <c r="Y54" s="205">
        <v>31</v>
      </c>
      <c r="Z54" s="211">
        <f t="shared" si="3"/>
        <v>1197</v>
      </c>
      <c r="AA54" s="212">
        <f t="shared" si="4"/>
        <v>4.7500000000000001E-2</v>
      </c>
      <c r="AB54" s="213">
        <f t="shared" si="5"/>
        <v>3.8301548700883092E-2</v>
      </c>
      <c r="AC54" s="212">
        <f t="shared" si="6"/>
        <v>0.23499999999999999</v>
      </c>
      <c r="AD54" s="214">
        <f t="shared" si="7"/>
        <v>1.7224999999999999</v>
      </c>
      <c r="AE54" s="207" t="s">
        <v>1176</v>
      </c>
      <c r="AF54" s="178" t="s">
        <v>1176</v>
      </c>
      <c r="AG54" s="178" t="s">
        <v>1176</v>
      </c>
      <c r="AH54" s="178" t="s">
        <v>1174</v>
      </c>
      <c r="AI54" s="178" t="s">
        <v>1176</v>
      </c>
      <c r="AJ54" s="206">
        <v>0.2</v>
      </c>
      <c r="AK54" s="178" t="s">
        <v>1174</v>
      </c>
      <c r="AL54" s="207" t="s">
        <v>1459</v>
      </c>
      <c r="AM54" s="206">
        <v>0.5</v>
      </c>
      <c r="AN54" s="215">
        <v>0.25</v>
      </c>
      <c r="AO54" s="207" t="s">
        <v>1627</v>
      </c>
      <c r="AP54" s="216">
        <v>0.4</v>
      </c>
      <c r="AQ54" s="216">
        <v>0.01</v>
      </c>
      <c r="AR54" s="216">
        <v>0.01</v>
      </c>
      <c r="AS54" s="213">
        <v>1.4000000000000002E-3</v>
      </c>
      <c r="AT54" s="214">
        <f t="shared" si="8"/>
        <v>1.1612</v>
      </c>
      <c r="AU54" s="214">
        <f t="shared" si="9"/>
        <v>2.1112000000000002</v>
      </c>
      <c r="AV54" s="217">
        <f t="shared" si="10"/>
        <v>3.8337000000000003</v>
      </c>
    </row>
    <row r="55" spans="1:48" ht="196" hidden="1">
      <c r="A55" s="201">
        <v>54</v>
      </c>
      <c r="B55" s="202" t="s">
        <v>213</v>
      </c>
      <c r="C55" s="178" t="s">
        <v>1174</v>
      </c>
      <c r="D55" s="178" t="s">
        <v>1451</v>
      </c>
      <c r="E55" s="178" t="s">
        <v>1452</v>
      </c>
      <c r="F55" s="178" t="s">
        <v>1176</v>
      </c>
      <c r="G55" s="178" t="s">
        <v>413</v>
      </c>
      <c r="H55" s="178" t="s">
        <v>213</v>
      </c>
      <c r="I55" s="178" t="s">
        <v>1628</v>
      </c>
      <c r="J55" s="203">
        <v>41103</v>
      </c>
      <c r="K55" s="204">
        <v>14681</v>
      </c>
      <c r="L55" s="205">
        <v>707</v>
      </c>
      <c r="M55" s="178" t="s">
        <v>1176</v>
      </c>
      <c r="N55" s="206">
        <v>0</v>
      </c>
      <c r="O55" s="178" t="s">
        <v>1174</v>
      </c>
      <c r="P55" s="206">
        <v>0.5</v>
      </c>
      <c r="Q55" s="207" t="s">
        <v>1629</v>
      </c>
      <c r="R55" s="162">
        <f t="shared" si="0"/>
        <v>0.5</v>
      </c>
      <c r="S55" s="208">
        <v>6.36</v>
      </c>
      <c r="T55" s="209">
        <f t="shared" si="1"/>
        <v>1</v>
      </c>
      <c r="U55" s="203">
        <v>41134</v>
      </c>
      <c r="V55" s="204">
        <v>16615</v>
      </c>
      <c r="W55" s="210">
        <f t="shared" si="2"/>
        <v>6.2E-2</v>
      </c>
      <c r="X55" s="205">
        <v>1070</v>
      </c>
      <c r="Y55" s="205">
        <v>31</v>
      </c>
      <c r="Z55" s="211">
        <f t="shared" si="3"/>
        <v>1934</v>
      </c>
      <c r="AA55" s="212">
        <f t="shared" si="4"/>
        <v>6.3E-2</v>
      </c>
      <c r="AB55" s="213">
        <f t="shared" si="5"/>
        <v>0.13173489544308969</v>
      </c>
      <c r="AC55" s="212">
        <f t="shared" si="6"/>
        <v>0.45</v>
      </c>
      <c r="AD55" s="214">
        <f t="shared" si="7"/>
        <v>2.0750000000000002</v>
      </c>
      <c r="AE55" s="207" t="s">
        <v>1176</v>
      </c>
      <c r="AF55" s="178" t="s">
        <v>1176</v>
      </c>
      <c r="AG55" s="178" t="s">
        <v>1174</v>
      </c>
      <c r="AH55" s="178" t="s">
        <v>1174</v>
      </c>
      <c r="AI55" s="178" t="s">
        <v>1174</v>
      </c>
      <c r="AJ55" s="206">
        <v>0.6</v>
      </c>
      <c r="AK55" s="178" t="s">
        <v>1174</v>
      </c>
      <c r="AL55" s="207" t="s">
        <v>1459</v>
      </c>
      <c r="AM55" s="206">
        <v>0.5</v>
      </c>
      <c r="AN55" s="215">
        <v>0.5</v>
      </c>
      <c r="AO55" s="207" t="s">
        <v>1630</v>
      </c>
      <c r="AP55" s="216">
        <v>0.25</v>
      </c>
      <c r="AQ55" s="216">
        <v>0.02</v>
      </c>
      <c r="AR55" s="216">
        <v>0.01</v>
      </c>
      <c r="AS55" s="213">
        <v>8.9999999999999998E-4</v>
      </c>
      <c r="AT55" s="214">
        <f t="shared" si="8"/>
        <v>0.70960000000000001</v>
      </c>
      <c r="AU55" s="214">
        <f t="shared" si="9"/>
        <v>2.3096000000000001</v>
      </c>
      <c r="AV55" s="217">
        <f t="shared" si="10"/>
        <v>4.3846000000000007</v>
      </c>
    </row>
    <row r="56" spans="1:48" ht="56" hidden="1">
      <c r="A56" s="226">
        <v>55</v>
      </c>
      <c r="B56" s="227" t="s">
        <v>215</v>
      </c>
      <c r="C56" s="220" t="s">
        <v>1174</v>
      </c>
      <c r="D56" s="220" t="s">
        <v>1451</v>
      </c>
      <c r="E56" s="220" t="s">
        <v>1452</v>
      </c>
      <c r="F56" s="220" t="s">
        <v>1176</v>
      </c>
      <c r="G56" s="220" t="s">
        <v>413</v>
      </c>
      <c r="H56" s="220" t="s">
        <v>215</v>
      </c>
      <c r="I56" s="220" t="s">
        <v>1631</v>
      </c>
      <c r="J56" s="221">
        <v>41103</v>
      </c>
      <c r="K56" s="222">
        <v>0</v>
      </c>
      <c r="L56" s="215">
        <v>0</v>
      </c>
      <c r="M56" s="220" t="s">
        <v>1176</v>
      </c>
      <c r="N56" s="215">
        <v>0</v>
      </c>
      <c r="O56" s="220" t="s">
        <v>1176</v>
      </c>
      <c r="P56" s="215">
        <v>0</v>
      </c>
      <c r="Q56" s="223" t="s">
        <v>1632</v>
      </c>
      <c r="R56" s="162">
        <f t="shared" si="0"/>
        <v>0</v>
      </c>
      <c r="S56" s="224">
        <v>4</v>
      </c>
      <c r="T56" s="209">
        <f t="shared" si="1"/>
        <v>0.5</v>
      </c>
      <c r="U56" s="221">
        <v>41134</v>
      </c>
      <c r="V56" s="222">
        <v>40938</v>
      </c>
      <c r="W56" s="210">
        <f t="shared" si="2"/>
        <v>0.222</v>
      </c>
      <c r="X56" s="215">
        <v>2039</v>
      </c>
      <c r="Y56" s="205">
        <v>31</v>
      </c>
      <c r="Z56" s="215">
        <f t="shared" si="3"/>
        <v>40938</v>
      </c>
      <c r="AA56" s="212">
        <f t="shared" si="4"/>
        <v>0.36499999999999999</v>
      </c>
      <c r="AB56" s="228">
        <v>1</v>
      </c>
      <c r="AC56" s="212">
        <f t="shared" si="6"/>
        <v>0.5</v>
      </c>
      <c r="AD56" s="214">
        <f t="shared" si="7"/>
        <v>1.587</v>
      </c>
      <c r="AE56" s="223" t="s">
        <v>1176</v>
      </c>
      <c r="AF56" s="220" t="s">
        <v>1176</v>
      </c>
      <c r="AG56" s="220" t="s">
        <v>1176</v>
      </c>
      <c r="AH56" s="220" t="s">
        <v>1176</v>
      </c>
      <c r="AI56" s="220" t="s">
        <v>1176</v>
      </c>
      <c r="AJ56" s="215">
        <v>0</v>
      </c>
      <c r="AK56" s="220" t="s">
        <v>1174</v>
      </c>
      <c r="AL56" s="223" t="s">
        <v>1459</v>
      </c>
      <c r="AM56" s="215">
        <v>0.5</v>
      </c>
      <c r="AN56" s="215">
        <v>0.25</v>
      </c>
      <c r="AO56" s="223" t="s">
        <v>1633</v>
      </c>
      <c r="AP56" s="229">
        <v>5.1946866298443421E-3</v>
      </c>
      <c r="AQ56" s="229">
        <v>6.1624138403250101E-5</v>
      </c>
      <c r="AR56" s="229">
        <v>2.761674350664171E-4</v>
      </c>
      <c r="AS56" s="228">
        <v>1.8441594011046696E-3</v>
      </c>
      <c r="AT56" s="214">
        <f t="shared" si="8"/>
        <v>1.5482</v>
      </c>
      <c r="AU56" s="214">
        <f t="shared" si="9"/>
        <v>2.2982</v>
      </c>
      <c r="AV56" s="217">
        <f t="shared" si="10"/>
        <v>3.8852000000000002</v>
      </c>
    </row>
    <row r="57" spans="1:48" ht="140" hidden="1">
      <c r="A57" s="201">
        <v>56</v>
      </c>
      <c r="B57" s="202" t="s">
        <v>218</v>
      </c>
      <c r="C57" s="178" t="s">
        <v>1174</v>
      </c>
      <c r="D57" s="178" t="s">
        <v>1451</v>
      </c>
      <c r="E57" s="178" t="s">
        <v>1452</v>
      </c>
      <c r="F57" s="178" t="s">
        <v>1174</v>
      </c>
      <c r="G57" s="178" t="s">
        <v>413</v>
      </c>
      <c r="H57" s="178" t="s">
        <v>218</v>
      </c>
      <c r="I57" s="178" t="s">
        <v>1634</v>
      </c>
      <c r="J57" s="203">
        <v>41103</v>
      </c>
      <c r="K57" s="204">
        <v>3689068</v>
      </c>
      <c r="L57" s="205">
        <v>126309</v>
      </c>
      <c r="M57" s="178" t="s">
        <v>1174</v>
      </c>
      <c r="N57" s="206">
        <v>0.5</v>
      </c>
      <c r="O57" s="178" t="s">
        <v>1174</v>
      </c>
      <c r="P57" s="206">
        <v>0.5</v>
      </c>
      <c r="Q57" s="207" t="s">
        <v>1635</v>
      </c>
      <c r="R57" s="162">
        <f t="shared" si="0"/>
        <v>1</v>
      </c>
      <c r="S57" s="208">
        <v>3.33</v>
      </c>
      <c r="T57" s="209">
        <f t="shared" si="1"/>
        <v>0.5</v>
      </c>
      <c r="U57" s="203">
        <v>41134</v>
      </c>
      <c r="V57" s="204">
        <v>4164730</v>
      </c>
      <c r="W57" s="210">
        <f t="shared" si="2"/>
        <v>1.714</v>
      </c>
      <c r="X57" s="205">
        <v>105501</v>
      </c>
      <c r="Y57" s="205">
        <v>31</v>
      </c>
      <c r="Z57" s="211">
        <f t="shared" si="3"/>
        <v>475662</v>
      </c>
      <c r="AA57" s="212">
        <f t="shared" si="4"/>
        <v>0.48399999999999999</v>
      </c>
      <c r="AB57" s="213">
        <f t="shared" si="5"/>
        <v>0.12893825757616839</v>
      </c>
      <c r="AC57" s="212">
        <f t="shared" si="6"/>
        <v>0.44</v>
      </c>
      <c r="AD57" s="214">
        <f t="shared" si="7"/>
        <v>4.1379999999999999</v>
      </c>
      <c r="AE57" s="207" t="s">
        <v>1176</v>
      </c>
      <c r="AF57" s="178" t="s">
        <v>1176</v>
      </c>
      <c r="AG57" s="178" t="s">
        <v>1176</v>
      </c>
      <c r="AH57" s="178" t="s">
        <v>1176</v>
      </c>
      <c r="AI57" s="178" t="s">
        <v>1174</v>
      </c>
      <c r="AJ57" s="206">
        <v>0.2</v>
      </c>
      <c r="AK57" s="178" t="s">
        <v>1174</v>
      </c>
      <c r="AL57" s="207" t="s">
        <v>1455</v>
      </c>
      <c r="AM57" s="206">
        <v>0.25</v>
      </c>
      <c r="AN57" s="215">
        <v>0.25</v>
      </c>
      <c r="AO57" s="207" t="s">
        <v>1636</v>
      </c>
      <c r="AP57" s="216">
        <v>0.11</v>
      </c>
      <c r="AQ57" s="216">
        <v>0</v>
      </c>
      <c r="AR57" s="216">
        <v>0</v>
      </c>
      <c r="AS57" s="213">
        <v>4.0000000000000002E-4</v>
      </c>
      <c r="AT57" s="214">
        <f t="shared" si="8"/>
        <v>0.19339999999999999</v>
      </c>
      <c r="AU57" s="214">
        <f t="shared" si="9"/>
        <v>0.89339999999999997</v>
      </c>
      <c r="AV57" s="217">
        <f t="shared" si="10"/>
        <v>5.0313999999999997</v>
      </c>
    </row>
    <row r="58" spans="1:48" ht="70" hidden="1">
      <c r="A58" s="201">
        <v>57</v>
      </c>
      <c r="B58" s="202" t="s">
        <v>220</v>
      </c>
      <c r="C58" s="178" t="s">
        <v>1174</v>
      </c>
      <c r="D58" s="178" t="s">
        <v>1451</v>
      </c>
      <c r="E58" s="178" t="s">
        <v>1452</v>
      </c>
      <c r="F58" s="178" t="s">
        <v>1174</v>
      </c>
      <c r="G58" s="178" t="s">
        <v>413</v>
      </c>
      <c r="H58" s="178" t="s">
        <v>220</v>
      </c>
      <c r="I58" s="178" t="s">
        <v>1637</v>
      </c>
      <c r="J58" s="203">
        <v>41103</v>
      </c>
      <c r="K58" s="204">
        <v>400535</v>
      </c>
      <c r="L58" s="205">
        <v>15529</v>
      </c>
      <c r="M58" s="178" t="s">
        <v>1174</v>
      </c>
      <c r="N58" s="206">
        <v>0.5</v>
      </c>
      <c r="O58" s="178" t="s">
        <v>1174</v>
      </c>
      <c r="P58" s="206">
        <v>0.5</v>
      </c>
      <c r="Q58" s="207" t="s">
        <v>1638</v>
      </c>
      <c r="R58" s="162">
        <f t="shared" si="0"/>
        <v>1</v>
      </c>
      <c r="S58" s="208">
        <v>8.75</v>
      </c>
      <c r="T58" s="209">
        <f t="shared" si="1"/>
        <v>0.75</v>
      </c>
      <c r="U58" s="203">
        <v>41134</v>
      </c>
      <c r="V58" s="204">
        <v>417820</v>
      </c>
      <c r="W58" s="210">
        <f t="shared" si="2"/>
        <v>1.046</v>
      </c>
      <c r="X58" s="205">
        <v>10701</v>
      </c>
      <c r="Y58" s="205">
        <v>31</v>
      </c>
      <c r="Z58" s="211">
        <f t="shared" si="3"/>
        <v>17285</v>
      </c>
      <c r="AA58" s="212">
        <f t="shared" si="4"/>
        <v>0.26150000000000001</v>
      </c>
      <c r="AB58" s="213">
        <f t="shared" si="5"/>
        <v>4.3154780481106547E-2</v>
      </c>
      <c r="AC58" s="212">
        <f t="shared" si="6"/>
        <v>0.3</v>
      </c>
      <c r="AD58" s="214">
        <f t="shared" si="7"/>
        <v>3.3574999999999999</v>
      </c>
      <c r="AE58" s="207" t="s">
        <v>1176</v>
      </c>
      <c r="AF58" s="178" t="s">
        <v>1176</v>
      </c>
      <c r="AG58" s="178" t="s">
        <v>1176</v>
      </c>
      <c r="AH58" s="178" t="s">
        <v>1176</v>
      </c>
      <c r="AI58" s="178" t="s">
        <v>1176</v>
      </c>
      <c r="AJ58" s="206">
        <v>0</v>
      </c>
      <c r="AK58" s="178" t="s">
        <v>1174</v>
      </c>
      <c r="AL58" s="207" t="s">
        <v>1596</v>
      </c>
      <c r="AM58" s="206">
        <v>0.75</v>
      </c>
      <c r="AN58" s="215">
        <v>0.25</v>
      </c>
      <c r="AO58" s="207" t="s">
        <v>1639</v>
      </c>
      <c r="AP58" s="216">
        <v>0.16</v>
      </c>
      <c r="AQ58" s="216">
        <v>0.01</v>
      </c>
      <c r="AR58" s="216">
        <v>0</v>
      </c>
      <c r="AS58" s="213">
        <v>5.9999999999999995E-4</v>
      </c>
      <c r="AT58" s="214">
        <f t="shared" si="8"/>
        <v>0.48380000000000001</v>
      </c>
      <c r="AU58" s="214">
        <f t="shared" si="9"/>
        <v>1.4838</v>
      </c>
      <c r="AV58" s="217">
        <f t="shared" si="10"/>
        <v>4.8413000000000004</v>
      </c>
    </row>
    <row r="59" spans="1:48" ht="112" hidden="1">
      <c r="A59" s="201">
        <v>58</v>
      </c>
      <c r="B59" s="202" t="s">
        <v>222</v>
      </c>
      <c r="C59" s="178" t="s">
        <v>1174</v>
      </c>
      <c r="D59" s="178" t="s">
        <v>1451</v>
      </c>
      <c r="E59" s="178" t="s">
        <v>1452</v>
      </c>
      <c r="F59" s="178" t="s">
        <v>1174</v>
      </c>
      <c r="G59" s="178" t="s">
        <v>413</v>
      </c>
      <c r="H59" s="178" t="s">
        <v>222</v>
      </c>
      <c r="I59" s="178" t="s">
        <v>1640</v>
      </c>
      <c r="J59" s="203">
        <v>41103</v>
      </c>
      <c r="K59" s="204">
        <v>216972</v>
      </c>
      <c r="L59" s="205">
        <v>10141</v>
      </c>
      <c r="M59" s="178" t="s">
        <v>1176</v>
      </c>
      <c r="N59" s="206">
        <v>0</v>
      </c>
      <c r="O59" s="178" t="s">
        <v>1176</v>
      </c>
      <c r="P59" s="206">
        <v>0</v>
      </c>
      <c r="Q59" s="207" t="s">
        <v>1641</v>
      </c>
      <c r="R59" s="162">
        <f t="shared" si="0"/>
        <v>0</v>
      </c>
      <c r="S59" s="208">
        <v>3.18</v>
      </c>
      <c r="T59" s="209">
        <f t="shared" si="1"/>
        <v>0.5</v>
      </c>
      <c r="U59" s="203">
        <v>41134</v>
      </c>
      <c r="V59" s="204">
        <v>229341</v>
      </c>
      <c r="W59" s="210">
        <f t="shared" si="2"/>
        <v>0.73</v>
      </c>
      <c r="X59" s="205">
        <v>7244</v>
      </c>
      <c r="Y59" s="205">
        <v>31</v>
      </c>
      <c r="Z59" s="211">
        <f t="shared" si="3"/>
        <v>12369</v>
      </c>
      <c r="AA59" s="212">
        <f t="shared" si="4"/>
        <v>0.20599999999999999</v>
      </c>
      <c r="AB59" s="213">
        <f t="shared" si="5"/>
        <v>5.7007355787843661E-2</v>
      </c>
      <c r="AC59" s="212">
        <f t="shared" si="6"/>
        <v>0.34499999999999997</v>
      </c>
      <c r="AD59" s="214">
        <f t="shared" si="7"/>
        <v>1.7809999999999999</v>
      </c>
      <c r="AE59" s="207" t="s">
        <v>1174</v>
      </c>
      <c r="AF59" s="178" t="s">
        <v>1176</v>
      </c>
      <c r="AG59" s="178" t="s">
        <v>1174</v>
      </c>
      <c r="AH59" s="178" t="s">
        <v>1176</v>
      </c>
      <c r="AI59" s="178" t="s">
        <v>1176</v>
      </c>
      <c r="AJ59" s="206">
        <v>0.4</v>
      </c>
      <c r="AK59" s="178" t="s">
        <v>1174</v>
      </c>
      <c r="AL59" s="207" t="s">
        <v>1459</v>
      </c>
      <c r="AM59" s="206">
        <v>0.5</v>
      </c>
      <c r="AN59" s="215">
        <v>0.5</v>
      </c>
      <c r="AO59" s="207" t="s">
        <v>1642</v>
      </c>
      <c r="AP59" s="216">
        <v>0.6</v>
      </c>
      <c r="AQ59" s="216">
        <v>0.01</v>
      </c>
      <c r="AR59" s="216">
        <v>0.06</v>
      </c>
      <c r="AS59" s="213">
        <v>2.2000000000000001E-3</v>
      </c>
      <c r="AT59" s="214">
        <f t="shared" si="8"/>
        <v>1.6774</v>
      </c>
      <c r="AU59" s="214">
        <f t="shared" si="9"/>
        <v>3.0773999999999999</v>
      </c>
      <c r="AV59" s="217">
        <f t="shared" si="10"/>
        <v>4.8583999999999996</v>
      </c>
    </row>
    <row r="60" spans="1:48" ht="98" hidden="1">
      <c r="A60" s="201">
        <v>59</v>
      </c>
      <c r="B60" s="202" t="s">
        <v>225</v>
      </c>
      <c r="C60" s="178" t="s">
        <v>1174</v>
      </c>
      <c r="D60" s="178" t="s">
        <v>1451</v>
      </c>
      <c r="E60" s="178" t="s">
        <v>1452</v>
      </c>
      <c r="F60" s="178" t="s">
        <v>1176</v>
      </c>
      <c r="G60" s="178" t="s">
        <v>413</v>
      </c>
      <c r="H60" s="178" t="s">
        <v>1643</v>
      </c>
      <c r="I60" s="178" t="s">
        <v>1644</v>
      </c>
      <c r="J60" s="203">
        <v>41103</v>
      </c>
      <c r="K60" s="204">
        <v>939235</v>
      </c>
      <c r="L60" s="205">
        <v>21726</v>
      </c>
      <c r="M60" s="178" t="s">
        <v>1176</v>
      </c>
      <c r="N60" s="206">
        <v>0</v>
      </c>
      <c r="O60" s="178" t="s">
        <v>1176</v>
      </c>
      <c r="P60" s="206">
        <v>0</v>
      </c>
      <c r="Q60" s="207" t="s">
        <v>1645</v>
      </c>
      <c r="R60" s="162">
        <f t="shared" si="0"/>
        <v>0</v>
      </c>
      <c r="S60" s="208">
        <v>2.5</v>
      </c>
      <c r="T60" s="209">
        <f t="shared" si="1"/>
        <v>0.25</v>
      </c>
      <c r="U60" s="203">
        <v>41134</v>
      </c>
      <c r="V60" s="204">
        <v>973345</v>
      </c>
      <c r="W60" s="210">
        <f t="shared" si="2"/>
        <v>1.3959999999999999</v>
      </c>
      <c r="X60" s="205">
        <v>18568</v>
      </c>
      <c r="Y60" s="205">
        <v>31</v>
      </c>
      <c r="Z60" s="211">
        <f t="shared" si="3"/>
        <v>34110</v>
      </c>
      <c r="AA60" s="212">
        <f t="shared" si="4"/>
        <v>0.34899999999999998</v>
      </c>
      <c r="AB60" s="213">
        <f t="shared" si="5"/>
        <v>3.6316789727810495E-2</v>
      </c>
      <c r="AC60" s="212">
        <f t="shared" si="6"/>
        <v>0.23</v>
      </c>
      <c r="AD60" s="214">
        <f t="shared" si="7"/>
        <v>2.2249999999999996</v>
      </c>
      <c r="AE60" s="207" t="s">
        <v>1176</v>
      </c>
      <c r="AF60" s="178" t="s">
        <v>1176</v>
      </c>
      <c r="AG60" s="178" t="s">
        <v>1176</v>
      </c>
      <c r="AH60" s="178" t="s">
        <v>1176</v>
      </c>
      <c r="AI60" s="178" t="s">
        <v>1176</v>
      </c>
      <c r="AJ60" s="206">
        <v>0</v>
      </c>
      <c r="AK60" s="178" t="s">
        <v>1176</v>
      </c>
      <c r="AL60" s="207" t="s">
        <v>579</v>
      </c>
      <c r="AM60" s="206">
        <v>0</v>
      </c>
      <c r="AN60" s="215">
        <v>0</v>
      </c>
      <c r="AO60" s="207" t="s">
        <v>1646</v>
      </c>
      <c r="AP60" s="216">
        <v>0.35</v>
      </c>
      <c r="AQ60" s="216">
        <v>0.01</v>
      </c>
      <c r="AR60" s="216">
        <v>0.03</v>
      </c>
      <c r="AS60" s="213">
        <v>1.2999999999999999E-3</v>
      </c>
      <c r="AT60" s="214">
        <f t="shared" si="8"/>
        <v>1.0644</v>
      </c>
      <c r="AU60" s="214">
        <f t="shared" si="9"/>
        <v>1.0644</v>
      </c>
      <c r="AV60" s="217">
        <f t="shared" si="10"/>
        <v>3.2893999999999997</v>
      </c>
    </row>
    <row r="61" spans="1:48" ht="98" hidden="1">
      <c r="A61" s="201">
        <v>60</v>
      </c>
      <c r="B61" s="202" t="s">
        <v>228</v>
      </c>
      <c r="C61" s="178" t="s">
        <v>1174</v>
      </c>
      <c r="D61" s="178" t="s">
        <v>1451</v>
      </c>
      <c r="E61" s="178" t="s">
        <v>1452</v>
      </c>
      <c r="F61" s="178" t="s">
        <v>1174</v>
      </c>
      <c r="G61" s="178" t="s">
        <v>413</v>
      </c>
      <c r="H61" s="178" t="s">
        <v>228</v>
      </c>
      <c r="I61" s="178" t="s">
        <v>1647</v>
      </c>
      <c r="J61" s="203">
        <v>41103</v>
      </c>
      <c r="K61" s="204">
        <v>491096</v>
      </c>
      <c r="L61" s="205">
        <v>9518</v>
      </c>
      <c r="M61" s="178" t="s">
        <v>1176</v>
      </c>
      <c r="N61" s="206">
        <v>0</v>
      </c>
      <c r="O61" s="178" t="s">
        <v>1176</v>
      </c>
      <c r="P61" s="206">
        <v>0</v>
      </c>
      <c r="Q61" s="207" t="s">
        <v>1648</v>
      </c>
      <c r="R61" s="162">
        <f t="shared" si="0"/>
        <v>0</v>
      </c>
      <c r="S61" s="208">
        <v>2.41</v>
      </c>
      <c r="T61" s="209">
        <f t="shared" si="1"/>
        <v>0.25</v>
      </c>
      <c r="U61" s="203">
        <v>41134</v>
      </c>
      <c r="V61" s="204">
        <v>504373</v>
      </c>
      <c r="W61" s="210">
        <f t="shared" si="2"/>
        <v>1.1419999999999999</v>
      </c>
      <c r="X61" s="205">
        <v>7795</v>
      </c>
      <c r="Y61" s="205">
        <v>31</v>
      </c>
      <c r="Z61" s="211">
        <f t="shared" si="3"/>
        <v>13277</v>
      </c>
      <c r="AA61" s="212">
        <f t="shared" si="4"/>
        <v>0.23</v>
      </c>
      <c r="AB61" s="213">
        <f t="shared" si="5"/>
        <v>2.7035447244530664E-2</v>
      </c>
      <c r="AC61" s="212">
        <f t="shared" si="6"/>
        <v>0.14000000000000001</v>
      </c>
      <c r="AD61" s="214">
        <f t="shared" si="7"/>
        <v>1.762</v>
      </c>
      <c r="AE61" s="207" t="s">
        <v>1176</v>
      </c>
      <c r="AF61" s="178" t="s">
        <v>1176</v>
      </c>
      <c r="AG61" s="178" t="s">
        <v>1176</v>
      </c>
      <c r="AH61" s="178" t="s">
        <v>1176</v>
      </c>
      <c r="AI61" s="178" t="s">
        <v>1176</v>
      </c>
      <c r="AJ61" s="206">
        <v>0</v>
      </c>
      <c r="AK61" s="178" t="s">
        <v>1174</v>
      </c>
      <c r="AL61" s="207" t="s">
        <v>1455</v>
      </c>
      <c r="AM61" s="206">
        <v>0.25</v>
      </c>
      <c r="AN61" s="215">
        <v>0.25</v>
      </c>
      <c r="AO61" s="207" t="s">
        <v>1649</v>
      </c>
      <c r="AP61" s="216">
        <v>0.79</v>
      </c>
      <c r="AQ61" s="216">
        <v>0.01</v>
      </c>
      <c r="AR61" s="216">
        <v>0.06</v>
      </c>
      <c r="AS61" s="213">
        <v>2.8999999999999998E-3</v>
      </c>
      <c r="AT61" s="214">
        <f t="shared" si="8"/>
        <v>1.774</v>
      </c>
      <c r="AU61" s="214">
        <f t="shared" si="9"/>
        <v>2.274</v>
      </c>
      <c r="AV61" s="217">
        <f t="shared" si="10"/>
        <v>4.0359999999999996</v>
      </c>
    </row>
    <row r="62" spans="1:48" ht="56" hidden="1">
      <c r="A62" s="201">
        <v>61</v>
      </c>
      <c r="B62" s="202" t="s">
        <v>229</v>
      </c>
      <c r="C62" s="178" t="s">
        <v>1174</v>
      </c>
      <c r="D62" s="178" t="s">
        <v>1451</v>
      </c>
      <c r="E62" s="178" t="s">
        <v>1452</v>
      </c>
      <c r="F62" s="178" t="s">
        <v>1174</v>
      </c>
      <c r="G62" s="178" t="s">
        <v>413</v>
      </c>
      <c r="H62" s="178" t="s">
        <v>229</v>
      </c>
      <c r="I62" s="178" t="s">
        <v>1650</v>
      </c>
      <c r="J62" s="203">
        <v>41103</v>
      </c>
      <c r="K62" s="204">
        <v>1074608</v>
      </c>
      <c r="L62" s="205">
        <v>7188</v>
      </c>
      <c r="M62" s="178" t="s">
        <v>1176</v>
      </c>
      <c r="N62" s="206">
        <v>0</v>
      </c>
      <c r="O62" s="178" t="s">
        <v>1176</v>
      </c>
      <c r="P62" s="206">
        <v>0</v>
      </c>
      <c r="Q62" s="207" t="s">
        <v>1651</v>
      </c>
      <c r="R62" s="162">
        <f t="shared" si="0"/>
        <v>0</v>
      </c>
      <c r="S62" s="208">
        <v>0.51</v>
      </c>
      <c r="T62" s="209">
        <f t="shared" si="1"/>
        <v>0.25</v>
      </c>
      <c r="U62" s="203">
        <v>41134</v>
      </c>
      <c r="V62" s="204">
        <v>1105558</v>
      </c>
      <c r="W62" s="210">
        <f t="shared" si="2"/>
        <v>1.4279999999999999</v>
      </c>
      <c r="X62" s="205">
        <v>8285</v>
      </c>
      <c r="Y62" s="205">
        <v>31</v>
      </c>
      <c r="Z62" s="211">
        <f t="shared" si="3"/>
        <v>30950</v>
      </c>
      <c r="AA62" s="212">
        <f t="shared" si="4"/>
        <v>0.32500000000000001</v>
      </c>
      <c r="AB62" s="213">
        <f t="shared" si="5"/>
        <v>2.8801200065512234E-2</v>
      </c>
      <c r="AC62" s="212">
        <f t="shared" si="6"/>
        <v>0.17</v>
      </c>
      <c r="AD62" s="214">
        <f t="shared" si="7"/>
        <v>2.173</v>
      </c>
      <c r="AE62" s="178" t="s">
        <v>1176</v>
      </c>
      <c r="AF62" s="178" t="s">
        <v>1176</v>
      </c>
      <c r="AG62" s="178" t="s">
        <v>1176</v>
      </c>
      <c r="AH62" s="178" t="s">
        <v>1176</v>
      </c>
      <c r="AI62" s="178" t="s">
        <v>1176</v>
      </c>
      <c r="AJ62" s="206">
        <v>0</v>
      </c>
      <c r="AK62" s="178" t="s">
        <v>1176</v>
      </c>
      <c r="AL62" s="207" t="s">
        <v>579</v>
      </c>
      <c r="AM62" s="206">
        <v>0</v>
      </c>
      <c r="AN62" s="215">
        <v>0</v>
      </c>
      <c r="AO62" s="207" t="s">
        <v>1652</v>
      </c>
      <c r="AP62" s="216">
        <v>0.22</v>
      </c>
      <c r="AQ62" s="216">
        <v>0.01</v>
      </c>
      <c r="AR62" s="216">
        <v>0.03</v>
      </c>
      <c r="AS62" s="213">
        <v>8.9999999999999998E-4</v>
      </c>
      <c r="AT62" s="214">
        <f t="shared" si="8"/>
        <v>0.70960000000000001</v>
      </c>
      <c r="AU62" s="214">
        <f t="shared" si="9"/>
        <v>0.70960000000000001</v>
      </c>
      <c r="AV62" s="217">
        <f t="shared" si="10"/>
        <v>2.8826000000000001</v>
      </c>
    </row>
    <row r="63" spans="1:48" ht="84" hidden="1">
      <c r="A63" s="201">
        <v>62</v>
      </c>
      <c r="B63" s="202" t="s">
        <v>231</v>
      </c>
      <c r="C63" s="178" t="s">
        <v>1174</v>
      </c>
      <c r="D63" s="178" t="s">
        <v>1451</v>
      </c>
      <c r="E63" s="178" t="s">
        <v>1452</v>
      </c>
      <c r="F63" s="178" t="s">
        <v>1176</v>
      </c>
      <c r="G63" s="178" t="s">
        <v>413</v>
      </c>
      <c r="H63" s="178" t="s">
        <v>231</v>
      </c>
      <c r="I63" s="178" t="s">
        <v>1653</v>
      </c>
      <c r="J63" s="203">
        <v>41103</v>
      </c>
      <c r="K63" s="204">
        <v>4448</v>
      </c>
      <c r="L63" s="205">
        <v>80</v>
      </c>
      <c r="M63" s="178" t="s">
        <v>1176</v>
      </c>
      <c r="N63" s="206">
        <v>0</v>
      </c>
      <c r="O63" s="178" t="s">
        <v>1176</v>
      </c>
      <c r="P63" s="206">
        <v>0</v>
      </c>
      <c r="Q63" s="207" t="s">
        <v>1654</v>
      </c>
      <c r="R63" s="162">
        <f t="shared" si="0"/>
        <v>0</v>
      </c>
      <c r="S63" s="208">
        <v>2.69</v>
      </c>
      <c r="T63" s="209">
        <f t="shared" si="1"/>
        <v>0.25</v>
      </c>
      <c r="U63" s="203">
        <v>41134</v>
      </c>
      <c r="V63" s="204">
        <v>4787</v>
      </c>
      <c r="W63" s="210">
        <f t="shared" si="2"/>
        <v>0</v>
      </c>
      <c r="X63" s="205">
        <v>88</v>
      </c>
      <c r="Y63" s="205">
        <v>31</v>
      </c>
      <c r="Z63" s="211">
        <f t="shared" si="3"/>
        <v>339</v>
      </c>
      <c r="AA63" s="212">
        <f t="shared" si="4"/>
        <v>7.4999999999999997E-3</v>
      </c>
      <c r="AB63" s="213">
        <f t="shared" si="5"/>
        <v>7.621402877697836E-2</v>
      </c>
      <c r="AC63" s="212">
        <f t="shared" si="6"/>
        <v>0.4</v>
      </c>
      <c r="AD63" s="214">
        <f t="shared" si="7"/>
        <v>0.65749999999999997</v>
      </c>
      <c r="AE63" s="178" t="s">
        <v>1176</v>
      </c>
      <c r="AF63" s="178" t="s">
        <v>1176</v>
      </c>
      <c r="AG63" s="178" t="s">
        <v>1176</v>
      </c>
      <c r="AH63" s="178" t="s">
        <v>1176</v>
      </c>
      <c r="AI63" s="178" t="s">
        <v>1176</v>
      </c>
      <c r="AJ63" s="206">
        <v>0</v>
      </c>
      <c r="AK63" s="178" t="s">
        <v>1176</v>
      </c>
      <c r="AL63" s="207" t="s">
        <v>579</v>
      </c>
      <c r="AM63" s="206">
        <v>0</v>
      </c>
      <c r="AN63" s="215">
        <v>0</v>
      </c>
      <c r="AO63" s="207" t="s">
        <v>1500</v>
      </c>
      <c r="AP63" s="216">
        <v>1.25</v>
      </c>
      <c r="AQ63" s="216">
        <v>0.04</v>
      </c>
      <c r="AR63" s="216">
        <v>0.06</v>
      </c>
      <c r="AS63" s="213">
        <v>4.5000000000000005E-3</v>
      </c>
      <c r="AT63" s="214">
        <f t="shared" si="8"/>
        <v>2</v>
      </c>
      <c r="AU63" s="214">
        <f t="shared" si="9"/>
        <v>2</v>
      </c>
      <c r="AV63" s="217">
        <f t="shared" si="10"/>
        <v>2.6574999999999998</v>
      </c>
    </row>
    <row r="64" spans="1:48" ht="70" hidden="1">
      <c r="A64" s="201">
        <v>63</v>
      </c>
      <c r="B64" s="202" t="s">
        <v>234</v>
      </c>
      <c r="C64" s="178" t="s">
        <v>1174</v>
      </c>
      <c r="D64" s="178" t="s">
        <v>1451</v>
      </c>
      <c r="E64" s="178" t="s">
        <v>1452</v>
      </c>
      <c r="F64" s="178" t="s">
        <v>1176</v>
      </c>
      <c r="G64" s="178" t="s">
        <v>413</v>
      </c>
      <c r="H64" s="178" t="s">
        <v>234</v>
      </c>
      <c r="I64" s="178" t="s">
        <v>1655</v>
      </c>
      <c r="J64" s="203">
        <v>41103</v>
      </c>
      <c r="K64" s="204">
        <v>12578</v>
      </c>
      <c r="L64" s="205">
        <v>130</v>
      </c>
      <c r="M64" s="178" t="s">
        <v>1174</v>
      </c>
      <c r="N64" s="206">
        <v>0.5</v>
      </c>
      <c r="O64" s="178" t="s">
        <v>1176</v>
      </c>
      <c r="P64" s="206">
        <v>0</v>
      </c>
      <c r="Q64" s="207" t="s">
        <v>1656</v>
      </c>
      <c r="R64" s="162">
        <f t="shared" si="0"/>
        <v>0.5</v>
      </c>
      <c r="S64" s="208">
        <v>5</v>
      </c>
      <c r="T64" s="209">
        <f t="shared" si="1"/>
        <v>0.75</v>
      </c>
      <c r="U64" s="203">
        <v>41134</v>
      </c>
      <c r="V64" s="204">
        <v>13092</v>
      </c>
      <c r="W64" s="210">
        <f t="shared" si="2"/>
        <v>0.03</v>
      </c>
      <c r="X64" s="205">
        <v>153</v>
      </c>
      <c r="Y64" s="205">
        <v>31</v>
      </c>
      <c r="Z64" s="211">
        <f t="shared" si="3"/>
        <v>514</v>
      </c>
      <c r="AA64" s="212">
        <f t="shared" si="4"/>
        <v>2.35E-2</v>
      </c>
      <c r="AB64" s="213">
        <f t="shared" si="5"/>
        <v>4.0865002385116922E-2</v>
      </c>
      <c r="AC64" s="212">
        <f t="shared" si="6"/>
        <v>0.26</v>
      </c>
      <c r="AD64" s="214">
        <f t="shared" si="7"/>
        <v>1.5634999999999999</v>
      </c>
      <c r="AE64" s="207" t="s">
        <v>1176</v>
      </c>
      <c r="AF64" s="178" t="s">
        <v>1176</v>
      </c>
      <c r="AG64" s="178" t="s">
        <v>1176</v>
      </c>
      <c r="AH64" s="178" t="s">
        <v>1176</v>
      </c>
      <c r="AI64" s="178" t="s">
        <v>1176</v>
      </c>
      <c r="AJ64" s="206">
        <v>0</v>
      </c>
      <c r="AK64" s="178" t="s">
        <v>1174</v>
      </c>
      <c r="AL64" s="207" t="s">
        <v>1455</v>
      </c>
      <c r="AM64" s="206">
        <v>0.25</v>
      </c>
      <c r="AN64" s="215">
        <v>0</v>
      </c>
      <c r="AO64" s="207" t="s">
        <v>1657</v>
      </c>
      <c r="AP64" s="216">
        <v>0.06</v>
      </c>
      <c r="AQ64" s="216">
        <v>0</v>
      </c>
      <c r="AR64" s="216">
        <v>0</v>
      </c>
      <c r="AS64" s="213">
        <v>2.0000000000000001E-4</v>
      </c>
      <c r="AT64" s="214">
        <f t="shared" si="8"/>
        <v>9.6600000000000005E-2</v>
      </c>
      <c r="AU64" s="214">
        <f t="shared" si="9"/>
        <v>0.34660000000000002</v>
      </c>
      <c r="AV64" s="217">
        <f t="shared" si="10"/>
        <v>1.9100999999999999</v>
      </c>
    </row>
    <row r="65" spans="1:48" ht="70" hidden="1">
      <c r="A65" s="201">
        <v>63</v>
      </c>
      <c r="B65" s="178" t="s">
        <v>236</v>
      </c>
      <c r="C65" s="178" t="s">
        <v>1174</v>
      </c>
      <c r="D65" s="178" t="s">
        <v>1451</v>
      </c>
      <c r="H65" s="178" t="s">
        <v>236</v>
      </c>
      <c r="I65" s="178" t="s">
        <v>1658</v>
      </c>
      <c r="J65" s="203">
        <v>41091</v>
      </c>
      <c r="K65" s="230">
        <v>223097</v>
      </c>
      <c r="L65" s="205">
        <v>6167</v>
      </c>
      <c r="M65" s="178" t="s">
        <v>1174</v>
      </c>
      <c r="N65" s="206">
        <v>0.5</v>
      </c>
      <c r="O65" s="178" t="s">
        <v>1174</v>
      </c>
      <c r="P65" s="206">
        <v>0</v>
      </c>
      <c r="Q65" s="231" t="s">
        <v>1659</v>
      </c>
      <c r="R65" s="162">
        <f t="shared" si="0"/>
        <v>0.5</v>
      </c>
      <c r="S65" s="208">
        <v>5</v>
      </c>
      <c r="T65" s="209">
        <f t="shared" si="1"/>
        <v>0.75</v>
      </c>
      <c r="U65" s="203">
        <v>41129</v>
      </c>
      <c r="V65" s="205">
        <v>255555</v>
      </c>
      <c r="W65" s="210">
        <f t="shared" si="2"/>
        <v>0.92</v>
      </c>
      <c r="X65" s="205">
        <v>11255</v>
      </c>
      <c r="Y65" s="194">
        <f>U65-J65</f>
        <v>38</v>
      </c>
      <c r="Z65" s="211">
        <f t="shared" si="3"/>
        <v>32458</v>
      </c>
      <c r="AA65" s="212">
        <f t="shared" si="4"/>
        <v>0.33300000000000002</v>
      </c>
      <c r="AB65" s="213">
        <f t="shared" si="5"/>
        <v>0.14548828536466196</v>
      </c>
      <c r="AC65" s="212">
        <f t="shared" si="6"/>
        <v>0.46500000000000002</v>
      </c>
      <c r="AD65" s="214">
        <f t="shared" si="7"/>
        <v>2.968</v>
      </c>
      <c r="AE65" s="194" t="s">
        <v>1176</v>
      </c>
      <c r="AF65" s="194" t="s">
        <v>1176</v>
      </c>
      <c r="AG65" s="194" t="s">
        <v>1174</v>
      </c>
      <c r="AH65" s="194" t="s">
        <v>1174</v>
      </c>
      <c r="AI65" s="194" t="s">
        <v>1174</v>
      </c>
      <c r="AJ65" s="206">
        <v>0.6</v>
      </c>
      <c r="AK65" s="194" t="s">
        <v>1174</v>
      </c>
      <c r="AL65" s="200" t="s">
        <v>1459</v>
      </c>
      <c r="AM65" s="206">
        <v>0.5</v>
      </c>
      <c r="AN65" s="215">
        <v>0.5</v>
      </c>
      <c r="AP65" s="232">
        <v>2.6127448103147998E-3</v>
      </c>
      <c r="AQ65" s="232">
        <v>8.8826280057099994E-5</v>
      </c>
      <c r="AR65" s="232">
        <v>9.2739332041999996E-5</v>
      </c>
      <c r="AS65" s="213">
        <v>9.3143680747130001E-4</v>
      </c>
      <c r="AT65" s="214">
        <f t="shared" si="8"/>
        <v>0.81640000000000001</v>
      </c>
      <c r="AU65" s="214">
        <f t="shared" si="9"/>
        <v>2.4163999999999999</v>
      </c>
      <c r="AV65" s="217">
        <f t="shared" si="10"/>
        <v>5.3843999999999994</v>
      </c>
    </row>
    <row r="66" spans="1:48">
      <c r="R66" s="188" t="s">
        <v>1391</v>
      </c>
      <c r="S66" s="189">
        <f>AVERAGE(S2:S65)</f>
        <v>4.5125000000000011</v>
      </c>
      <c r="AS66" s="233">
        <f>AVERAGE(AS2:AS65)</f>
        <v>1.3558686907589996E-3</v>
      </c>
    </row>
    <row r="67" spans="1:48">
      <c r="R67" s="188" t="s">
        <v>1392</v>
      </c>
      <c r="S67" s="189">
        <f>STDEV(S2:S65)</f>
        <v>2.9437250993116613</v>
      </c>
    </row>
    <row r="68" spans="1:48">
      <c r="R68" s="188" t="s">
        <v>1393</v>
      </c>
      <c r="S68" s="188">
        <f>MIN(S2:S65)</f>
        <v>0</v>
      </c>
    </row>
    <row r="69" spans="1:48">
      <c r="R69" s="188" t="s">
        <v>1394</v>
      </c>
      <c r="S69" s="188">
        <f>MAX(S2:S65)</f>
        <v>14</v>
      </c>
    </row>
    <row r="70" spans="1:48">
      <c r="R70" s="184" t="s">
        <v>1395</v>
      </c>
      <c r="S70" s="192">
        <f>(S66-S68)/5</f>
        <v>0.90250000000000019</v>
      </c>
    </row>
    <row r="71" spans="1:48">
      <c r="R71" s="193" t="s">
        <v>1396</v>
      </c>
      <c r="S71" s="192">
        <f>(S69-S66)/5</f>
        <v>1.8974999999999997</v>
      </c>
    </row>
    <row r="72" spans="1:48">
      <c r="R72" s="194" t="s">
        <v>1397</v>
      </c>
      <c r="S72" s="184">
        <f>S68+$AZ$70</f>
        <v>0</v>
      </c>
    </row>
    <row r="73" spans="1:48">
      <c r="R73" s="194" t="s">
        <v>1398</v>
      </c>
      <c r="S73" s="184">
        <v>3</v>
      </c>
    </row>
    <row r="74" spans="1:48">
      <c r="R74" s="194" t="s">
        <v>1399</v>
      </c>
      <c r="S74" s="184">
        <v>4.5</v>
      </c>
    </row>
    <row r="75" spans="1:48">
      <c r="R75" s="194" t="s">
        <v>1400</v>
      </c>
      <c r="S75" s="184">
        <v>6</v>
      </c>
    </row>
    <row r="76" spans="1:48">
      <c r="R76" s="194" t="s">
        <v>1401</v>
      </c>
      <c r="S76" s="193">
        <v>7.5</v>
      </c>
    </row>
    <row r="77" spans="1:48">
      <c r="R77" s="194" t="s">
        <v>1402</v>
      </c>
      <c r="S77" s="193">
        <v>9</v>
      </c>
    </row>
    <row r="78" spans="1:48">
      <c r="R78" s="194" t="s">
        <v>1403</v>
      </c>
      <c r="S78" s="193">
        <v>10</v>
      </c>
    </row>
    <row r="79" spans="1:48">
      <c r="R79" s="194" t="s">
        <v>1404</v>
      </c>
      <c r="S79" s="193">
        <v>12</v>
      </c>
    </row>
  </sheetData>
  <autoFilter ref="A1:AV79">
    <filterColumn colId="1">
      <filters>
        <filter val="Theory"/>
      </filters>
    </filterColumn>
  </autoFilter>
  <conditionalFormatting sqref="Z1:Z1048576 AB1:AB1048576">
    <cfRule type="cellIs" dxfId="13" priority="1" operator="lessThan">
      <formula>0</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topLeftCell="A24" workbookViewId="0">
      <selection activeCell="C27" sqref="C27"/>
    </sheetView>
  </sheetViews>
  <sheetFormatPr baseColWidth="10" defaultRowHeight="15" x14ac:dyDescent="0"/>
  <cols>
    <col min="1" max="1" width="23" style="422" bestFit="1" customWidth="1"/>
    <col min="2" max="3" width="11.5" style="422" bestFit="1" customWidth="1"/>
    <col min="4" max="4" width="16.6640625" style="422" bestFit="1" customWidth="1"/>
    <col min="5" max="8" width="10.83203125" style="422"/>
    <col min="9" max="9" width="23" style="422" bestFit="1" customWidth="1"/>
    <col min="10" max="12" width="10.83203125" style="422"/>
    <col min="13" max="13" width="23" style="422" bestFit="1" customWidth="1"/>
    <col min="14" max="16384" width="10.83203125" style="422"/>
  </cols>
  <sheetData>
    <row r="1" spans="1:18">
      <c r="A1" s="418" t="s">
        <v>249</v>
      </c>
      <c r="B1" s="419">
        <v>2011</v>
      </c>
      <c r="C1" s="419">
        <v>2012</v>
      </c>
      <c r="D1" s="420" t="s">
        <v>3497</v>
      </c>
      <c r="E1" s="421" t="s">
        <v>2264</v>
      </c>
      <c r="I1" s="418" t="s">
        <v>249</v>
      </c>
      <c r="J1" s="422" t="s">
        <v>2264</v>
      </c>
      <c r="M1" s="418" t="s">
        <v>249</v>
      </c>
      <c r="N1" s="423" t="s">
        <v>3497</v>
      </c>
      <c r="Q1" s="418" t="s">
        <v>249</v>
      </c>
      <c r="R1" s="423" t="s">
        <v>3497</v>
      </c>
    </row>
    <row r="2" spans="1:18">
      <c r="A2" s="424" t="s">
        <v>69</v>
      </c>
      <c r="B2" s="425">
        <v>10230</v>
      </c>
      <c r="C2" s="426">
        <v>89591</v>
      </c>
      <c r="D2" s="427">
        <f t="shared" ref="D2:D49" si="0">C2-B2</f>
        <v>79361</v>
      </c>
      <c r="E2" s="428">
        <f t="shared" ref="E2:E49" si="1">D2/B2</f>
        <v>7.7576735092864126</v>
      </c>
      <c r="H2" s="422">
        <v>1</v>
      </c>
      <c r="I2" s="424" t="s">
        <v>69</v>
      </c>
      <c r="J2" s="429">
        <v>7.7576735092864126</v>
      </c>
      <c r="L2" s="422">
        <v>1</v>
      </c>
      <c r="M2" s="424" t="s">
        <v>165</v>
      </c>
      <c r="N2" s="423">
        <v>5796786</v>
      </c>
      <c r="Q2" s="424" t="s">
        <v>165</v>
      </c>
      <c r="R2" s="423">
        <v>5796786</v>
      </c>
    </row>
    <row r="3" spans="1:18">
      <c r="A3" s="424" t="s">
        <v>150</v>
      </c>
      <c r="B3" s="425">
        <v>29847</v>
      </c>
      <c r="C3" s="426">
        <v>238955</v>
      </c>
      <c r="D3" s="427">
        <f t="shared" si="0"/>
        <v>209108</v>
      </c>
      <c r="E3" s="428">
        <f t="shared" si="1"/>
        <v>7.0059972526552086</v>
      </c>
      <c r="H3" s="422">
        <v>2</v>
      </c>
      <c r="I3" s="424" t="s">
        <v>150</v>
      </c>
      <c r="J3" s="429">
        <v>7.0059972526552086</v>
      </c>
      <c r="L3" s="422">
        <v>2</v>
      </c>
      <c r="M3" s="424" t="s">
        <v>93</v>
      </c>
      <c r="N3" s="423">
        <v>5522334</v>
      </c>
      <c r="Q3" s="424" t="s">
        <v>93</v>
      </c>
      <c r="R3" s="423">
        <v>5522334</v>
      </c>
    </row>
    <row r="4" spans="1:18">
      <c r="A4" s="424" t="s">
        <v>134</v>
      </c>
      <c r="B4" s="425">
        <v>286536</v>
      </c>
      <c r="C4" s="426">
        <v>1743238</v>
      </c>
      <c r="D4" s="427">
        <f t="shared" si="0"/>
        <v>1456702</v>
      </c>
      <c r="E4" s="428">
        <f t="shared" si="1"/>
        <v>5.0838358879861518</v>
      </c>
      <c r="H4" s="422">
        <v>3</v>
      </c>
      <c r="I4" s="424" t="s">
        <v>134</v>
      </c>
      <c r="J4" s="429">
        <v>5.0838358879861518</v>
      </c>
      <c r="L4" s="422">
        <v>3</v>
      </c>
      <c r="M4" s="424" t="s">
        <v>106</v>
      </c>
      <c r="N4" s="423">
        <v>4553785</v>
      </c>
      <c r="Q4" s="424" t="s">
        <v>106</v>
      </c>
      <c r="R4" s="423">
        <v>4553785</v>
      </c>
    </row>
    <row r="5" spans="1:18">
      <c r="A5" s="424" t="s">
        <v>145</v>
      </c>
      <c r="B5" s="425">
        <v>756758</v>
      </c>
      <c r="C5" s="426">
        <v>2951148</v>
      </c>
      <c r="D5" s="427">
        <f t="shared" si="0"/>
        <v>2194390</v>
      </c>
      <c r="E5" s="428">
        <f t="shared" si="1"/>
        <v>2.8997248790234131</v>
      </c>
      <c r="H5" s="422">
        <v>4</v>
      </c>
      <c r="I5" s="424" t="s">
        <v>145</v>
      </c>
      <c r="J5" s="429">
        <v>2.8997248790234131</v>
      </c>
      <c r="L5" s="422">
        <v>4</v>
      </c>
      <c r="M5" s="424" t="s">
        <v>156</v>
      </c>
      <c r="N5" s="430">
        <v>3807285</v>
      </c>
      <c r="Q5" s="424" t="s">
        <v>141</v>
      </c>
      <c r="R5" s="423">
        <v>3646668</v>
      </c>
    </row>
    <row r="6" spans="1:18">
      <c r="A6" s="424" t="s">
        <v>82</v>
      </c>
      <c r="B6" s="425">
        <v>29701</v>
      </c>
      <c r="C6" s="426">
        <v>112308</v>
      </c>
      <c r="D6" s="427">
        <f t="shared" si="0"/>
        <v>82607</v>
      </c>
      <c r="E6" s="428">
        <f t="shared" si="1"/>
        <v>2.7812868253594156</v>
      </c>
      <c r="H6" s="422">
        <v>5</v>
      </c>
      <c r="I6" s="424" t="s">
        <v>82</v>
      </c>
      <c r="J6" s="429">
        <v>2.7812868253594156</v>
      </c>
      <c r="L6" s="422">
        <v>5</v>
      </c>
      <c r="M6" s="424" t="s">
        <v>141</v>
      </c>
      <c r="N6" s="423">
        <v>3646668</v>
      </c>
      <c r="Q6" s="424" t="s">
        <v>96</v>
      </c>
      <c r="R6" s="423">
        <v>2809296</v>
      </c>
    </row>
    <row r="7" spans="1:18">
      <c r="A7" s="424" t="s">
        <v>139</v>
      </c>
      <c r="B7" s="425">
        <v>88605</v>
      </c>
      <c r="C7" s="426">
        <v>317578</v>
      </c>
      <c r="D7" s="427">
        <f t="shared" si="0"/>
        <v>228973</v>
      </c>
      <c r="E7" s="428">
        <f t="shared" si="1"/>
        <v>2.5841995372721631</v>
      </c>
      <c r="H7" s="422">
        <v>6</v>
      </c>
      <c r="I7" s="424" t="s">
        <v>139</v>
      </c>
      <c r="J7" s="429">
        <v>2.5841995372721631</v>
      </c>
      <c r="L7" s="422">
        <v>6</v>
      </c>
      <c r="M7" s="424" t="s">
        <v>96</v>
      </c>
      <c r="N7" s="423">
        <v>2809296</v>
      </c>
      <c r="Q7" s="424" t="s">
        <v>102</v>
      </c>
      <c r="R7" s="423">
        <v>2598576</v>
      </c>
    </row>
    <row r="8" spans="1:18">
      <c r="A8" s="424" t="s">
        <v>231</v>
      </c>
      <c r="B8" s="425">
        <v>1348</v>
      </c>
      <c r="C8" s="426">
        <v>4787</v>
      </c>
      <c r="D8" s="427">
        <f t="shared" si="0"/>
        <v>3439</v>
      </c>
      <c r="E8" s="428">
        <f t="shared" si="1"/>
        <v>2.5511869436201779</v>
      </c>
      <c r="H8" s="422">
        <v>7</v>
      </c>
      <c r="I8" s="424" t="s">
        <v>231</v>
      </c>
      <c r="J8" s="429">
        <v>2.5511869436201779</v>
      </c>
      <c r="L8" s="422">
        <v>7</v>
      </c>
      <c r="M8" s="424" t="s">
        <v>102</v>
      </c>
      <c r="N8" s="423">
        <v>2598576</v>
      </c>
      <c r="Q8" s="424" t="s">
        <v>120</v>
      </c>
      <c r="R8" s="423">
        <v>2484556</v>
      </c>
    </row>
    <row r="9" spans="1:18">
      <c r="A9" s="424" t="s">
        <v>90</v>
      </c>
      <c r="B9" s="425">
        <v>76905</v>
      </c>
      <c r="C9" s="426">
        <v>236566</v>
      </c>
      <c r="D9" s="427">
        <f t="shared" si="0"/>
        <v>159661</v>
      </c>
      <c r="E9" s="428">
        <f t="shared" si="1"/>
        <v>2.0760808790065663</v>
      </c>
      <c r="H9" s="422">
        <v>8</v>
      </c>
      <c r="I9" s="424" t="s">
        <v>90</v>
      </c>
      <c r="J9" s="429">
        <v>2.0760808790065663</v>
      </c>
      <c r="L9" s="422">
        <v>8</v>
      </c>
      <c r="M9" s="424" t="s">
        <v>218</v>
      </c>
      <c r="N9" s="430">
        <v>2508924</v>
      </c>
      <c r="Q9" s="424" t="s">
        <v>145</v>
      </c>
      <c r="R9" s="423">
        <v>2194390</v>
      </c>
    </row>
    <row r="10" spans="1:18">
      <c r="A10" s="424" t="s">
        <v>174</v>
      </c>
      <c r="B10" s="425">
        <v>372978</v>
      </c>
      <c r="C10" s="426">
        <v>1146232</v>
      </c>
      <c r="D10" s="427">
        <f t="shared" si="0"/>
        <v>773254</v>
      </c>
      <c r="E10" s="428">
        <f t="shared" si="1"/>
        <v>2.0731893033905484</v>
      </c>
      <c r="H10" s="422">
        <v>9</v>
      </c>
      <c r="I10" s="424" t="s">
        <v>174</v>
      </c>
      <c r="J10" s="429">
        <v>2.0731893033905484</v>
      </c>
      <c r="L10" s="422">
        <v>9</v>
      </c>
      <c r="M10" s="424" t="s">
        <v>120</v>
      </c>
      <c r="N10" s="423">
        <v>2484556</v>
      </c>
      <c r="Q10" s="424" t="s">
        <v>136</v>
      </c>
      <c r="R10" s="423">
        <v>1708023</v>
      </c>
    </row>
    <row r="11" spans="1:18">
      <c r="A11" s="424" t="s">
        <v>165</v>
      </c>
      <c r="B11" s="425">
        <v>3075548</v>
      </c>
      <c r="C11" s="426">
        <v>8872334</v>
      </c>
      <c r="D11" s="427">
        <f t="shared" si="0"/>
        <v>5796786</v>
      </c>
      <c r="E11" s="428">
        <f t="shared" si="1"/>
        <v>1.8847977661216797</v>
      </c>
      <c r="H11" s="422">
        <v>10</v>
      </c>
      <c r="I11" s="424" t="s">
        <v>165</v>
      </c>
      <c r="J11" s="429">
        <v>1.8847977661216797</v>
      </c>
      <c r="L11" s="422">
        <v>10</v>
      </c>
      <c r="M11" s="424" t="s">
        <v>145</v>
      </c>
      <c r="N11" s="423">
        <v>2194390</v>
      </c>
      <c r="Q11" s="424" t="s">
        <v>134</v>
      </c>
      <c r="R11" s="423">
        <v>1456702</v>
      </c>
    </row>
    <row r="12" spans="1:18">
      <c r="A12" s="424" t="s">
        <v>222</v>
      </c>
      <c r="B12" s="425">
        <v>81121</v>
      </c>
      <c r="C12" s="426">
        <v>229341</v>
      </c>
      <c r="D12" s="427">
        <f t="shared" si="0"/>
        <v>148220</v>
      </c>
      <c r="E12" s="428">
        <f t="shared" si="1"/>
        <v>1.827147101243821</v>
      </c>
      <c r="H12" s="422">
        <v>11</v>
      </c>
      <c r="I12" s="424" t="s">
        <v>222</v>
      </c>
      <c r="J12" s="429">
        <v>1.827147101243821</v>
      </c>
      <c r="L12" s="422">
        <v>11</v>
      </c>
      <c r="M12" s="424" t="s">
        <v>136</v>
      </c>
      <c r="N12" s="423">
        <v>1708023</v>
      </c>
      <c r="Q12" s="424" t="s">
        <v>3498</v>
      </c>
      <c r="R12" s="423">
        <v>79361</v>
      </c>
    </row>
    <row r="13" spans="1:18">
      <c r="A13" s="424" t="s">
        <v>96</v>
      </c>
      <c r="B13" s="425">
        <v>1642698</v>
      </c>
      <c r="C13" s="426">
        <v>4451994</v>
      </c>
      <c r="D13" s="427">
        <f t="shared" si="0"/>
        <v>2809296</v>
      </c>
      <c r="E13" s="428">
        <f t="shared" si="1"/>
        <v>1.7101719244803366</v>
      </c>
      <c r="H13" s="422">
        <v>12</v>
      </c>
      <c r="I13" s="424" t="s">
        <v>96</v>
      </c>
      <c r="J13" s="429">
        <v>1.7101719244803366</v>
      </c>
      <c r="L13" s="422">
        <v>12</v>
      </c>
      <c r="M13" s="424" t="s">
        <v>134</v>
      </c>
      <c r="N13" s="423">
        <v>1456702</v>
      </c>
    </row>
    <row r="14" spans="1:18">
      <c r="A14" s="424" t="s">
        <v>104</v>
      </c>
      <c r="B14" s="425">
        <v>261101</v>
      </c>
      <c r="C14" s="426">
        <v>653691</v>
      </c>
      <c r="D14" s="427">
        <f t="shared" si="0"/>
        <v>392590</v>
      </c>
      <c r="E14" s="428">
        <f t="shared" si="1"/>
        <v>1.5035943945063404</v>
      </c>
      <c r="H14" s="422">
        <v>13</v>
      </c>
      <c r="I14" s="424" t="s">
        <v>218</v>
      </c>
      <c r="J14" s="431">
        <v>1.5152282332592104</v>
      </c>
      <c r="L14" s="422">
        <v>13</v>
      </c>
      <c r="M14" s="424" t="s">
        <v>111</v>
      </c>
      <c r="N14" s="423">
        <v>1363505</v>
      </c>
    </row>
    <row r="15" spans="1:18">
      <c r="A15" s="424" t="s">
        <v>123</v>
      </c>
      <c r="B15" s="425">
        <v>307976</v>
      </c>
      <c r="C15" s="426">
        <v>719463</v>
      </c>
      <c r="D15" s="427">
        <f t="shared" si="0"/>
        <v>411487</v>
      </c>
      <c r="E15" s="428">
        <f t="shared" si="1"/>
        <v>1.3361008650024677</v>
      </c>
      <c r="H15" s="422">
        <v>14</v>
      </c>
      <c r="I15" s="424" t="s">
        <v>104</v>
      </c>
      <c r="J15" s="429">
        <v>1.5035943945063404</v>
      </c>
      <c r="L15" s="422">
        <v>14</v>
      </c>
      <c r="M15" s="424" t="s">
        <v>190</v>
      </c>
      <c r="N15" s="423">
        <v>1301013</v>
      </c>
    </row>
    <row r="16" spans="1:18">
      <c r="A16" s="424" t="s">
        <v>171</v>
      </c>
      <c r="B16" s="425">
        <v>30037</v>
      </c>
      <c r="C16" s="426">
        <v>68019</v>
      </c>
      <c r="D16" s="427">
        <f t="shared" si="0"/>
        <v>37982</v>
      </c>
      <c r="E16" s="428">
        <f t="shared" si="1"/>
        <v>1.2645071079002563</v>
      </c>
      <c r="H16" s="422">
        <v>15</v>
      </c>
      <c r="I16" s="424" t="s">
        <v>123</v>
      </c>
      <c r="J16" s="429">
        <v>1.3361008650024677</v>
      </c>
      <c r="L16" s="422">
        <v>15</v>
      </c>
      <c r="M16" s="424" t="s">
        <v>174</v>
      </c>
      <c r="N16" s="423">
        <v>773254</v>
      </c>
    </row>
    <row r="17" spans="1:14">
      <c r="A17" s="424" t="s">
        <v>180</v>
      </c>
      <c r="B17" s="425">
        <v>54209</v>
      </c>
      <c r="C17" s="426">
        <v>116826</v>
      </c>
      <c r="D17" s="427">
        <f t="shared" si="0"/>
        <v>62617</v>
      </c>
      <c r="E17" s="428">
        <f t="shared" si="1"/>
        <v>1.1551033961150363</v>
      </c>
      <c r="H17" s="422">
        <v>16</v>
      </c>
      <c r="I17" s="424" t="s">
        <v>171</v>
      </c>
      <c r="J17" s="429">
        <v>1.2645071079002563</v>
      </c>
      <c r="L17" s="422">
        <v>16</v>
      </c>
      <c r="M17" s="424" t="s">
        <v>109</v>
      </c>
      <c r="N17" s="423">
        <v>531316</v>
      </c>
    </row>
    <row r="18" spans="1:14">
      <c r="A18" s="424" t="s">
        <v>196</v>
      </c>
      <c r="B18" s="425">
        <v>97386</v>
      </c>
      <c r="C18" s="426">
        <v>202273</v>
      </c>
      <c r="D18" s="427">
        <f t="shared" si="0"/>
        <v>104887</v>
      </c>
      <c r="E18" s="428">
        <f t="shared" si="1"/>
        <v>1.0770233914525702</v>
      </c>
      <c r="H18" s="422">
        <v>17</v>
      </c>
      <c r="I18" s="424" t="s">
        <v>180</v>
      </c>
      <c r="J18" s="429">
        <v>1.1551033961150363</v>
      </c>
      <c r="L18" s="422">
        <v>17</v>
      </c>
      <c r="M18" s="424" t="s">
        <v>229</v>
      </c>
      <c r="N18" s="423">
        <v>475253</v>
      </c>
    </row>
    <row r="19" spans="1:14">
      <c r="A19" s="424" t="s">
        <v>136</v>
      </c>
      <c r="B19" s="425">
        <v>1638878</v>
      </c>
      <c r="C19" s="432">
        <v>3346901</v>
      </c>
      <c r="D19" s="427">
        <f t="shared" si="0"/>
        <v>1708023</v>
      </c>
      <c r="E19" s="428">
        <f t="shared" si="1"/>
        <v>1.0421904498077343</v>
      </c>
      <c r="H19" s="422">
        <v>18</v>
      </c>
      <c r="I19" s="424" t="s">
        <v>196</v>
      </c>
      <c r="J19" s="429">
        <v>1.0770233914525702</v>
      </c>
      <c r="L19" s="422">
        <v>18</v>
      </c>
      <c r="M19" s="424" t="s">
        <v>225</v>
      </c>
      <c r="N19" s="423">
        <v>424807</v>
      </c>
    </row>
    <row r="20" spans="1:14">
      <c r="A20" s="424" t="s">
        <v>193</v>
      </c>
      <c r="B20" s="425">
        <v>242408</v>
      </c>
      <c r="C20" s="426">
        <v>494693</v>
      </c>
      <c r="D20" s="427">
        <f t="shared" si="0"/>
        <v>252285</v>
      </c>
      <c r="E20" s="428">
        <f t="shared" si="1"/>
        <v>1.0407453549387808</v>
      </c>
      <c r="H20" s="422">
        <v>19</v>
      </c>
      <c r="I20" s="424" t="s">
        <v>136</v>
      </c>
      <c r="J20" s="429">
        <v>1.0421904498077343</v>
      </c>
      <c r="L20" s="422">
        <v>19</v>
      </c>
      <c r="M20" s="424" t="s">
        <v>123</v>
      </c>
      <c r="N20" s="423">
        <v>411487</v>
      </c>
    </row>
    <row r="21" spans="1:14">
      <c r="A21" s="424" t="s">
        <v>106</v>
      </c>
      <c r="B21" s="425">
        <v>4485351</v>
      </c>
      <c r="C21" s="426">
        <v>9039136</v>
      </c>
      <c r="D21" s="427">
        <f t="shared" si="0"/>
        <v>4553785</v>
      </c>
      <c r="E21" s="428">
        <f t="shared" si="1"/>
        <v>1.0152572229018419</v>
      </c>
      <c r="H21" s="422">
        <v>20</v>
      </c>
      <c r="I21" s="424" t="s">
        <v>193</v>
      </c>
      <c r="J21" s="429">
        <v>1.0407453549387808</v>
      </c>
      <c r="L21" s="422">
        <v>20</v>
      </c>
      <c r="M21" s="424" t="s">
        <v>104</v>
      </c>
      <c r="N21" s="423">
        <v>392590</v>
      </c>
    </row>
    <row r="22" spans="1:14">
      <c r="A22" s="424" t="s">
        <v>220</v>
      </c>
      <c r="B22" s="425">
        <v>216145</v>
      </c>
      <c r="C22" s="426">
        <v>417820</v>
      </c>
      <c r="D22" s="427">
        <f t="shared" si="0"/>
        <v>201675</v>
      </c>
      <c r="E22" s="428">
        <f t="shared" si="1"/>
        <v>0.93305419972703507</v>
      </c>
      <c r="H22" s="422">
        <v>21</v>
      </c>
      <c r="I22" s="424" t="s">
        <v>106</v>
      </c>
      <c r="J22" s="429">
        <v>1.0152572229018419</v>
      </c>
      <c r="L22" s="422">
        <v>21</v>
      </c>
      <c r="M22" s="424" t="s">
        <v>148</v>
      </c>
      <c r="N22" s="423">
        <v>385834</v>
      </c>
    </row>
    <row r="23" spans="1:14">
      <c r="A23" s="424" t="s">
        <v>63</v>
      </c>
      <c r="B23" s="425">
        <v>402778</v>
      </c>
      <c r="C23" s="426">
        <v>767483</v>
      </c>
      <c r="D23" s="427">
        <f t="shared" si="0"/>
        <v>364705</v>
      </c>
      <c r="E23" s="428">
        <f t="shared" si="1"/>
        <v>0.90547398318676786</v>
      </c>
      <c r="H23" s="422">
        <v>22</v>
      </c>
      <c r="I23" s="424" t="s">
        <v>220</v>
      </c>
      <c r="J23" s="429">
        <v>0.93305419972703507</v>
      </c>
      <c r="L23" s="422">
        <v>22</v>
      </c>
      <c r="M23" s="424" t="s">
        <v>63</v>
      </c>
      <c r="N23" s="423">
        <v>364705</v>
      </c>
    </row>
    <row r="24" spans="1:14">
      <c r="A24" s="424" t="s">
        <v>72</v>
      </c>
      <c r="B24" s="425">
        <v>15692</v>
      </c>
      <c r="C24" s="426">
        <v>29800</v>
      </c>
      <c r="D24" s="427">
        <f t="shared" si="0"/>
        <v>14108</v>
      </c>
      <c r="E24" s="428">
        <f t="shared" si="1"/>
        <v>0.89905684425184806</v>
      </c>
      <c r="H24" s="422">
        <v>23</v>
      </c>
      <c r="I24" s="424" t="s">
        <v>63</v>
      </c>
      <c r="J24" s="429">
        <v>0.90547398318676786</v>
      </c>
      <c r="L24" s="422">
        <v>23</v>
      </c>
      <c r="M24" s="424" t="s">
        <v>143</v>
      </c>
      <c r="N24" s="423">
        <v>328369</v>
      </c>
    </row>
    <row r="25" spans="1:14">
      <c r="A25" s="424" t="s">
        <v>143</v>
      </c>
      <c r="B25" s="425">
        <v>367481</v>
      </c>
      <c r="C25" s="426">
        <v>695850</v>
      </c>
      <c r="D25" s="427">
        <f t="shared" si="0"/>
        <v>328369</v>
      </c>
      <c r="E25" s="428">
        <f t="shared" si="1"/>
        <v>0.8935672864719536</v>
      </c>
      <c r="H25" s="422">
        <v>24</v>
      </c>
      <c r="I25" s="424" t="s">
        <v>72</v>
      </c>
      <c r="J25" s="429">
        <v>0.89905684425184806</v>
      </c>
      <c r="L25" s="422">
        <v>24</v>
      </c>
      <c r="M25" s="424" t="s">
        <v>163</v>
      </c>
      <c r="N25" s="423">
        <v>267310</v>
      </c>
    </row>
    <row r="26" spans="1:14">
      <c r="A26" s="424" t="s">
        <v>182</v>
      </c>
      <c r="B26" s="425">
        <v>214385</v>
      </c>
      <c r="C26" s="426">
        <v>404763</v>
      </c>
      <c r="D26" s="427">
        <f t="shared" si="0"/>
        <v>190378</v>
      </c>
      <c r="E26" s="428">
        <f t="shared" si="1"/>
        <v>0.88801921776243675</v>
      </c>
      <c r="H26" s="422">
        <v>25</v>
      </c>
      <c r="I26" s="424" t="s">
        <v>143</v>
      </c>
      <c r="J26" s="429">
        <v>0.8935672864719536</v>
      </c>
      <c r="L26" s="422">
        <v>25</v>
      </c>
      <c r="M26" s="424" t="s">
        <v>193</v>
      </c>
      <c r="N26" s="423">
        <v>252285</v>
      </c>
    </row>
    <row r="27" spans="1:14">
      <c r="A27" s="424" t="s">
        <v>209</v>
      </c>
      <c r="B27" s="425">
        <v>17893</v>
      </c>
      <c r="C27" s="426">
        <v>32449</v>
      </c>
      <c r="D27" s="427">
        <f t="shared" si="0"/>
        <v>14556</v>
      </c>
      <c r="E27" s="428">
        <f t="shared" si="1"/>
        <v>0.81350248700609173</v>
      </c>
      <c r="H27" s="422">
        <v>26</v>
      </c>
      <c r="I27" s="424" t="s">
        <v>182</v>
      </c>
      <c r="J27" s="429">
        <v>0.88801921776243675</v>
      </c>
      <c r="L27" s="422">
        <v>26</v>
      </c>
      <c r="M27" s="424" t="s">
        <v>153</v>
      </c>
      <c r="N27" s="423">
        <v>247159</v>
      </c>
    </row>
    <row r="28" spans="1:14">
      <c r="A28" s="424" t="s">
        <v>225</v>
      </c>
      <c r="B28" s="425">
        <v>548538</v>
      </c>
      <c r="C28" s="426">
        <v>973345</v>
      </c>
      <c r="D28" s="427">
        <f t="shared" si="0"/>
        <v>424807</v>
      </c>
      <c r="E28" s="428">
        <f t="shared" si="1"/>
        <v>0.77443495254658745</v>
      </c>
      <c r="H28" s="422">
        <v>27</v>
      </c>
      <c r="I28" s="424" t="s">
        <v>209</v>
      </c>
      <c r="J28" s="429">
        <v>0.81350248700609173</v>
      </c>
      <c r="L28" s="422">
        <v>27</v>
      </c>
      <c r="M28" s="424" t="s">
        <v>139</v>
      </c>
      <c r="N28" s="423">
        <v>228973</v>
      </c>
    </row>
    <row r="29" spans="1:14">
      <c r="A29" s="424" t="s">
        <v>120</v>
      </c>
      <c r="B29" s="425">
        <v>3225774</v>
      </c>
      <c r="C29" s="426">
        <v>5710330</v>
      </c>
      <c r="D29" s="427">
        <f t="shared" si="0"/>
        <v>2484556</v>
      </c>
      <c r="E29" s="428">
        <f t="shared" si="1"/>
        <v>0.77022010841429067</v>
      </c>
      <c r="H29" s="422">
        <v>28</v>
      </c>
      <c r="I29" s="424" t="s">
        <v>225</v>
      </c>
      <c r="J29" s="429">
        <v>0.77443495254658745</v>
      </c>
      <c r="L29" s="422">
        <v>28</v>
      </c>
      <c r="M29" s="424" t="s">
        <v>169</v>
      </c>
      <c r="N29" s="423">
        <v>216336</v>
      </c>
    </row>
    <row r="30" spans="1:14">
      <c r="A30" s="424" t="s">
        <v>153</v>
      </c>
      <c r="B30" s="425">
        <v>324866</v>
      </c>
      <c r="C30" s="426">
        <v>572025</v>
      </c>
      <c r="D30" s="427">
        <f t="shared" si="0"/>
        <v>247159</v>
      </c>
      <c r="E30" s="428">
        <f t="shared" si="1"/>
        <v>0.76080291566368907</v>
      </c>
      <c r="H30" s="422">
        <v>29</v>
      </c>
      <c r="I30" s="424" t="s">
        <v>120</v>
      </c>
      <c r="J30" s="429">
        <v>0.77022010841429067</v>
      </c>
      <c r="L30" s="422">
        <v>29</v>
      </c>
      <c r="M30" s="424" t="s">
        <v>150</v>
      </c>
      <c r="N30" s="423">
        <v>209108</v>
      </c>
    </row>
    <row r="31" spans="1:14">
      <c r="A31" s="424" t="s">
        <v>185</v>
      </c>
      <c r="B31" s="425">
        <v>144095</v>
      </c>
      <c r="C31" s="426">
        <v>252962</v>
      </c>
      <c r="D31" s="427">
        <f t="shared" si="0"/>
        <v>108867</v>
      </c>
      <c r="E31" s="428">
        <f t="shared" si="1"/>
        <v>0.75552239841771052</v>
      </c>
      <c r="H31" s="422">
        <v>30</v>
      </c>
      <c r="I31" s="424" t="s">
        <v>153</v>
      </c>
      <c r="J31" s="429">
        <v>0.76080291566368907</v>
      </c>
      <c r="L31" s="422">
        <v>30</v>
      </c>
      <c r="M31" s="424" t="s">
        <v>220</v>
      </c>
      <c r="N31" s="423">
        <v>201675</v>
      </c>
    </row>
    <row r="32" spans="1:14">
      <c r="A32" s="424" t="s">
        <v>229</v>
      </c>
      <c r="B32" s="425">
        <v>630305</v>
      </c>
      <c r="C32" s="426">
        <v>1105558</v>
      </c>
      <c r="D32" s="427">
        <f t="shared" si="0"/>
        <v>475253</v>
      </c>
      <c r="E32" s="428">
        <f t="shared" si="1"/>
        <v>0.75400480719651597</v>
      </c>
      <c r="H32" s="422">
        <v>31</v>
      </c>
      <c r="I32" s="424" t="s">
        <v>185</v>
      </c>
      <c r="J32" s="429">
        <v>0.75552239841771052</v>
      </c>
      <c r="L32" s="422">
        <v>31</v>
      </c>
      <c r="M32" s="424" t="s">
        <v>182</v>
      </c>
      <c r="N32" s="423">
        <v>190378</v>
      </c>
    </row>
    <row r="33" spans="1:14">
      <c r="A33" s="424" t="s">
        <v>163</v>
      </c>
      <c r="B33" s="425">
        <v>365163</v>
      </c>
      <c r="C33" s="426">
        <v>632473</v>
      </c>
      <c r="D33" s="427">
        <f t="shared" si="0"/>
        <v>267310</v>
      </c>
      <c r="E33" s="428">
        <f t="shared" si="1"/>
        <v>0.73202925816690079</v>
      </c>
      <c r="H33" s="422">
        <v>32</v>
      </c>
      <c r="I33" s="424" t="s">
        <v>229</v>
      </c>
      <c r="J33" s="429">
        <v>0.75400480719651597</v>
      </c>
      <c r="L33" s="422">
        <v>32</v>
      </c>
      <c r="M33" s="424" t="s">
        <v>90</v>
      </c>
      <c r="N33" s="423">
        <v>159661</v>
      </c>
    </row>
    <row r="34" spans="1:14">
      <c r="A34" s="424" t="s">
        <v>93</v>
      </c>
      <c r="B34" s="425">
        <v>7755749</v>
      </c>
      <c r="C34" s="426">
        <v>13278083</v>
      </c>
      <c r="D34" s="427">
        <f t="shared" si="0"/>
        <v>5522334</v>
      </c>
      <c r="E34" s="428">
        <f t="shared" si="1"/>
        <v>0.71203103658976075</v>
      </c>
      <c r="H34" s="422">
        <v>33</v>
      </c>
      <c r="I34" s="424" t="s">
        <v>163</v>
      </c>
      <c r="J34" s="429">
        <v>0.73202925816690079</v>
      </c>
      <c r="L34" s="422">
        <v>33</v>
      </c>
      <c r="M34" s="424" t="s">
        <v>222</v>
      </c>
      <c r="N34" s="423">
        <v>148220</v>
      </c>
    </row>
    <row r="35" spans="1:14">
      <c r="A35" s="424" t="s">
        <v>141</v>
      </c>
      <c r="B35" s="425">
        <v>5202637</v>
      </c>
      <c r="C35" s="426">
        <v>8849305</v>
      </c>
      <c r="D35" s="427">
        <f t="shared" si="0"/>
        <v>3646668</v>
      </c>
      <c r="E35" s="428">
        <f t="shared" si="1"/>
        <v>0.7009268568996837</v>
      </c>
      <c r="H35" s="422">
        <v>34</v>
      </c>
      <c r="I35" s="424" t="s">
        <v>93</v>
      </c>
      <c r="J35" s="429">
        <v>0.71203103658976075</v>
      </c>
      <c r="L35" s="422">
        <v>34</v>
      </c>
      <c r="M35" s="424" t="s">
        <v>185</v>
      </c>
      <c r="N35" s="423">
        <v>108867</v>
      </c>
    </row>
    <row r="36" spans="1:14">
      <c r="A36" s="424" t="s">
        <v>109</v>
      </c>
      <c r="B36" s="425">
        <v>772225</v>
      </c>
      <c r="C36" s="426">
        <v>1303541</v>
      </c>
      <c r="D36" s="427">
        <f t="shared" si="0"/>
        <v>531316</v>
      </c>
      <c r="E36" s="428">
        <f t="shared" si="1"/>
        <v>0.68803263297614037</v>
      </c>
      <c r="H36" s="422">
        <v>35</v>
      </c>
      <c r="I36" s="424" t="s">
        <v>141</v>
      </c>
      <c r="J36" s="429">
        <v>0.7009268568996837</v>
      </c>
      <c r="L36" s="422">
        <v>35</v>
      </c>
      <c r="M36" s="424" t="s">
        <v>78</v>
      </c>
      <c r="N36" s="423">
        <v>105755</v>
      </c>
    </row>
    <row r="37" spans="1:14">
      <c r="A37" s="424" t="s">
        <v>114</v>
      </c>
      <c r="B37" s="425">
        <v>62127</v>
      </c>
      <c r="C37" s="426">
        <v>102625</v>
      </c>
      <c r="D37" s="427">
        <f t="shared" si="0"/>
        <v>40498</v>
      </c>
      <c r="E37" s="428">
        <f t="shared" si="1"/>
        <v>0.65185829027636932</v>
      </c>
      <c r="H37" s="422">
        <v>36</v>
      </c>
      <c r="I37" s="424" t="s">
        <v>109</v>
      </c>
      <c r="J37" s="429">
        <v>0.68803263297614037</v>
      </c>
      <c r="L37" s="422">
        <v>36</v>
      </c>
      <c r="M37" s="424" t="s">
        <v>196</v>
      </c>
      <c r="N37" s="423">
        <v>104887</v>
      </c>
    </row>
    <row r="38" spans="1:14">
      <c r="A38" s="424" t="s">
        <v>111</v>
      </c>
      <c r="B38" s="425">
        <v>2265370</v>
      </c>
      <c r="C38" s="426">
        <v>3628875</v>
      </c>
      <c r="D38" s="427">
        <f t="shared" si="0"/>
        <v>1363505</v>
      </c>
      <c r="E38" s="428">
        <f t="shared" si="1"/>
        <v>0.60189064038104145</v>
      </c>
      <c r="H38" s="422">
        <v>37</v>
      </c>
      <c r="I38" s="424" t="s">
        <v>114</v>
      </c>
      <c r="J38" s="429">
        <v>0.65185829027636932</v>
      </c>
      <c r="L38" s="422">
        <v>37</v>
      </c>
      <c r="M38" s="424" t="s">
        <v>82</v>
      </c>
      <c r="N38" s="423">
        <v>82607</v>
      </c>
    </row>
    <row r="39" spans="1:14">
      <c r="A39" s="424" t="s">
        <v>102</v>
      </c>
      <c r="B39" s="425">
        <v>4377015</v>
      </c>
      <c r="C39" s="426">
        <v>6975591</v>
      </c>
      <c r="D39" s="427">
        <f t="shared" si="0"/>
        <v>2598576</v>
      </c>
      <c r="E39" s="428">
        <f t="shared" si="1"/>
        <v>0.59368679339686981</v>
      </c>
      <c r="H39" s="422">
        <v>38</v>
      </c>
      <c r="I39" s="424" t="s">
        <v>156</v>
      </c>
      <c r="J39" s="431">
        <v>0.60350855223477218</v>
      </c>
      <c r="L39" s="422">
        <v>38</v>
      </c>
      <c r="M39" s="424" t="s">
        <v>69</v>
      </c>
      <c r="N39" s="423">
        <v>79361</v>
      </c>
    </row>
    <row r="40" spans="1:14">
      <c r="A40" s="424" t="s">
        <v>203</v>
      </c>
      <c r="B40" s="425">
        <v>18727</v>
      </c>
      <c r="C40" s="426">
        <v>29556</v>
      </c>
      <c r="D40" s="427">
        <f t="shared" si="0"/>
        <v>10829</v>
      </c>
      <c r="E40" s="428">
        <f t="shared" si="1"/>
        <v>0.57825599401933037</v>
      </c>
      <c r="H40" s="422">
        <v>39</v>
      </c>
      <c r="I40" s="424" t="s">
        <v>111</v>
      </c>
      <c r="J40" s="429">
        <v>0.60189064038104145</v>
      </c>
      <c r="L40" s="422">
        <v>39</v>
      </c>
      <c r="M40" s="424" t="s">
        <v>117</v>
      </c>
      <c r="N40" s="423">
        <v>76227</v>
      </c>
    </row>
    <row r="41" spans="1:14">
      <c r="A41" s="424" t="s">
        <v>117</v>
      </c>
      <c r="B41" s="425">
        <v>132687</v>
      </c>
      <c r="C41" s="426">
        <v>208914</v>
      </c>
      <c r="D41" s="427">
        <f t="shared" si="0"/>
        <v>76227</v>
      </c>
      <c r="E41" s="428">
        <f t="shared" si="1"/>
        <v>0.57448732731917973</v>
      </c>
      <c r="H41" s="422">
        <v>40</v>
      </c>
      <c r="I41" s="424" t="s">
        <v>102</v>
      </c>
      <c r="J41" s="429">
        <v>0.59368679339686981</v>
      </c>
      <c r="L41" s="422">
        <v>40</v>
      </c>
      <c r="M41" s="424" t="s">
        <v>180</v>
      </c>
      <c r="N41" s="423">
        <v>62617</v>
      </c>
    </row>
    <row r="42" spans="1:14">
      <c r="A42" s="424" t="s">
        <v>127</v>
      </c>
      <c r="B42" s="425">
        <v>62489</v>
      </c>
      <c r="C42" s="426">
        <v>93649</v>
      </c>
      <c r="D42" s="427">
        <f t="shared" si="0"/>
        <v>31160</v>
      </c>
      <c r="E42" s="428">
        <f t="shared" si="1"/>
        <v>0.49864776200611305</v>
      </c>
      <c r="H42" s="422">
        <v>41</v>
      </c>
      <c r="I42" s="424" t="s">
        <v>203</v>
      </c>
      <c r="J42" s="429">
        <v>0.57825599401933037</v>
      </c>
      <c r="L42" s="422">
        <v>41</v>
      </c>
      <c r="M42" s="424" t="s">
        <v>114</v>
      </c>
      <c r="N42" s="423">
        <v>40498</v>
      </c>
    </row>
    <row r="43" spans="1:14">
      <c r="A43" s="424" t="s">
        <v>148</v>
      </c>
      <c r="B43" s="425">
        <v>781607</v>
      </c>
      <c r="C43" s="426">
        <v>1167441</v>
      </c>
      <c r="D43" s="427">
        <f t="shared" si="0"/>
        <v>385834</v>
      </c>
      <c r="E43" s="428">
        <f t="shared" si="1"/>
        <v>0.49364194537664069</v>
      </c>
      <c r="H43" s="422">
        <v>42</v>
      </c>
      <c r="I43" s="424" t="s">
        <v>117</v>
      </c>
      <c r="J43" s="429">
        <v>0.57448732731917973</v>
      </c>
      <c r="L43" s="422">
        <v>42</v>
      </c>
      <c r="M43" s="424" t="s">
        <v>171</v>
      </c>
      <c r="N43" s="423">
        <v>37982</v>
      </c>
    </row>
    <row r="44" spans="1:14">
      <c r="A44" s="424" t="s">
        <v>100</v>
      </c>
      <c r="B44" s="425">
        <v>12539</v>
      </c>
      <c r="C44" s="426">
        <v>18345</v>
      </c>
      <c r="D44" s="427">
        <f t="shared" si="0"/>
        <v>5806</v>
      </c>
      <c r="E44" s="428">
        <f t="shared" si="1"/>
        <v>0.46303532977111411</v>
      </c>
      <c r="H44" s="422">
        <v>43</v>
      </c>
      <c r="I44" s="424" t="s">
        <v>127</v>
      </c>
      <c r="J44" s="429">
        <v>0.49864776200611305</v>
      </c>
      <c r="L44" s="422">
        <v>43</v>
      </c>
      <c r="M44" s="424" t="s">
        <v>127</v>
      </c>
      <c r="N44" s="423">
        <v>31160</v>
      </c>
    </row>
    <row r="45" spans="1:14">
      <c r="A45" s="424" t="s">
        <v>169</v>
      </c>
      <c r="B45" s="425">
        <v>535110</v>
      </c>
      <c r="C45" s="426">
        <v>751446</v>
      </c>
      <c r="D45" s="427">
        <f t="shared" si="0"/>
        <v>216336</v>
      </c>
      <c r="E45" s="428">
        <f t="shared" si="1"/>
        <v>0.40428323148511519</v>
      </c>
      <c r="H45" s="422">
        <v>44</v>
      </c>
      <c r="I45" s="424" t="s">
        <v>148</v>
      </c>
      <c r="J45" s="429">
        <v>0.49364194537664069</v>
      </c>
      <c r="L45" s="422">
        <v>44</v>
      </c>
      <c r="M45" s="424" t="s">
        <v>209</v>
      </c>
      <c r="N45" s="423">
        <v>14556</v>
      </c>
    </row>
    <row r="46" spans="1:14">
      <c r="A46" s="424" t="s">
        <v>78</v>
      </c>
      <c r="B46" s="425">
        <v>268056</v>
      </c>
      <c r="C46" s="426">
        <v>373811</v>
      </c>
      <c r="D46" s="427">
        <f t="shared" si="0"/>
        <v>105755</v>
      </c>
      <c r="E46" s="428">
        <f t="shared" si="1"/>
        <v>0.39452577073447337</v>
      </c>
      <c r="H46" s="422">
        <v>45</v>
      </c>
      <c r="I46" s="424" t="s">
        <v>100</v>
      </c>
      <c r="J46" s="429">
        <v>0.46303532977111411</v>
      </c>
      <c r="L46" s="422">
        <v>45</v>
      </c>
      <c r="M46" s="424" t="s">
        <v>72</v>
      </c>
      <c r="N46" s="423">
        <v>14108</v>
      </c>
    </row>
    <row r="47" spans="1:14">
      <c r="A47" s="424" t="s">
        <v>190</v>
      </c>
      <c r="B47" s="425">
        <v>3847864</v>
      </c>
      <c r="C47" s="426">
        <v>5148877</v>
      </c>
      <c r="D47" s="427">
        <f t="shared" si="0"/>
        <v>1301013</v>
      </c>
      <c r="E47" s="428">
        <f t="shared" si="1"/>
        <v>0.33811304141726423</v>
      </c>
      <c r="H47" s="422">
        <v>46</v>
      </c>
      <c r="I47" s="424" t="s">
        <v>169</v>
      </c>
      <c r="J47" s="429">
        <v>0.40428323148511519</v>
      </c>
      <c r="L47" s="422">
        <v>46</v>
      </c>
      <c r="M47" s="424" t="s">
        <v>203</v>
      </c>
      <c r="N47" s="423">
        <v>10829</v>
      </c>
    </row>
    <row r="48" spans="1:14">
      <c r="A48" s="424" t="s">
        <v>156</v>
      </c>
      <c r="B48" s="433">
        <v>6308585</v>
      </c>
      <c r="C48" s="426">
        <v>10115870</v>
      </c>
      <c r="D48" s="427">
        <f t="shared" si="0"/>
        <v>3807285</v>
      </c>
      <c r="E48" s="428">
        <f t="shared" si="1"/>
        <v>0.60350855223477218</v>
      </c>
      <c r="H48" s="422">
        <v>47</v>
      </c>
      <c r="I48" s="424" t="s">
        <v>78</v>
      </c>
      <c r="J48" s="429">
        <v>0.39452577073447337</v>
      </c>
      <c r="L48" s="422">
        <v>47</v>
      </c>
      <c r="M48" s="424" t="s">
        <v>100</v>
      </c>
      <c r="N48" s="423">
        <v>5806</v>
      </c>
    </row>
    <row r="49" spans="1:14">
      <c r="A49" s="424" t="s">
        <v>218</v>
      </c>
      <c r="B49" s="433">
        <v>1655806</v>
      </c>
      <c r="C49" s="426">
        <v>4164730</v>
      </c>
      <c r="D49" s="427">
        <f t="shared" si="0"/>
        <v>2508924</v>
      </c>
      <c r="E49" s="428">
        <f t="shared" si="1"/>
        <v>1.5152282332592104</v>
      </c>
      <c r="H49" s="422">
        <v>48</v>
      </c>
      <c r="I49" s="424" t="s">
        <v>190</v>
      </c>
      <c r="J49" s="429">
        <v>0.33811304141726423</v>
      </c>
      <c r="L49" s="422">
        <v>48</v>
      </c>
      <c r="M49" s="424" t="s">
        <v>231</v>
      </c>
      <c r="N49" s="423">
        <v>3439</v>
      </c>
    </row>
    <row r="50" spans="1:14">
      <c r="A50" s="434"/>
      <c r="B50" s="427" t="s">
        <v>3499</v>
      </c>
      <c r="C50" s="435">
        <f>AVERAGE(C2:C47)</f>
        <v>1925217.1956521738</v>
      </c>
      <c r="D50" s="435">
        <f>AVERAGE(D2:D49)</f>
        <v>1015401.2916666666</v>
      </c>
      <c r="E50" s="436">
        <f>AVERAGE(E2:E49)</f>
        <v>1.445034497688038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65"/>
  <sheetViews>
    <sheetView workbookViewId="0">
      <pane xSplit="2" ySplit="1" topLeftCell="AJ9" activePane="bottomRight" state="frozen"/>
      <selection activeCell="B24" sqref="B24"/>
      <selection pane="topRight" activeCell="B24" sqref="B24"/>
      <selection pane="bottomLeft" activeCell="B24" sqref="B24"/>
      <selection pane="bottomRight" activeCell="B24" sqref="B24"/>
    </sheetView>
  </sheetViews>
  <sheetFormatPr baseColWidth="10" defaultColWidth="21.83203125" defaultRowHeight="14" x14ac:dyDescent="0"/>
  <cols>
    <col min="1" max="25" width="21.83203125" style="194"/>
    <col min="26" max="27" width="21.83203125" style="200"/>
    <col min="28" max="29" width="21.83203125" style="194"/>
    <col min="30" max="35" width="0" style="194" hidden="1" customWidth="1"/>
    <col min="36" max="16384" width="21.83203125" style="194"/>
  </cols>
  <sheetData>
    <row r="1" spans="1:50" s="200" customFormat="1" ht="56">
      <c r="A1" s="195" t="s">
        <v>1100</v>
      </c>
      <c r="B1" s="195" t="s">
        <v>249</v>
      </c>
      <c r="C1" s="195" t="s">
        <v>1407</v>
      </c>
      <c r="D1" s="195" t="s">
        <v>2407</v>
      </c>
      <c r="E1" s="195" t="s">
        <v>1408</v>
      </c>
      <c r="F1" s="195" t="s">
        <v>2408</v>
      </c>
      <c r="G1" s="195" t="s">
        <v>2409</v>
      </c>
      <c r="H1" s="195" t="s">
        <v>2410</v>
      </c>
      <c r="I1" s="195" t="s">
        <v>2411</v>
      </c>
      <c r="J1" s="195" t="s">
        <v>1101</v>
      </c>
      <c r="K1" s="195" t="s">
        <v>2412</v>
      </c>
      <c r="L1" s="195" t="s">
        <v>2413</v>
      </c>
      <c r="M1" s="146" t="s">
        <v>2414</v>
      </c>
      <c r="N1" s="147" t="s">
        <v>2415</v>
      </c>
      <c r="O1" s="146" t="s">
        <v>2416</v>
      </c>
      <c r="P1" s="147" t="s">
        <v>2417</v>
      </c>
      <c r="Q1" s="146" t="s">
        <v>2418</v>
      </c>
      <c r="R1" s="147" t="s">
        <v>2419</v>
      </c>
      <c r="S1" s="146" t="s">
        <v>2420</v>
      </c>
      <c r="T1" s="147" t="s">
        <v>2421</v>
      </c>
      <c r="U1" s="146" t="s">
        <v>2422</v>
      </c>
      <c r="V1" s="147" t="s">
        <v>2423</v>
      </c>
      <c r="W1" s="146" t="s">
        <v>2424</v>
      </c>
      <c r="X1" s="147" t="s">
        <v>2425</v>
      </c>
      <c r="Y1" s="344" t="s">
        <v>2426</v>
      </c>
      <c r="Z1" s="195" t="s">
        <v>2427</v>
      </c>
      <c r="AA1" s="195" t="s">
        <v>2428</v>
      </c>
      <c r="AB1" s="195" t="s">
        <v>2429</v>
      </c>
      <c r="AC1" s="344" t="s">
        <v>2430</v>
      </c>
      <c r="AD1" s="195" t="s">
        <v>2431</v>
      </c>
      <c r="AE1" s="195" t="s">
        <v>2432</v>
      </c>
      <c r="AF1" s="195" t="s">
        <v>2433</v>
      </c>
      <c r="AG1" s="195" t="s">
        <v>2434</v>
      </c>
      <c r="AH1" s="195" t="s">
        <v>2435</v>
      </c>
      <c r="AI1" s="195" t="s">
        <v>2436</v>
      </c>
      <c r="AJ1" s="195" t="s">
        <v>2437</v>
      </c>
      <c r="AK1" s="195" t="s">
        <v>2438</v>
      </c>
      <c r="AL1" s="195" t="s">
        <v>2439</v>
      </c>
      <c r="AM1" s="195" t="s">
        <v>2440</v>
      </c>
      <c r="AN1" s="195" t="s">
        <v>2441</v>
      </c>
      <c r="AO1" s="146" t="s">
        <v>2442</v>
      </c>
      <c r="AP1" s="147" t="s">
        <v>2443</v>
      </c>
      <c r="AQ1" s="146" t="s">
        <v>2444</v>
      </c>
      <c r="AR1" s="147" t="s">
        <v>2445</v>
      </c>
      <c r="AS1" s="146" t="s">
        <v>1741</v>
      </c>
      <c r="AT1" s="147" t="s">
        <v>2446</v>
      </c>
      <c r="AU1" s="195" t="s">
        <v>2447</v>
      </c>
      <c r="AV1" s="146" t="s">
        <v>2448</v>
      </c>
      <c r="AW1" s="147" t="s">
        <v>2449</v>
      </c>
      <c r="AX1" s="345" t="s">
        <v>2450</v>
      </c>
    </row>
    <row r="2" spans="1:50" ht="42">
      <c r="A2" s="205">
        <v>1</v>
      </c>
      <c r="B2" s="178" t="s">
        <v>63</v>
      </c>
      <c r="C2" s="178" t="s">
        <v>1451</v>
      </c>
      <c r="D2" s="178" t="s">
        <v>1174</v>
      </c>
      <c r="E2" s="178" t="s">
        <v>1452</v>
      </c>
      <c r="F2" s="178" t="s">
        <v>1174</v>
      </c>
      <c r="G2" s="178" t="s">
        <v>1174</v>
      </c>
      <c r="H2" s="205">
        <v>0</v>
      </c>
      <c r="I2" s="178" t="s">
        <v>2451</v>
      </c>
      <c r="J2" s="178" t="s">
        <v>413</v>
      </c>
      <c r="K2" s="178" t="s">
        <v>1174</v>
      </c>
      <c r="L2" s="203">
        <v>41111</v>
      </c>
      <c r="M2" s="206">
        <v>6</v>
      </c>
      <c r="N2" s="173">
        <f t="shared" ref="N2:N65" si="0">PERCENTRANK($M$2:$M$64,M2)*0.25</f>
        <v>8.3250000000000005E-2</v>
      </c>
      <c r="O2" s="206">
        <v>49</v>
      </c>
      <c r="P2" s="173">
        <f t="shared" ref="P2:P65" si="1">PERCENTRANK($O$2:$O$64,O2)*0.25</f>
        <v>8.7749999999999995E-2</v>
      </c>
      <c r="Q2" s="206">
        <v>36</v>
      </c>
      <c r="R2" s="173">
        <f t="shared" ref="R2:R65" si="2">PERCENTRANK($Q$2:$Q$64,Q2)*0.25</f>
        <v>0.15725</v>
      </c>
      <c r="S2" s="206">
        <v>6</v>
      </c>
      <c r="T2" s="173">
        <f>PERCENTRANK($S$2:$S$64,S2)*0.25</f>
        <v>8.3250000000000005E-2</v>
      </c>
      <c r="U2" s="206">
        <v>27</v>
      </c>
      <c r="V2" s="173">
        <f>PERCENTRANK($U$2:$U$64,U2)*0.25</f>
        <v>0.15275</v>
      </c>
      <c r="W2" s="206" t="s">
        <v>1174</v>
      </c>
      <c r="X2" s="173">
        <f>IF(W2="Yes",0.25,0)</f>
        <v>0.25</v>
      </c>
      <c r="Y2" s="346">
        <f>SUM(X2,V2,T2,R2,P2,N2)</f>
        <v>0.81425000000000003</v>
      </c>
      <c r="Z2" s="207" t="s">
        <v>2452</v>
      </c>
      <c r="AA2" s="207" t="s">
        <v>2453</v>
      </c>
      <c r="AB2" s="178" t="s">
        <v>1176</v>
      </c>
      <c r="AC2" s="347" t="s">
        <v>1893</v>
      </c>
      <c r="AD2" s="178" t="s">
        <v>1176</v>
      </c>
      <c r="AE2" s="178" t="s">
        <v>1176</v>
      </c>
      <c r="AF2" s="178" t="s">
        <v>1176</v>
      </c>
      <c r="AG2" s="178" t="s">
        <v>1174</v>
      </c>
      <c r="AH2" s="178" t="s">
        <v>2454</v>
      </c>
      <c r="AI2" s="178" t="s">
        <v>1174</v>
      </c>
      <c r="AJ2" s="203">
        <v>41134</v>
      </c>
      <c r="AK2" s="205">
        <v>23</v>
      </c>
      <c r="AL2" s="205">
        <v>158925</v>
      </c>
      <c r="AM2" s="205">
        <v>1083</v>
      </c>
      <c r="AN2" s="205">
        <v>1104</v>
      </c>
      <c r="AO2" s="206">
        <v>173341</v>
      </c>
      <c r="AP2" s="173">
        <f>PERCENTRANK($AO$2:$AO$64,AO2)</f>
        <v>0.67700000000000005</v>
      </c>
      <c r="AQ2" s="206">
        <f>AO2-AL2</f>
        <v>14416</v>
      </c>
      <c r="AR2" s="173">
        <f>PERCENTRANK($AQ$2:$AQ$64,AQ2)*0.5</f>
        <v>0.41099999999999998</v>
      </c>
      <c r="AS2" s="348">
        <f>(AO2/AL2)-1</f>
        <v>9.0709454145037061E-2</v>
      </c>
      <c r="AT2" s="173">
        <f>PERCENTRANK($AS$2:$AS$64,AS2)*0.5</f>
        <v>0.435</v>
      </c>
      <c r="AU2" s="349">
        <f>AN2-AM2</f>
        <v>21</v>
      </c>
      <c r="AV2" s="328">
        <f>AU2/AK2</f>
        <v>0.91304347826086951</v>
      </c>
      <c r="AW2" s="173">
        <f>PERCENTRANK($AV$2:$AV$64,AV2)</f>
        <v>0.41899999999999998</v>
      </c>
      <c r="AX2" s="350">
        <f>SUM(AW2,AT2,AR2,AP2,AC2,Y2)</f>
        <v>2.7562500000000001</v>
      </c>
    </row>
    <row r="3" spans="1:50" ht="84">
      <c r="A3" s="205">
        <v>2</v>
      </c>
      <c r="B3" s="178" t="s">
        <v>69</v>
      </c>
      <c r="C3" s="178" t="s">
        <v>1451</v>
      </c>
      <c r="D3" s="178" t="s">
        <v>1174</v>
      </c>
      <c r="E3" s="178" t="s">
        <v>1452</v>
      </c>
      <c r="F3" s="178" t="s">
        <v>1174</v>
      </c>
      <c r="G3" s="178" t="s">
        <v>1174</v>
      </c>
      <c r="H3" s="205">
        <v>0</v>
      </c>
      <c r="I3" s="178" t="s">
        <v>2455</v>
      </c>
      <c r="J3" s="178" t="s">
        <v>74</v>
      </c>
      <c r="K3" s="178" t="s">
        <v>1176</v>
      </c>
      <c r="L3" s="203">
        <v>41111</v>
      </c>
      <c r="M3" s="206">
        <v>6</v>
      </c>
      <c r="N3" s="173">
        <f t="shared" si="0"/>
        <v>8.3250000000000005E-2</v>
      </c>
      <c r="O3" s="206">
        <v>49</v>
      </c>
      <c r="P3" s="173">
        <f t="shared" si="1"/>
        <v>8.7749999999999995E-2</v>
      </c>
      <c r="Q3" s="206">
        <v>35</v>
      </c>
      <c r="R3" s="173">
        <f t="shared" si="2"/>
        <v>0.14799999999999999</v>
      </c>
      <c r="S3" s="206">
        <v>29</v>
      </c>
      <c r="T3" s="173">
        <f t="shared" ref="T3:T65" si="3">PERCENTRANK($S$2:$S$64,S3)*0.25</f>
        <v>0.19425000000000001</v>
      </c>
      <c r="U3" s="206">
        <v>26</v>
      </c>
      <c r="V3" s="173">
        <f t="shared" ref="V3:V65" si="4">PERCENTRANK($U$2:$U$64,U3)*0.25</f>
        <v>0.14799999999999999</v>
      </c>
      <c r="W3" s="206" t="s">
        <v>1174</v>
      </c>
      <c r="X3" s="173">
        <f t="shared" ref="X3:X65" si="5">IF(W3="Yes",0.25,0)</f>
        <v>0.25</v>
      </c>
      <c r="Y3" s="346">
        <f t="shared" ref="Y3:Y65" si="6">SUM(X3,V3,T3,R3,P3,N3)</f>
        <v>0.91125000000000012</v>
      </c>
      <c r="Z3" s="207" t="s">
        <v>2456</v>
      </c>
      <c r="AA3" s="207" t="s">
        <v>2457</v>
      </c>
      <c r="AC3" s="347" t="s">
        <v>1893</v>
      </c>
      <c r="AD3" s="178" t="s">
        <v>1176</v>
      </c>
      <c r="AE3" s="178" t="s">
        <v>1176</v>
      </c>
      <c r="AF3" s="178" t="s">
        <v>1174</v>
      </c>
      <c r="AG3" s="178" t="s">
        <v>1176</v>
      </c>
      <c r="AH3" s="178" t="s">
        <v>2454</v>
      </c>
      <c r="AI3" s="178" t="s">
        <v>1174</v>
      </c>
      <c r="AJ3" s="203">
        <v>41134</v>
      </c>
      <c r="AK3" s="205">
        <v>23</v>
      </c>
      <c r="AL3" s="205">
        <v>8679</v>
      </c>
      <c r="AM3" s="205">
        <v>341</v>
      </c>
      <c r="AN3" s="205">
        <v>369</v>
      </c>
      <c r="AO3" s="206">
        <v>8835</v>
      </c>
      <c r="AP3" s="173">
        <f t="shared" ref="AP3:AP65" si="7">PERCENTRANK($AO$2:$AO$64,AO3)</f>
        <v>0.186</v>
      </c>
      <c r="AQ3" s="206">
        <f t="shared" ref="AQ3:AQ64" si="8">AO3-AL3</f>
        <v>156</v>
      </c>
      <c r="AR3" s="173">
        <f t="shared" ref="AR3:AR65" si="9">PERCENTRANK($AQ$2:$AQ$64,AQ3)*0.5</f>
        <v>8.0500000000000002E-2</v>
      </c>
      <c r="AS3" s="348">
        <f t="shared" ref="AS3:AS64" si="10">(AO3/AL3)-1</f>
        <v>1.7974421016246023E-2</v>
      </c>
      <c r="AT3" s="173">
        <f t="shared" ref="AT3:AT65" si="11">PERCENTRANK($AS$2:$AS$64,AS3)*0.5</f>
        <v>7.2499999999999995E-2</v>
      </c>
      <c r="AU3" s="349">
        <f t="shared" ref="AU3:AU65" si="12">AN3-AM3</f>
        <v>28</v>
      </c>
      <c r="AV3" s="328">
        <f t="shared" ref="AV3:AV64" si="13">AU3/AK3</f>
        <v>1.2173913043478262</v>
      </c>
      <c r="AW3" s="173">
        <f t="shared" ref="AW3:AW65" si="14">PERCENTRANK($AV$2:$AV$64,AV3)</f>
        <v>0.48299999999999998</v>
      </c>
      <c r="AX3" s="350">
        <f t="shared" ref="AX3:AX65" si="15">SUM(AW3,AT3,AR3,AP3,AC3,Y3)</f>
        <v>1.7332500000000002</v>
      </c>
    </row>
    <row r="4" spans="1:50" ht="56">
      <c r="A4" s="205">
        <v>3</v>
      </c>
      <c r="B4" s="178" t="s">
        <v>72</v>
      </c>
      <c r="C4" s="178" t="s">
        <v>1451</v>
      </c>
      <c r="D4" s="178" t="s">
        <v>1174</v>
      </c>
      <c r="E4" s="178" t="s">
        <v>1452</v>
      </c>
      <c r="F4" s="178" t="s">
        <v>1176</v>
      </c>
      <c r="G4" s="178" t="s">
        <v>1176</v>
      </c>
      <c r="H4" s="205">
        <v>0</v>
      </c>
      <c r="I4" s="178" t="s">
        <v>2458</v>
      </c>
      <c r="J4" s="178" t="s">
        <v>65</v>
      </c>
      <c r="K4" s="178" t="s">
        <v>1176</v>
      </c>
      <c r="L4" s="203">
        <v>41111</v>
      </c>
      <c r="M4" s="206">
        <v>53</v>
      </c>
      <c r="N4" s="173">
        <f t="shared" si="0"/>
        <v>0.25</v>
      </c>
      <c r="O4" s="206">
        <v>64</v>
      </c>
      <c r="P4" s="173">
        <f t="shared" si="1"/>
        <v>0.13875000000000001</v>
      </c>
      <c r="Q4" s="206">
        <v>20</v>
      </c>
      <c r="R4" s="173">
        <f t="shared" si="2"/>
        <v>6.4750000000000002E-2</v>
      </c>
      <c r="S4" s="206">
        <v>3</v>
      </c>
      <c r="T4" s="173">
        <f t="shared" si="3"/>
        <v>3.2250000000000001E-2</v>
      </c>
      <c r="U4" s="206">
        <v>90</v>
      </c>
      <c r="V4" s="173">
        <f t="shared" si="4"/>
        <v>0.25</v>
      </c>
      <c r="W4" s="206" t="s">
        <v>1176</v>
      </c>
      <c r="X4" s="173">
        <f t="shared" si="5"/>
        <v>0</v>
      </c>
      <c r="Y4" s="346">
        <f t="shared" si="6"/>
        <v>0.73575000000000002</v>
      </c>
      <c r="Z4" s="207" t="s">
        <v>2459</v>
      </c>
      <c r="AB4" s="178" t="s">
        <v>1176</v>
      </c>
      <c r="AC4" s="347" t="s">
        <v>1893</v>
      </c>
      <c r="AD4" s="178" t="s">
        <v>1176</v>
      </c>
      <c r="AE4" s="178" t="s">
        <v>1176</v>
      </c>
      <c r="AF4" s="178" t="s">
        <v>1174</v>
      </c>
      <c r="AG4" s="178" t="s">
        <v>1176</v>
      </c>
      <c r="AH4" s="178" t="s">
        <v>2454</v>
      </c>
      <c r="AI4" s="178" t="s">
        <v>1176</v>
      </c>
      <c r="AJ4" s="203">
        <v>41134</v>
      </c>
      <c r="AK4" s="205">
        <v>23</v>
      </c>
      <c r="AL4" s="205">
        <v>19562</v>
      </c>
      <c r="AM4" s="205">
        <v>859</v>
      </c>
      <c r="AN4" s="205">
        <v>924</v>
      </c>
      <c r="AO4" s="206">
        <v>20236</v>
      </c>
      <c r="AP4" s="173">
        <f t="shared" si="7"/>
        <v>0.32200000000000001</v>
      </c>
      <c r="AQ4" s="206">
        <f t="shared" si="8"/>
        <v>674</v>
      </c>
      <c r="AR4" s="173">
        <f t="shared" si="9"/>
        <v>0.17699999999999999</v>
      </c>
      <c r="AS4" s="348">
        <f t="shared" si="10"/>
        <v>3.4454554749003163E-2</v>
      </c>
      <c r="AT4" s="173">
        <f t="shared" si="11"/>
        <v>0.19350000000000001</v>
      </c>
      <c r="AU4" s="349">
        <f t="shared" si="12"/>
        <v>65</v>
      </c>
      <c r="AV4" s="328">
        <f t="shared" si="13"/>
        <v>2.8260869565217392</v>
      </c>
      <c r="AW4" s="173">
        <f t="shared" si="14"/>
        <v>0.69299999999999995</v>
      </c>
      <c r="AX4" s="350">
        <f t="shared" si="15"/>
        <v>2.1212499999999999</v>
      </c>
    </row>
    <row r="5" spans="1:50" ht="70">
      <c r="A5" s="205">
        <v>4</v>
      </c>
      <c r="B5" s="178" t="s">
        <v>78</v>
      </c>
      <c r="C5" s="178" t="s">
        <v>1451</v>
      </c>
      <c r="D5" s="178" t="s">
        <v>1174</v>
      </c>
      <c r="E5" s="178" t="s">
        <v>1452</v>
      </c>
      <c r="F5" s="178" t="s">
        <v>1176</v>
      </c>
      <c r="G5" s="178" t="s">
        <v>1176</v>
      </c>
      <c r="H5" s="205">
        <v>0</v>
      </c>
      <c r="I5" s="178" t="s">
        <v>2460</v>
      </c>
      <c r="J5" s="178" t="s">
        <v>413</v>
      </c>
      <c r="K5" s="178" t="s">
        <v>1176</v>
      </c>
      <c r="L5" s="203">
        <v>41111</v>
      </c>
      <c r="M5" s="206">
        <v>0</v>
      </c>
      <c r="N5" s="173">
        <f t="shared" si="0"/>
        <v>0</v>
      </c>
      <c r="O5" s="206">
        <v>1</v>
      </c>
      <c r="P5" s="173">
        <f t="shared" si="1"/>
        <v>4.4999999999999997E-3</v>
      </c>
      <c r="Q5" s="206">
        <v>14</v>
      </c>
      <c r="R5" s="173">
        <f t="shared" si="2"/>
        <v>3.2250000000000001E-2</v>
      </c>
      <c r="S5" s="206">
        <v>0</v>
      </c>
      <c r="T5" s="173">
        <f t="shared" si="3"/>
        <v>0</v>
      </c>
      <c r="U5" s="206">
        <v>35</v>
      </c>
      <c r="V5" s="173">
        <f t="shared" si="4"/>
        <v>0.19425000000000001</v>
      </c>
      <c r="W5" s="206" t="s">
        <v>1174</v>
      </c>
      <c r="X5" s="173">
        <f t="shared" si="5"/>
        <v>0.25</v>
      </c>
      <c r="Y5" s="346">
        <f t="shared" si="6"/>
        <v>0.48100000000000004</v>
      </c>
      <c r="Z5" s="207" t="s">
        <v>2461</v>
      </c>
      <c r="AA5" s="207" t="s">
        <v>2462</v>
      </c>
      <c r="AC5" s="347" t="s">
        <v>2104</v>
      </c>
      <c r="AD5" s="178" t="s">
        <v>1174</v>
      </c>
      <c r="AE5" s="178" t="s">
        <v>1176</v>
      </c>
      <c r="AF5" s="178" t="s">
        <v>1174</v>
      </c>
      <c r="AG5" s="178" t="s">
        <v>1176</v>
      </c>
      <c r="AH5" s="178" t="s">
        <v>2454</v>
      </c>
      <c r="AI5" s="178" t="s">
        <v>1174</v>
      </c>
      <c r="AJ5" s="203">
        <v>41134</v>
      </c>
      <c r="AK5" s="205">
        <v>23</v>
      </c>
      <c r="AL5" s="205">
        <v>37642</v>
      </c>
      <c r="AM5" s="205">
        <v>73</v>
      </c>
      <c r="AN5" s="205">
        <v>73</v>
      </c>
      <c r="AO5" s="206">
        <v>39936</v>
      </c>
      <c r="AP5" s="173">
        <f t="shared" si="7"/>
        <v>0.47399999999999998</v>
      </c>
      <c r="AQ5" s="206">
        <f t="shared" si="8"/>
        <v>2294</v>
      </c>
      <c r="AR5" s="173">
        <f t="shared" si="9"/>
        <v>0.28199999999999997</v>
      </c>
      <c r="AS5" s="348">
        <f t="shared" si="10"/>
        <v>6.0942564157058676E-2</v>
      </c>
      <c r="AT5" s="173">
        <f t="shared" si="11"/>
        <v>0.379</v>
      </c>
      <c r="AU5" s="349">
        <f t="shared" si="12"/>
        <v>0</v>
      </c>
      <c r="AV5" s="328">
        <f t="shared" si="13"/>
        <v>0</v>
      </c>
      <c r="AW5" s="173">
        <f t="shared" si="14"/>
        <v>0</v>
      </c>
      <c r="AX5" s="350">
        <f t="shared" si="15"/>
        <v>1.6160000000000001</v>
      </c>
    </row>
    <row r="6" spans="1:50" ht="28">
      <c r="A6" s="205">
        <v>5</v>
      </c>
      <c r="B6" s="178" t="s">
        <v>82</v>
      </c>
      <c r="C6" s="178" t="s">
        <v>1451</v>
      </c>
      <c r="D6" s="178" t="s">
        <v>1174</v>
      </c>
      <c r="E6" s="178" t="s">
        <v>1452</v>
      </c>
      <c r="F6" s="178" t="s">
        <v>1176</v>
      </c>
      <c r="G6" s="178" t="s">
        <v>1176</v>
      </c>
      <c r="H6" s="205">
        <v>0</v>
      </c>
      <c r="I6" s="178" t="s">
        <v>2463</v>
      </c>
      <c r="J6" s="178" t="s">
        <v>413</v>
      </c>
      <c r="K6" s="178" t="s">
        <v>1176</v>
      </c>
      <c r="L6" s="203">
        <v>41111</v>
      </c>
      <c r="M6" s="206">
        <v>13</v>
      </c>
      <c r="N6" s="173">
        <f t="shared" si="0"/>
        <v>0.15275</v>
      </c>
      <c r="O6" s="206">
        <v>27</v>
      </c>
      <c r="P6" s="173">
        <f t="shared" si="1"/>
        <v>2.775E-2</v>
      </c>
      <c r="Q6" s="206">
        <v>42</v>
      </c>
      <c r="R6" s="173">
        <f t="shared" si="2"/>
        <v>0.16650000000000001</v>
      </c>
      <c r="S6" s="206">
        <v>1</v>
      </c>
      <c r="T6" s="173">
        <f t="shared" si="3"/>
        <v>1.375E-2</v>
      </c>
      <c r="U6" s="206">
        <v>34</v>
      </c>
      <c r="V6" s="173">
        <f t="shared" si="4"/>
        <v>0.18975</v>
      </c>
      <c r="W6" s="206" t="s">
        <v>1174</v>
      </c>
      <c r="X6" s="173">
        <f t="shared" si="5"/>
        <v>0.25</v>
      </c>
      <c r="Y6" s="346">
        <f t="shared" si="6"/>
        <v>0.80049999999999999</v>
      </c>
      <c r="Z6" s="207" t="s">
        <v>2464</v>
      </c>
      <c r="AA6" s="207" t="s">
        <v>684</v>
      </c>
      <c r="AC6" s="347" t="s">
        <v>1893</v>
      </c>
      <c r="AD6" s="178" t="s">
        <v>1176</v>
      </c>
      <c r="AE6" s="178" t="s">
        <v>1174</v>
      </c>
      <c r="AF6" s="178" t="s">
        <v>1176</v>
      </c>
      <c r="AG6" s="178" t="s">
        <v>1176</v>
      </c>
      <c r="AH6" s="178" t="s">
        <v>2454</v>
      </c>
      <c r="AI6" s="178" t="s">
        <v>1174</v>
      </c>
      <c r="AJ6" s="203">
        <v>41134</v>
      </c>
      <c r="AK6" s="205">
        <v>23</v>
      </c>
      <c r="AL6" s="205">
        <v>4078</v>
      </c>
      <c r="AM6" s="205">
        <v>2579</v>
      </c>
      <c r="AN6" s="205">
        <v>2674</v>
      </c>
      <c r="AO6" s="206">
        <v>4441</v>
      </c>
      <c r="AP6" s="173">
        <f t="shared" si="7"/>
        <v>0.10100000000000001</v>
      </c>
      <c r="AQ6" s="206">
        <f t="shared" si="8"/>
        <v>363</v>
      </c>
      <c r="AR6" s="173">
        <f t="shared" si="9"/>
        <v>0.129</v>
      </c>
      <c r="AS6" s="348">
        <f t="shared" si="10"/>
        <v>8.9014222658165831E-2</v>
      </c>
      <c r="AT6" s="173">
        <f t="shared" si="11"/>
        <v>0.42699999999999999</v>
      </c>
      <c r="AU6" s="349">
        <f t="shared" si="12"/>
        <v>95</v>
      </c>
      <c r="AV6" s="328">
        <f t="shared" si="13"/>
        <v>4.1304347826086953</v>
      </c>
      <c r="AW6" s="173">
        <f t="shared" si="14"/>
        <v>0.80600000000000005</v>
      </c>
      <c r="AX6" s="350">
        <f t="shared" si="15"/>
        <v>2.2635000000000001</v>
      </c>
    </row>
    <row r="7" spans="1:50" ht="56">
      <c r="A7" s="205">
        <v>6</v>
      </c>
      <c r="B7" s="178" t="s">
        <v>87</v>
      </c>
      <c r="C7" s="178" t="s">
        <v>1451</v>
      </c>
      <c r="D7" s="178" t="s">
        <v>1174</v>
      </c>
      <c r="E7" s="178" t="s">
        <v>1452</v>
      </c>
      <c r="F7" s="178" t="s">
        <v>1176</v>
      </c>
      <c r="G7" s="178" t="s">
        <v>1176</v>
      </c>
      <c r="H7" s="205">
        <v>0</v>
      </c>
      <c r="I7" s="178" t="s">
        <v>2465</v>
      </c>
      <c r="J7" s="178" t="s">
        <v>413</v>
      </c>
      <c r="K7" s="178" t="s">
        <v>1174</v>
      </c>
      <c r="L7" s="203">
        <v>41111</v>
      </c>
      <c r="M7" s="206">
        <v>14</v>
      </c>
      <c r="N7" s="173">
        <f t="shared" si="0"/>
        <v>0.15725</v>
      </c>
      <c r="O7" s="206">
        <v>59</v>
      </c>
      <c r="P7" s="173">
        <f t="shared" si="1"/>
        <v>0.1295</v>
      </c>
      <c r="Q7" s="206">
        <v>54</v>
      </c>
      <c r="R7" s="173">
        <f t="shared" si="2"/>
        <v>0.20824999999999999</v>
      </c>
      <c r="S7" s="206">
        <v>26</v>
      </c>
      <c r="T7" s="173">
        <f t="shared" si="3"/>
        <v>0.18049999999999999</v>
      </c>
      <c r="U7" s="206">
        <v>22</v>
      </c>
      <c r="V7" s="173">
        <f t="shared" si="4"/>
        <v>0.13425000000000001</v>
      </c>
      <c r="W7" s="206" t="s">
        <v>1174</v>
      </c>
      <c r="X7" s="173">
        <f t="shared" si="5"/>
        <v>0.25</v>
      </c>
      <c r="Y7" s="346">
        <f t="shared" si="6"/>
        <v>1.0597499999999997</v>
      </c>
      <c r="Z7" s="207" t="s">
        <v>2466</v>
      </c>
      <c r="AA7" s="207" t="s">
        <v>2467</v>
      </c>
      <c r="AC7" s="347" t="s">
        <v>2104</v>
      </c>
      <c r="AD7" s="178" t="s">
        <v>1176</v>
      </c>
      <c r="AE7" s="178" t="s">
        <v>1176</v>
      </c>
      <c r="AF7" s="178" t="s">
        <v>1176</v>
      </c>
      <c r="AG7" s="178" t="s">
        <v>1176</v>
      </c>
      <c r="AH7" s="178" t="s">
        <v>2454</v>
      </c>
      <c r="AI7" s="178" t="s">
        <v>1176</v>
      </c>
      <c r="AJ7" s="203">
        <v>41135</v>
      </c>
      <c r="AK7" s="205">
        <v>23</v>
      </c>
      <c r="AL7" s="205">
        <v>61360</v>
      </c>
      <c r="AM7" s="205">
        <v>512</v>
      </c>
      <c r="AN7" s="205">
        <v>631</v>
      </c>
      <c r="AO7" s="206">
        <v>62745</v>
      </c>
      <c r="AP7" s="173">
        <f t="shared" si="7"/>
        <v>0.52500000000000002</v>
      </c>
      <c r="AQ7" s="206">
        <f t="shared" si="8"/>
        <v>1385</v>
      </c>
      <c r="AR7" s="173">
        <f t="shared" si="9"/>
        <v>0.22550000000000001</v>
      </c>
      <c r="AS7" s="348">
        <f t="shared" si="10"/>
        <v>2.2571707953063846E-2</v>
      </c>
      <c r="AT7" s="173">
        <f t="shared" si="11"/>
        <v>9.6500000000000002E-2</v>
      </c>
      <c r="AU7" s="349">
        <f t="shared" si="12"/>
        <v>119</v>
      </c>
      <c r="AV7" s="328">
        <f t="shared" si="13"/>
        <v>5.1739130434782608</v>
      </c>
      <c r="AW7" s="173">
        <f t="shared" si="14"/>
        <v>0.88700000000000001</v>
      </c>
      <c r="AX7" s="350">
        <f t="shared" si="15"/>
        <v>2.7937499999999997</v>
      </c>
    </row>
    <row r="8" spans="1:50" ht="84">
      <c r="A8" s="205">
        <v>7</v>
      </c>
      <c r="B8" s="178" t="s">
        <v>90</v>
      </c>
      <c r="C8" s="178" t="s">
        <v>1451</v>
      </c>
      <c r="D8" s="178" t="s">
        <v>1174</v>
      </c>
      <c r="E8" s="178" t="s">
        <v>1452</v>
      </c>
      <c r="F8" s="178" t="s">
        <v>1176</v>
      </c>
      <c r="G8" s="178" t="s">
        <v>1176</v>
      </c>
      <c r="H8" s="205">
        <v>0</v>
      </c>
      <c r="I8" s="178" t="s">
        <v>2468</v>
      </c>
      <c r="J8" s="178" t="s">
        <v>413</v>
      </c>
      <c r="K8" s="178" t="s">
        <v>1176</v>
      </c>
      <c r="L8" s="203">
        <v>41110</v>
      </c>
      <c r="M8" s="206">
        <v>7</v>
      </c>
      <c r="N8" s="173">
        <f t="shared" si="0"/>
        <v>0.10625</v>
      </c>
      <c r="O8" s="206">
        <v>80</v>
      </c>
      <c r="P8" s="173">
        <f t="shared" si="1"/>
        <v>0.20824999999999999</v>
      </c>
      <c r="Q8" s="206">
        <v>13</v>
      </c>
      <c r="R8" s="173">
        <f t="shared" si="2"/>
        <v>2.775E-2</v>
      </c>
      <c r="S8" s="206">
        <v>72</v>
      </c>
      <c r="T8" s="173">
        <f t="shared" si="3"/>
        <v>0.25</v>
      </c>
      <c r="U8" s="206">
        <v>5</v>
      </c>
      <c r="V8" s="173">
        <f t="shared" si="4"/>
        <v>6.4750000000000002E-2</v>
      </c>
      <c r="W8" s="206" t="s">
        <v>1174</v>
      </c>
      <c r="X8" s="173">
        <f t="shared" si="5"/>
        <v>0.25</v>
      </c>
      <c r="Y8" s="346">
        <f t="shared" si="6"/>
        <v>0.90700000000000003</v>
      </c>
      <c r="Z8" s="207" t="s">
        <v>2469</v>
      </c>
      <c r="AA8" s="207" t="s">
        <v>684</v>
      </c>
      <c r="AC8" s="347" t="s">
        <v>1893</v>
      </c>
      <c r="AD8" s="178" t="s">
        <v>1176</v>
      </c>
      <c r="AE8" s="178" t="s">
        <v>1176</v>
      </c>
      <c r="AF8" s="178" t="s">
        <v>1176</v>
      </c>
      <c r="AG8" s="178" t="s">
        <v>1176</v>
      </c>
      <c r="AH8" s="178" t="s">
        <v>2454</v>
      </c>
      <c r="AI8" s="178" t="s">
        <v>1174</v>
      </c>
      <c r="AJ8" s="203">
        <v>41134</v>
      </c>
      <c r="AK8" s="205">
        <v>23</v>
      </c>
      <c r="AL8" s="205">
        <v>2521</v>
      </c>
      <c r="AM8" s="205">
        <v>193</v>
      </c>
      <c r="AN8" s="205">
        <v>193</v>
      </c>
      <c r="AO8" s="206">
        <v>2930</v>
      </c>
      <c r="AP8" s="173">
        <f t="shared" si="7"/>
        <v>8.4000000000000005E-2</v>
      </c>
      <c r="AQ8" s="206">
        <f t="shared" si="8"/>
        <v>409</v>
      </c>
      <c r="AR8" s="173">
        <f t="shared" si="9"/>
        <v>0.14499999999999999</v>
      </c>
      <c r="AS8" s="348">
        <f t="shared" si="10"/>
        <v>0.16223720745735815</v>
      </c>
      <c r="AT8" s="173">
        <f t="shared" si="11"/>
        <v>0.47549999999999998</v>
      </c>
      <c r="AU8" s="349">
        <f t="shared" si="12"/>
        <v>0</v>
      </c>
      <c r="AV8" s="328">
        <f t="shared" si="13"/>
        <v>0</v>
      </c>
      <c r="AW8" s="173">
        <f t="shared" si="14"/>
        <v>0</v>
      </c>
      <c r="AX8" s="350">
        <f t="shared" si="15"/>
        <v>1.6114999999999999</v>
      </c>
    </row>
    <row r="9" spans="1:50" ht="42">
      <c r="A9" s="205">
        <v>8</v>
      </c>
      <c r="B9" s="178" t="s">
        <v>93</v>
      </c>
      <c r="C9" s="178" t="s">
        <v>1451</v>
      </c>
      <c r="D9" s="178" t="s">
        <v>1174</v>
      </c>
      <c r="E9" s="178" t="s">
        <v>1452</v>
      </c>
      <c r="F9" s="178" t="s">
        <v>1174</v>
      </c>
      <c r="G9" s="178" t="s">
        <v>1174</v>
      </c>
      <c r="H9" s="205">
        <v>0</v>
      </c>
      <c r="I9" s="178" t="s">
        <v>2470</v>
      </c>
      <c r="J9" s="178" t="s">
        <v>413</v>
      </c>
      <c r="K9" s="178" t="s">
        <v>1174</v>
      </c>
      <c r="L9" s="203">
        <v>41111</v>
      </c>
      <c r="M9" s="206">
        <v>0</v>
      </c>
      <c r="N9" s="173">
        <f t="shared" si="0"/>
        <v>0</v>
      </c>
      <c r="O9" s="206">
        <v>67</v>
      </c>
      <c r="P9" s="173">
        <f t="shared" si="1"/>
        <v>0.16200000000000001</v>
      </c>
      <c r="Q9" s="206">
        <v>44</v>
      </c>
      <c r="R9" s="173">
        <f t="shared" si="2"/>
        <v>0.18049999999999999</v>
      </c>
      <c r="S9" s="206">
        <v>4</v>
      </c>
      <c r="T9" s="173">
        <f t="shared" si="3"/>
        <v>5.5500000000000001E-2</v>
      </c>
      <c r="U9" s="206">
        <v>56</v>
      </c>
      <c r="V9" s="173">
        <f t="shared" si="4"/>
        <v>0.24049999999999999</v>
      </c>
      <c r="W9" s="206" t="s">
        <v>1174</v>
      </c>
      <c r="X9" s="173">
        <f t="shared" si="5"/>
        <v>0.25</v>
      </c>
      <c r="Y9" s="346">
        <f t="shared" si="6"/>
        <v>0.88850000000000007</v>
      </c>
      <c r="Z9" s="207" t="s">
        <v>2471</v>
      </c>
      <c r="AA9" s="207" t="s">
        <v>2472</v>
      </c>
      <c r="AC9" s="347" t="s">
        <v>2104</v>
      </c>
      <c r="AD9" s="178" t="s">
        <v>1176</v>
      </c>
      <c r="AE9" s="178" t="s">
        <v>1176</v>
      </c>
      <c r="AF9" s="178" t="s">
        <v>1174</v>
      </c>
      <c r="AG9" s="178" t="s">
        <v>1176</v>
      </c>
      <c r="AH9" s="178" t="s">
        <v>2454</v>
      </c>
      <c r="AI9" s="178" t="s">
        <v>1174</v>
      </c>
      <c r="AJ9" s="203">
        <v>41134</v>
      </c>
      <c r="AK9" s="205">
        <v>23</v>
      </c>
      <c r="AL9" s="205">
        <v>1141391</v>
      </c>
      <c r="AM9" s="205">
        <v>2273</v>
      </c>
      <c r="AN9" s="205">
        <v>2363</v>
      </c>
      <c r="AO9" s="206">
        <v>1192104</v>
      </c>
      <c r="AP9" s="173">
        <f t="shared" si="7"/>
        <v>0.98299999999999998</v>
      </c>
      <c r="AQ9" s="206">
        <f t="shared" si="8"/>
        <v>50713</v>
      </c>
      <c r="AR9" s="173">
        <f t="shared" si="9"/>
        <v>0.48349999999999999</v>
      </c>
      <c r="AS9" s="348">
        <f t="shared" si="10"/>
        <v>4.4430874257813446E-2</v>
      </c>
      <c r="AT9" s="173">
        <f t="shared" si="11"/>
        <v>0.3145</v>
      </c>
      <c r="AU9" s="349">
        <f t="shared" si="12"/>
        <v>90</v>
      </c>
      <c r="AV9" s="328">
        <f t="shared" si="13"/>
        <v>3.9130434782608696</v>
      </c>
      <c r="AW9" s="173">
        <f t="shared" si="14"/>
        <v>0.79</v>
      </c>
      <c r="AX9" s="350">
        <f t="shared" si="15"/>
        <v>3.4595000000000002</v>
      </c>
    </row>
    <row r="10" spans="1:50">
      <c r="A10" s="205">
        <v>9</v>
      </c>
      <c r="B10" s="178" t="s">
        <v>96</v>
      </c>
      <c r="C10" s="178" t="s">
        <v>1451</v>
      </c>
      <c r="D10" s="178" t="s">
        <v>1174</v>
      </c>
      <c r="E10" s="178" t="s">
        <v>1452</v>
      </c>
      <c r="F10" s="178" t="s">
        <v>1176</v>
      </c>
      <c r="G10" s="178" t="s">
        <v>1176</v>
      </c>
      <c r="H10" s="205">
        <v>0</v>
      </c>
      <c r="I10" s="178" t="s">
        <v>2473</v>
      </c>
      <c r="J10" s="178" t="s">
        <v>413</v>
      </c>
      <c r="K10" s="178" t="s">
        <v>1174</v>
      </c>
      <c r="L10" s="203">
        <v>41111</v>
      </c>
      <c r="M10" s="206">
        <v>3</v>
      </c>
      <c r="N10" s="173">
        <f t="shared" si="0"/>
        <v>5.5500000000000001E-2</v>
      </c>
      <c r="O10" s="206">
        <v>75</v>
      </c>
      <c r="P10" s="173">
        <f t="shared" si="1"/>
        <v>0.19900000000000001</v>
      </c>
      <c r="Q10" s="206">
        <v>26</v>
      </c>
      <c r="R10" s="173">
        <f t="shared" si="2"/>
        <v>9.2499999999999999E-2</v>
      </c>
      <c r="S10" s="206">
        <v>45</v>
      </c>
      <c r="T10" s="173">
        <f t="shared" si="3"/>
        <v>0.22675000000000001</v>
      </c>
      <c r="U10" s="206">
        <v>6</v>
      </c>
      <c r="V10" s="173">
        <f t="shared" si="4"/>
        <v>7.85E-2</v>
      </c>
      <c r="W10" s="206" t="s">
        <v>1174</v>
      </c>
      <c r="X10" s="173">
        <f t="shared" si="5"/>
        <v>0.25</v>
      </c>
      <c r="Y10" s="346">
        <f t="shared" si="6"/>
        <v>0.90225000000000011</v>
      </c>
      <c r="Z10" s="207" t="s">
        <v>2474</v>
      </c>
      <c r="AA10" s="207" t="s">
        <v>684</v>
      </c>
      <c r="AC10" s="347" t="s">
        <v>1893</v>
      </c>
      <c r="AD10" s="178" t="s">
        <v>1176</v>
      </c>
      <c r="AE10" s="178" t="s">
        <v>1174</v>
      </c>
      <c r="AF10" s="178" t="s">
        <v>1176</v>
      </c>
      <c r="AG10" s="178" t="s">
        <v>1176</v>
      </c>
      <c r="AH10" s="178" t="s">
        <v>2454</v>
      </c>
      <c r="AI10" s="178" t="s">
        <v>1174</v>
      </c>
      <c r="AJ10" s="203">
        <v>41134</v>
      </c>
      <c r="AK10" s="205">
        <v>23</v>
      </c>
      <c r="AL10" s="205">
        <v>477357</v>
      </c>
      <c r="AM10" s="205">
        <v>1602</v>
      </c>
      <c r="AN10" s="205">
        <v>1652</v>
      </c>
      <c r="AO10" s="206">
        <v>481186</v>
      </c>
      <c r="AP10" s="173">
        <f t="shared" si="7"/>
        <v>0.89800000000000002</v>
      </c>
      <c r="AQ10" s="206">
        <f t="shared" si="8"/>
        <v>3829</v>
      </c>
      <c r="AR10" s="173">
        <f t="shared" si="9"/>
        <v>0.32250000000000001</v>
      </c>
      <c r="AS10" s="348">
        <f t="shared" si="10"/>
        <v>8.0212503430345805E-3</v>
      </c>
      <c r="AT10" s="173">
        <f t="shared" si="11"/>
        <v>6.4500000000000002E-2</v>
      </c>
      <c r="AU10" s="349">
        <f t="shared" si="12"/>
        <v>50</v>
      </c>
      <c r="AV10" s="328">
        <f t="shared" si="13"/>
        <v>2.1739130434782608</v>
      </c>
      <c r="AW10" s="173">
        <f t="shared" si="14"/>
        <v>0.61199999999999999</v>
      </c>
      <c r="AX10" s="350">
        <f t="shared" si="15"/>
        <v>2.7992500000000002</v>
      </c>
    </row>
    <row r="11" spans="1:50" ht="70">
      <c r="A11" s="205">
        <v>10</v>
      </c>
      <c r="B11" s="178" t="s">
        <v>100</v>
      </c>
      <c r="C11" s="178" t="s">
        <v>1451</v>
      </c>
      <c r="D11" s="178" t="s">
        <v>1174</v>
      </c>
      <c r="E11" s="178" t="s">
        <v>1452</v>
      </c>
      <c r="F11" s="178" t="s">
        <v>1176</v>
      </c>
      <c r="G11" s="178" t="s">
        <v>1176</v>
      </c>
      <c r="H11" s="205">
        <v>0</v>
      </c>
      <c r="I11" s="178" t="s">
        <v>2475</v>
      </c>
      <c r="J11" s="178" t="s">
        <v>413</v>
      </c>
      <c r="K11" s="178" t="s">
        <v>1176</v>
      </c>
      <c r="L11" s="203">
        <v>41111</v>
      </c>
      <c r="M11" s="206">
        <v>5</v>
      </c>
      <c r="N11" s="173">
        <f t="shared" si="0"/>
        <v>7.3999999999999996E-2</v>
      </c>
      <c r="O11" s="206">
        <v>24</v>
      </c>
      <c r="P11" s="173">
        <f t="shared" si="1"/>
        <v>1.8499999999999999E-2</v>
      </c>
      <c r="Q11" s="206">
        <v>16</v>
      </c>
      <c r="R11" s="173">
        <f t="shared" si="2"/>
        <v>5.0750000000000003E-2</v>
      </c>
      <c r="S11" s="206">
        <v>1</v>
      </c>
      <c r="T11" s="173">
        <f t="shared" si="3"/>
        <v>1.375E-2</v>
      </c>
      <c r="U11" s="206">
        <v>14</v>
      </c>
      <c r="V11" s="173">
        <f t="shared" si="4"/>
        <v>9.7000000000000003E-2</v>
      </c>
      <c r="W11" s="206" t="s">
        <v>1174</v>
      </c>
      <c r="X11" s="173">
        <f t="shared" si="5"/>
        <v>0.25</v>
      </c>
      <c r="Y11" s="346">
        <f t="shared" si="6"/>
        <v>0.504</v>
      </c>
      <c r="Z11" s="207" t="s">
        <v>2476</v>
      </c>
      <c r="AA11" s="207" t="s">
        <v>2477</v>
      </c>
      <c r="AC11" s="347" t="s">
        <v>2104</v>
      </c>
      <c r="AD11" s="178" t="s">
        <v>1176</v>
      </c>
      <c r="AE11" s="178" t="s">
        <v>1174</v>
      </c>
      <c r="AF11" s="178" t="s">
        <v>1174</v>
      </c>
      <c r="AG11" s="178" t="s">
        <v>1176</v>
      </c>
      <c r="AH11" s="178" t="s">
        <v>2454</v>
      </c>
      <c r="AI11" s="178" t="s">
        <v>1174</v>
      </c>
      <c r="AJ11" s="203">
        <v>41134</v>
      </c>
      <c r="AK11" s="205">
        <v>23</v>
      </c>
      <c r="AL11" s="205">
        <v>19783</v>
      </c>
      <c r="AM11" s="205">
        <v>1356</v>
      </c>
      <c r="AN11" s="205">
        <v>1356</v>
      </c>
      <c r="AO11" s="206">
        <v>20284</v>
      </c>
      <c r="AP11" s="173">
        <f t="shared" si="7"/>
        <v>0.33800000000000002</v>
      </c>
      <c r="AQ11" s="206">
        <f t="shared" si="8"/>
        <v>501</v>
      </c>
      <c r="AR11" s="173">
        <f t="shared" si="9"/>
        <v>0.16900000000000001</v>
      </c>
      <c r="AS11" s="348">
        <f t="shared" si="10"/>
        <v>2.5324773795683209E-2</v>
      </c>
      <c r="AT11" s="173">
        <f t="shared" si="11"/>
        <v>0.1125</v>
      </c>
      <c r="AU11" s="349">
        <f t="shared" si="12"/>
        <v>0</v>
      </c>
      <c r="AV11" s="328">
        <f t="shared" si="13"/>
        <v>0</v>
      </c>
      <c r="AW11" s="173">
        <f t="shared" si="14"/>
        <v>0</v>
      </c>
      <c r="AX11" s="350">
        <f t="shared" si="15"/>
        <v>1.1234999999999999</v>
      </c>
    </row>
    <row r="12" spans="1:50" ht="56">
      <c r="A12" s="205">
        <v>11</v>
      </c>
      <c r="B12" s="178" t="s">
        <v>102</v>
      </c>
      <c r="C12" s="178" t="s">
        <v>1451</v>
      </c>
      <c r="D12" s="178" t="s">
        <v>1174</v>
      </c>
      <c r="E12" s="178" t="s">
        <v>1452</v>
      </c>
      <c r="F12" s="178" t="s">
        <v>1176</v>
      </c>
      <c r="G12" s="178" t="s">
        <v>1176</v>
      </c>
      <c r="H12" s="205">
        <v>0</v>
      </c>
      <c r="I12" s="178" t="s">
        <v>2478</v>
      </c>
      <c r="J12" s="178" t="s">
        <v>413</v>
      </c>
      <c r="K12" s="178" t="s">
        <v>1174</v>
      </c>
      <c r="L12" s="203">
        <v>41114</v>
      </c>
      <c r="M12" s="206">
        <v>5</v>
      </c>
      <c r="N12" s="173">
        <f t="shared" si="0"/>
        <v>7.3999999999999996E-2</v>
      </c>
      <c r="O12" s="206">
        <v>28</v>
      </c>
      <c r="P12" s="173">
        <f t="shared" si="1"/>
        <v>3.6999999999999998E-2</v>
      </c>
      <c r="Q12" s="206">
        <v>59</v>
      </c>
      <c r="R12" s="173">
        <f t="shared" si="2"/>
        <v>0.222</v>
      </c>
      <c r="S12" s="206">
        <v>7</v>
      </c>
      <c r="T12" s="173">
        <f t="shared" si="3"/>
        <v>9.2499999999999999E-2</v>
      </c>
      <c r="U12" s="206">
        <v>33</v>
      </c>
      <c r="V12" s="173">
        <f t="shared" si="4"/>
        <v>0.185</v>
      </c>
      <c r="W12" s="206" t="s">
        <v>1174</v>
      </c>
      <c r="X12" s="173">
        <f t="shared" si="5"/>
        <v>0.25</v>
      </c>
      <c r="Y12" s="346">
        <f t="shared" si="6"/>
        <v>0.86049999999999993</v>
      </c>
      <c r="Z12" s="207" t="s">
        <v>2479</v>
      </c>
      <c r="AA12" s="207" t="s">
        <v>684</v>
      </c>
      <c r="AC12" s="347" t="s">
        <v>1893</v>
      </c>
      <c r="AD12" s="178" t="s">
        <v>1176</v>
      </c>
      <c r="AE12" s="178" t="s">
        <v>1176</v>
      </c>
      <c r="AF12" s="178" t="s">
        <v>1174</v>
      </c>
      <c r="AG12" s="178" t="s">
        <v>1176</v>
      </c>
      <c r="AH12" s="178" t="s">
        <v>2454</v>
      </c>
      <c r="AI12" s="178" t="s">
        <v>1176</v>
      </c>
      <c r="AJ12" s="203">
        <v>41134</v>
      </c>
      <c r="AK12" s="205">
        <v>23</v>
      </c>
      <c r="AL12" s="205">
        <v>744119</v>
      </c>
      <c r="AM12" s="205">
        <v>182</v>
      </c>
      <c r="AN12" s="205">
        <v>185</v>
      </c>
      <c r="AO12" s="206">
        <v>795007</v>
      </c>
      <c r="AP12" s="173">
        <f t="shared" si="7"/>
        <v>0.93200000000000005</v>
      </c>
      <c r="AQ12" s="206">
        <f t="shared" si="8"/>
        <v>50888</v>
      </c>
      <c r="AR12" s="173">
        <f t="shared" si="9"/>
        <v>0.49149999999999999</v>
      </c>
      <c r="AS12" s="348">
        <f t="shared" si="10"/>
        <v>6.8386911233283998E-2</v>
      </c>
      <c r="AT12" s="173">
        <f t="shared" si="11"/>
        <v>0.40300000000000002</v>
      </c>
      <c r="AU12" s="349">
        <f t="shared" si="12"/>
        <v>3</v>
      </c>
      <c r="AV12" s="328">
        <f t="shared" si="13"/>
        <v>0.13043478260869565</v>
      </c>
      <c r="AW12" s="173">
        <f t="shared" si="14"/>
        <v>0.17699999999999999</v>
      </c>
      <c r="AX12" s="350">
        <f t="shared" si="15"/>
        <v>2.8640000000000003</v>
      </c>
    </row>
    <row r="13" spans="1:50">
      <c r="A13" s="205">
        <v>12</v>
      </c>
      <c r="B13" s="178" t="s">
        <v>104</v>
      </c>
      <c r="C13" s="178" t="s">
        <v>1451</v>
      </c>
      <c r="D13" s="178" t="s">
        <v>1174</v>
      </c>
      <c r="E13" s="178" t="s">
        <v>1452</v>
      </c>
      <c r="F13" s="178" t="s">
        <v>1174</v>
      </c>
      <c r="G13" s="178" t="s">
        <v>1174</v>
      </c>
      <c r="H13" s="205">
        <v>0</v>
      </c>
      <c r="I13" s="178" t="s">
        <v>2480</v>
      </c>
      <c r="J13" s="178" t="s">
        <v>413</v>
      </c>
      <c r="K13" s="178" t="s">
        <v>1176</v>
      </c>
      <c r="L13" s="203">
        <v>41111</v>
      </c>
      <c r="M13" s="206">
        <v>38</v>
      </c>
      <c r="N13" s="173">
        <f t="shared" si="0"/>
        <v>0.22675000000000001</v>
      </c>
      <c r="O13" s="206">
        <v>73</v>
      </c>
      <c r="P13" s="173">
        <f t="shared" si="1"/>
        <v>0.19425000000000001</v>
      </c>
      <c r="Q13" s="206">
        <v>17</v>
      </c>
      <c r="R13" s="173">
        <f t="shared" si="2"/>
        <v>0.06</v>
      </c>
      <c r="S13" s="206">
        <v>17</v>
      </c>
      <c r="T13" s="173">
        <f t="shared" si="3"/>
        <v>0.14799999999999999</v>
      </c>
      <c r="U13" s="206">
        <v>3</v>
      </c>
      <c r="V13" s="173">
        <f t="shared" si="4"/>
        <v>2.3E-2</v>
      </c>
      <c r="W13" s="206" t="s">
        <v>1174</v>
      </c>
      <c r="X13" s="173">
        <f t="shared" si="5"/>
        <v>0.25</v>
      </c>
      <c r="Y13" s="346">
        <f t="shared" si="6"/>
        <v>0.90200000000000002</v>
      </c>
      <c r="Z13" s="207" t="s">
        <v>2481</v>
      </c>
      <c r="AA13" s="207" t="s">
        <v>684</v>
      </c>
      <c r="AC13" s="347" t="s">
        <v>1893</v>
      </c>
      <c r="AD13" s="178" t="s">
        <v>1176</v>
      </c>
      <c r="AE13" s="178" t="s">
        <v>1176</v>
      </c>
      <c r="AF13" s="178" t="s">
        <v>1176</v>
      </c>
      <c r="AG13" s="178" t="s">
        <v>1174</v>
      </c>
      <c r="AH13" s="178" t="s">
        <v>2454</v>
      </c>
      <c r="AI13" s="178" t="s">
        <v>1176</v>
      </c>
      <c r="AJ13" s="203">
        <v>41134</v>
      </c>
      <c r="AK13" s="205">
        <v>23</v>
      </c>
      <c r="AL13" s="205">
        <v>30833</v>
      </c>
      <c r="AM13" s="205">
        <v>563</v>
      </c>
      <c r="AN13" s="205">
        <v>563</v>
      </c>
      <c r="AO13" s="206">
        <v>31794</v>
      </c>
      <c r="AP13" s="173">
        <f t="shared" si="7"/>
        <v>0.40600000000000003</v>
      </c>
      <c r="AQ13" s="206">
        <f t="shared" si="8"/>
        <v>961</v>
      </c>
      <c r="AR13" s="173">
        <f t="shared" si="9"/>
        <v>0.20150000000000001</v>
      </c>
      <c r="AS13" s="348">
        <f t="shared" si="10"/>
        <v>3.1167904517886758E-2</v>
      </c>
      <c r="AT13" s="173">
        <f t="shared" si="11"/>
        <v>0.161</v>
      </c>
      <c r="AU13" s="349">
        <f t="shared" si="12"/>
        <v>0</v>
      </c>
      <c r="AV13" s="328">
        <f t="shared" si="13"/>
        <v>0</v>
      </c>
      <c r="AW13" s="173">
        <f t="shared" si="14"/>
        <v>0</v>
      </c>
      <c r="AX13" s="350">
        <f t="shared" si="15"/>
        <v>1.6705000000000001</v>
      </c>
    </row>
    <row r="14" spans="1:50" ht="70">
      <c r="A14" s="205">
        <v>13</v>
      </c>
      <c r="B14" s="178" t="s">
        <v>106</v>
      </c>
      <c r="C14" s="178" t="s">
        <v>1451</v>
      </c>
      <c r="D14" s="178" t="s">
        <v>1174</v>
      </c>
      <c r="E14" s="178" t="s">
        <v>1452</v>
      </c>
      <c r="F14" s="178" t="s">
        <v>1174</v>
      </c>
      <c r="G14" s="178" t="s">
        <v>1174</v>
      </c>
      <c r="H14" s="205">
        <v>0</v>
      </c>
      <c r="I14" s="178" t="s">
        <v>2482</v>
      </c>
      <c r="J14" s="178" t="s">
        <v>413</v>
      </c>
      <c r="K14" s="178" t="s">
        <v>1174</v>
      </c>
      <c r="L14" s="203">
        <v>41111</v>
      </c>
      <c r="M14" s="206">
        <v>0</v>
      </c>
      <c r="N14" s="173">
        <f t="shared" si="0"/>
        <v>0</v>
      </c>
      <c r="O14" s="206">
        <v>1</v>
      </c>
      <c r="P14" s="173">
        <f t="shared" si="1"/>
        <v>4.4999999999999997E-3</v>
      </c>
      <c r="Q14" s="206">
        <v>55</v>
      </c>
      <c r="R14" s="173">
        <f t="shared" si="2"/>
        <v>0.21274999999999999</v>
      </c>
      <c r="S14" s="206">
        <v>0</v>
      </c>
      <c r="T14" s="173">
        <f t="shared" si="3"/>
        <v>0</v>
      </c>
      <c r="U14" s="206">
        <v>21</v>
      </c>
      <c r="V14" s="173">
        <f t="shared" si="4"/>
        <v>0.1295</v>
      </c>
      <c r="W14" s="206" t="s">
        <v>1174</v>
      </c>
      <c r="X14" s="173">
        <f t="shared" si="5"/>
        <v>0.25</v>
      </c>
      <c r="Y14" s="346">
        <f t="shared" si="6"/>
        <v>0.59674999999999989</v>
      </c>
      <c r="Z14" s="207" t="s">
        <v>2483</v>
      </c>
      <c r="AA14" s="207" t="s">
        <v>2484</v>
      </c>
      <c r="AB14" s="178" t="s">
        <v>1174</v>
      </c>
      <c r="AC14" s="347" t="s">
        <v>2104</v>
      </c>
      <c r="AH14" s="178" t="s">
        <v>2454</v>
      </c>
      <c r="AJ14" s="203">
        <v>41134</v>
      </c>
      <c r="AK14" s="205">
        <v>23</v>
      </c>
      <c r="AL14" s="205">
        <v>1092186</v>
      </c>
      <c r="AM14" s="205">
        <v>231</v>
      </c>
      <c r="AN14" s="205">
        <v>241</v>
      </c>
      <c r="AO14" s="206">
        <v>1257606</v>
      </c>
      <c r="AP14" s="173">
        <f t="shared" si="7"/>
        <v>1</v>
      </c>
      <c r="AQ14" s="206">
        <f t="shared" si="8"/>
        <v>165420</v>
      </c>
      <c r="AR14" s="173">
        <f t="shared" si="9"/>
        <v>0.5</v>
      </c>
      <c r="AS14" s="348">
        <f t="shared" si="10"/>
        <v>0.15145771874021463</v>
      </c>
      <c r="AT14" s="173">
        <f t="shared" si="11"/>
        <v>0.46750000000000003</v>
      </c>
      <c r="AU14" s="349">
        <f t="shared" si="12"/>
        <v>10</v>
      </c>
      <c r="AV14" s="328">
        <f t="shared" si="13"/>
        <v>0.43478260869565216</v>
      </c>
      <c r="AW14" s="173">
        <f t="shared" si="14"/>
        <v>0.25800000000000001</v>
      </c>
      <c r="AX14" s="350">
        <f t="shared" si="15"/>
        <v>2.8222500000000004</v>
      </c>
    </row>
    <row r="15" spans="1:50" ht="28">
      <c r="A15" s="205">
        <v>14</v>
      </c>
      <c r="B15" s="178" t="s">
        <v>109</v>
      </c>
      <c r="C15" s="178" t="s">
        <v>1451</v>
      </c>
      <c r="D15" s="178" t="s">
        <v>1174</v>
      </c>
      <c r="E15" s="178" t="s">
        <v>1452</v>
      </c>
      <c r="F15" s="178" t="s">
        <v>1176</v>
      </c>
      <c r="G15" s="178" t="s">
        <v>1176</v>
      </c>
      <c r="H15" s="205">
        <v>0</v>
      </c>
      <c r="I15" s="178" t="s">
        <v>2485</v>
      </c>
      <c r="J15" s="178" t="s">
        <v>413</v>
      </c>
      <c r="K15" s="178" t="s">
        <v>1174</v>
      </c>
      <c r="L15" s="203">
        <v>41111</v>
      </c>
      <c r="M15" s="206">
        <v>0</v>
      </c>
      <c r="N15" s="173">
        <f t="shared" si="0"/>
        <v>0</v>
      </c>
      <c r="O15" s="206">
        <v>27</v>
      </c>
      <c r="P15" s="173">
        <f t="shared" si="1"/>
        <v>2.775E-2</v>
      </c>
      <c r="Q15" s="206">
        <v>42</v>
      </c>
      <c r="R15" s="173">
        <f t="shared" si="2"/>
        <v>0.16650000000000001</v>
      </c>
      <c r="S15" s="206">
        <v>10</v>
      </c>
      <c r="T15" s="173">
        <f t="shared" si="3"/>
        <v>0.10625</v>
      </c>
      <c r="U15" s="206">
        <v>3</v>
      </c>
      <c r="V15" s="173">
        <f t="shared" si="4"/>
        <v>2.3E-2</v>
      </c>
      <c r="W15" s="206" t="s">
        <v>1174</v>
      </c>
      <c r="X15" s="173">
        <f t="shared" si="5"/>
        <v>0.25</v>
      </c>
      <c r="Y15" s="346">
        <f t="shared" si="6"/>
        <v>0.57350000000000012</v>
      </c>
      <c r="Z15" s="207" t="s">
        <v>2486</v>
      </c>
      <c r="AA15" s="207" t="s">
        <v>684</v>
      </c>
      <c r="AC15" s="347" t="s">
        <v>1893</v>
      </c>
      <c r="AD15" s="178" t="s">
        <v>1176</v>
      </c>
      <c r="AE15" s="178" t="s">
        <v>1176</v>
      </c>
      <c r="AF15" s="178" t="s">
        <v>1176</v>
      </c>
      <c r="AG15" s="178" t="s">
        <v>1176</v>
      </c>
      <c r="AH15" s="178" t="s">
        <v>2454</v>
      </c>
      <c r="AI15" s="178" t="s">
        <v>1174</v>
      </c>
      <c r="AJ15" s="203">
        <v>41134</v>
      </c>
      <c r="AK15" s="205">
        <v>23</v>
      </c>
      <c r="AL15" s="205">
        <v>373848</v>
      </c>
      <c r="AM15" s="205">
        <v>4230</v>
      </c>
      <c r="AN15" s="205">
        <v>4359</v>
      </c>
      <c r="AO15" s="206">
        <v>392288</v>
      </c>
      <c r="AP15" s="173">
        <f t="shared" si="7"/>
        <v>0.81299999999999994</v>
      </c>
      <c r="AQ15" s="206">
        <f t="shared" si="8"/>
        <v>18440</v>
      </c>
      <c r="AR15" s="173">
        <f t="shared" si="9"/>
        <v>0.44350000000000001</v>
      </c>
      <c r="AS15" s="348">
        <f t="shared" si="10"/>
        <v>4.9324859301106416E-2</v>
      </c>
      <c r="AT15" s="173">
        <f t="shared" si="11"/>
        <v>0.35449999999999998</v>
      </c>
      <c r="AU15" s="349">
        <f t="shared" si="12"/>
        <v>129</v>
      </c>
      <c r="AV15" s="328">
        <f t="shared" si="13"/>
        <v>5.6086956521739131</v>
      </c>
      <c r="AW15" s="173">
        <f t="shared" si="14"/>
        <v>0.90300000000000002</v>
      </c>
      <c r="AX15" s="350">
        <f t="shared" si="15"/>
        <v>3.0875000000000004</v>
      </c>
    </row>
    <row r="16" spans="1:50" ht="42">
      <c r="A16" s="205">
        <v>15</v>
      </c>
      <c r="B16" s="178" t="s">
        <v>111</v>
      </c>
      <c r="C16" s="178" t="s">
        <v>1451</v>
      </c>
      <c r="D16" s="178" t="s">
        <v>1174</v>
      </c>
      <c r="E16" s="178" t="s">
        <v>1452</v>
      </c>
      <c r="F16" s="178" t="s">
        <v>1174</v>
      </c>
      <c r="G16" s="178" t="s">
        <v>1174</v>
      </c>
      <c r="H16" s="205">
        <v>0</v>
      </c>
      <c r="I16" s="178" t="s">
        <v>2487</v>
      </c>
      <c r="J16" s="178" t="s">
        <v>413</v>
      </c>
      <c r="K16" s="178" t="s">
        <v>1174</v>
      </c>
      <c r="L16" s="203">
        <v>41111</v>
      </c>
      <c r="M16" s="206">
        <v>21</v>
      </c>
      <c r="N16" s="173">
        <f t="shared" si="0"/>
        <v>0.17125000000000001</v>
      </c>
      <c r="O16" s="206">
        <v>47</v>
      </c>
      <c r="P16" s="173">
        <f t="shared" si="1"/>
        <v>7.85E-2</v>
      </c>
      <c r="Q16" s="206">
        <v>15</v>
      </c>
      <c r="R16" s="173">
        <f t="shared" si="2"/>
        <v>4.1500000000000002E-2</v>
      </c>
      <c r="S16" s="206">
        <v>3</v>
      </c>
      <c r="T16" s="173">
        <f t="shared" si="3"/>
        <v>3.2250000000000001E-2</v>
      </c>
      <c r="U16" s="206">
        <v>8</v>
      </c>
      <c r="V16" s="173">
        <f t="shared" si="4"/>
        <v>8.3250000000000005E-2</v>
      </c>
      <c r="W16" s="206" t="s">
        <v>1174</v>
      </c>
      <c r="X16" s="173">
        <f t="shared" si="5"/>
        <v>0.25</v>
      </c>
      <c r="Y16" s="346">
        <f t="shared" si="6"/>
        <v>0.65674999999999994</v>
      </c>
      <c r="Z16" s="207" t="s">
        <v>2488</v>
      </c>
      <c r="AA16" s="207" t="s">
        <v>684</v>
      </c>
      <c r="AC16" s="347" t="s">
        <v>1893</v>
      </c>
      <c r="AD16" s="178" t="s">
        <v>1176</v>
      </c>
      <c r="AE16" s="178" t="s">
        <v>1176</v>
      </c>
      <c r="AF16" s="178" t="s">
        <v>1176</v>
      </c>
      <c r="AG16" s="178" t="s">
        <v>1176</v>
      </c>
      <c r="AH16" s="178" t="s">
        <v>2454</v>
      </c>
      <c r="AI16" s="178" t="s">
        <v>1174</v>
      </c>
      <c r="AJ16" s="203">
        <v>41134</v>
      </c>
      <c r="AK16" s="205">
        <v>23</v>
      </c>
      <c r="AL16" s="205">
        <v>329365</v>
      </c>
      <c r="AM16" s="205">
        <v>2327</v>
      </c>
      <c r="AN16" s="205">
        <v>2405</v>
      </c>
      <c r="AO16" s="206">
        <v>331371</v>
      </c>
      <c r="AP16" s="173">
        <f t="shared" si="7"/>
        <v>0.76200000000000001</v>
      </c>
      <c r="AQ16" s="206">
        <f t="shared" si="8"/>
        <v>2006</v>
      </c>
      <c r="AR16" s="173">
        <f t="shared" si="9"/>
        <v>0.25800000000000001</v>
      </c>
      <c r="AS16" s="348">
        <f t="shared" si="10"/>
        <v>6.0905074916886015E-3</v>
      </c>
      <c r="AT16" s="173">
        <f t="shared" si="11"/>
        <v>5.6000000000000001E-2</v>
      </c>
      <c r="AU16" s="349">
        <f t="shared" si="12"/>
        <v>78</v>
      </c>
      <c r="AV16" s="328">
        <f t="shared" si="13"/>
        <v>3.3913043478260869</v>
      </c>
      <c r="AW16" s="173">
        <f t="shared" si="14"/>
        <v>0.77400000000000002</v>
      </c>
      <c r="AX16" s="350">
        <f t="shared" si="15"/>
        <v>2.5067500000000003</v>
      </c>
    </row>
    <row r="17" spans="1:50" ht="84">
      <c r="A17" s="205">
        <v>16</v>
      </c>
      <c r="B17" s="178" t="s">
        <v>114</v>
      </c>
      <c r="C17" s="178" t="s">
        <v>1451</v>
      </c>
      <c r="D17" s="178" t="s">
        <v>1174</v>
      </c>
      <c r="E17" s="178" t="s">
        <v>1452</v>
      </c>
      <c r="F17" s="178" t="s">
        <v>1174</v>
      </c>
      <c r="G17" s="178" t="s">
        <v>1174</v>
      </c>
      <c r="H17" s="205">
        <v>0</v>
      </c>
      <c r="I17" s="178" t="s">
        <v>2489</v>
      </c>
      <c r="J17" s="178" t="s">
        <v>413</v>
      </c>
      <c r="K17" s="178" t="s">
        <v>1176</v>
      </c>
      <c r="L17" s="203">
        <v>41111</v>
      </c>
      <c r="M17" s="206">
        <v>36</v>
      </c>
      <c r="N17" s="173">
        <f t="shared" si="0"/>
        <v>0.2175</v>
      </c>
      <c r="O17" s="206">
        <v>50</v>
      </c>
      <c r="P17" s="173">
        <f t="shared" si="1"/>
        <v>9.7000000000000003E-2</v>
      </c>
      <c r="Q17" s="206">
        <v>24</v>
      </c>
      <c r="R17" s="173">
        <f t="shared" si="2"/>
        <v>7.85E-2</v>
      </c>
      <c r="S17" s="206">
        <v>2</v>
      </c>
      <c r="T17" s="173">
        <f t="shared" si="3"/>
        <v>2.775E-2</v>
      </c>
      <c r="U17" s="206">
        <v>17</v>
      </c>
      <c r="V17" s="173">
        <f t="shared" si="4"/>
        <v>0.10625</v>
      </c>
      <c r="W17" s="206" t="s">
        <v>1174</v>
      </c>
      <c r="X17" s="173">
        <f t="shared" si="5"/>
        <v>0.25</v>
      </c>
      <c r="Y17" s="346">
        <f t="shared" si="6"/>
        <v>0.77700000000000002</v>
      </c>
      <c r="Z17" s="207" t="s">
        <v>2490</v>
      </c>
      <c r="AA17" s="207" t="s">
        <v>2491</v>
      </c>
      <c r="AC17" s="347" t="s">
        <v>2104</v>
      </c>
      <c r="AD17" s="178" t="s">
        <v>1176</v>
      </c>
      <c r="AE17" s="178" t="s">
        <v>1176</v>
      </c>
      <c r="AF17" s="178" t="s">
        <v>1174</v>
      </c>
      <c r="AG17" s="178" t="s">
        <v>1174</v>
      </c>
      <c r="AH17" s="178" t="s">
        <v>2454</v>
      </c>
      <c r="AI17" s="178" t="s">
        <v>1176</v>
      </c>
      <c r="AJ17" s="203">
        <v>41134</v>
      </c>
      <c r="AK17" s="205">
        <v>23</v>
      </c>
      <c r="AL17" s="205">
        <v>8873</v>
      </c>
      <c r="AM17" s="205">
        <v>2918</v>
      </c>
      <c r="AN17" s="205">
        <v>2958</v>
      </c>
      <c r="AO17" s="206">
        <v>9280</v>
      </c>
      <c r="AP17" s="173">
        <f t="shared" si="7"/>
        <v>0.22</v>
      </c>
      <c r="AQ17" s="206">
        <f t="shared" si="8"/>
        <v>407</v>
      </c>
      <c r="AR17" s="173">
        <f t="shared" si="9"/>
        <v>0.13700000000000001</v>
      </c>
      <c r="AS17" s="348">
        <f t="shared" si="10"/>
        <v>4.5869491716443056E-2</v>
      </c>
      <c r="AT17" s="173">
        <f t="shared" si="11"/>
        <v>0.33050000000000002</v>
      </c>
      <c r="AU17" s="349">
        <f t="shared" si="12"/>
        <v>40</v>
      </c>
      <c r="AV17" s="328">
        <f t="shared" si="13"/>
        <v>1.7391304347826086</v>
      </c>
      <c r="AW17" s="173">
        <f t="shared" si="14"/>
        <v>0.59599999999999997</v>
      </c>
      <c r="AX17" s="350">
        <f t="shared" si="15"/>
        <v>2.0604999999999998</v>
      </c>
    </row>
    <row r="18" spans="1:50" ht="70">
      <c r="A18" s="205">
        <v>17</v>
      </c>
      <c r="B18" s="178" t="s">
        <v>118</v>
      </c>
      <c r="C18" s="178" t="s">
        <v>1451</v>
      </c>
      <c r="D18" s="178" t="s">
        <v>1174</v>
      </c>
      <c r="E18" s="178" t="s">
        <v>1452</v>
      </c>
      <c r="F18" s="178" t="s">
        <v>1174</v>
      </c>
      <c r="G18" s="178" t="s">
        <v>1174</v>
      </c>
      <c r="H18" s="205">
        <v>0</v>
      </c>
      <c r="I18" s="178" t="s">
        <v>2492</v>
      </c>
      <c r="J18" s="178" t="s">
        <v>413</v>
      </c>
      <c r="K18" s="178" t="s">
        <v>1174</v>
      </c>
      <c r="L18" s="203">
        <v>41111</v>
      </c>
      <c r="M18" s="206">
        <v>7</v>
      </c>
      <c r="N18" s="173">
        <f t="shared" si="0"/>
        <v>0.10625</v>
      </c>
      <c r="O18" s="206">
        <v>29</v>
      </c>
      <c r="P18" s="173">
        <f t="shared" si="1"/>
        <v>4.1500000000000002E-2</v>
      </c>
      <c r="Q18" s="206">
        <v>27</v>
      </c>
      <c r="R18" s="173">
        <f t="shared" si="2"/>
        <v>9.7000000000000003E-2</v>
      </c>
      <c r="S18" s="206">
        <v>5</v>
      </c>
      <c r="T18" s="173">
        <f t="shared" si="3"/>
        <v>7.3999999999999996E-2</v>
      </c>
      <c r="U18" s="206">
        <v>1</v>
      </c>
      <c r="V18" s="173">
        <f t="shared" si="4"/>
        <v>1.375E-2</v>
      </c>
      <c r="W18" s="206" t="s">
        <v>1174</v>
      </c>
      <c r="X18" s="173">
        <f t="shared" si="5"/>
        <v>0.25</v>
      </c>
      <c r="Y18" s="346">
        <f t="shared" si="6"/>
        <v>0.58249999999999991</v>
      </c>
      <c r="Z18" s="207" t="s">
        <v>2493</v>
      </c>
      <c r="AA18" s="207" t="s">
        <v>2494</v>
      </c>
      <c r="AC18" s="347" t="s">
        <v>2104</v>
      </c>
      <c r="AD18" s="178" t="s">
        <v>1176</v>
      </c>
      <c r="AE18" s="178" t="s">
        <v>1176</v>
      </c>
      <c r="AF18" s="178" t="s">
        <v>1174</v>
      </c>
      <c r="AG18" s="178" t="s">
        <v>1176</v>
      </c>
      <c r="AH18" s="178" t="s">
        <v>2454</v>
      </c>
      <c r="AI18" s="178" t="s">
        <v>1176</v>
      </c>
      <c r="AJ18" s="203">
        <v>41134</v>
      </c>
      <c r="AK18" s="205">
        <v>23</v>
      </c>
      <c r="AL18" s="205">
        <v>423395</v>
      </c>
      <c r="AM18" s="205">
        <v>4069</v>
      </c>
      <c r="AN18" s="205">
        <v>4129</v>
      </c>
      <c r="AO18" s="206">
        <v>433160</v>
      </c>
      <c r="AP18" s="173">
        <f t="shared" si="7"/>
        <v>0.86399999999999999</v>
      </c>
      <c r="AQ18" s="206">
        <f t="shared" si="8"/>
        <v>9765</v>
      </c>
      <c r="AR18" s="173">
        <f t="shared" si="9"/>
        <v>0.38700000000000001</v>
      </c>
      <c r="AS18" s="348">
        <f t="shared" si="10"/>
        <v>2.3063569480036294E-2</v>
      </c>
      <c r="AT18" s="173">
        <f t="shared" si="11"/>
        <v>0.1045</v>
      </c>
      <c r="AU18" s="349">
        <f t="shared" si="12"/>
        <v>60</v>
      </c>
      <c r="AV18" s="328">
        <f t="shared" si="13"/>
        <v>2.6086956521739131</v>
      </c>
      <c r="AW18" s="173">
        <f t="shared" si="14"/>
        <v>0.66100000000000003</v>
      </c>
      <c r="AX18" s="350">
        <f t="shared" si="15"/>
        <v>2.5990000000000002</v>
      </c>
    </row>
    <row r="19" spans="1:50" ht="70">
      <c r="A19" s="205">
        <v>18</v>
      </c>
      <c r="B19" s="178" t="s">
        <v>120</v>
      </c>
      <c r="C19" s="178" t="s">
        <v>1451</v>
      </c>
      <c r="D19" s="178" t="s">
        <v>1174</v>
      </c>
      <c r="E19" s="178" t="s">
        <v>1452</v>
      </c>
      <c r="F19" s="178" t="s">
        <v>1174</v>
      </c>
      <c r="G19" s="178" t="s">
        <v>1174</v>
      </c>
      <c r="H19" s="205">
        <v>0</v>
      </c>
      <c r="I19" s="178" t="s">
        <v>2495</v>
      </c>
      <c r="J19" s="178" t="s">
        <v>413</v>
      </c>
      <c r="K19" s="178" t="s">
        <v>1174</v>
      </c>
      <c r="L19" s="203">
        <v>41111</v>
      </c>
      <c r="M19" s="206">
        <v>6</v>
      </c>
      <c r="N19" s="173">
        <f t="shared" si="0"/>
        <v>8.3250000000000005E-2</v>
      </c>
      <c r="O19" s="206">
        <v>72</v>
      </c>
      <c r="P19" s="173">
        <f t="shared" si="1"/>
        <v>0.185</v>
      </c>
      <c r="Q19" s="206">
        <v>24</v>
      </c>
      <c r="R19" s="173">
        <f t="shared" si="2"/>
        <v>7.85E-2</v>
      </c>
      <c r="S19" s="206">
        <v>4</v>
      </c>
      <c r="T19" s="173">
        <f t="shared" si="3"/>
        <v>5.5500000000000001E-2</v>
      </c>
      <c r="U19" s="206">
        <v>40</v>
      </c>
      <c r="V19" s="173">
        <f t="shared" si="4"/>
        <v>0.21274999999999999</v>
      </c>
      <c r="W19" s="206" t="s">
        <v>1174</v>
      </c>
      <c r="X19" s="173">
        <f t="shared" si="5"/>
        <v>0.25</v>
      </c>
      <c r="Y19" s="346">
        <f t="shared" si="6"/>
        <v>0.86499999999999999</v>
      </c>
      <c r="Z19" s="207" t="s">
        <v>2496</v>
      </c>
      <c r="AA19" s="207" t="s">
        <v>2497</v>
      </c>
      <c r="AB19" s="178" t="s">
        <v>1176</v>
      </c>
      <c r="AC19" s="347" t="s">
        <v>1893</v>
      </c>
      <c r="AD19" s="178" t="s">
        <v>1176</v>
      </c>
      <c r="AE19" s="178" t="s">
        <v>1176</v>
      </c>
      <c r="AF19" s="178" t="s">
        <v>1174</v>
      </c>
      <c r="AG19" s="178" t="s">
        <v>1176</v>
      </c>
      <c r="AH19" s="178" t="s">
        <v>2454</v>
      </c>
      <c r="AI19" s="178" t="s">
        <v>1174</v>
      </c>
      <c r="AJ19" s="203">
        <v>41135</v>
      </c>
      <c r="AK19" s="205">
        <v>23</v>
      </c>
      <c r="AL19" s="205">
        <v>381654</v>
      </c>
      <c r="AM19" s="205">
        <v>8030</v>
      </c>
      <c r="AN19" s="205">
        <v>8062</v>
      </c>
      <c r="AO19" s="206">
        <v>397872</v>
      </c>
      <c r="AP19" s="173">
        <f t="shared" si="7"/>
        <v>0.83</v>
      </c>
      <c r="AQ19" s="206">
        <f t="shared" si="8"/>
        <v>16218</v>
      </c>
      <c r="AR19" s="173">
        <f t="shared" si="9"/>
        <v>0.42699999999999999</v>
      </c>
      <c r="AS19" s="348">
        <f t="shared" si="10"/>
        <v>4.2493986699995379E-2</v>
      </c>
      <c r="AT19" s="173">
        <f t="shared" si="11"/>
        <v>0.28199999999999997</v>
      </c>
      <c r="AU19" s="349">
        <f t="shared" si="12"/>
        <v>32</v>
      </c>
      <c r="AV19" s="328">
        <f t="shared" si="13"/>
        <v>1.3913043478260869</v>
      </c>
      <c r="AW19" s="173">
        <f t="shared" si="14"/>
        <v>0.53200000000000003</v>
      </c>
      <c r="AX19" s="350">
        <f t="shared" si="15"/>
        <v>2.9359999999999999</v>
      </c>
    </row>
    <row r="20" spans="1:50" ht="56">
      <c r="A20" s="205">
        <v>19</v>
      </c>
      <c r="B20" s="178" t="s">
        <v>123</v>
      </c>
      <c r="C20" s="178" t="s">
        <v>1451</v>
      </c>
      <c r="D20" s="178" t="s">
        <v>1174</v>
      </c>
      <c r="E20" s="178" t="s">
        <v>1452</v>
      </c>
      <c r="F20" s="178" t="s">
        <v>1174</v>
      </c>
      <c r="G20" s="178" t="s">
        <v>1174</v>
      </c>
      <c r="H20" s="205">
        <v>0</v>
      </c>
      <c r="I20" s="178" t="s">
        <v>2498</v>
      </c>
      <c r="J20" s="178" t="s">
        <v>413</v>
      </c>
      <c r="K20" s="178" t="s">
        <v>1174</v>
      </c>
      <c r="L20" s="203">
        <v>41111</v>
      </c>
      <c r="M20" s="206">
        <v>0</v>
      </c>
      <c r="N20" s="173">
        <f t="shared" si="0"/>
        <v>0</v>
      </c>
      <c r="O20" s="206">
        <v>83</v>
      </c>
      <c r="P20" s="173">
        <f t="shared" si="1"/>
        <v>0.22675000000000001</v>
      </c>
      <c r="Q20" s="206">
        <v>29</v>
      </c>
      <c r="R20" s="173">
        <f t="shared" si="2"/>
        <v>0.125</v>
      </c>
      <c r="S20" s="206">
        <v>4</v>
      </c>
      <c r="T20" s="173">
        <f t="shared" si="3"/>
        <v>5.5500000000000001E-2</v>
      </c>
      <c r="U20" s="206">
        <v>3</v>
      </c>
      <c r="V20" s="173">
        <f t="shared" si="4"/>
        <v>2.3E-2</v>
      </c>
      <c r="W20" s="206" t="s">
        <v>1174</v>
      </c>
      <c r="X20" s="173">
        <f t="shared" si="5"/>
        <v>0.25</v>
      </c>
      <c r="Y20" s="346">
        <f t="shared" si="6"/>
        <v>0.68025000000000002</v>
      </c>
      <c r="Z20" s="207" t="s">
        <v>2499</v>
      </c>
      <c r="AA20" s="207" t="s">
        <v>684</v>
      </c>
      <c r="AC20" s="347" t="s">
        <v>1893</v>
      </c>
      <c r="AD20" s="178" t="s">
        <v>1176</v>
      </c>
      <c r="AE20" s="178" t="s">
        <v>1176</v>
      </c>
      <c r="AF20" s="178" t="s">
        <v>1176</v>
      </c>
      <c r="AG20" s="178" t="s">
        <v>1176</v>
      </c>
      <c r="AH20" s="178" t="s">
        <v>2454</v>
      </c>
      <c r="AI20" s="178" t="s">
        <v>1176</v>
      </c>
      <c r="AJ20" s="203">
        <v>41134</v>
      </c>
      <c r="AK20" s="205">
        <v>23</v>
      </c>
      <c r="AL20" s="205">
        <v>413338</v>
      </c>
      <c r="AM20" s="205">
        <v>40705</v>
      </c>
      <c r="AN20" s="205">
        <v>41217</v>
      </c>
      <c r="AO20" s="206">
        <v>414469</v>
      </c>
      <c r="AP20" s="173">
        <f t="shared" si="7"/>
        <v>0.84699999999999998</v>
      </c>
      <c r="AQ20" s="206">
        <f t="shared" si="8"/>
        <v>1131</v>
      </c>
      <c r="AR20" s="173">
        <f t="shared" si="9"/>
        <v>0.2175</v>
      </c>
      <c r="AS20" s="348">
        <f t="shared" si="10"/>
        <v>2.7362594293289799E-3</v>
      </c>
      <c r="AT20" s="173">
        <f t="shared" si="11"/>
        <v>4.8000000000000001E-2</v>
      </c>
      <c r="AU20" s="349">
        <f t="shared" si="12"/>
        <v>512</v>
      </c>
      <c r="AV20" s="328">
        <f t="shared" si="13"/>
        <v>22.260869565217391</v>
      </c>
      <c r="AW20" s="173">
        <f t="shared" si="14"/>
        <v>1</v>
      </c>
      <c r="AX20" s="350">
        <f t="shared" si="15"/>
        <v>2.7927499999999998</v>
      </c>
    </row>
    <row r="21" spans="1:50" ht="56">
      <c r="A21" s="205">
        <v>20</v>
      </c>
      <c r="B21" s="178" t="s">
        <v>125</v>
      </c>
      <c r="C21" s="178" t="s">
        <v>1451</v>
      </c>
      <c r="D21" s="178" t="s">
        <v>1174</v>
      </c>
      <c r="E21" s="178" t="s">
        <v>1452</v>
      </c>
      <c r="F21" s="178" t="s">
        <v>1176</v>
      </c>
      <c r="G21" s="178" t="s">
        <v>1176</v>
      </c>
      <c r="H21" s="205">
        <v>0</v>
      </c>
      <c r="I21" s="178" t="s">
        <v>2500</v>
      </c>
      <c r="J21" s="178" t="s">
        <v>413</v>
      </c>
      <c r="K21" s="178" t="s">
        <v>1176</v>
      </c>
      <c r="L21" s="203">
        <v>41110</v>
      </c>
      <c r="M21" s="206">
        <v>9</v>
      </c>
      <c r="N21" s="173">
        <f t="shared" si="0"/>
        <v>0.125</v>
      </c>
      <c r="O21" s="206">
        <v>36</v>
      </c>
      <c r="P21" s="173">
        <f t="shared" si="1"/>
        <v>4.6249999999999999E-2</v>
      </c>
      <c r="Q21" s="206">
        <v>50</v>
      </c>
      <c r="R21" s="173">
        <f t="shared" si="2"/>
        <v>0.19900000000000001</v>
      </c>
      <c r="S21" s="206">
        <v>14</v>
      </c>
      <c r="T21" s="173">
        <f t="shared" si="3"/>
        <v>0.125</v>
      </c>
      <c r="U21" s="206">
        <v>36</v>
      </c>
      <c r="V21" s="173">
        <f t="shared" si="4"/>
        <v>0.20349999999999999</v>
      </c>
      <c r="W21" s="206" t="s">
        <v>1174</v>
      </c>
      <c r="X21" s="173">
        <f t="shared" si="5"/>
        <v>0.25</v>
      </c>
      <c r="Y21" s="346">
        <f t="shared" si="6"/>
        <v>0.94875000000000009</v>
      </c>
      <c r="Z21" s="207" t="s">
        <v>2501</v>
      </c>
      <c r="AA21" s="207" t="s">
        <v>684</v>
      </c>
      <c r="AC21" s="347" t="s">
        <v>1893</v>
      </c>
      <c r="AD21" s="178" t="s">
        <v>1176</v>
      </c>
      <c r="AE21" s="178" t="s">
        <v>1176</v>
      </c>
      <c r="AF21" s="178" t="s">
        <v>1174</v>
      </c>
      <c r="AG21" s="178" t="s">
        <v>1176</v>
      </c>
      <c r="AH21" s="178" t="s">
        <v>2454</v>
      </c>
      <c r="AI21" s="178" t="s">
        <v>1174</v>
      </c>
      <c r="AJ21" s="203">
        <v>41134</v>
      </c>
      <c r="AK21" s="205">
        <v>23</v>
      </c>
      <c r="AL21" s="205">
        <v>35003</v>
      </c>
      <c r="AM21" s="205">
        <v>777</v>
      </c>
      <c r="AN21" s="205">
        <v>787</v>
      </c>
      <c r="AO21" s="206">
        <v>36635</v>
      </c>
      <c r="AP21" s="173">
        <f t="shared" si="7"/>
        <v>0.45700000000000002</v>
      </c>
      <c r="AQ21" s="206">
        <f t="shared" si="8"/>
        <v>1632</v>
      </c>
      <c r="AR21" s="173">
        <f t="shared" si="9"/>
        <v>0.23350000000000001</v>
      </c>
      <c r="AS21" s="348">
        <f t="shared" si="10"/>
        <v>4.6624575036425364E-2</v>
      </c>
      <c r="AT21" s="173">
        <f t="shared" si="11"/>
        <v>0.34649999999999997</v>
      </c>
      <c r="AU21" s="349">
        <f t="shared" si="12"/>
        <v>10</v>
      </c>
      <c r="AV21" s="328">
        <f t="shared" si="13"/>
        <v>0.43478260869565216</v>
      </c>
      <c r="AW21" s="173">
        <f t="shared" si="14"/>
        <v>0.25800000000000001</v>
      </c>
      <c r="AX21" s="350">
        <f t="shared" si="15"/>
        <v>2.2437500000000004</v>
      </c>
    </row>
    <row r="22" spans="1:50" ht="56">
      <c r="A22" s="205">
        <v>21</v>
      </c>
      <c r="B22" s="178" t="s">
        <v>127</v>
      </c>
      <c r="C22" s="178" t="s">
        <v>1451</v>
      </c>
      <c r="D22" s="178" t="s">
        <v>1174</v>
      </c>
      <c r="E22" s="178" t="s">
        <v>1452</v>
      </c>
      <c r="F22" s="178" t="s">
        <v>1174</v>
      </c>
      <c r="G22" s="178" t="s">
        <v>1174</v>
      </c>
      <c r="H22" s="205">
        <v>0</v>
      </c>
      <c r="I22" s="178" t="s">
        <v>2502</v>
      </c>
      <c r="J22" s="178" t="s">
        <v>413</v>
      </c>
      <c r="K22" s="178" t="s">
        <v>1176</v>
      </c>
      <c r="L22" s="203">
        <v>41110</v>
      </c>
      <c r="M22" s="206">
        <v>7</v>
      </c>
      <c r="N22" s="173">
        <f t="shared" si="0"/>
        <v>0.10625</v>
      </c>
      <c r="O22" s="206">
        <v>72</v>
      </c>
      <c r="P22" s="173">
        <f t="shared" si="1"/>
        <v>0.185</v>
      </c>
      <c r="Q22" s="206">
        <v>35</v>
      </c>
      <c r="R22" s="173">
        <f t="shared" si="2"/>
        <v>0.14799999999999999</v>
      </c>
      <c r="S22" s="206">
        <v>52</v>
      </c>
      <c r="T22" s="173">
        <f t="shared" si="3"/>
        <v>0.24525</v>
      </c>
      <c r="U22" s="206">
        <v>17</v>
      </c>
      <c r="V22" s="173">
        <f t="shared" si="4"/>
        <v>0.10625</v>
      </c>
      <c r="W22" s="206" t="s">
        <v>1174</v>
      </c>
      <c r="X22" s="173">
        <f t="shared" si="5"/>
        <v>0.25</v>
      </c>
      <c r="Y22" s="346">
        <f t="shared" si="6"/>
        <v>1.0407500000000001</v>
      </c>
      <c r="Z22" s="207" t="s">
        <v>2503</v>
      </c>
      <c r="AA22" s="207" t="s">
        <v>684</v>
      </c>
      <c r="AC22" s="347" t="s">
        <v>1893</v>
      </c>
      <c r="AD22" s="178" t="s">
        <v>1176</v>
      </c>
      <c r="AE22" s="178" t="s">
        <v>1176</v>
      </c>
      <c r="AF22" s="178" t="s">
        <v>1174</v>
      </c>
      <c r="AG22" s="178" t="s">
        <v>1176</v>
      </c>
      <c r="AH22" s="178" t="s">
        <v>2454</v>
      </c>
      <c r="AI22" s="178" t="s">
        <v>1174</v>
      </c>
      <c r="AJ22" s="203">
        <v>41134</v>
      </c>
      <c r="AK22" s="205">
        <v>23</v>
      </c>
      <c r="AL22" s="205">
        <v>6853</v>
      </c>
      <c r="AM22" s="205">
        <v>1714</v>
      </c>
      <c r="AN22" s="205">
        <v>1730</v>
      </c>
      <c r="AO22" s="206">
        <v>7115</v>
      </c>
      <c r="AP22" s="173">
        <f t="shared" si="7"/>
        <v>0.16900000000000001</v>
      </c>
      <c r="AQ22" s="206">
        <f t="shared" si="8"/>
        <v>262</v>
      </c>
      <c r="AR22" s="173">
        <f t="shared" si="9"/>
        <v>0.1045</v>
      </c>
      <c r="AS22" s="348">
        <f t="shared" si="10"/>
        <v>3.8231431489858414E-2</v>
      </c>
      <c r="AT22" s="173">
        <f t="shared" si="11"/>
        <v>0.24149999999999999</v>
      </c>
      <c r="AU22" s="349">
        <f t="shared" si="12"/>
        <v>16</v>
      </c>
      <c r="AV22" s="328">
        <f t="shared" si="13"/>
        <v>0.69565217391304346</v>
      </c>
      <c r="AW22" s="173">
        <f t="shared" si="14"/>
        <v>0.33800000000000002</v>
      </c>
      <c r="AX22" s="350">
        <f t="shared" si="15"/>
        <v>1.8937500000000003</v>
      </c>
    </row>
    <row r="23" spans="1:50" ht="42">
      <c r="A23" s="205">
        <v>22</v>
      </c>
      <c r="B23" s="178" t="s">
        <v>129</v>
      </c>
      <c r="C23" s="178" t="s">
        <v>1451</v>
      </c>
      <c r="D23" s="178" t="s">
        <v>1174</v>
      </c>
      <c r="E23" s="178" t="s">
        <v>1452</v>
      </c>
      <c r="F23" s="178" t="s">
        <v>1176</v>
      </c>
      <c r="G23" s="178" t="s">
        <v>1176</v>
      </c>
      <c r="H23" s="205">
        <v>0</v>
      </c>
      <c r="I23" s="178" t="s">
        <v>2504</v>
      </c>
      <c r="J23" s="178" t="s">
        <v>413</v>
      </c>
      <c r="K23" s="178" t="s">
        <v>1176</v>
      </c>
      <c r="L23" s="203">
        <v>41111</v>
      </c>
      <c r="M23" s="206">
        <v>15</v>
      </c>
      <c r="N23" s="173">
        <f t="shared" si="0"/>
        <v>0.16200000000000001</v>
      </c>
      <c r="O23" s="206">
        <v>43</v>
      </c>
      <c r="P23" s="173">
        <f t="shared" si="1"/>
        <v>0.06</v>
      </c>
      <c r="Q23" s="206">
        <v>24</v>
      </c>
      <c r="R23" s="173">
        <f t="shared" si="2"/>
        <v>7.85E-2</v>
      </c>
      <c r="S23" s="206">
        <v>5</v>
      </c>
      <c r="T23" s="173">
        <f t="shared" si="3"/>
        <v>7.3999999999999996E-2</v>
      </c>
      <c r="U23" s="206">
        <v>19</v>
      </c>
      <c r="V23" s="173">
        <f t="shared" si="4"/>
        <v>0.125</v>
      </c>
      <c r="W23" s="206" t="s">
        <v>1174</v>
      </c>
      <c r="X23" s="173">
        <f t="shared" si="5"/>
        <v>0.25</v>
      </c>
      <c r="Y23" s="346">
        <f t="shared" si="6"/>
        <v>0.74949999999999994</v>
      </c>
      <c r="Z23" s="207" t="s">
        <v>2505</v>
      </c>
      <c r="AA23" s="207" t="s">
        <v>684</v>
      </c>
      <c r="AC23" s="347" t="s">
        <v>1893</v>
      </c>
      <c r="AD23" s="178" t="s">
        <v>1176</v>
      </c>
      <c r="AE23" s="178" t="s">
        <v>1176</v>
      </c>
      <c r="AF23" s="178" t="s">
        <v>1176</v>
      </c>
      <c r="AG23" s="178" t="s">
        <v>1176</v>
      </c>
      <c r="AH23" s="178" t="s">
        <v>2454</v>
      </c>
      <c r="AI23" s="178" t="s">
        <v>1176</v>
      </c>
      <c r="AJ23" s="203">
        <v>41134</v>
      </c>
      <c r="AK23" s="205">
        <v>23</v>
      </c>
      <c r="AL23" s="205">
        <v>2692</v>
      </c>
      <c r="AM23" s="205">
        <v>1333</v>
      </c>
      <c r="AN23" s="205">
        <v>1337</v>
      </c>
      <c r="AO23" s="206">
        <v>2777</v>
      </c>
      <c r="AP23" s="173">
        <f t="shared" si="7"/>
        <v>6.7000000000000004E-2</v>
      </c>
      <c r="AQ23" s="206">
        <f t="shared" si="8"/>
        <v>85</v>
      </c>
      <c r="AR23" s="173">
        <f t="shared" si="9"/>
        <v>4.8000000000000001E-2</v>
      </c>
      <c r="AS23" s="348">
        <f t="shared" si="10"/>
        <v>3.1575037147102636E-2</v>
      </c>
      <c r="AT23" s="173">
        <f t="shared" si="11"/>
        <v>0.17699999999999999</v>
      </c>
      <c r="AU23" s="349">
        <f t="shared" si="12"/>
        <v>4</v>
      </c>
      <c r="AV23" s="328">
        <f t="shared" si="13"/>
        <v>0.17391304347826086</v>
      </c>
      <c r="AW23" s="173">
        <f t="shared" si="14"/>
        <v>0.22500000000000001</v>
      </c>
      <c r="AX23" s="350">
        <f t="shared" si="15"/>
        <v>1.2665</v>
      </c>
    </row>
    <row r="24" spans="1:50">
      <c r="A24" s="205">
        <v>23</v>
      </c>
      <c r="B24" s="178" t="s">
        <v>134</v>
      </c>
      <c r="C24" s="178"/>
      <c r="D24" s="178"/>
      <c r="E24" s="178"/>
      <c r="F24" s="178"/>
      <c r="G24" s="178"/>
      <c r="H24" s="205"/>
      <c r="I24" s="178"/>
      <c r="J24" s="178"/>
      <c r="K24" s="178"/>
      <c r="L24" s="203"/>
      <c r="M24" s="206"/>
      <c r="N24" s="173">
        <f t="shared" si="0"/>
        <v>0</v>
      </c>
      <c r="O24" s="206"/>
      <c r="P24" s="173">
        <f t="shared" si="1"/>
        <v>0</v>
      </c>
      <c r="Q24" s="206"/>
      <c r="R24" s="173">
        <f t="shared" si="2"/>
        <v>0</v>
      </c>
      <c r="S24" s="206"/>
      <c r="T24" s="173">
        <f t="shared" si="3"/>
        <v>0</v>
      </c>
      <c r="U24" s="206"/>
      <c r="V24" s="173">
        <f t="shared" si="4"/>
        <v>0</v>
      </c>
      <c r="W24" s="206"/>
      <c r="X24" s="173">
        <f t="shared" si="5"/>
        <v>0</v>
      </c>
      <c r="Y24" s="346">
        <f t="shared" si="6"/>
        <v>0</v>
      </c>
      <c r="Z24" s="207"/>
      <c r="AA24" s="207"/>
      <c r="AC24" s="347"/>
      <c r="AD24" s="178"/>
      <c r="AE24" s="178"/>
      <c r="AF24" s="178"/>
      <c r="AG24" s="178"/>
      <c r="AH24" s="178"/>
      <c r="AI24" s="178"/>
      <c r="AJ24" s="203"/>
      <c r="AK24" s="205">
        <v>23</v>
      </c>
      <c r="AL24" s="205"/>
      <c r="AM24" s="205"/>
      <c r="AN24" s="205"/>
      <c r="AO24" s="206"/>
      <c r="AP24" s="173">
        <f t="shared" si="7"/>
        <v>0</v>
      </c>
      <c r="AQ24" s="206">
        <f t="shared" si="8"/>
        <v>0</v>
      </c>
      <c r="AR24" s="173">
        <f t="shared" si="9"/>
        <v>0</v>
      </c>
      <c r="AS24" s="348">
        <v>0</v>
      </c>
      <c r="AT24" s="173">
        <f t="shared" si="11"/>
        <v>0</v>
      </c>
      <c r="AU24" s="349">
        <f t="shared" si="12"/>
        <v>0</v>
      </c>
      <c r="AV24" s="328">
        <f t="shared" si="13"/>
        <v>0</v>
      </c>
      <c r="AW24" s="173">
        <f t="shared" si="14"/>
        <v>0</v>
      </c>
      <c r="AX24" s="350">
        <f t="shared" si="15"/>
        <v>0</v>
      </c>
    </row>
    <row r="25" spans="1:50" ht="112">
      <c r="A25" s="205">
        <v>24</v>
      </c>
      <c r="B25" s="178" t="s">
        <v>136</v>
      </c>
      <c r="C25" s="178" t="s">
        <v>1451</v>
      </c>
      <c r="D25" s="178" t="s">
        <v>1174</v>
      </c>
      <c r="E25" s="178" t="s">
        <v>1452</v>
      </c>
      <c r="F25" s="178" t="s">
        <v>1176</v>
      </c>
      <c r="G25" s="178" t="s">
        <v>1176</v>
      </c>
      <c r="H25" s="205">
        <v>0</v>
      </c>
      <c r="I25" s="178" t="s">
        <v>2506</v>
      </c>
      <c r="J25" s="178" t="s">
        <v>413</v>
      </c>
      <c r="K25" s="178" t="s">
        <v>1176</v>
      </c>
      <c r="L25" s="203">
        <v>41111</v>
      </c>
      <c r="M25" s="206">
        <v>37</v>
      </c>
      <c r="N25" s="173">
        <f t="shared" si="0"/>
        <v>0.222</v>
      </c>
      <c r="O25" s="206">
        <v>54</v>
      </c>
      <c r="P25" s="173">
        <f t="shared" si="1"/>
        <v>0.10625</v>
      </c>
      <c r="Q25" s="206">
        <v>67</v>
      </c>
      <c r="R25" s="173">
        <f t="shared" si="2"/>
        <v>0.24049999999999999</v>
      </c>
      <c r="S25" s="206">
        <v>11</v>
      </c>
      <c r="T25" s="173">
        <f t="shared" si="3"/>
        <v>0.111</v>
      </c>
      <c r="U25" s="206">
        <v>32</v>
      </c>
      <c r="V25" s="173">
        <f t="shared" si="4"/>
        <v>0.17574999999999999</v>
      </c>
      <c r="W25" s="206" t="s">
        <v>1174</v>
      </c>
      <c r="X25" s="173">
        <f t="shared" si="5"/>
        <v>0.25</v>
      </c>
      <c r="Y25" s="346">
        <f t="shared" si="6"/>
        <v>1.1054999999999999</v>
      </c>
      <c r="Z25" s="207" t="s">
        <v>2507</v>
      </c>
      <c r="AA25" s="207" t="s">
        <v>2508</v>
      </c>
      <c r="AC25" s="347" t="s">
        <v>2104</v>
      </c>
      <c r="AD25" s="178" t="s">
        <v>1176</v>
      </c>
      <c r="AE25" s="178" t="s">
        <v>1174</v>
      </c>
      <c r="AF25" s="178" t="s">
        <v>1174</v>
      </c>
      <c r="AG25" s="178" t="s">
        <v>1176</v>
      </c>
      <c r="AH25" s="178" t="s">
        <v>2454</v>
      </c>
      <c r="AI25" s="178" t="s">
        <v>1176</v>
      </c>
      <c r="AJ25" s="203">
        <v>41134</v>
      </c>
      <c r="AK25" s="205">
        <v>23</v>
      </c>
      <c r="AL25" s="205">
        <v>80403</v>
      </c>
      <c r="AM25" s="205">
        <v>1083</v>
      </c>
      <c r="AN25" s="205">
        <v>1197</v>
      </c>
      <c r="AO25" s="206">
        <v>85009</v>
      </c>
      <c r="AP25" s="173">
        <f t="shared" si="7"/>
        <v>0.57599999999999996</v>
      </c>
      <c r="AQ25" s="206">
        <f t="shared" si="8"/>
        <v>4606</v>
      </c>
      <c r="AR25" s="173">
        <f t="shared" si="9"/>
        <v>0.35449999999999998</v>
      </c>
      <c r="AS25" s="348">
        <f t="shared" si="10"/>
        <v>5.7286419660957932E-2</v>
      </c>
      <c r="AT25" s="173">
        <f t="shared" si="11"/>
        <v>0.3705</v>
      </c>
      <c r="AU25" s="349">
        <f t="shared" si="12"/>
        <v>114</v>
      </c>
      <c r="AV25" s="328">
        <f t="shared" si="13"/>
        <v>4.9565217391304346</v>
      </c>
      <c r="AW25" s="173">
        <f t="shared" si="14"/>
        <v>0.85399999999999998</v>
      </c>
      <c r="AX25" s="350">
        <f t="shared" si="15"/>
        <v>3.2604999999999995</v>
      </c>
    </row>
    <row r="26" spans="1:50">
      <c r="A26" s="205">
        <v>25</v>
      </c>
      <c r="B26" s="178" t="s">
        <v>139</v>
      </c>
      <c r="C26" s="178" t="s">
        <v>1451</v>
      </c>
      <c r="D26" s="178" t="s">
        <v>1176</v>
      </c>
      <c r="E26" s="178" t="s">
        <v>1452</v>
      </c>
      <c r="F26" s="178" t="s">
        <v>1174</v>
      </c>
      <c r="G26" s="178" t="s">
        <v>1174</v>
      </c>
      <c r="H26" s="205">
        <v>0</v>
      </c>
      <c r="I26" s="178" t="s">
        <v>2509</v>
      </c>
      <c r="J26" s="178" t="s">
        <v>413</v>
      </c>
      <c r="K26" s="178" t="s">
        <v>1176</v>
      </c>
      <c r="L26" s="203">
        <v>41110</v>
      </c>
      <c r="M26" s="177"/>
      <c r="N26" s="173">
        <f t="shared" si="0"/>
        <v>0</v>
      </c>
      <c r="O26" s="177"/>
      <c r="P26" s="173">
        <f t="shared" si="1"/>
        <v>0</v>
      </c>
      <c r="Q26" s="177"/>
      <c r="R26" s="173">
        <f t="shared" si="2"/>
        <v>0</v>
      </c>
      <c r="S26" s="177"/>
      <c r="T26" s="173">
        <f t="shared" si="3"/>
        <v>0</v>
      </c>
      <c r="U26" s="177"/>
      <c r="V26" s="173">
        <f t="shared" si="4"/>
        <v>0</v>
      </c>
      <c r="W26" s="177"/>
      <c r="X26" s="173">
        <f t="shared" si="5"/>
        <v>0</v>
      </c>
      <c r="Y26" s="346">
        <f t="shared" si="6"/>
        <v>0</v>
      </c>
      <c r="AC26" s="351"/>
      <c r="AH26" s="178" t="s">
        <v>2454</v>
      </c>
      <c r="AJ26" s="203">
        <v>41135</v>
      </c>
      <c r="AK26" s="205">
        <v>23</v>
      </c>
      <c r="AL26" s="205">
        <v>13173</v>
      </c>
      <c r="AM26" s="205">
        <v>301</v>
      </c>
      <c r="AN26" s="205">
        <v>301</v>
      </c>
      <c r="AO26" s="177">
        <v>13667</v>
      </c>
      <c r="AP26" s="173">
        <f t="shared" si="7"/>
        <v>0.23699999999999999</v>
      </c>
      <c r="AQ26" s="177">
        <f t="shared" si="8"/>
        <v>494</v>
      </c>
      <c r="AR26" s="173">
        <f t="shared" si="9"/>
        <v>0.161</v>
      </c>
      <c r="AS26" s="348">
        <f t="shared" si="10"/>
        <v>3.7500948910650589E-2</v>
      </c>
      <c r="AT26" s="173">
        <f t="shared" si="11"/>
        <v>0.2175</v>
      </c>
      <c r="AU26" s="349">
        <f t="shared" si="12"/>
        <v>0</v>
      </c>
      <c r="AV26" s="328">
        <f t="shared" si="13"/>
        <v>0</v>
      </c>
      <c r="AW26" s="173">
        <f t="shared" si="14"/>
        <v>0</v>
      </c>
      <c r="AX26" s="350">
        <f t="shared" si="15"/>
        <v>0.61549999999999994</v>
      </c>
    </row>
    <row r="27" spans="1:50" ht="56">
      <c r="A27" s="205">
        <v>26</v>
      </c>
      <c r="B27" s="178" t="s">
        <v>141</v>
      </c>
      <c r="C27" s="178" t="s">
        <v>1451</v>
      </c>
      <c r="D27" s="178" t="s">
        <v>1174</v>
      </c>
      <c r="E27" s="178" t="s">
        <v>1452</v>
      </c>
      <c r="F27" s="178" t="s">
        <v>1174</v>
      </c>
      <c r="G27" s="178" t="s">
        <v>1174</v>
      </c>
      <c r="H27" s="205">
        <v>0</v>
      </c>
      <c r="I27" s="178" t="s">
        <v>2510</v>
      </c>
      <c r="J27" s="178" t="s">
        <v>413</v>
      </c>
      <c r="K27" s="178" t="s">
        <v>1174</v>
      </c>
      <c r="L27" s="203">
        <v>41111</v>
      </c>
      <c r="M27" s="206">
        <v>9</v>
      </c>
      <c r="N27" s="173">
        <f t="shared" si="0"/>
        <v>0.125</v>
      </c>
      <c r="O27" s="206">
        <v>46</v>
      </c>
      <c r="P27" s="173">
        <f t="shared" si="1"/>
        <v>7.3999999999999996E-2</v>
      </c>
      <c r="Q27" s="206">
        <v>47</v>
      </c>
      <c r="R27" s="173">
        <f t="shared" si="2"/>
        <v>0.18975</v>
      </c>
      <c r="S27" s="206">
        <v>18</v>
      </c>
      <c r="T27" s="173">
        <f t="shared" si="3"/>
        <v>0.15725</v>
      </c>
      <c r="U27" s="206">
        <v>45</v>
      </c>
      <c r="V27" s="173">
        <f t="shared" si="4"/>
        <v>0.22675000000000001</v>
      </c>
      <c r="W27" s="206" t="s">
        <v>1174</v>
      </c>
      <c r="X27" s="173">
        <f t="shared" si="5"/>
        <v>0.25</v>
      </c>
      <c r="Y27" s="346">
        <f t="shared" si="6"/>
        <v>1.0227499999999998</v>
      </c>
      <c r="Z27" s="207" t="s">
        <v>2511</v>
      </c>
      <c r="AA27" s="207" t="s">
        <v>2512</v>
      </c>
      <c r="AB27" s="178" t="s">
        <v>1176</v>
      </c>
      <c r="AC27" s="347" t="s">
        <v>1893</v>
      </c>
      <c r="AD27" s="178" t="s">
        <v>1176</v>
      </c>
      <c r="AE27" s="178" t="s">
        <v>1176</v>
      </c>
      <c r="AF27" s="178" t="s">
        <v>1176</v>
      </c>
      <c r="AG27" s="178" t="s">
        <v>1176</v>
      </c>
      <c r="AH27" s="178" t="s">
        <v>2454</v>
      </c>
      <c r="AI27" s="178" t="s">
        <v>1174</v>
      </c>
      <c r="AJ27" s="203">
        <v>41134</v>
      </c>
      <c r="AK27" s="205">
        <v>23</v>
      </c>
      <c r="AL27" s="205">
        <v>417533</v>
      </c>
      <c r="AM27" s="205">
        <v>1682</v>
      </c>
      <c r="AN27" s="205">
        <v>1708</v>
      </c>
      <c r="AO27" s="206">
        <v>433673</v>
      </c>
      <c r="AP27" s="173">
        <f t="shared" si="7"/>
        <v>0.88100000000000001</v>
      </c>
      <c r="AQ27" s="206">
        <f t="shared" si="8"/>
        <v>16140</v>
      </c>
      <c r="AR27" s="173">
        <f t="shared" si="9"/>
        <v>0.41899999999999998</v>
      </c>
      <c r="AS27" s="348">
        <f t="shared" si="10"/>
        <v>3.8655627219884359E-2</v>
      </c>
      <c r="AT27" s="173">
        <f t="shared" si="11"/>
        <v>0.26600000000000001</v>
      </c>
      <c r="AU27" s="349">
        <f t="shared" si="12"/>
        <v>26</v>
      </c>
      <c r="AV27" s="328">
        <f t="shared" si="13"/>
        <v>1.1304347826086956</v>
      </c>
      <c r="AW27" s="173">
        <f t="shared" si="14"/>
        <v>0.45100000000000001</v>
      </c>
      <c r="AX27" s="350">
        <f t="shared" si="15"/>
        <v>3.0397500000000002</v>
      </c>
    </row>
    <row r="28" spans="1:50" ht="28">
      <c r="A28" s="205">
        <v>27</v>
      </c>
      <c r="B28" s="178" t="s">
        <v>143</v>
      </c>
      <c r="C28" s="178" t="s">
        <v>1451</v>
      </c>
      <c r="D28" s="178" t="s">
        <v>1174</v>
      </c>
      <c r="E28" s="178" t="s">
        <v>1452</v>
      </c>
      <c r="F28" s="178" t="s">
        <v>1176</v>
      </c>
      <c r="G28" s="178" t="s">
        <v>1176</v>
      </c>
      <c r="H28" s="205">
        <v>0</v>
      </c>
      <c r="I28" s="178" t="s">
        <v>2513</v>
      </c>
      <c r="J28" s="178" t="s">
        <v>413</v>
      </c>
      <c r="K28" s="178" t="s">
        <v>1176</v>
      </c>
      <c r="L28" s="203">
        <v>41110</v>
      </c>
      <c r="M28" s="206">
        <v>0</v>
      </c>
      <c r="N28" s="173">
        <f t="shared" si="0"/>
        <v>0</v>
      </c>
      <c r="O28" s="206">
        <v>0</v>
      </c>
      <c r="P28" s="173">
        <f t="shared" si="1"/>
        <v>0</v>
      </c>
      <c r="Q28" s="206">
        <v>0</v>
      </c>
      <c r="R28" s="173">
        <f t="shared" si="2"/>
        <v>0</v>
      </c>
      <c r="S28" s="206">
        <v>0</v>
      </c>
      <c r="T28" s="173">
        <f t="shared" si="3"/>
        <v>0</v>
      </c>
      <c r="U28" s="206">
        <v>0</v>
      </c>
      <c r="V28" s="173">
        <f t="shared" si="4"/>
        <v>0</v>
      </c>
      <c r="W28" s="206" t="s">
        <v>1176</v>
      </c>
      <c r="X28" s="173">
        <f t="shared" si="5"/>
        <v>0</v>
      </c>
      <c r="Y28" s="346">
        <f t="shared" si="6"/>
        <v>0</v>
      </c>
      <c r="Z28" s="207" t="s">
        <v>2514</v>
      </c>
      <c r="AA28" s="207" t="s">
        <v>684</v>
      </c>
      <c r="AC28" s="347" t="s">
        <v>1893</v>
      </c>
      <c r="AD28" s="178" t="s">
        <v>1176</v>
      </c>
      <c r="AE28" s="178" t="s">
        <v>1176</v>
      </c>
      <c r="AF28" s="178" t="s">
        <v>1176</v>
      </c>
      <c r="AG28" s="178" t="s">
        <v>1176</v>
      </c>
      <c r="AH28" s="178" t="s">
        <v>2454</v>
      </c>
      <c r="AI28" s="178" t="s">
        <v>1176</v>
      </c>
      <c r="AJ28" s="203">
        <v>41134</v>
      </c>
      <c r="AK28" s="205">
        <v>23</v>
      </c>
      <c r="AL28" s="205">
        <v>4816</v>
      </c>
      <c r="AM28" s="205">
        <v>0</v>
      </c>
      <c r="AN28" s="205">
        <v>0</v>
      </c>
      <c r="AO28" s="206">
        <v>5851</v>
      </c>
      <c r="AP28" s="173">
        <f t="shared" si="7"/>
        <v>0.152</v>
      </c>
      <c r="AQ28" s="206">
        <f t="shared" si="8"/>
        <v>1035</v>
      </c>
      <c r="AR28" s="173">
        <f t="shared" si="9"/>
        <v>0.20949999999999999</v>
      </c>
      <c r="AS28" s="348">
        <f t="shared" si="10"/>
        <v>0.21490863787375414</v>
      </c>
      <c r="AT28" s="173">
        <f t="shared" si="11"/>
        <v>0.48349999999999999</v>
      </c>
      <c r="AU28" s="349">
        <f t="shared" si="12"/>
        <v>0</v>
      </c>
      <c r="AV28" s="328">
        <f t="shared" si="13"/>
        <v>0</v>
      </c>
      <c r="AW28" s="173">
        <f t="shared" si="14"/>
        <v>0</v>
      </c>
      <c r="AX28" s="350">
        <f t="shared" si="15"/>
        <v>0.84499999999999997</v>
      </c>
    </row>
    <row r="29" spans="1:50">
      <c r="A29" s="218">
        <v>28</v>
      </c>
      <c r="B29" s="352" t="s">
        <v>145</v>
      </c>
      <c r="C29" s="352" t="s">
        <v>1451</v>
      </c>
      <c r="D29" s="352" t="s">
        <v>1174</v>
      </c>
      <c r="E29" s="352" t="s">
        <v>1452</v>
      </c>
      <c r="F29" s="352" t="s">
        <v>1174</v>
      </c>
      <c r="G29" s="352" t="s">
        <v>1174</v>
      </c>
      <c r="H29" s="218">
        <v>0</v>
      </c>
      <c r="I29" s="352" t="s">
        <v>2515</v>
      </c>
      <c r="J29" s="352" t="s">
        <v>413</v>
      </c>
      <c r="K29" s="352" t="s">
        <v>1174</v>
      </c>
      <c r="L29" s="353">
        <v>41111</v>
      </c>
      <c r="M29" s="354"/>
      <c r="N29" s="355">
        <f t="shared" si="0"/>
        <v>0</v>
      </c>
      <c r="O29" s="354"/>
      <c r="P29" s="355">
        <f t="shared" si="1"/>
        <v>0</v>
      </c>
      <c r="Q29" s="354"/>
      <c r="R29" s="355">
        <f t="shared" si="2"/>
        <v>0</v>
      </c>
      <c r="S29" s="354"/>
      <c r="T29" s="355">
        <f t="shared" si="3"/>
        <v>0</v>
      </c>
      <c r="U29" s="354"/>
      <c r="V29" s="355">
        <f t="shared" si="4"/>
        <v>0</v>
      </c>
      <c r="W29" s="354"/>
      <c r="X29" s="355">
        <f t="shared" si="5"/>
        <v>0</v>
      </c>
      <c r="Y29" s="355">
        <f t="shared" si="6"/>
        <v>0</v>
      </c>
      <c r="Z29" s="356"/>
      <c r="AA29" s="356"/>
      <c r="AB29" s="354"/>
      <c r="AC29" s="354"/>
      <c r="AD29" s="354"/>
      <c r="AE29" s="354"/>
      <c r="AF29" s="354"/>
      <c r="AG29" s="354"/>
      <c r="AH29" s="352" t="s">
        <v>2454</v>
      </c>
      <c r="AI29" s="354"/>
      <c r="AJ29" s="353">
        <v>41135</v>
      </c>
      <c r="AK29" s="205">
        <v>23</v>
      </c>
      <c r="AL29" s="218">
        <v>116084</v>
      </c>
      <c r="AM29" s="218">
        <v>3419</v>
      </c>
      <c r="AN29" s="218">
        <v>3485</v>
      </c>
      <c r="AO29" s="354">
        <v>114655</v>
      </c>
      <c r="AP29" s="355">
        <f t="shared" si="7"/>
        <v>0.627</v>
      </c>
      <c r="AQ29" s="354">
        <v>0</v>
      </c>
      <c r="AR29" s="173">
        <f t="shared" si="9"/>
        <v>0</v>
      </c>
      <c r="AS29" s="348">
        <v>0</v>
      </c>
      <c r="AT29" s="173">
        <f t="shared" si="11"/>
        <v>0</v>
      </c>
      <c r="AU29" s="349">
        <f t="shared" si="12"/>
        <v>66</v>
      </c>
      <c r="AV29" s="328">
        <f t="shared" si="13"/>
        <v>2.8695652173913042</v>
      </c>
      <c r="AW29" s="173">
        <f t="shared" si="14"/>
        <v>0.72499999999999998</v>
      </c>
      <c r="AX29" s="350">
        <f t="shared" si="15"/>
        <v>1.3519999999999999</v>
      </c>
    </row>
    <row r="30" spans="1:50" ht="28">
      <c r="A30" s="205">
        <v>29</v>
      </c>
      <c r="B30" s="178" t="s">
        <v>148</v>
      </c>
      <c r="C30" s="178" t="s">
        <v>1451</v>
      </c>
      <c r="D30" s="178" t="s">
        <v>1174</v>
      </c>
      <c r="E30" s="178" t="s">
        <v>1452</v>
      </c>
      <c r="F30" s="178" t="s">
        <v>1174</v>
      </c>
      <c r="G30" s="178" t="s">
        <v>1174</v>
      </c>
      <c r="H30" s="205">
        <v>0</v>
      </c>
      <c r="I30" s="178" t="s">
        <v>2516</v>
      </c>
      <c r="J30" s="178" t="s">
        <v>413</v>
      </c>
      <c r="K30" s="178" t="s">
        <v>1174</v>
      </c>
      <c r="L30" s="203">
        <v>41111</v>
      </c>
      <c r="M30" s="206">
        <v>10</v>
      </c>
      <c r="N30" s="173">
        <f t="shared" si="0"/>
        <v>0.13875000000000001</v>
      </c>
      <c r="O30" s="206">
        <v>64</v>
      </c>
      <c r="P30" s="173">
        <f t="shared" si="1"/>
        <v>0.13875000000000001</v>
      </c>
      <c r="Q30" s="206">
        <v>29</v>
      </c>
      <c r="R30" s="173">
        <f t="shared" si="2"/>
        <v>0.125</v>
      </c>
      <c r="S30" s="206">
        <v>31</v>
      </c>
      <c r="T30" s="173">
        <f t="shared" si="3"/>
        <v>0.20349999999999999</v>
      </c>
      <c r="U30" s="206">
        <v>11</v>
      </c>
      <c r="V30" s="173">
        <f t="shared" si="4"/>
        <v>8.7749999999999995E-2</v>
      </c>
      <c r="W30" s="206" t="s">
        <v>1174</v>
      </c>
      <c r="X30" s="173">
        <f t="shared" si="5"/>
        <v>0.25</v>
      </c>
      <c r="Y30" s="346">
        <f t="shared" si="6"/>
        <v>0.94375000000000009</v>
      </c>
      <c r="Z30" s="207" t="s">
        <v>2517</v>
      </c>
      <c r="AA30" s="207" t="s">
        <v>684</v>
      </c>
      <c r="AC30" s="347" t="s">
        <v>1893</v>
      </c>
      <c r="AD30" s="178" t="s">
        <v>1174</v>
      </c>
      <c r="AE30" s="178" t="s">
        <v>1176</v>
      </c>
      <c r="AF30" s="178" t="s">
        <v>1176</v>
      </c>
      <c r="AG30" s="178" t="s">
        <v>1176</v>
      </c>
      <c r="AH30" s="178" t="s">
        <v>2454</v>
      </c>
      <c r="AI30" s="178" t="s">
        <v>1174</v>
      </c>
      <c r="AJ30" s="203">
        <v>41134</v>
      </c>
      <c r="AK30" s="205">
        <v>23</v>
      </c>
      <c r="AL30" s="205">
        <v>93914</v>
      </c>
      <c r="AM30" s="205">
        <v>2230</v>
      </c>
      <c r="AN30" s="205">
        <v>2259</v>
      </c>
      <c r="AO30" s="206">
        <v>97539</v>
      </c>
      <c r="AP30" s="173">
        <f t="shared" si="7"/>
        <v>0.59299999999999997</v>
      </c>
      <c r="AQ30" s="206">
        <f t="shared" si="8"/>
        <v>3625</v>
      </c>
      <c r="AR30" s="173">
        <f t="shared" si="9"/>
        <v>0.3145</v>
      </c>
      <c r="AS30" s="348">
        <f t="shared" si="10"/>
        <v>3.8599143897608545E-2</v>
      </c>
      <c r="AT30" s="173">
        <f t="shared" si="11"/>
        <v>0.25800000000000001</v>
      </c>
      <c r="AU30" s="349">
        <f t="shared" si="12"/>
        <v>29</v>
      </c>
      <c r="AV30" s="328">
        <f t="shared" si="13"/>
        <v>1.2608695652173914</v>
      </c>
      <c r="AW30" s="173">
        <f t="shared" si="14"/>
        <v>0.5</v>
      </c>
      <c r="AX30" s="350">
        <f t="shared" si="15"/>
        <v>2.6092500000000003</v>
      </c>
    </row>
    <row r="31" spans="1:50" ht="56">
      <c r="A31" s="205">
        <v>30</v>
      </c>
      <c r="B31" s="178" t="s">
        <v>150</v>
      </c>
      <c r="C31" s="178" t="s">
        <v>1451</v>
      </c>
      <c r="D31" s="178" t="s">
        <v>1174</v>
      </c>
      <c r="E31" s="178" t="s">
        <v>1452</v>
      </c>
      <c r="F31" s="178" t="s">
        <v>1174</v>
      </c>
      <c r="G31" s="178" t="s">
        <v>1174</v>
      </c>
      <c r="H31" s="205">
        <v>0</v>
      </c>
      <c r="I31" s="178" t="s">
        <v>2518</v>
      </c>
      <c r="J31" s="178" t="s">
        <v>413</v>
      </c>
      <c r="K31" s="178" t="s">
        <v>1174</v>
      </c>
      <c r="L31" s="203">
        <v>41111</v>
      </c>
      <c r="M31" s="206">
        <v>20</v>
      </c>
      <c r="N31" s="173">
        <f t="shared" si="0"/>
        <v>0.16650000000000001</v>
      </c>
      <c r="O31" s="206">
        <v>68</v>
      </c>
      <c r="P31" s="173">
        <f t="shared" si="1"/>
        <v>0.17125000000000001</v>
      </c>
      <c r="Q31" s="206">
        <v>32</v>
      </c>
      <c r="R31" s="173">
        <f t="shared" si="2"/>
        <v>0.13875000000000001</v>
      </c>
      <c r="S31" s="206">
        <v>18</v>
      </c>
      <c r="T31" s="173">
        <f t="shared" si="3"/>
        <v>0.15725</v>
      </c>
      <c r="U31" s="206">
        <v>22</v>
      </c>
      <c r="V31" s="173">
        <f t="shared" si="4"/>
        <v>0.13425000000000001</v>
      </c>
      <c r="W31" s="206" t="s">
        <v>1174</v>
      </c>
      <c r="X31" s="173">
        <f t="shared" si="5"/>
        <v>0.25</v>
      </c>
      <c r="Y31" s="346">
        <f t="shared" si="6"/>
        <v>1.018</v>
      </c>
      <c r="Z31" s="207" t="s">
        <v>2519</v>
      </c>
      <c r="AA31" s="207" t="s">
        <v>684</v>
      </c>
      <c r="AC31" s="347" t="s">
        <v>1893</v>
      </c>
      <c r="AD31" s="178" t="s">
        <v>1176</v>
      </c>
      <c r="AE31" s="178" t="s">
        <v>1176</v>
      </c>
      <c r="AF31" s="178" t="s">
        <v>1174</v>
      </c>
      <c r="AG31" s="178" t="s">
        <v>1176</v>
      </c>
      <c r="AH31" s="178" t="s">
        <v>2454</v>
      </c>
      <c r="AI31" s="178" t="s">
        <v>1176</v>
      </c>
      <c r="AJ31" s="203">
        <v>41134</v>
      </c>
      <c r="AK31" s="205">
        <v>23</v>
      </c>
      <c r="AL31" s="205">
        <v>17877</v>
      </c>
      <c r="AM31" s="205">
        <v>469</v>
      </c>
      <c r="AN31" s="205">
        <v>486</v>
      </c>
      <c r="AO31" s="206">
        <v>18200</v>
      </c>
      <c r="AP31" s="173">
        <f t="shared" si="7"/>
        <v>0.30499999999999999</v>
      </c>
      <c r="AQ31" s="206">
        <f t="shared" si="8"/>
        <v>323</v>
      </c>
      <c r="AR31" s="173">
        <f t="shared" si="9"/>
        <v>0.1125</v>
      </c>
      <c r="AS31" s="348">
        <f t="shared" si="10"/>
        <v>1.8067908485763784E-2</v>
      </c>
      <c r="AT31" s="173">
        <f t="shared" si="11"/>
        <v>8.0500000000000002E-2</v>
      </c>
      <c r="AU31" s="349">
        <f t="shared" si="12"/>
        <v>17</v>
      </c>
      <c r="AV31" s="328">
        <f t="shared" si="13"/>
        <v>0.73913043478260865</v>
      </c>
      <c r="AW31" s="173">
        <f t="shared" si="14"/>
        <v>0.37</v>
      </c>
      <c r="AX31" s="350">
        <f t="shared" si="15"/>
        <v>1.8860000000000001</v>
      </c>
    </row>
    <row r="32" spans="1:50" ht="70">
      <c r="A32" s="205">
        <v>31</v>
      </c>
      <c r="B32" s="178" t="s">
        <v>153</v>
      </c>
      <c r="C32" s="178" t="s">
        <v>1451</v>
      </c>
      <c r="D32" s="178" t="s">
        <v>1174</v>
      </c>
      <c r="E32" s="178" t="s">
        <v>1452</v>
      </c>
      <c r="F32" s="178" t="s">
        <v>1174</v>
      </c>
      <c r="G32" s="178" t="s">
        <v>1174</v>
      </c>
      <c r="H32" s="205">
        <v>0</v>
      </c>
      <c r="I32" s="178" t="s">
        <v>2520</v>
      </c>
      <c r="J32" s="178" t="s">
        <v>413</v>
      </c>
      <c r="K32" s="178" t="s">
        <v>1174</v>
      </c>
      <c r="L32" s="203">
        <v>41111</v>
      </c>
      <c r="M32" s="206">
        <v>45</v>
      </c>
      <c r="N32" s="173">
        <f t="shared" si="0"/>
        <v>0.23599999999999999</v>
      </c>
      <c r="O32" s="206">
        <v>69</v>
      </c>
      <c r="P32" s="173">
        <f t="shared" si="1"/>
        <v>0.18049999999999999</v>
      </c>
      <c r="Q32" s="206">
        <v>11</v>
      </c>
      <c r="R32" s="173">
        <f t="shared" si="2"/>
        <v>2.3E-2</v>
      </c>
      <c r="S32" s="206">
        <v>9</v>
      </c>
      <c r="T32" s="173">
        <f t="shared" si="3"/>
        <v>0.10174999999999999</v>
      </c>
      <c r="U32" s="206">
        <v>0</v>
      </c>
      <c r="V32" s="173">
        <f t="shared" si="4"/>
        <v>0</v>
      </c>
      <c r="W32" s="206" t="s">
        <v>1174</v>
      </c>
      <c r="X32" s="173">
        <f t="shared" si="5"/>
        <v>0.25</v>
      </c>
      <c r="Y32" s="346">
        <f t="shared" si="6"/>
        <v>0.79125000000000001</v>
      </c>
      <c r="Z32" s="207" t="s">
        <v>2521</v>
      </c>
      <c r="AA32" s="207" t="s">
        <v>2522</v>
      </c>
      <c r="AC32" s="347" t="s">
        <v>2104</v>
      </c>
      <c r="AD32" s="178" t="s">
        <v>1176</v>
      </c>
      <c r="AE32" s="178" t="s">
        <v>1176</v>
      </c>
      <c r="AF32" s="178" t="s">
        <v>1174</v>
      </c>
      <c r="AG32" s="178" t="s">
        <v>1176</v>
      </c>
      <c r="AH32" s="178" t="s">
        <v>2454</v>
      </c>
      <c r="AI32" s="178" t="s">
        <v>1176</v>
      </c>
      <c r="AJ32" s="203">
        <v>41134</v>
      </c>
      <c r="AK32" s="205">
        <v>23</v>
      </c>
      <c r="AL32" s="205">
        <v>274968</v>
      </c>
      <c r="AM32" s="205">
        <v>11313</v>
      </c>
      <c r="AN32" s="205">
        <v>11670</v>
      </c>
      <c r="AO32" s="206">
        <v>285519</v>
      </c>
      <c r="AP32" s="173">
        <f t="shared" si="7"/>
        <v>0.745</v>
      </c>
      <c r="AQ32" s="206">
        <f t="shared" si="8"/>
        <v>10551</v>
      </c>
      <c r="AR32" s="173">
        <f t="shared" si="9"/>
        <v>0.40300000000000002</v>
      </c>
      <c r="AS32" s="348">
        <f t="shared" si="10"/>
        <v>3.8371737802217032E-2</v>
      </c>
      <c r="AT32" s="173">
        <f t="shared" si="11"/>
        <v>0.25</v>
      </c>
      <c r="AU32" s="349">
        <f t="shared" si="12"/>
        <v>357</v>
      </c>
      <c r="AV32" s="328">
        <f t="shared" si="13"/>
        <v>15.521739130434783</v>
      </c>
      <c r="AW32" s="173">
        <f t="shared" si="14"/>
        <v>0.96699999999999997</v>
      </c>
      <c r="AX32" s="350">
        <f t="shared" si="15"/>
        <v>3.15625</v>
      </c>
    </row>
    <row r="33" spans="1:50">
      <c r="A33" s="205">
        <v>32</v>
      </c>
      <c r="B33" s="178" t="s">
        <v>156</v>
      </c>
      <c r="C33" s="178" t="s">
        <v>1451</v>
      </c>
      <c r="D33" s="178" t="s">
        <v>1174</v>
      </c>
      <c r="E33" s="178" t="s">
        <v>1452</v>
      </c>
      <c r="F33" s="178" t="s">
        <v>1174</v>
      </c>
      <c r="G33" s="178" t="s">
        <v>1174</v>
      </c>
      <c r="H33" s="205">
        <v>0</v>
      </c>
      <c r="I33" s="178" t="s">
        <v>2523</v>
      </c>
      <c r="J33" s="178" t="s">
        <v>413</v>
      </c>
      <c r="K33" s="178" t="s">
        <v>1176</v>
      </c>
      <c r="L33" s="203">
        <v>41114</v>
      </c>
      <c r="M33" s="177"/>
      <c r="N33" s="173">
        <f t="shared" si="0"/>
        <v>0</v>
      </c>
      <c r="O33" s="177"/>
      <c r="P33" s="173">
        <f t="shared" si="1"/>
        <v>0</v>
      </c>
      <c r="Q33" s="177"/>
      <c r="R33" s="173">
        <f t="shared" si="2"/>
        <v>0</v>
      </c>
      <c r="S33" s="177"/>
      <c r="T33" s="173">
        <f t="shared" si="3"/>
        <v>0</v>
      </c>
      <c r="U33" s="177"/>
      <c r="V33" s="173">
        <f t="shared" si="4"/>
        <v>0</v>
      </c>
      <c r="W33" s="177"/>
      <c r="X33" s="173">
        <f t="shared" si="5"/>
        <v>0</v>
      </c>
      <c r="Y33" s="346">
        <f t="shared" si="6"/>
        <v>0</v>
      </c>
      <c r="AC33" s="351"/>
      <c r="AH33" s="178" t="s">
        <v>2454</v>
      </c>
      <c r="AJ33" s="203">
        <v>41135</v>
      </c>
      <c r="AK33" s="205">
        <v>23</v>
      </c>
      <c r="AL33" s="205">
        <v>360047</v>
      </c>
      <c r="AM33" s="205">
        <v>1905</v>
      </c>
      <c r="AN33" s="205">
        <v>1932</v>
      </c>
      <c r="AO33" s="177">
        <v>360228</v>
      </c>
      <c r="AP33" s="173">
        <f t="shared" si="7"/>
        <v>0.79600000000000004</v>
      </c>
      <c r="AQ33" s="177">
        <f t="shared" si="8"/>
        <v>181</v>
      </c>
      <c r="AR33" s="173">
        <f t="shared" si="9"/>
        <v>8.8499999999999995E-2</v>
      </c>
      <c r="AS33" s="348">
        <f t="shared" si="10"/>
        <v>5.027121459142414E-4</v>
      </c>
      <c r="AT33" s="173">
        <f t="shared" si="11"/>
        <v>0.04</v>
      </c>
      <c r="AU33" s="349">
        <f t="shared" si="12"/>
        <v>27</v>
      </c>
      <c r="AV33" s="328">
        <f t="shared" si="13"/>
        <v>1.173913043478261</v>
      </c>
      <c r="AW33" s="173">
        <f t="shared" si="14"/>
        <v>0.46700000000000003</v>
      </c>
      <c r="AX33" s="350">
        <f t="shared" si="15"/>
        <v>1.3915000000000002</v>
      </c>
    </row>
    <row r="34" spans="1:50" ht="28">
      <c r="A34" s="205">
        <v>33</v>
      </c>
      <c r="B34" s="178" t="s">
        <v>158</v>
      </c>
      <c r="C34" s="178" t="s">
        <v>1451</v>
      </c>
      <c r="D34" s="178" t="s">
        <v>1174</v>
      </c>
      <c r="E34" s="178" t="s">
        <v>1452</v>
      </c>
      <c r="F34" s="178" t="s">
        <v>1176</v>
      </c>
      <c r="G34" s="178" t="s">
        <v>1176</v>
      </c>
      <c r="H34" s="205">
        <v>0</v>
      </c>
      <c r="I34" s="178" t="s">
        <v>2524</v>
      </c>
      <c r="J34" s="178" t="s">
        <v>413</v>
      </c>
      <c r="K34" s="178" t="s">
        <v>1176</v>
      </c>
      <c r="L34" s="203">
        <v>41114</v>
      </c>
      <c r="M34" s="206">
        <v>24</v>
      </c>
      <c r="N34" s="173">
        <f t="shared" si="0"/>
        <v>0.18049999999999999</v>
      </c>
      <c r="O34" s="206">
        <v>57</v>
      </c>
      <c r="P34" s="173">
        <f t="shared" si="1"/>
        <v>0.125</v>
      </c>
      <c r="Q34" s="206">
        <v>15</v>
      </c>
      <c r="R34" s="173">
        <f t="shared" si="2"/>
        <v>4.1500000000000002E-2</v>
      </c>
      <c r="S34" s="206">
        <v>28</v>
      </c>
      <c r="T34" s="173">
        <f t="shared" si="3"/>
        <v>0.18975</v>
      </c>
      <c r="U34" s="206">
        <v>3</v>
      </c>
      <c r="V34" s="173">
        <f t="shared" si="4"/>
        <v>2.3E-2</v>
      </c>
      <c r="W34" s="206" t="s">
        <v>1174</v>
      </c>
      <c r="X34" s="173">
        <f t="shared" si="5"/>
        <v>0.25</v>
      </c>
      <c r="Y34" s="346">
        <f t="shared" si="6"/>
        <v>0.80974999999999997</v>
      </c>
      <c r="Z34" s="207" t="s">
        <v>2525</v>
      </c>
      <c r="AA34" s="207" t="s">
        <v>684</v>
      </c>
      <c r="AC34" s="347" t="s">
        <v>1893</v>
      </c>
      <c r="AD34" s="178" t="s">
        <v>1176</v>
      </c>
      <c r="AE34" s="178" t="s">
        <v>1176</v>
      </c>
      <c r="AF34" s="178" t="s">
        <v>1176</v>
      </c>
      <c r="AG34" s="178" t="s">
        <v>1174</v>
      </c>
      <c r="AH34" s="178" t="s">
        <v>2454</v>
      </c>
      <c r="AI34" s="178" t="s">
        <v>1176</v>
      </c>
      <c r="AJ34" s="203">
        <v>41134</v>
      </c>
      <c r="AK34" s="205">
        <v>23</v>
      </c>
      <c r="AL34" s="205">
        <v>2008</v>
      </c>
      <c r="AM34" s="205">
        <v>272</v>
      </c>
      <c r="AN34" s="205">
        <v>272</v>
      </c>
      <c r="AO34" s="206">
        <v>2096</v>
      </c>
      <c r="AP34" s="173">
        <f t="shared" si="7"/>
        <v>0.05</v>
      </c>
      <c r="AQ34" s="206">
        <f t="shared" si="8"/>
        <v>88</v>
      </c>
      <c r="AR34" s="173">
        <f t="shared" si="9"/>
        <v>5.6000000000000001E-2</v>
      </c>
      <c r="AS34" s="348">
        <f t="shared" si="10"/>
        <v>4.3824701195219085E-2</v>
      </c>
      <c r="AT34" s="173">
        <f t="shared" si="11"/>
        <v>0.30599999999999999</v>
      </c>
      <c r="AU34" s="349">
        <f t="shared" si="12"/>
        <v>0</v>
      </c>
      <c r="AV34" s="328">
        <f t="shared" si="13"/>
        <v>0</v>
      </c>
      <c r="AW34" s="173">
        <f t="shared" si="14"/>
        <v>0</v>
      </c>
      <c r="AX34" s="350">
        <f t="shared" si="15"/>
        <v>1.2217499999999999</v>
      </c>
    </row>
    <row r="35" spans="1:50" ht="42">
      <c r="A35" s="205">
        <v>34</v>
      </c>
      <c r="B35" s="178" t="s">
        <v>161</v>
      </c>
      <c r="C35" s="178" t="s">
        <v>1451</v>
      </c>
      <c r="D35" s="178" t="s">
        <v>1174</v>
      </c>
      <c r="E35" s="178" t="s">
        <v>1452</v>
      </c>
      <c r="F35" s="178" t="s">
        <v>1176</v>
      </c>
      <c r="G35" s="178" t="s">
        <v>1176</v>
      </c>
      <c r="H35" s="205">
        <v>0</v>
      </c>
      <c r="I35" s="178" t="s">
        <v>2526</v>
      </c>
      <c r="J35" s="178" t="s">
        <v>413</v>
      </c>
      <c r="K35" s="178" t="s">
        <v>1176</v>
      </c>
      <c r="L35" s="203">
        <v>41114</v>
      </c>
      <c r="M35" s="206">
        <v>32</v>
      </c>
      <c r="N35" s="173">
        <f t="shared" si="0"/>
        <v>0.19425000000000001</v>
      </c>
      <c r="O35" s="206">
        <v>75</v>
      </c>
      <c r="P35" s="173">
        <f t="shared" si="1"/>
        <v>0.19900000000000001</v>
      </c>
      <c r="Q35" s="206">
        <v>65</v>
      </c>
      <c r="R35" s="173">
        <f t="shared" si="2"/>
        <v>0.22675000000000001</v>
      </c>
      <c r="S35" s="206">
        <v>4</v>
      </c>
      <c r="T35" s="173">
        <f t="shared" si="3"/>
        <v>5.5500000000000001E-2</v>
      </c>
      <c r="U35" s="206">
        <v>23</v>
      </c>
      <c r="V35" s="173">
        <f t="shared" si="4"/>
        <v>0.14349999999999999</v>
      </c>
      <c r="W35" s="206" t="s">
        <v>1174</v>
      </c>
      <c r="X35" s="173">
        <f t="shared" si="5"/>
        <v>0.25</v>
      </c>
      <c r="Y35" s="346">
        <f t="shared" si="6"/>
        <v>1.069</v>
      </c>
      <c r="Z35" s="207" t="s">
        <v>2527</v>
      </c>
      <c r="AA35" s="207" t="s">
        <v>2528</v>
      </c>
      <c r="AC35" s="347" t="s">
        <v>1893</v>
      </c>
      <c r="AD35" s="178" t="s">
        <v>1176</v>
      </c>
      <c r="AE35" s="178" t="s">
        <v>1176</v>
      </c>
      <c r="AF35" s="178" t="s">
        <v>1176</v>
      </c>
      <c r="AG35" s="178" t="s">
        <v>1174</v>
      </c>
      <c r="AH35" s="178" t="s">
        <v>2454</v>
      </c>
      <c r="AI35" s="178" t="s">
        <v>1176</v>
      </c>
      <c r="AJ35" s="203">
        <v>41134</v>
      </c>
      <c r="AK35" s="205">
        <v>23</v>
      </c>
      <c r="AL35" s="205">
        <v>30303</v>
      </c>
      <c r="AM35" s="205">
        <v>195</v>
      </c>
      <c r="AN35" s="205">
        <v>198</v>
      </c>
      <c r="AO35" s="206">
        <v>32263</v>
      </c>
      <c r="AP35" s="173">
        <f t="shared" si="7"/>
        <v>0.42299999999999999</v>
      </c>
      <c r="AQ35" s="206">
        <f t="shared" si="8"/>
        <v>1960</v>
      </c>
      <c r="AR35" s="173">
        <f t="shared" si="9"/>
        <v>0.25</v>
      </c>
      <c r="AS35" s="348">
        <f t="shared" si="10"/>
        <v>6.4680064680064708E-2</v>
      </c>
      <c r="AT35" s="173">
        <f t="shared" si="11"/>
        <v>0.39500000000000002</v>
      </c>
      <c r="AU35" s="349">
        <f t="shared" si="12"/>
        <v>3</v>
      </c>
      <c r="AV35" s="328">
        <f t="shared" si="13"/>
        <v>0.13043478260869565</v>
      </c>
      <c r="AW35" s="173">
        <f t="shared" si="14"/>
        <v>0.17699999999999999</v>
      </c>
      <c r="AX35" s="350">
        <f t="shared" si="15"/>
        <v>2.3140000000000001</v>
      </c>
    </row>
    <row r="36" spans="1:50" ht="28">
      <c r="A36" s="205">
        <v>35</v>
      </c>
      <c r="B36" s="178" t="s">
        <v>163</v>
      </c>
      <c r="C36" s="178" t="s">
        <v>1451</v>
      </c>
      <c r="D36" s="178" t="s">
        <v>1174</v>
      </c>
      <c r="E36" s="178" t="s">
        <v>1452</v>
      </c>
      <c r="F36" s="178" t="s">
        <v>1174</v>
      </c>
      <c r="G36" s="178" t="s">
        <v>1174</v>
      </c>
      <c r="H36" s="205">
        <v>0</v>
      </c>
      <c r="I36" s="178" t="s">
        <v>2529</v>
      </c>
      <c r="J36" s="178" t="s">
        <v>74</v>
      </c>
      <c r="K36" s="178" t="s">
        <v>1176</v>
      </c>
      <c r="L36" s="203">
        <v>41111</v>
      </c>
      <c r="M36" s="206">
        <v>2</v>
      </c>
      <c r="N36" s="173">
        <f t="shared" si="0"/>
        <v>5.0750000000000003E-2</v>
      </c>
      <c r="O36" s="206">
        <v>26</v>
      </c>
      <c r="P36" s="173">
        <f t="shared" si="1"/>
        <v>2.3E-2</v>
      </c>
      <c r="Q36" s="206">
        <v>14</v>
      </c>
      <c r="R36" s="173">
        <f t="shared" si="2"/>
        <v>3.2250000000000001E-2</v>
      </c>
      <c r="S36" s="206">
        <v>18</v>
      </c>
      <c r="T36" s="173">
        <f t="shared" si="3"/>
        <v>0.15725</v>
      </c>
      <c r="U36" s="206">
        <v>0</v>
      </c>
      <c r="V36" s="173">
        <f t="shared" si="4"/>
        <v>0</v>
      </c>
      <c r="W36" s="206" t="s">
        <v>1174</v>
      </c>
      <c r="X36" s="173">
        <f t="shared" si="5"/>
        <v>0.25</v>
      </c>
      <c r="Y36" s="346">
        <f t="shared" si="6"/>
        <v>0.51324999999999998</v>
      </c>
      <c r="Z36" s="207" t="s">
        <v>2530</v>
      </c>
      <c r="AC36" s="351"/>
      <c r="AD36" s="178" t="s">
        <v>1176</v>
      </c>
      <c r="AE36" s="178" t="s">
        <v>1176</v>
      </c>
      <c r="AF36" s="178" t="s">
        <v>1176</v>
      </c>
      <c r="AG36" s="178" t="s">
        <v>1176</v>
      </c>
      <c r="AH36" s="178" t="s">
        <v>2454</v>
      </c>
      <c r="AI36" s="178" t="s">
        <v>1176</v>
      </c>
      <c r="AJ36" s="203">
        <v>41134</v>
      </c>
      <c r="AK36" s="205">
        <v>23</v>
      </c>
      <c r="AL36" s="205">
        <v>5052</v>
      </c>
      <c r="AM36" s="205">
        <v>593</v>
      </c>
      <c r="AN36" s="205">
        <v>599</v>
      </c>
      <c r="AO36" s="206">
        <v>5205</v>
      </c>
      <c r="AP36" s="173">
        <f t="shared" si="7"/>
        <v>0.13500000000000001</v>
      </c>
      <c r="AQ36" s="206">
        <f t="shared" si="8"/>
        <v>153</v>
      </c>
      <c r="AR36" s="173">
        <f t="shared" si="9"/>
        <v>7.2499999999999995E-2</v>
      </c>
      <c r="AS36" s="348">
        <f t="shared" si="10"/>
        <v>3.0285035629453727E-2</v>
      </c>
      <c r="AT36" s="173">
        <f t="shared" si="11"/>
        <v>0.14499999999999999</v>
      </c>
      <c r="AU36" s="349">
        <f t="shared" si="12"/>
        <v>6</v>
      </c>
      <c r="AV36" s="328">
        <f t="shared" si="13"/>
        <v>0.2608695652173913</v>
      </c>
      <c r="AW36" s="173">
        <f t="shared" si="14"/>
        <v>0.24099999999999999</v>
      </c>
      <c r="AX36" s="350">
        <f t="shared" si="15"/>
        <v>1.1067499999999999</v>
      </c>
    </row>
    <row r="37" spans="1:50" ht="28">
      <c r="A37" s="205">
        <v>36</v>
      </c>
      <c r="B37" s="178" t="s">
        <v>165</v>
      </c>
      <c r="C37" s="178" t="s">
        <v>1451</v>
      </c>
      <c r="D37" s="178" t="s">
        <v>1174</v>
      </c>
      <c r="E37" s="178" t="s">
        <v>1452</v>
      </c>
      <c r="F37" s="178" t="s">
        <v>1174</v>
      </c>
      <c r="G37" s="178" t="s">
        <v>1174</v>
      </c>
      <c r="H37" s="205">
        <v>0</v>
      </c>
      <c r="I37" s="178" t="s">
        <v>2531</v>
      </c>
      <c r="J37" s="178" t="s">
        <v>413</v>
      </c>
      <c r="K37" s="178" t="s">
        <v>1174</v>
      </c>
      <c r="L37" s="203">
        <v>41110</v>
      </c>
      <c r="M37" s="206">
        <v>0</v>
      </c>
      <c r="N37" s="173">
        <f t="shared" si="0"/>
        <v>0</v>
      </c>
      <c r="O37" s="206">
        <v>64</v>
      </c>
      <c r="P37" s="173">
        <f t="shared" si="1"/>
        <v>0.13875000000000001</v>
      </c>
      <c r="Q37" s="206">
        <v>80</v>
      </c>
      <c r="R37" s="173">
        <f t="shared" si="2"/>
        <v>0.25</v>
      </c>
      <c r="S37" s="206">
        <v>31</v>
      </c>
      <c r="T37" s="173">
        <f t="shared" si="3"/>
        <v>0.20349999999999999</v>
      </c>
      <c r="U37" s="206">
        <v>29</v>
      </c>
      <c r="V37" s="173">
        <f t="shared" si="4"/>
        <v>0.16650000000000001</v>
      </c>
      <c r="W37" s="206" t="s">
        <v>1174</v>
      </c>
      <c r="X37" s="173">
        <f t="shared" si="5"/>
        <v>0.25</v>
      </c>
      <c r="Y37" s="346">
        <f t="shared" si="6"/>
        <v>1.00875</v>
      </c>
      <c r="Z37" s="207" t="s">
        <v>2532</v>
      </c>
      <c r="AA37" s="207" t="s">
        <v>684</v>
      </c>
      <c r="AC37" s="347" t="s">
        <v>1893</v>
      </c>
      <c r="AD37" s="178" t="s">
        <v>1176</v>
      </c>
      <c r="AE37" s="178" t="s">
        <v>1176</v>
      </c>
      <c r="AF37" s="178" t="s">
        <v>1174</v>
      </c>
      <c r="AG37" s="178" t="s">
        <v>1174</v>
      </c>
      <c r="AH37" s="178" t="s">
        <v>2454</v>
      </c>
      <c r="AI37" s="178" t="s">
        <v>1174</v>
      </c>
      <c r="AJ37" s="203">
        <v>41134</v>
      </c>
      <c r="AK37" s="205">
        <v>23</v>
      </c>
      <c r="AL37" s="205">
        <v>216309</v>
      </c>
      <c r="AM37" s="205">
        <v>868</v>
      </c>
      <c r="AN37" s="205">
        <v>892</v>
      </c>
      <c r="AO37" s="206">
        <v>240561</v>
      </c>
      <c r="AP37" s="173">
        <f t="shared" si="7"/>
        <v>0.71099999999999997</v>
      </c>
      <c r="AQ37" s="206">
        <f t="shared" si="8"/>
        <v>24252</v>
      </c>
      <c r="AR37" s="173">
        <f t="shared" si="9"/>
        <v>0.45150000000000001</v>
      </c>
      <c r="AS37" s="348">
        <f t="shared" si="10"/>
        <v>0.11211738762603507</v>
      </c>
      <c r="AT37" s="173">
        <f t="shared" si="11"/>
        <v>0.45950000000000002</v>
      </c>
      <c r="AU37" s="349">
        <f t="shared" si="12"/>
        <v>24</v>
      </c>
      <c r="AV37" s="328">
        <f t="shared" si="13"/>
        <v>1.0434782608695652</v>
      </c>
      <c r="AW37" s="173">
        <f t="shared" si="14"/>
        <v>0.435</v>
      </c>
      <c r="AX37" s="350">
        <f t="shared" si="15"/>
        <v>3.06575</v>
      </c>
    </row>
    <row r="38" spans="1:50">
      <c r="A38" s="215">
        <v>37</v>
      </c>
      <c r="B38" s="227" t="s">
        <v>167</v>
      </c>
      <c r="C38" s="220" t="s">
        <v>1451</v>
      </c>
      <c r="D38" s="220" t="s">
        <v>1174</v>
      </c>
      <c r="E38" s="220" t="s">
        <v>1452</v>
      </c>
      <c r="F38" s="220" t="s">
        <v>1176</v>
      </c>
      <c r="G38" s="220" t="s">
        <v>1176</v>
      </c>
      <c r="H38" s="215">
        <v>0</v>
      </c>
      <c r="I38" s="220" t="s">
        <v>2533</v>
      </c>
      <c r="J38" s="220" t="s">
        <v>413</v>
      </c>
      <c r="K38" s="220" t="s">
        <v>1176</v>
      </c>
      <c r="L38" s="221">
        <v>41121</v>
      </c>
      <c r="M38" s="206">
        <v>30</v>
      </c>
      <c r="N38" s="173">
        <f t="shared" si="0"/>
        <v>0.18975</v>
      </c>
      <c r="O38" s="206">
        <v>53</v>
      </c>
      <c r="P38" s="173">
        <f t="shared" si="1"/>
        <v>0.10174999999999999</v>
      </c>
      <c r="Q38" s="206">
        <v>42</v>
      </c>
      <c r="R38" s="173">
        <f t="shared" si="2"/>
        <v>0.16650000000000001</v>
      </c>
      <c r="S38" s="206">
        <v>1</v>
      </c>
      <c r="T38" s="173">
        <f t="shared" si="3"/>
        <v>1.375E-2</v>
      </c>
      <c r="U38" s="206">
        <v>44</v>
      </c>
      <c r="V38" s="173">
        <f t="shared" si="4"/>
        <v>0.2175</v>
      </c>
      <c r="W38" s="206" t="s">
        <v>1174</v>
      </c>
      <c r="X38" s="173">
        <f t="shared" si="5"/>
        <v>0.25</v>
      </c>
      <c r="Y38" s="346">
        <f t="shared" si="6"/>
        <v>0.93925000000000003</v>
      </c>
      <c r="Z38" s="223"/>
      <c r="AA38" s="223"/>
      <c r="AB38" s="180" t="s">
        <v>1176</v>
      </c>
      <c r="AC38" s="347"/>
      <c r="AD38" s="220" t="s">
        <v>1176</v>
      </c>
      <c r="AE38" s="220" t="s">
        <v>1176</v>
      </c>
      <c r="AF38" s="220" t="s">
        <v>1176</v>
      </c>
      <c r="AG38" s="220" t="s">
        <v>1176</v>
      </c>
      <c r="AH38" s="220" t="s">
        <v>2454</v>
      </c>
      <c r="AI38" s="220" t="s">
        <v>2534</v>
      </c>
      <c r="AJ38" s="221">
        <v>41150</v>
      </c>
      <c r="AK38" s="205">
        <v>23</v>
      </c>
      <c r="AL38" s="215">
        <v>575</v>
      </c>
      <c r="AM38" s="215">
        <v>23</v>
      </c>
      <c r="AN38" s="215">
        <v>84</v>
      </c>
      <c r="AO38" s="206">
        <v>4713</v>
      </c>
      <c r="AP38" s="173">
        <f t="shared" si="7"/>
        <v>0.11799999999999999</v>
      </c>
      <c r="AQ38" s="206">
        <f t="shared" si="8"/>
        <v>4138</v>
      </c>
      <c r="AR38" s="173">
        <f t="shared" si="9"/>
        <v>0.33050000000000002</v>
      </c>
      <c r="AS38" s="348">
        <f t="shared" si="10"/>
        <v>7.1965217391304339</v>
      </c>
      <c r="AT38" s="173">
        <f t="shared" si="11"/>
        <v>0.5</v>
      </c>
      <c r="AU38" s="349">
        <f t="shared" si="12"/>
        <v>61</v>
      </c>
      <c r="AV38" s="328">
        <f t="shared" si="13"/>
        <v>2.652173913043478</v>
      </c>
      <c r="AW38" s="173">
        <f t="shared" si="14"/>
        <v>0.67700000000000005</v>
      </c>
      <c r="AX38" s="350">
        <f t="shared" si="15"/>
        <v>2.5647500000000001</v>
      </c>
    </row>
    <row r="39" spans="1:50">
      <c r="A39" s="205">
        <v>38</v>
      </c>
      <c r="B39" s="178" t="s">
        <v>169</v>
      </c>
      <c r="C39" s="178" t="s">
        <v>1451</v>
      </c>
      <c r="D39" s="178" t="s">
        <v>1174</v>
      </c>
      <c r="E39" s="178" t="s">
        <v>1452</v>
      </c>
      <c r="F39" s="178" t="s">
        <v>1174</v>
      </c>
      <c r="G39" s="178" t="s">
        <v>1176</v>
      </c>
      <c r="H39" s="205">
        <v>0</v>
      </c>
      <c r="I39" s="178" t="s">
        <v>2535</v>
      </c>
      <c r="J39" s="178" t="s">
        <v>413</v>
      </c>
      <c r="K39" s="178" t="s">
        <v>1174</v>
      </c>
      <c r="L39" s="203">
        <v>41111</v>
      </c>
      <c r="M39" s="177"/>
      <c r="N39" s="173">
        <f t="shared" si="0"/>
        <v>0</v>
      </c>
      <c r="O39" s="177"/>
      <c r="P39" s="173">
        <f t="shared" si="1"/>
        <v>0</v>
      </c>
      <c r="Q39" s="177"/>
      <c r="R39" s="173">
        <f t="shared" si="2"/>
        <v>0</v>
      </c>
      <c r="S39" s="177"/>
      <c r="T39" s="173">
        <f t="shared" si="3"/>
        <v>0</v>
      </c>
      <c r="U39" s="177"/>
      <c r="V39" s="173">
        <f t="shared" si="4"/>
        <v>0</v>
      </c>
      <c r="W39" s="177"/>
      <c r="X39" s="173">
        <f t="shared" si="5"/>
        <v>0</v>
      </c>
      <c r="Y39" s="346">
        <f t="shared" si="6"/>
        <v>0</v>
      </c>
      <c r="AC39" s="351"/>
      <c r="AH39" s="178" t="s">
        <v>2454</v>
      </c>
      <c r="AJ39" s="203">
        <v>41135</v>
      </c>
      <c r="AK39" s="205">
        <v>23</v>
      </c>
      <c r="AL39" s="205">
        <v>680799</v>
      </c>
      <c r="AM39" s="205">
        <v>9340</v>
      </c>
      <c r="AN39" s="205">
        <v>9538</v>
      </c>
      <c r="AO39" s="177">
        <v>708924</v>
      </c>
      <c r="AP39" s="173">
        <f t="shared" si="7"/>
        <v>0.91500000000000004</v>
      </c>
      <c r="AQ39" s="177">
        <f t="shared" si="8"/>
        <v>28125</v>
      </c>
      <c r="AR39" s="173">
        <f t="shared" si="9"/>
        <v>0.45950000000000002</v>
      </c>
      <c r="AS39" s="348">
        <f t="shared" si="10"/>
        <v>4.1311752808097513E-2</v>
      </c>
      <c r="AT39" s="173">
        <f t="shared" si="11"/>
        <v>0.27400000000000002</v>
      </c>
      <c r="AU39" s="349">
        <f t="shared" si="12"/>
        <v>198</v>
      </c>
      <c r="AV39" s="328">
        <f t="shared" si="13"/>
        <v>8.6086956521739122</v>
      </c>
      <c r="AW39" s="173">
        <f t="shared" si="14"/>
        <v>0.93500000000000005</v>
      </c>
      <c r="AX39" s="350">
        <f t="shared" si="15"/>
        <v>2.5834999999999999</v>
      </c>
    </row>
    <row r="40" spans="1:50">
      <c r="A40" s="205">
        <v>39</v>
      </c>
      <c r="B40" s="202" t="s">
        <v>171</v>
      </c>
      <c r="C40" s="178" t="s">
        <v>1451</v>
      </c>
      <c r="D40" s="178" t="s">
        <v>1176</v>
      </c>
      <c r="E40" s="178"/>
      <c r="F40" s="178"/>
      <c r="G40" s="178"/>
      <c r="H40" s="205"/>
      <c r="I40" s="178"/>
      <c r="J40" s="178"/>
      <c r="K40" s="178"/>
      <c r="L40" s="203"/>
      <c r="M40" s="177"/>
      <c r="N40" s="173">
        <f t="shared" si="0"/>
        <v>0</v>
      </c>
      <c r="O40" s="177"/>
      <c r="P40" s="173">
        <f t="shared" si="1"/>
        <v>0</v>
      </c>
      <c r="Q40" s="177"/>
      <c r="R40" s="173">
        <f t="shared" si="2"/>
        <v>0</v>
      </c>
      <c r="S40" s="177"/>
      <c r="T40" s="173">
        <f t="shared" si="3"/>
        <v>0</v>
      </c>
      <c r="U40" s="177"/>
      <c r="V40" s="173">
        <f t="shared" si="4"/>
        <v>0</v>
      </c>
      <c r="W40" s="177"/>
      <c r="X40" s="173">
        <f t="shared" si="5"/>
        <v>0</v>
      </c>
      <c r="Y40" s="346">
        <f t="shared" si="6"/>
        <v>0</v>
      </c>
      <c r="AC40" s="351"/>
      <c r="AH40" s="178"/>
      <c r="AJ40" s="203"/>
      <c r="AK40" s="205">
        <v>23</v>
      </c>
      <c r="AL40" s="205"/>
      <c r="AM40" s="205"/>
      <c r="AN40" s="205"/>
      <c r="AO40" s="177">
        <v>0</v>
      </c>
      <c r="AP40" s="173">
        <f t="shared" si="7"/>
        <v>0</v>
      </c>
      <c r="AQ40" s="177">
        <f t="shared" si="8"/>
        <v>0</v>
      </c>
      <c r="AR40" s="173">
        <f t="shared" si="9"/>
        <v>0</v>
      </c>
      <c r="AS40" s="348">
        <v>0</v>
      </c>
      <c r="AT40" s="173">
        <f t="shared" si="11"/>
        <v>0</v>
      </c>
      <c r="AU40" s="349">
        <f t="shared" si="12"/>
        <v>0</v>
      </c>
      <c r="AV40" s="328">
        <f t="shared" si="13"/>
        <v>0</v>
      </c>
      <c r="AW40" s="173">
        <f t="shared" si="14"/>
        <v>0</v>
      </c>
      <c r="AX40" s="350">
        <f t="shared" si="15"/>
        <v>0</v>
      </c>
    </row>
    <row r="41" spans="1:50" ht="28">
      <c r="A41" s="205">
        <v>40</v>
      </c>
      <c r="B41" s="178" t="s">
        <v>174</v>
      </c>
      <c r="C41" s="178" t="s">
        <v>1451</v>
      </c>
      <c r="D41" s="178" t="s">
        <v>1174</v>
      </c>
      <c r="E41" s="178" t="s">
        <v>1452</v>
      </c>
      <c r="F41" s="178" t="s">
        <v>1176</v>
      </c>
      <c r="G41" s="178" t="s">
        <v>1176</v>
      </c>
      <c r="H41" s="205">
        <v>0</v>
      </c>
      <c r="I41" s="178" t="s">
        <v>2536</v>
      </c>
      <c r="J41" s="178" t="s">
        <v>74</v>
      </c>
      <c r="K41" s="178" t="s">
        <v>1174</v>
      </c>
      <c r="L41" s="203">
        <v>41111</v>
      </c>
      <c r="M41" s="206">
        <v>4</v>
      </c>
      <c r="N41" s="173">
        <f t="shared" si="0"/>
        <v>6.4750000000000002E-2</v>
      </c>
      <c r="O41" s="206">
        <v>45</v>
      </c>
      <c r="P41" s="173">
        <f t="shared" si="1"/>
        <v>6.4750000000000002E-2</v>
      </c>
      <c r="Q41" s="206">
        <v>66</v>
      </c>
      <c r="R41" s="173">
        <f t="shared" si="2"/>
        <v>0.23125000000000001</v>
      </c>
      <c r="S41" s="206">
        <v>11</v>
      </c>
      <c r="T41" s="173">
        <f t="shared" si="3"/>
        <v>0.111</v>
      </c>
      <c r="U41" s="206">
        <v>2</v>
      </c>
      <c r="V41" s="173">
        <f t="shared" si="4"/>
        <v>1.8499999999999999E-2</v>
      </c>
      <c r="W41" s="206" t="s">
        <v>1174</v>
      </c>
      <c r="X41" s="173">
        <f t="shared" si="5"/>
        <v>0.25</v>
      </c>
      <c r="Y41" s="346">
        <f t="shared" si="6"/>
        <v>0.74024999999999996</v>
      </c>
      <c r="Z41" s="207" t="s">
        <v>2537</v>
      </c>
      <c r="AA41" s="207" t="s">
        <v>684</v>
      </c>
      <c r="AC41" s="347" t="s">
        <v>1893</v>
      </c>
      <c r="AD41" s="178" t="s">
        <v>1176</v>
      </c>
      <c r="AE41" s="178" t="s">
        <v>1176</v>
      </c>
      <c r="AF41" s="178" t="s">
        <v>1176</v>
      </c>
      <c r="AG41" s="178" t="s">
        <v>1176</v>
      </c>
      <c r="AH41" s="178" t="s">
        <v>2454</v>
      </c>
      <c r="AI41" s="178" t="s">
        <v>1176</v>
      </c>
      <c r="AJ41" s="203">
        <v>41134</v>
      </c>
      <c r="AK41" s="205">
        <v>23</v>
      </c>
      <c r="AL41" s="205">
        <v>807562</v>
      </c>
      <c r="AM41" s="205">
        <v>2873</v>
      </c>
      <c r="AN41" s="205">
        <v>2950</v>
      </c>
      <c r="AO41" s="206">
        <v>844767</v>
      </c>
      <c r="AP41" s="173">
        <f t="shared" si="7"/>
        <v>0.94899999999999995</v>
      </c>
      <c r="AQ41" s="206">
        <f t="shared" si="8"/>
        <v>37205</v>
      </c>
      <c r="AR41" s="173">
        <f t="shared" si="9"/>
        <v>0.47549999999999998</v>
      </c>
      <c r="AS41" s="348">
        <f t="shared" si="10"/>
        <v>4.6070766083594838E-2</v>
      </c>
      <c r="AT41" s="173">
        <f t="shared" si="11"/>
        <v>0.33850000000000002</v>
      </c>
      <c r="AU41" s="349">
        <f t="shared" si="12"/>
        <v>77</v>
      </c>
      <c r="AV41" s="328">
        <f t="shared" si="13"/>
        <v>3.347826086956522</v>
      </c>
      <c r="AW41" s="173">
        <f t="shared" si="14"/>
        <v>0.75800000000000001</v>
      </c>
      <c r="AX41" s="350">
        <f t="shared" si="15"/>
        <v>3.26125</v>
      </c>
    </row>
    <row r="42" spans="1:50" ht="70">
      <c r="A42" s="205">
        <v>41</v>
      </c>
      <c r="B42" s="178" t="s">
        <v>177</v>
      </c>
      <c r="C42" s="178" t="s">
        <v>1451</v>
      </c>
      <c r="D42" s="178" t="s">
        <v>1174</v>
      </c>
      <c r="E42" s="178" t="s">
        <v>1452</v>
      </c>
      <c r="F42" s="178" t="s">
        <v>1174</v>
      </c>
      <c r="G42" s="178" t="s">
        <v>1174</v>
      </c>
      <c r="H42" s="205">
        <v>0</v>
      </c>
      <c r="I42" s="178" t="s">
        <v>2538</v>
      </c>
      <c r="J42" s="178" t="s">
        <v>413</v>
      </c>
      <c r="K42" s="178" t="s">
        <v>1176</v>
      </c>
      <c r="L42" s="203">
        <v>41110</v>
      </c>
      <c r="M42" s="206">
        <v>3</v>
      </c>
      <c r="N42" s="173">
        <f t="shared" si="0"/>
        <v>5.5500000000000001E-2</v>
      </c>
      <c r="O42" s="206">
        <v>54</v>
      </c>
      <c r="P42" s="173">
        <f t="shared" si="1"/>
        <v>0.10625</v>
      </c>
      <c r="Q42" s="206">
        <v>21</v>
      </c>
      <c r="R42" s="173">
        <f t="shared" si="2"/>
        <v>6.9250000000000006E-2</v>
      </c>
      <c r="S42" s="206">
        <v>26</v>
      </c>
      <c r="T42" s="173">
        <f t="shared" si="3"/>
        <v>0.18049999999999999</v>
      </c>
      <c r="U42" s="206">
        <v>75</v>
      </c>
      <c r="V42" s="173">
        <f t="shared" si="4"/>
        <v>0.24525</v>
      </c>
      <c r="W42" s="206" t="s">
        <v>1174</v>
      </c>
      <c r="X42" s="173">
        <f t="shared" si="5"/>
        <v>0.25</v>
      </c>
      <c r="Y42" s="346">
        <f t="shared" si="6"/>
        <v>0.90674999999999994</v>
      </c>
      <c r="Z42" s="207" t="s">
        <v>2539</v>
      </c>
      <c r="AA42" s="207" t="s">
        <v>2540</v>
      </c>
      <c r="AC42" s="347" t="s">
        <v>2104</v>
      </c>
      <c r="AD42" s="178" t="s">
        <v>1176</v>
      </c>
      <c r="AE42" s="178" t="s">
        <v>1176</v>
      </c>
      <c r="AF42" s="178" t="s">
        <v>1174</v>
      </c>
      <c r="AG42" s="178" t="s">
        <v>1174</v>
      </c>
      <c r="AH42" s="178" t="s">
        <v>2454</v>
      </c>
      <c r="AI42" s="178" t="s">
        <v>1176</v>
      </c>
      <c r="AJ42" s="203">
        <v>41134</v>
      </c>
      <c r="AK42" s="205">
        <v>23</v>
      </c>
      <c r="AL42" s="205">
        <v>1345</v>
      </c>
      <c r="AM42" s="205">
        <v>209</v>
      </c>
      <c r="AN42" s="205">
        <v>264</v>
      </c>
      <c r="AO42" s="206">
        <v>1488</v>
      </c>
      <c r="AP42" s="173">
        <f t="shared" si="7"/>
        <v>3.3000000000000002E-2</v>
      </c>
      <c r="AQ42" s="206">
        <f t="shared" si="8"/>
        <v>143</v>
      </c>
      <c r="AR42" s="173">
        <f t="shared" si="9"/>
        <v>6.4500000000000002E-2</v>
      </c>
      <c r="AS42" s="348">
        <f t="shared" si="10"/>
        <v>0.10631970260223045</v>
      </c>
      <c r="AT42" s="173">
        <f t="shared" si="11"/>
        <v>0.45150000000000001</v>
      </c>
      <c r="AU42" s="349">
        <f t="shared" si="12"/>
        <v>55</v>
      </c>
      <c r="AV42" s="328">
        <f t="shared" si="13"/>
        <v>2.3913043478260869</v>
      </c>
      <c r="AW42" s="173">
        <f t="shared" si="14"/>
        <v>0.64500000000000002</v>
      </c>
      <c r="AX42" s="350">
        <f t="shared" si="15"/>
        <v>2.1007499999999997</v>
      </c>
    </row>
    <row r="43" spans="1:50" ht="42">
      <c r="A43" s="205">
        <v>42</v>
      </c>
      <c r="B43" s="178" t="s">
        <v>180</v>
      </c>
      <c r="C43" s="178" t="s">
        <v>1451</v>
      </c>
      <c r="D43" s="178" t="s">
        <v>1174</v>
      </c>
      <c r="E43" s="178" t="s">
        <v>1452</v>
      </c>
      <c r="F43" s="178" t="s">
        <v>1176</v>
      </c>
      <c r="G43" s="178" t="s">
        <v>1176</v>
      </c>
      <c r="H43" s="205">
        <v>0</v>
      </c>
      <c r="I43" s="178" t="s">
        <v>2541</v>
      </c>
      <c r="J43" s="178" t="s">
        <v>413</v>
      </c>
      <c r="K43" s="178" t="s">
        <v>1174</v>
      </c>
      <c r="L43" s="203">
        <v>41110</v>
      </c>
      <c r="M43" s="206">
        <v>23</v>
      </c>
      <c r="N43" s="173">
        <f t="shared" si="0"/>
        <v>0.17574999999999999</v>
      </c>
      <c r="O43" s="206">
        <v>48</v>
      </c>
      <c r="P43" s="173">
        <f t="shared" si="1"/>
        <v>8.3250000000000005E-2</v>
      </c>
      <c r="Q43" s="206">
        <v>44</v>
      </c>
      <c r="R43" s="173">
        <f t="shared" si="2"/>
        <v>0.18049999999999999</v>
      </c>
      <c r="S43" s="206">
        <v>16</v>
      </c>
      <c r="T43" s="173">
        <f t="shared" si="3"/>
        <v>0.13875000000000001</v>
      </c>
      <c r="U43" s="206">
        <v>28</v>
      </c>
      <c r="V43" s="173">
        <f t="shared" si="4"/>
        <v>0.15725</v>
      </c>
      <c r="W43" s="206" t="s">
        <v>1174</v>
      </c>
      <c r="X43" s="173">
        <f t="shared" si="5"/>
        <v>0.25</v>
      </c>
      <c r="Y43" s="346">
        <f t="shared" si="6"/>
        <v>0.98550000000000004</v>
      </c>
      <c r="Z43" s="207" t="s">
        <v>2542</v>
      </c>
      <c r="AA43" s="207" t="s">
        <v>684</v>
      </c>
      <c r="AC43" s="347" t="s">
        <v>1893</v>
      </c>
      <c r="AD43" s="178" t="s">
        <v>1176</v>
      </c>
      <c r="AE43" s="178" t="s">
        <v>1176</v>
      </c>
      <c r="AF43" s="178" t="s">
        <v>1174</v>
      </c>
      <c r="AG43" s="178" t="s">
        <v>1176</v>
      </c>
      <c r="AH43" s="178" t="s">
        <v>2454</v>
      </c>
      <c r="AI43" s="178" t="s">
        <v>1174</v>
      </c>
      <c r="AJ43" s="203">
        <v>41134</v>
      </c>
      <c r="AK43" s="205">
        <v>23</v>
      </c>
      <c r="AL43" s="205">
        <v>64513</v>
      </c>
      <c r="AM43" s="205">
        <v>1102</v>
      </c>
      <c r="AN43" s="205">
        <v>1132</v>
      </c>
      <c r="AO43" s="206">
        <v>66728</v>
      </c>
      <c r="AP43" s="173">
        <f t="shared" si="7"/>
        <v>0.54200000000000004</v>
      </c>
      <c r="AQ43" s="206">
        <f t="shared" si="8"/>
        <v>2215</v>
      </c>
      <c r="AR43" s="173">
        <f t="shared" si="9"/>
        <v>0.27400000000000002</v>
      </c>
      <c r="AS43" s="348">
        <f t="shared" si="10"/>
        <v>3.4334165207012601E-2</v>
      </c>
      <c r="AT43" s="173">
        <f t="shared" si="11"/>
        <v>0.185</v>
      </c>
      <c r="AU43" s="349">
        <f t="shared" si="12"/>
        <v>30</v>
      </c>
      <c r="AV43" s="328">
        <f t="shared" si="13"/>
        <v>1.3043478260869565</v>
      </c>
      <c r="AW43" s="173">
        <f t="shared" si="14"/>
        <v>0.51600000000000001</v>
      </c>
      <c r="AX43" s="350">
        <f t="shared" si="15"/>
        <v>2.5025000000000004</v>
      </c>
    </row>
    <row r="44" spans="1:50" ht="56">
      <c r="A44" s="205">
        <v>43</v>
      </c>
      <c r="B44" s="178" t="s">
        <v>182</v>
      </c>
      <c r="C44" s="178" t="s">
        <v>1451</v>
      </c>
      <c r="D44" s="178" t="s">
        <v>1174</v>
      </c>
      <c r="E44" s="178" t="s">
        <v>1452</v>
      </c>
      <c r="F44" s="178" t="s">
        <v>1176</v>
      </c>
      <c r="G44" s="178" t="s">
        <v>1176</v>
      </c>
      <c r="H44" s="205">
        <v>0</v>
      </c>
      <c r="I44" s="178" t="s">
        <v>2543</v>
      </c>
      <c r="J44" s="178" t="s">
        <v>413</v>
      </c>
      <c r="K44" s="178" t="s">
        <v>1174</v>
      </c>
      <c r="L44" s="203">
        <v>41111</v>
      </c>
      <c r="M44" s="206">
        <v>47</v>
      </c>
      <c r="N44" s="173">
        <f t="shared" si="0"/>
        <v>0.24525</v>
      </c>
      <c r="O44" s="206">
        <v>67</v>
      </c>
      <c r="P44" s="173">
        <f t="shared" si="1"/>
        <v>0.16200000000000001</v>
      </c>
      <c r="Q44" s="206">
        <v>2</v>
      </c>
      <c r="R44" s="173">
        <f t="shared" si="2"/>
        <v>9.2499999999999995E-3</v>
      </c>
      <c r="S44" s="206">
        <v>3</v>
      </c>
      <c r="T44" s="173">
        <f t="shared" si="3"/>
        <v>3.2250000000000001E-2</v>
      </c>
      <c r="U44" s="206">
        <v>4</v>
      </c>
      <c r="V44" s="173">
        <f t="shared" si="4"/>
        <v>5.0750000000000003E-2</v>
      </c>
      <c r="W44" s="206" t="s">
        <v>1174</v>
      </c>
      <c r="X44" s="173">
        <f t="shared" si="5"/>
        <v>0.25</v>
      </c>
      <c r="Y44" s="346">
        <f t="shared" si="6"/>
        <v>0.74949999999999994</v>
      </c>
      <c r="Z44" s="207" t="s">
        <v>2544</v>
      </c>
      <c r="AA44" s="207" t="s">
        <v>2545</v>
      </c>
      <c r="AC44" s="347" t="s">
        <v>2104</v>
      </c>
      <c r="AD44" s="178" t="s">
        <v>1176</v>
      </c>
      <c r="AE44" s="178" t="s">
        <v>1176</v>
      </c>
      <c r="AF44" s="178" t="s">
        <v>1174</v>
      </c>
      <c r="AG44" s="178" t="s">
        <v>1176</v>
      </c>
      <c r="AH44" s="178" t="s">
        <v>2454</v>
      </c>
      <c r="AI44" s="178" t="s">
        <v>1176</v>
      </c>
      <c r="AJ44" s="203">
        <v>41134</v>
      </c>
      <c r="AK44" s="205">
        <v>23</v>
      </c>
      <c r="AL44" s="205">
        <v>138701</v>
      </c>
      <c r="AM44" s="205">
        <v>10030</v>
      </c>
      <c r="AN44" s="205">
        <v>10194</v>
      </c>
      <c r="AO44" s="206">
        <v>143027</v>
      </c>
      <c r="AP44" s="173">
        <f t="shared" si="7"/>
        <v>0.64400000000000002</v>
      </c>
      <c r="AQ44" s="206">
        <f t="shared" si="8"/>
        <v>4326</v>
      </c>
      <c r="AR44" s="173">
        <f t="shared" si="9"/>
        <v>0.34649999999999997</v>
      </c>
      <c r="AS44" s="348">
        <f t="shared" si="10"/>
        <v>3.1189393010865096E-2</v>
      </c>
      <c r="AT44" s="173">
        <f t="shared" si="11"/>
        <v>0.16900000000000001</v>
      </c>
      <c r="AU44" s="349">
        <f t="shared" si="12"/>
        <v>164</v>
      </c>
      <c r="AV44" s="328">
        <f t="shared" si="13"/>
        <v>7.1304347826086953</v>
      </c>
      <c r="AW44" s="173">
        <f t="shared" si="14"/>
        <v>0.91900000000000004</v>
      </c>
      <c r="AX44" s="350">
        <f t="shared" si="15"/>
        <v>2.8279999999999998</v>
      </c>
    </row>
    <row r="45" spans="1:50" ht="98">
      <c r="A45" s="205">
        <v>44</v>
      </c>
      <c r="B45" s="178" t="s">
        <v>185</v>
      </c>
      <c r="C45" s="178" t="s">
        <v>1451</v>
      </c>
      <c r="D45" s="178" t="s">
        <v>1174</v>
      </c>
      <c r="E45" s="178" t="s">
        <v>1452</v>
      </c>
      <c r="F45" s="178" t="s">
        <v>1174</v>
      </c>
      <c r="G45" s="178" t="s">
        <v>1176</v>
      </c>
      <c r="H45" s="205">
        <v>0</v>
      </c>
      <c r="I45" s="178" t="s">
        <v>2546</v>
      </c>
      <c r="J45" s="178" t="s">
        <v>413</v>
      </c>
      <c r="K45" s="178" t="s">
        <v>1176</v>
      </c>
      <c r="L45" s="203">
        <v>41111</v>
      </c>
      <c r="M45" s="206">
        <v>6</v>
      </c>
      <c r="N45" s="173">
        <f t="shared" si="0"/>
        <v>8.3250000000000005E-2</v>
      </c>
      <c r="O45" s="206">
        <v>80</v>
      </c>
      <c r="P45" s="173">
        <f t="shared" si="1"/>
        <v>0.20824999999999999</v>
      </c>
      <c r="Q45" s="206">
        <v>56</v>
      </c>
      <c r="R45" s="173">
        <f t="shared" si="2"/>
        <v>0.2175</v>
      </c>
      <c r="S45" s="206">
        <v>33</v>
      </c>
      <c r="T45" s="173">
        <f t="shared" si="3"/>
        <v>0.21274999999999999</v>
      </c>
      <c r="U45" s="206">
        <v>16</v>
      </c>
      <c r="V45" s="173">
        <f t="shared" si="4"/>
        <v>0.10174999999999999</v>
      </c>
      <c r="W45" s="206" t="s">
        <v>1174</v>
      </c>
      <c r="X45" s="173">
        <f t="shared" si="5"/>
        <v>0.25</v>
      </c>
      <c r="Y45" s="346">
        <f t="shared" si="6"/>
        <v>1.0735000000000001</v>
      </c>
      <c r="Z45" s="207" t="s">
        <v>2547</v>
      </c>
      <c r="AA45" s="207" t="s">
        <v>2548</v>
      </c>
      <c r="AC45" s="347" t="s">
        <v>2104</v>
      </c>
      <c r="AD45" s="178" t="s">
        <v>1176</v>
      </c>
      <c r="AE45" s="178" t="s">
        <v>1174</v>
      </c>
      <c r="AF45" s="178" t="s">
        <v>1174</v>
      </c>
      <c r="AG45" s="178" t="s">
        <v>1174</v>
      </c>
      <c r="AH45" s="178" t="s">
        <v>2454</v>
      </c>
      <c r="AI45" s="178" t="s">
        <v>1176</v>
      </c>
      <c r="AJ45" s="203">
        <v>41134</v>
      </c>
      <c r="AK45" s="205">
        <v>23</v>
      </c>
      <c r="AL45" s="205">
        <v>58265</v>
      </c>
      <c r="AM45" s="205">
        <v>2294</v>
      </c>
      <c r="AN45" s="205">
        <v>2346</v>
      </c>
      <c r="AO45" s="206">
        <v>60279</v>
      </c>
      <c r="AP45" s="173">
        <f t="shared" si="7"/>
        <v>0.50800000000000001</v>
      </c>
      <c r="AQ45" s="206">
        <f t="shared" si="8"/>
        <v>2014</v>
      </c>
      <c r="AR45" s="173">
        <f t="shared" si="9"/>
        <v>0.26600000000000001</v>
      </c>
      <c r="AS45" s="348">
        <f t="shared" si="10"/>
        <v>3.4566206127177646E-2</v>
      </c>
      <c r="AT45" s="173">
        <f t="shared" si="11"/>
        <v>0.20150000000000001</v>
      </c>
      <c r="AU45" s="349">
        <f t="shared" si="12"/>
        <v>52</v>
      </c>
      <c r="AV45" s="328">
        <f t="shared" si="13"/>
        <v>2.2608695652173911</v>
      </c>
      <c r="AW45" s="173">
        <f t="shared" si="14"/>
        <v>0.629</v>
      </c>
      <c r="AX45" s="350">
        <f t="shared" si="15"/>
        <v>2.6779999999999999</v>
      </c>
    </row>
    <row r="46" spans="1:50">
      <c r="A46" s="205">
        <v>45</v>
      </c>
      <c r="B46" s="178" t="s">
        <v>187</v>
      </c>
      <c r="C46" s="178" t="s">
        <v>1451</v>
      </c>
      <c r="D46" s="178" t="s">
        <v>1176</v>
      </c>
      <c r="E46" s="178"/>
      <c r="F46" s="178"/>
      <c r="G46" s="178"/>
      <c r="H46" s="205"/>
      <c r="I46" s="178"/>
      <c r="J46" s="178"/>
      <c r="K46" s="178"/>
      <c r="L46" s="203"/>
      <c r="M46" s="206"/>
      <c r="N46" s="173">
        <f t="shared" si="0"/>
        <v>0</v>
      </c>
      <c r="O46" s="206"/>
      <c r="P46" s="173">
        <f t="shared" si="1"/>
        <v>0</v>
      </c>
      <c r="Q46" s="206"/>
      <c r="R46" s="173">
        <f t="shared" si="2"/>
        <v>0</v>
      </c>
      <c r="S46" s="206"/>
      <c r="T46" s="173">
        <f t="shared" si="3"/>
        <v>0</v>
      </c>
      <c r="U46" s="206"/>
      <c r="V46" s="173">
        <f t="shared" si="4"/>
        <v>0</v>
      </c>
      <c r="W46" s="206"/>
      <c r="X46" s="173">
        <f t="shared" si="5"/>
        <v>0</v>
      </c>
      <c r="Y46" s="346">
        <f t="shared" si="6"/>
        <v>0</v>
      </c>
      <c r="Z46" s="207"/>
      <c r="AA46" s="207"/>
      <c r="AC46" s="347"/>
      <c r="AD46" s="178"/>
      <c r="AE46" s="178"/>
      <c r="AF46" s="178"/>
      <c r="AG46" s="178"/>
      <c r="AH46" s="178"/>
      <c r="AI46" s="178"/>
      <c r="AJ46" s="203"/>
      <c r="AK46" s="205">
        <v>23</v>
      </c>
      <c r="AL46" s="205"/>
      <c r="AM46" s="205"/>
      <c r="AN46" s="205"/>
      <c r="AO46" s="206"/>
      <c r="AP46" s="173">
        <f t="shared" si="7"/>
        <v>0</v>
      </c>
      <c r="AQ46" s="206">
        <f t="shared" si="8"/>
        <v>0</v>
      </c>
      <c r="AR46" s="173">
        <f t="shared" si="9"/>
        <v>0</v>
      </c>
      <c r="AS46" s="348">
        <v>0</v>
      </c>
      <c r="AT46" s="173">
        <f t="shared" si="11"/>
        <v>0</v>
      </c>
      <c r="AU46" s="349">
        <f t="shared" si="12"/>
        <v>0</v>
      </c>
      <c r="AV46" s="328">
        <f t="shared" si="13"/>
        <v>0</v>
      </c>
      <c r="AW46" s="173">
        <f t="shared" si="14"/>
        <v>0</v>
      </c>
      <c r="AX46" s="350">
        <f t="shared" si="15"/>
        <v>0</v>
      </c>
    </row>
    <row r="47" spans="1:50" ht="84">
      <c r="A47" s="205">
        <v>46</v>
      </c>
      <c r="B47" s="178" t="s">
        <v>190</v>
      </c>
      <c r="C47" s="178" t="s">
        <v>1451</v>
      </c>
      <c r="D47" s="178" t="s">
        <v>1174</v>
      </c>
      <c r="E47" s="178" t="s">
        <v>1452</v>
      </c>
      <c r="F47" s="178" t="s">
        <v>1176</v>
      </c>
      <c r="G47" s="178" t="s">
        <v>1176</v>
      </c>
      <c r="H47" s="205">
        <v>0</v>
      </c>
      <c r="I47" s="178" t="s">
        <v>2549</v>
      </c>
      <c r="J47" s="178" t="s">
        <v>413</v>
      </c>
      <c r="K47" s="178" t="s">
        <v>1174</v>
      </c>
      <c r="L47" s="203">
        <v>41110</v>
      </c>
      <c r="M47" s="206">
        <v>9</v>
      </c>
      <c r="N47" s="173">
        <f t="shared" si="0"/>
        <v>0.125</v>
      </c>
      <c r="O47" s="206">
        <v>68</v>
      </c>
      <c r="P47" s="173">
        <f t="shared" si="1"/>
        <v>0.17125000000000001</v>
      </c>
      <c r="Q47" s="206">
        <v>49</v>
      </c>
      <c r="R47" s="173">
        <f t="shared" si="2"/>
        <v>0.19425000000000001</v>
      </c>
      <c r="S47" s="206">
        <v>6</v>
      </c>
      <c r="T47" s="173">
        <f t="shared" si="3"/>
        <v>8.3250000000000005E-2</v>
      </c>
      <c r="U47" s="206">
        <v>35</v>
      </c>
      <c r="V47" s="173">
        <f t="shared" si="4"/>
        <v>0.19425000000000001</v>
      </c>
      <c r="W47" s="206" t="s">
        <v>1174</v>
      </c>
      <c r="X47" s="173">
        <f t="shared" si="5"/>
        <v>0.25</v>
      </c>
      <c r="Y47" s="346">
        <f t="shared" si="6"/>
        <v>1.0180000000000002</v>
      </c>
      <c r="Z47" s="207" t="s">
        <v>2550</v>
      </c>
      <c r="AA47" s="207" t="s">
        <v>2551</v>
      </c>
      <c r="AB47" s="178" t="s">
        <v>1174</v>
      </c>
      <c r="AC47" s="347" t="s">
        <v>2098</v>
      </c>
      <c r="AD47" s="178" t="s">
        <v>1176</v>
      </c>
      <c r="AE47" s="178" t="s">
        <v>1176</v>
      </c>
      <c r="AF47" s="178" t="s">
        <v>1176</v>
      </c>
      <c r="AG47" s="178" t="s">
        <v>1176</v>
      </c>
      <c r="AH47" s="178" t="s">
        <v>2454</v>
      </c>
      <c r="AI47" s="178" t="s">
        <v>1176</v>
      </c>
      <c r="AJ47" s="203">
        <v>41135</v>
      </c>
      <c r="AK47" s="205">
        <v>23</v>
      </c>
      <c r="AL47" s="205">
        <v>22421</v>
      </c>
      <c r="AM47" s="205">
        <v>45</v>
      </c>
      <c r="AN47" s="205">
        <v>154</v>
      </c>
      <c r="AO47" s="206">
        <v>32289</v>
      </c>
      <c r="AP47" s="173">
        <f t="shared" si="7"/>
        <v>0.44</v>
      </c>
      <c r="AQ47" s="206">
        <f t="shared" si="8"/>
        <v>9868</v>
      </c>
      <c r="AR47" s="173">
        <f t="shared" si="9"/>
        <v>0.39500000000000002</v>
      </c>
      <c r="AS47" s="348">
        <f t="shared" si="10"/>
        <v>0.44012309888051382</v>
      </c>
      <c r="AT47" s="173">
        <f t="shared" si="11"/>
        <v>0.49149999999999999</v>
      </c>
      <c r="AU47" s="349">
        <f t="shared" si="12"/>
        <v>109</v>
      </c>
      <c r="AV47" s="328">
        <f t="shared" si="13"/>
        <v>4.7391304347826084</v>
      </c>
      <c r="AW47" s="173">
        <f t="shared" si="14"/>
        <v>0.83799999999999997</v>
      </c>
      <c r="AX47" s="350">
        <f t="shared" si="15"/>
        <v>3.1825000000000001</v>
      </c>
    </row>
    <row r="48" spans="1:50" ht="42">
      <c r="A48" s="205">
        <v>47</v>
      </c>
      <c r="B48" s="178" t="s">
        <v>193</v>
      </c>
      <c r="C48" s="178" t="s">
        <v>1451</v>
      </c>
      <c r="D48" s="178" t="s">
        <v>1174</v>
      </c>
      <c r="E48" s="178" t="s">
        <v>1452</v>
      </c>
      <c r="F48" s="178" t="s">
        <v>1176</v>
      </c>
      <c r="G48" s="178" t="s">
        <v>1176</v>
      </c>
      <c r="H48" s="205">
        <v>0</v>
      </c>
      <c r="I48" s="178" t="s">
        <v>2552</v>
      </c>
      <c r="J48" s="178" t="s">
        <v>413</v>
      </c>
      <c r="K48" s="178" t="s">
        <v>1174</v>
      </c>
      <c r="L48" s="203">
        <v>41111</v>
      </c>
      <c r="M48" s="206">
        <v>6</v>
      </c>
      <c r="N48" s="173">
        <f t="shared" si="0"/>
        <v>8.3250000000000005E-2</v>
      </c>
      <c r="O48" s="206">
        <v>56</v>
      </c>
      <c r="P48" s="173">
        <f t="shared" si="1"/>
        <v>0.12025</v>
      </c>
      <c r="Q48" s="206">
        <v>32</v>
      </c>
      <c r="R48" s="173">
        <f t="shared" si="2"/>
        <v>0.13875000000000001</v>
      </c>
      <c r="S48" s="206">
        <v>21</v>
      </c>
      <c r="T48" s="173">
        <f t="shared" si="3"/>
        <v>0.17125000000000001</v>
      </c>
      <c r="U48" s="206">
        <v>51</v>
      </c>
      <c r="V48" s="173">
        <f t="shared" si="4"/>
        <v>0.23125000000000001</v>
      </c>
      <c r="W48" s="206" t="s">
        <v>1174</v>
      </c>
      <c r="X48" s="173">
        <f t="shared" si="5"/>
        <v>0.25</v>
      </c>
      <c r="Y48" s="346">
        <f t="shared" si="6"/>
        <v>0.99475000000000013</v>
      </c>
      <c r="Z48" s="207" t="s">
        <v>2553</v>
      </c>
      <c r="AA48" s="207" t="s">
        <v>2554</v>
      </c>
      <c r="AB48" s="178" t="s">
        <v>1176</v>
      </c>
      <c r="AC48" s="347" t="s">
        <v>1893</v>
      </c>
      <c r="AD48" s="178" t="s">
        <v>1176</v>
      </c>
      <c r="AE48" s="178" t="s">
        <v>1176</v>
      </c>
      <c r="AF48" s="178" t="s">
        <v>1176</v>
      </c>
      <c r="AG48" s="178" t="s">
        <v>1176</v>
      </c>
      <c r="AH48" s="178" t="s">
        <v>2454</v>
      </c>
      <c r="AI48" s="178" t="s">
        <v>1176</v>
      </c>
      <c r="AJ48" s="203">
        <v>41135</v>
      </c>
      <c r="AK48" s="205">
        <v>23</v>
      </c>
      <c r="AL48" s="205">
        <v>236080</v>
      </c>
      <c r="AM48" s="205">
        <v>3559</v>
      </c>
      <c r="AN48" s="205">
        <v>3663</v>
      </c>
      <c r="AO48" s="206">
        <v>244996</v>
      </c>
      <c r="AP48" s="173">
        <f t="shared" si="7"/>
        <v>0.72799999999999998</v>
      </c>
      <c r="AQ48" s="206">
        <f t="shared" si="8"/>
        <v>8916</v>
      </c>
      <c r="AR48" s="173">
        <f t="shared" si="9"/>
        <v>0.379</v>
      </c>
      <c r="AS48" s="348">
        <f t="shared" si="10"/>
        <v>3.776685869196883E-2</v>
      </c>
      <c r="AT48" s="173">
        <f t="shared" si="11"/>
        <v>0.22550000000000001</v>
      </c>
      <c r="AU48" s="349">
        <f t="shared" si="12"/>
        <v>104</v>
      </c>
      <c r="AV48" s="328">
        <f t="shared" si="13"/>
        <v>4.5217391304347823</v>
      </c>
      <c r="AW48" s="173">
        <f t="shared" si="14"/>
        <v>0.82199999999999995</v>
      </c>
      <c r="AX48" s="350">
        <f t="shared" si="15"/>
        <v>3.1492499999999999</v>
      </c>
    </row>
    <row r="49" spans="1:50" ht="42">
      <c r="A49" s="205">
        <v>48</v>
      </c>
      <c r="B49" s="178" t="s">
        <v>196</v>
      </c>
      <c r="C49" s="178" t="s">
        <v>1451</v>
      </c>
      <c r="D49" s="178" t="s">
        <v>1174</v>
      </c>
      <c r="E49" s="178" t="s">
        <v>1452</v>
      </c>
      <c r="F49" s="178" t="s">
        <v>1176</v>
      </c>
      <c r="G49" s="178" t="s">
        <v>1176</v>
      </c>
      <c r="H49" s="205">
        <v>0</v>
      </c>
      <c r="I49" s="178" t="s">
        <v>2555</v>
      </c>
      <c r="J49" s="178" t="s">
        <v>413</v>
      </c>
      <c r="K49" s="178" t="s">
        <v>1176</v>
      </c>
      <c r="L49" s="203">
        <v>41111</v>
      </c>
      <c r="M49" s="206">
        <v>0</v>
      </c>
      <c r="N49" s="173">
        <f t="shared" si="0"/>
        <v>0</v>
      </c>
      <c r="O49" s="206">
        <v>39</v>
      </c>
      <c r="P49" s="173">
        <f t="shared" si="1"/>
        <v>5.0750000000000003E-2</v>
      </c>
      <c r="Q49" s="206">
        <v>66</v>
      </c>
      <c r="R49" s="173">
        <f t="shared" si="2"/>
        <v>0.23125000000000001</v>
      </c>
      <c r="S49" s="206">
        <v>3</v>
      </c>
      <c r="T49" s="173">
        <f t="shared" si="3"/>
        <v>3.2250000000000001E-2</v>
      </c>
      <c r="U49" s="206">
        <v>39</v>
      </c>
      <c r="V49" s="173">
        <f t="shared" si="4"/>
        <v>0.20824999999999999</v>
      </c>
      <c r="W49" s="206" t="s">
        <v>1174</v>
      </c>
      <c r="X49" s="173">
        <f t="shared" si="5"/>
        <v>0.25</v>
      </c>
      <c r="Y49" s="346">
        <f t="shared" si="6"/>
        <v>0.77249999999999996</v>
      </c>
      <c r="Z49" s="207" t="s">
        <v>2556</v>
      </c>
      <c r="AA49" s="207" t="s">
        <v>2557</v>
      </c>
      <c r="AB49" s="178" t="s">
        <v>1176</v>
      </c>
      <c r="AC49" s="347" t="s">
        <v>1893</v>
      </c>
      <c r="AD49" s="178" t="s">
        <v>1176</v>
      </c>
      <c r="AE49" s="178" t="s">
        <v>1176</v>
      </c>
      <c r="AF49" s="178" t="s">
        <v>1176</v>
      </c>
      <c r="AG49" s="178" t="s">
        <v>1176</v>
      </c>
      <c r="AH49" s="178" t="s">
        <v>2454</v>
      </c>
      <c r="AI49" s="178" t="s">
        <v>1176</v>
      </c>
      <c r="AJ49" s="203">
        <v>41135</v>
      </c>
      <c r="AK49" s="205">
        <v>23</v>
      </c>
      <c r="AL49" s="205">
        <v>28915</v>
      </c>
      <c r="AM49" s="205">
        <v>1105</v>
      </c>
      <c r="AN49" s="205">
        <v>1142</v>
      </c>
      <c r="AO49" s="206">
        <v>30752</v>
      </c>
      <c r="AP49" s="173">
        <f t="shared" si="7"/>
        <v>0.372</v>
      </c>
      <c r="AQ49" s="206">
        <f t="shared" si="8"/>
        <v>1837</v>
      </c>
      <c r="AR49" s="173">
        <f t="shared" si="9"/>
        <v>0.24149999999999999</v>
      </c>
      <c r="AS49" s="348">
        <f t="shared" si="10"/>
        <v>6.3531039252982868E-2</v>
      </c>
      <c r="AT49" s="173">
        <f t="shared" si="11"/>
        <v>0.38700000000000001</v>
      </c>
      <c r="AU49" s="349">
        <f t="shared" si="12"/>
        <v>37</v>
      </c>
      <c r="AV49" s="328">
        <f t="shared" si="13"/>
        <v>1.6086956521739131</v>
      </c>
      <c r="AW49" s="173">
        <f t="shared" si="14"/>
        <v>0.57999999999999996</v>
      </c>
      <c r="AX49" s="350">
        <f t="shared" si="15"/>
        <v>2.3529999999999998</v>
      </c>
    </row>
    <row r="50" spans="1:50">
      <c r="A50" s="215">
        <v>49</v>
      </c>
      <c r="B50" s="227" t="s">
        <v>199</v>
      </c>
      <c r="C50" s="220" t="s">
        <v>1451</v>
      </c>
      <c r="D50" s="220" t="s">
        <v>1174</v>
      </c>
      <c r="E50" s="220" t="s">
        <v>1452</v>
      </c>
      <c r="F50" s="220" t="s">
        <v>1176</v>
      </c>
      <c r="G50" s="220" t="s">
        <v>1176</v>
      </c>
      <c r="H50" s="215">
        <v>0</v>
      </c>
      <c r="I50" s="220" t="s">
        <v>2558</v>
      </c>
      <c r="J50" s="220" t="s">
        <v>413</v>
      </c>
      <c r="K50" s="220" t="s">
        <v>1176</v>
      </c>
      <c r="L50" s="221">
        <v>41119</v>
      </c>
      <c r="M50" s="206">
        <v>44</v>
      </c>
      <c r="N50" s="173">
        <f t="shared" si="0"/>
        <v>0.23125000000000001</v>
      </c>
      <c r="O50" s="206">
        <v>93</v>
      </c>
      <c r="P50" s="173">
        <f t="shared" si="1"/>
        <v>0.25</v>
      </c>
      <c r="Q50" s="206">
        <v>37</v>
      </c>
      <c r="R50" s="173">
        <f t="shared" si="2"/>
        <v>0.16200000000000001</v>
      </c>
      <c r="S50" s="206">
        <v>29</v>
      </c>
      <c r="T50" s="173">
        <f t="shared" si="3"/>
        <v>0.19425000000000001</v>
      </c>
      <c r="U50" s="206">
        <v>3</v>
      </c>
      <c r="V50" s="173">
        <f t="shared" si="4"/>
        <v>2.3E-2</v>
      </c>
      <c r="W50" s="206" t="s">
        <v>1174</v>
      </c>
      <c r="X50" s="173">
        <f t="shared" si="5"/>
        <v>0.25</v>
      </c>
      <c r="Y50" s="346">
        <f t="shared" si="6"/>
        <v>1.1105</v>
      </c>
      <c r="Z50" s="223"/>
      <c r="AA50" s="223"/>
      <c r="AB50" s="220" t="s">
        <v>1176</v>
      </c>
      <c r="AC50" s="347"/>
      <c r="AD50" s="220" t="s">
        <v>1176</v>
      </c>
      <c r="AE50" s="220" t="s">
        <v>1176</v>
      </c>
      <c r="AF50" s="220" t="s">
        <v>1174</v>
      </c>
      <c r="AG50" s="220" t="s">
        <v>1176</v>
      </c>
      <c r="AH50" s="220" t="s">
        <v>2454</v>
      </c>
      <c r="AI50" s="220" t="s">
        <v>2534</v>
      </c>
      <c r="AJ50" s="221">
        <v>41150</v>
      </c>
      <c r="AK50" s="205">
        <v>23</v>
      </c>
      <c r="AL50" s="215">
        <v>8815</v>
      </c>
      <c r="AM50" s="215">
        <v>4487</v>
      </c>
      <c r="AN50" s="215">
        <v>4735</v>
      </c>
      <c r="AO50" s="206">
        <v>9042</v>
      </c>
      <c r="AP50" s="173">
        <f t="shared" si="7"/>
        <v>0.20300000000000001</v>
      </c>
      <c r="AQ50" s="206">
        <f t="shared" si="8"/>
        <v>227</v>
      </c>
      <c r="AR50" s="173">
        <f t="shared" si="9"/>
        <v>9.6500000000000002E-2</v>
      </c>
      <c r="AS50" s="348">
        <f t="shared" si="10"/>
        <v>2.5751559841179716E-2</v>
      </c>
      <c r="AT50" s="173">
        <f t="shared" si="11"/>
        <v>0.1205</v>
      </c>
      <c r="AU50" s="349">
        <f t="shared" si="12"/>
        <v>248</v>
      </c>
      <c r="AV50" s="328">
        <f t="shared" si="13"/>
        <v>10.782608695652174</v>
      </c>
      <c r="AW50" s="173">
        <f t="shared" si="14"/>
        <v>0.95099999999999996</v>
      </c>
      <c r="AX50" s="350">
        <f t="shared" si="15"/>
        <v>2.4815</v>
      </c>
    </row>
    <row r="51" spans="1:50" ht="56">
      <c r="A51" s="205">
        <v>50</v>
      </c>
      <c r="B51" s="178" t="s">
        <v>201</v>
      </c>
      <c r="C51" s="178" t="s">
        <v>1451</v>
      </c>
      <c r="D51" s="178" t="s">
        <v>1174</v>
      </c>
      <c r="E51" s="178" t="s">
        <v>1452</v>
      </c>
      <c r="F51" s="178" t="s">
        <v>1176</v>
      </c>
      <c r="G51" s="178" t="s">
        <v>1176</v>
      </c>
      <c r="H51" s="205">
        <v>0</v>
      </c>
      <c r="I51" s="178" t="s">
        <v>2559</v>
      </c>
      <c r="J51" s="178" t="s">
        <v>413</v>
      </c>
      <c r="K51" s="178" t="s">
        <v>1174</v>
      </c>
      <c r="L51" s="203">
        <v>41114</v>
      </c>
      <c r="M51" s="206">
        <v>32</v>
      </c>
      <c r="N51" s="173">
        <f t="shared" si="0"/>
        <v>0.19425000000000001</v>
      </c>
      <c r="O51" s="206">
        <v>86</v>
      </c>
      <c r="P51" s="173">
        <f t="shared" si="1"/>
        <v>0.23599999999999999</v>
      </c>
      <c r="Q51" s="206">
        <v>28</v>
      </c>
      <c r="R51" s="173">
        <f t="shared" si="2"/>
        <v>0.10625</v>
      </c>
      <c r="S51" s="206">
        <v>45</v>
      </c>
      <c r="T51" s="173">
        <f t="shared" si="3"/>
        <v>0.22675000000000001</v>
      </c>
      <c r="U51" s="206">
        <v>4</v>
      </c>
      <c r="V51" s="173">
        <f t="shared" si="4"/>
        <v>5.0750000000000003E-2</v>
      </c>
      <c r="W51" s="206" t="s">
        <v>1174</v>
      </c>
      <c r="X51" s="173">
        <f t="shared" si="5"/>
        <v>0.25</v>
      </c>
      <c r="Y51" s="346">
        <f t="shared" si="6"/>
        <v>1.0640000000000001</v>
      </c>
      <c r="Z51" s="207" t="s">
        <v>2560</v>
      </c>
      <c r="AA51" s="207" t="s">
        <v>2561</v>
      </c>
      <c r="AB51" s="178" t="s">
        <v>1176</v>
      </c>
      <c r="AC51" s="347" t="s">
        <v>2104</v>
      </c>
      <c r="AD51" s="178" t="s">
        <v>1176</v>
      </c>
      <c r="AE51" s="178" t="s">
        <v>1176</v>
      </c>
      <c r="AF51" s="178" t="s">
        <v>1174</v>
      </c>
      <c r="AG51" s="178" t="s">
        <v>1176</v>
      </c>
      <c r="AH51" s="178" t="s">
        <v>2454</v>
      </c>
      <c r="AI51" s="178" t="s">
        <v>1176</v>
      </c>
      <c r="AJ51" s="203">
        <v>41135</v>
      </c>
      <c r="AK51" s="205">
        <v>23</v>
      </c>
      <c r="AL51" s="205">
        <v>322880</v>
      </c>
      <c r="AM51" s="205">
        <v>3072</v>
      </c>
      <c r="AN51" s="205">
        <v>3472</v>
      </c>
      <c r="AO51" s="206">
        <v>339314</v>
      </c>
      <c r="AP51" s="173">
        <f t="shared" si="7"/>
        <v>0.77900000000000003</v>
      </c>
      <c r="AQ51" s="206">
        <f t="shared" si="8"/>
        <v>16434</v>
      </c>
      <c r="AR51" s="173">
        <f t="shared" si="9"/>
        <v>0.435</v>
      </c>
      <c r="AS51" s="348">
        <f t="shared" si="10"/>
        <v>5.0898166501486708E-2</v>
      </c>
      <c r="AT51" s="173">
        <f t="shared" si="11"/>
        <v>0.36249999999999999</v>
      </c>
      <c r="AU51" s="349">
        <f t="shared" si="12"/>
        <v>400</v>
      </c>
      <c r="AV51" s="328">
        <f t="shared" si="13"/>
        <v>17.391304347826086</v>
      </c>
      <c r="AW51" s="173">
        <f t="shared" si="14"/>
        <v>0.98299999999999998</v>
      </c>
      <c r="AX51" s="350">
        <f t="shared" si="15"/>
        <v>3.6234999999999999</v>
      </c>
    </row>
    <row r="52" spans="1:50" ht="28">
      <c r="A52" s="205">
        <v>51</v>
      </c>
      <c r="B52" s="178" t="s">
        <v>203</v>
      </c>
      <c r="C52" s="178" t="s">
        <v>1451</v>
      </c>
      <c r="D52" s="178" t="s">
        <v>1174</v>
      </c>
      <c r="E52" s="178" t="s">
        <v>1452</v>
      </c>
      <c r="F52" s="178" t="s">
        <v>1176</v>
      </c>
      <c r="G52" s="178" t="s">
        <v>1176</v>
      </c>
      <c r="H52" s="205">
        <v>0</v>
      </c>
      <c r="I52" s="178" t="s">
        <v>2562</v>
      </c>
      <c r="J52" s="178" t="s">
        <v>413</v>
      </c>
      <c r="K52" s="178" t="s">
        <v>1174</v>
      </c>
      <c r="L52" s="203">
        <v>41111</v>
      </c>
      <c r="M52" s="206">
        <v>32</v>
      </c>
      <c r="N52" s="173">
        <f t="shared" si="0"/>
        <v>0.19425000000000001</v>
      </c>
      <c r="O52" s="206">
        <v>86</v>
      </c>
      <c r="P52" s="173">
        <f t="shared" si="1"/>
        <v>0.23599999999999999</v>
      </c>
      <c r="Q52" s="206">
        <v>28</v>
      </c>
      <c r="R52" s="173">
        <f t="shared" si="2"/>
        <v>0.10625</v>
      </c>
      <c r="S52" s="206">
        <v>45</v>
      </c>
      <c r="T52" s="173">
        <f t="shared" si="3"/>
        <v>0.22675000000000001</v>
      </c>
      <c r="U52" s="206">
        <v>4</v>
      </c>
      <c r="V52" s="173">
        <f t="shared" si="4"/>
        <v>5.0750000000000003E-2</v>
      </c>
      <c r="W52" s="206" t="s">
        <v>1174</v>
      </c>
      <c r="X52" s="173">
        <f t="shared" si="5"/>
        <v>0.25</v>
      </c>
      <c r="Y52" s="346">
        <f t="shared" si="6"/>
        <v>1.0640000000000001</v>
      </c>
      <c r="Z52" s="207" t="s">
        <v>2563</v>
      </c>
      <c r="AA52" s="207" t="s">
        <v>2564</v>
      </c>
      <c r="AB52" s="178" t="s">
        <v>1176</v>
      </c>
      <c r="AC52" s="347" t="s">
        <v>2104</v>
      </c>
      <c r="AD52" s="178" t="s">
        <v>1176</v>
      </c>
      <c r="AE52" s="178" t="s">
        <v>1176</v>
      </c>
      <c r="AF52" s="178" t="s">
        <v>1176</v>
      </c>
      <c r="AG52" s="178" t="s">
        <v>1176</v>
      </c>
      <c r="AH52" s="178" t="s">
        <v>2454</v>
      </c>
      <c r="AI52" s="178" t="s">
        <v>1174</v>
      </c>
      <c r="AJ52" s="203">
        <v>41135</v>
      </c>
      <c r="AK52" s="205">
        <v>23</v>
      </c>
      <c r="AL52" s="205">
        <v>16251</v>
      </c>
      <c r="AM52" s="205">
        <v>3745</v>
      </c>
      <c r="AN52" s="205">
        <v>3764</v>
      </c>
      <c r="AO52" s="206">
        <v>16604</v>
      </c>
      <c r="AP52" s="173">
        <f t="shared" si="7"/>
        <v>0.27100000000000002</v>
      </c>
      <c r="AQ52" s="206">
        <f t="shared" si="8"/>
        <v>353</v>
      </c>
      <c r="AR52" s="173">
        <f t="shared" si="9"/>
        <v>0.1205</v>
      </c>
      <c r="AS52" s="348">
        <f t="shared" si="10"/>
        <v>2.1721740200603135E-2</v>
      </c>
      <c r="AT52" s="173">
        <f t="shared" si="11"/>
        <v>8.8499999999999995E-2</v>
      </c>
      <c r="AU52" s="349">
        <f t="shared" si="12"/>
        <v>19</v>
      </c>
      <c r="AV52" s="328">
        <f t="shared" si="13"/>
        <v>0.82608695652173914</v>
      </c>
      <c r="AW52" s="173">
        <f t="shared" si="14"/>
        <v>0.38700000000000001</v>
      </c>
      <c r="AX52" s="350">
        <f t="shared" si="15"/>
        <v>1.931</v>
      </c>
    </row>
    <row r="53" spans="1:50" ht="42">
      <c r="A53" s="205">
        <v>52</v>
      </c>
      <c r="B53" s="178" t="s">
        <v>206</v>
      </c>
      <c r="C53" s="178" t="s">
        <v>1451</v>
      </c>
      <c r="D53" s="178" t="s">
        <v>1174</v>
      </c>
      <c r="E53" s="178" t="s">
        <v>1452</v>
      </c>
      <c r="F53" s="178" t="s">
        <v>1174</v>
      </c>
      <c r="G53" s="178" t="s">
        <v>1174</v>
      </c>
      <c r="H53" s="205">
        <v>0</v>
      </c>
      <c r="I53" s="178" t="s">
        <v>2565</v>
      </c>
      <c r="J53" s="178" t="s">
        <v>413</v>
      </c>
      <c r="K53" s="178" t="s">
        <v>1176</v>
      </c>
      <c r="L53" s="203">
        <v>41114</v>
      </c>
      <c r="M53" s="206">
        <v>33</v>
      </c>
      <c r="N53" s="173">
        <f t="shared" si="0"/>
        <v>0.20824999999999999</v>
      </c>
      <c r="O53" s="206">
        <v>82</v>
      </c>
      <c r="P53" s="173">
        <f t="shared" si="1"/>
        <v>0.222</v>
      </c>
      <c r="Q53" s="206">
        <v>22</v>
      </c>
      <c r="R53" s="173">
        <f t="shared" si="2"/>
        <v>7.3999999999999996E-2</v>
      </c>
      <c r="S53" s="206">
        <v>47</v>
      </c>
      <c r="T53" s="173">
        <f t="shared" si="3"/>
        <v>0.24049999999999999</v>
      </c>
      <c r="U53" s="206">
        <v>17</v>
      </c>
      <c r="V53" s="173">
        <f t="shared" si="4"/>
        <v>0.10625</v>
      </c>
      <c r="W53" s="206" t="s">
        <v>1174</v>
      </c>
      <c r="X53" s="173">
        <f t="shared" si="5"/>
        <v>0.25</v>
      </c>
      <c r="Y53" s="346">
        <f t="shared" si="6"/>
        <v>1.101</v>
      </c>
      <c r="Z53" s="207" t="s">
        <v>2566</v>
      </c>
      <c r="AA53" s="207" t="s">
        <v>2567</v>
      </c>
      <c r="AB53" s="178" t="s">
        <v>1176</v>
      </c>
      <c r="AC53" s="347" t="s">
        <v>2104</v>
      </c>
      <c r="AD53" s="178" t="s">
        <v>1176</v>
      </c>
      <c r="AE53" s="178" t="s">
        <v>1174</v>
      </c>
      <c r="AF53" s="178" t="s">
        <v>1176</v>
      </c>
      <c r="AG53" s="178" t="s">
        <v>1174</v>
      </c>
      <c r="AH53" s="178" t="s">
        <v>2454</v>
      </c>
      <c r="AI53" s="178" t="s">
        <v>1174</v>
      </c>
      <c r="AJ53" s="203">
        <v>41135</v>
      </c>
      <c r="AK53" s="205">
        <v>23</v>
      </c>
      <c r="AL53" s="205">
        <v>16851</v>
      </c>
      <c r="AM53" s="205">
        <v>2011</v>
      </c>
      <c r="AN53" s="205">
        <v>2084</v>
      </c>
      <c r="AO53" s="206">
        <v>17337</v>
      </c>
      <c r="AP53" s="173">
        <f t="shared" si="7"/>
        <v>0.28799999999999998</v>
      </c>
      <c r="AQ53" s="206">
        <f t="shared" si="8"/>
        <v>486</v>
      </c>
      <c r="AR53" s="173">
        <f t="shared" si="9"/>
        <v>0.153</v>
      </c>
      <c r="AS53" s="348">
        <f t="shared" si="10"/>
        <v>2.8841018337190771E-2</v>
      </c>
      <c r="AT53" s="173">
        <f t="shared" si="11"/>
        <v>0.13700000000000001</v>
      </c>
      <c r="AU53" s="349">
        <f t="shared" si="12"/>
        <v>73</v>
      </c>
      <c r="AV53" s="328">
        <f t="shared" si="13"/>
        <v>3.1739130434782608</v>
      </c>
      <c r="AW53" s="173">
        <f t="shared" si="14"/>
        <v>0.74099999999999999</v>
      </c>
      <c r="AX53" s="350">
        <f t="shared" si="15"/>
        <v>2.42</v>
      </c>
    </row>
    <row r="54" spans="1:50" ht="56">
      <c r="A54" s="205">
        <v>53</v>
      </c>
      <c r="B54" s="178" t="s">
        <v>209</v>
      </c>
      <c r="C54" s="178" t="s">
        <v>1451</v>
      </c>
      <c r="D54" s="178" t="s">
        <v>1174</v>
      </c>
      <c r="E54" s="178" t="s">
        <v>1452</v>
      </c>
      <c r="F54" s="178" t="s">
        <v>1176</v>
      </c>
      <c r="G54" s="178" t="s">
        <v>1176</v>
      </c>
      <c r="H54" s="205">
        <v>0</v>
      </c>
      <c r="I54" s="178" t="s">
        <v>2568</v>
      </c>
      <c r="J54" s="178" t="s">
        <v>413</v>
      </c>
      <c r="K54" s="178" t="s">
        <v>1176</v>
      </c>
      <c r="L54" s="203">
        <v>41111</v>
      </c>
      <c r="M54" s="206">
        <v>7</v>
      </c>
      <c r="N54" s="173">
        <f t="shared" si="0"/>
        <v>0.10625</v>
      </c>
      <c r="O54" s="206">
        <v>80</v>
      </c>
      <c r="P54" s="173">
        <f t="shared" si="1"/>
        <v>0.20824999999999999</v>
      </c>
      <c r="Q54" s="206">
        <v>53</v>
      </c>
      <c r="R54" s="173">
        <f t="shared" si="2"/>
        <v>0.20349999999999999</v>
      </c>
      <c r="S54" s="206">
        <v>38</v>
      </c>
      <c r="T54" s="173">
        <f t="shared" si="3"/>
        <v>0.2175</v>
      </c>
      <c r="U54" s="206">
        <v>12</v>
      </c>
      <c r="V54" s="173">
        <f t="shared" si="4"/>
        <v>9.2499999999999999E-2</v>
      </c>
      <c r="W54" s="206" t="s">
        <v>1174</v>
      </c>
      <c r="X54" s="173">
        <f t="shared" si="5"/>
        <v>0.25</v>
      </c>
      <c r="Y54" s="346">
        <f t="shared" si="6"/>
        <v>1.0780000000000001</v>
      </c>
      <c r="Z54" s="207" t="s">
        <v>2569</v>
      </c>
      <c r="AA54" s="207" t="s">
        <v>2570</v>
      </c>
      <c r="AB54" s="178" t="s">
        <v>1176</v>
      </c>
      <c r="AC54" s="347" t="s">
        <v>2104</v>
      </c>
      <c r="AD54" s="178" t="s">
        <v>1176</v>
      </c>
      <c r="AE54" s="178" t="s">
        <v>1176</v>
      </c>
      <c r="AF54" s="178" t="s">
        <v>1174</v>
      </c>
      <c r="AG54" s="178" t="s">
        <v>1176</v>
      </c>
      <c r="AH54" s="178" t="s">
        <v>2454</v>
      </c>
      <c r="AI54" s="178" t="s">
        <v>1174</v>
      </c>
      <c r="AJ54" s="203">
        <v>41135</v>
      </c>
      <c r="AK54" s="205">
        <v>23</v>
      </c>
      <c r="AL54" s="205">
        <v>15817</v>
      </c>
      <c r="AM54" s="205">
        <v>3443</v>
      </c>
      <c r="AN54" s="205">
        <v>3508</v>
      </c>
      <c r="AO54" s="206">
        <v>16508</v>
      </c>
      <c r="AP54" s="173">
        <f t="shared" si="7"/>
        <v>0.254</v>
      </c>
      <c r="AQ54" s="206">
        <f t="shared" si="8"/>
        <v>691</v>
      </c>
      <c r="AR54" s="173">
        <f t="shared" si="9"/>
        <v>0.185</v>
      </c>
      <c r="AS54" s="348">
        <f t="shared" si="10"/>
        <v>4.3687172030094201E-2</v>
      </c>
      <c r="AT54" s="173">
        <f t="shared" si="11"/>
        <v>0.29799999999999999</v>
      </c>
      <c r="AU54" s="349">
        <f t="shared" si="12"/>
        <v>65</v>
      </c>
      <c r="AV54" s="328">
        <f t="shared" si="13"/>
        <v>2.8260869565217392</v>
      </c>
      <c r="AW54" s="173">
        <f t="shared" si="14"/>
        <v>0.69299999999999995</v>
      </c>
      <c r="AX54" s="350">
        <f t="shared" si="15"/>
        <v>2.508</v>
      </c>
    </row>
    <row r="55" spans="1:50" ht="98">
      <c r="A55" s="205">
        <v>54</v>
      </c>
      <c r="B55" s="178" t="s">
        <v>213</v>
      </c>
      <c r="C55" s="178" t="s">
        <v>1451</v>
      </c>
      <c r="D55" s="178" t="s">
        <v>1174</v>
      </c>
      <c r="E55" s="178" t="s">
        <v>1452</v>
      </c>
      <c r="F55" s="178" t="s">
        <v>1176</v>
      </c>
      <c r="G55" s="178" t="s">
        <v>1176</v>
      </c>
      <c r="H55" s="205">
        <v>0</v>
      </c>
      <c r="I55" s="178" t="s">
        <v>2571</v>
      </c>
      <c r="J55" s="178" t="s">
        <v>413</v>
      </c>
      <c r="K55" s="178" t="s">
        <v>1176</v>
      </c>
      <c r="L55" s="203">
        <v>41110</v>
      </c>
      <c r="M55" s="206">
        <v>28</v>
      </c>
      <c r="N55" s="173">
        <f t="shared" si="0"/>
        <v>0.185</v>
      </c>
      <c r="O55" s="206">
        <v>55</v>
      </c>
      <c r="P55" s="173">
        <f t="shared" si="1"/>
        <v>0.11550000000000001</v>
      </c>
      <c r="Q55" s="206">
        <v>7</v>
      </c>
      <c r="R55" s="173">
        <f t="shared" si="2"/>
        <v>1.8499999999999999E-2</v>
      </c>
      <c r="S55" s="206">
        <v>3</v>
      </c>
      <c r="T55" s="173">
        <f t="shared" si="3"/>
        <v>3.2250000000000001E-2</v>
      </c>
      <c r="U55" s="206">
        <v>44</v>
      </c>
      <c r="V55" s="173">
        <f t="shared" si="4"/>
        <v>0.2175</v>
      </c>
      <c r="W55" s="206" t="s">
        <v>1174</v>
      </c>
      <c r="X55" s="173">
        <f t="shared" si="5"/>
        <v>0.25</v>
      </c>
      <c r="Y55" s="346">
        <f t="shared" si="6"/>
        <v>0.81875000000000009</v>
      </c>
      <c r="Z55" s="207" t="s">
        <v>2572</v>
      </c>
      <c r="AA55" s="207" t="s">
        <v>2573</v>
      </c>
      <c r="AB55" s="178" t="s">
        <v>1176</v>
      </c>
      <c r="AC55" s="347" t="s">
        <v>2104</v>
      </c>
      <c r="AD55" s="178" t="s">
        <v>1176</v>
      </c>
      <c r="AE55" s="178" t="s">
        <v>1174</v>
      </c>
      <c r="AG55" s="178" t="s">
        <v>1174</v>
      </c>
      <c r="AH55" s="178" t="s">
        <v>2454</v>
      </c>
      <c r="AI55" s="178" t="s">
        <v>1174</v>
      </c>
      <c r="AJ55" s="203">
        <v>41135</v>
      </c>
      <c r="AK55" s="205">
        <v>23</v>
      </c>
      <c r="AL55" s="205">
        <v>695</v>
      </c>
      <c r="AM55" s="205">
        <v>179</v>
      </c>
      <c r="AN55" s="205">
        <v>193</v>
      </c>
      <c r="AO55" s="206">
        <v>765</v>
      </c>
      <c r="AP55" s="173">
        <f t="shared" si="7"/>
        <v>1.6E-2</v>
      </c>
      <c r="AQ55" s="206">
        <f t="shared" si="8"/>
        <v>70</v>
      </c>
      <c r="AR55" s="173">
        <f t="shared" si="9"/>
        <v>0.04</v>
      </c>
      <c r="AS55" s="348">
        <f t="shared" si="10"/>
        <v>0.10071942446043169</v>
      </c>
      <c r="AT55" s="173">
        <f t="shared" si="11"/>
        <v>0.44350000000000001</v>
      </c>
      <c r="AU55" s="349">
        <f t="shared" si="12"/>
        <v>14</v>
      </c>
      <c r="AV55" s="328">
        <f t="shared" si="13"/>
        <v>0.60869565217391308</v>
      </c>
      <c r="AW55" s="173">
        <f t="shared" si="14"/>
        <v>0.32200000000000001</v>
      </c>
      <c r="AX55" s="350">
        <f t="shared" si="15"/>
        <v>1.6402500000000002</v>
      </c>
    </row>
    <row r="56" spans="1:50">
      <c r="A56" s="205">
        <v>55</v>
      </c>
      <c r="B56" s="357" t="s">
        <v>215</v>
      </c>
      <c r="C56" s="178" t="s">
        <v>1451</v>
      </c>
      <c r="D56" s="178" t="s">
        <v>1176</v>
      </c>
      <c r="E56" s="178"/>
      <c r="F56" s="178"/>
      <c r="G56" s="178"/>
      <c r="H56" s="205"/>
      <c r="I56" s="178"/>
      <c r="J56" s="178"/>
      <c r="K56" s="178"/>
      <c r="L56" s="203"/>
      <c r="M56" s="206"/>
      <c r="N56" s="173">
        <f t="shared" si="0"/>
        <v>0</v>
      </c>
      <c r="O56" s="206"/>
      <c r="P56" s="173">
        <f t="shared" si="1"/>
        <v>0</v>
      </c>
      <c r="Q56" s="206"/>
      <c r="R56" s="173">
        <f t="shared" si="2"/>
        <v>0</v>
      </c>
      <c r="S56" s="206"/>
      <c r="T56" s="173">
        <f t="shared" si="3"/>
        <v>0</v>
      </c>
      <c r="U56" s="206"/>
      <c r="V56" s="173">
        <f t="shared" si="4"/>
        <v>0</v>
      </c>
      <c r="W56" s="206"/>
      <c r="X56" s="173">
        <f t="shared" si="5"/>
        <v>0</v>
      </c>
      <c r="Y56" s="346">
        <f t="shared" si="6"/>
        <v>0</v>
      </c>
      <c r="Z56" s="207"/>
      <c r="AA56" s="207"/>
      <c r="AB56" s="178"/>
      <c r="AC56" s="347"/>
      <c r="AD56" s="178"/>
      <c r="AE56" s="178"/>
      <c r="AG56" s="178"/>
      <c r="AH56" s="178"/>
      <c r="AI56" s="178"/>
      <c r="AJ56" s="203"/>
      <c r="AK56" s="205">
        <v>23</v>
      </c>
      <c r="AL56" s="205"/>
      <c r="AM56" s="205"/>
      <c r="AN56" s="205"/>
      <c r="AO56" s="206"/>
      <c r="AP56" s="173">
        <f t="shared" si="7"/>
        <v>0</v>
      </c>
      <c r="AQ56" s="206">
        <f t="shared" si="8"/>
        <v>0</v>
      </c>
      <c r="AR56" s="173">
        <f t="shared" si="9"/>
        <v>0</v>
      </c>
      <c r="AS56" s="348">
        <v>0</v>
      </c>
      <c r="AT56" s="173">
        <f t="shared" si="11"/>
        <v>0</v>
      </c>
      <c r="AU56" s="349">
        <f t="shared" si="12"/>
        <v>0</v>
      </c>
      <c r="AV56" s="328">
        <f t="shared" si="13"/>
        <v>0</v>
      </c>
      <c r="AW56" s="173">
        <f t="shared" si="14"/>
        <v>0</v>
      </c>
      <c r="AX56" s="350">
        <f t="shared" si="15"/>
        <v>0</v>
      </c>
    </row>
    <row r="57" spans="1:50" ht="56">
      <c r="A57" s="205">
        <v>56</v>
      </c>
      <c r="B57" s="178" t="s">
        <v>218</v>
      </c>
      <c r="C57" s="178" t="s">
        <v>1451</v>
      </c>
      <c r="D57" s="178" t="s">
        <v>1174</v>
      </c>
      <c r="E57" s="178" t="s">
        <v>1452</v>
      </c>
      <c r="F57" s="178" t="s">
        <v>1174</v>
      </c>
      <c r="G57" s="178" t="s">
        <v>1174</v>
      </c>
      <c r="H57" s="205">
        <v>0</v>
      </c>
      <c r="I57" s="178" t="s">
        <v>2574</v>
      </c>
      <c r="J57" s="178" t="s">
        <v>413</v>
      </c>
      <c r="K57" s="178" t="s">
        <v>1174</v>
      </c>
      <c r="L57" s="203">
        <v>41111</v>
      </c>
      <c r="M57" s="206">
        <v>45</v>
      </c>
      <c r="N57" s="173">
        <f t="shared" si="0"/>
        <v>0.23599999999999999</v>
      </c>
      <c r="O57" s="206">
        <v>85</v>
      </c>
      <c r="P57" s="173">
        <f t="shared" si="1"/>
        <v>0.23125000000000001</v>
      </c>
      <c r="Q57" s="206">
        <v>27</v>
      </c>
      <c r="R57" s="173">
        <f t="shared" si="2"/>
        <v>9.7000000000000003E-2</v>
      </c>
      <c r="S57" s="206">
        <v>17</v>
      </c>
      <c r="T57" s="173">
        <f t="shared" si="3"/>
        <v>0.14799999999999999</v>
      </c>
      <c r="U57" s="206">
        <v>5</v>
      </c>
      <c r="V57" s="173">
        <f t="shared" si="4"/>
        <v>6.4750000000000002E-2</v>
      </c>
      <c r="W57" s="206" t="s">
        <v>1174</v>
      </c>
      <c r="X57" s="173">
        <f t="shared" si="5"/>
        <v>0.25</v>
      </c>
      <c r="Y57" s="346">
        <f t="shared" si="6"/>
        <v>1.0269999999999999</v>
      </c>
      <c r="Z57" s="207" t="s">
        <v>2575</v>
      </c>
      <c r="AA57" s="207" t="s">
        <v>2576</v>
      </c>
      <c r="AB57" s="178" t="s">
        <v>1176</v>
      </c>
      <c r="AC57" s="347" t="s">
        <v>1893</v>
      </c>
      <c r="AD57" s="178" t="s">
        <v>1176</v>
      </c>
      <c r="AE57" s="178" t="s">
        <v>1176</v>
      </c>
      <c r="AF57" s="178" t="s">
        <v>1176</v>
      </c>
      <c r="AG57" s="178" t="s">
        <v>1176</v>
      </c>
      <c r="AH57" s="178" t="s">
        <v>2454</v>
      </c>
      <c r="AI57" s="178" t="s">
        <v>1176</v>
      </c>
      <c r="AJ57" s="203">
        <v>41135</v>
      </c>
      <c r="AK57" s="205">
        <v>23</v>
      </c>
      <c r="AL57" s="205">
        <v>74651</v>
      </c>
      <c r="AM57" s="205">
        <v>3117</v>
      </c>
      <c r="AN57" s="205">
        <v>3136</v>
      </c>
      <c r="AO57" s="206">
        <v>78010</v>
      </c>
      <c r="AP57" s="173">
        <f t="shared" si="7"/>
        <v>0.55900000000000005</v>
      </c>
      <c r="AQ57" s="206">
        <f t="shared" si="8"/>
        <v>3359</v>
      </c>
      <c r="AR57" s="173">
        <f t="shared" si="9"/>
        <v>0.30599999999999999</v>
      </c>
      <c r="AS57" s="348">
        <f t="shared" si="10"/>
        <v>4.4996048277986977E-2</v>
      </c>
      <c r="AT57" s="173">
        <f t="shared" si="11"/>
        <v>0.32250000000000001</v>
      </c>
      <c r="AU57" s="349">
        <f t="shared" si="12"/>
        <v>19</v>
      </c>
      <c r="AV57" s="328">
        <f t="shared" si="13"/>
        <v>0.82608695652173914</v>
      </c>
      <c r="AW57" s="173">
        <f t="shared" si="14"/>
        <v>0.38700000000000001</v>
      </c>
      <c r="AX57" s="350">
        <f t="shared" si="15"/>
        <v>2.6014999999999997</v>
      </c>
    </row>
    <row r="58" spans="1:50" ht="70">
      <c r="A58" s="205">
        <v>57</v>
      </c>
      <c r="B58" s="178" t="s">
        <v>220</v>
      </c>
      <c r="C58" s="178" t="s">
        <v>1451</v>
      </c>
      <c r="D58" s="178" t="s">
        <v>1174</v>
      </c>
      <c r="E58" s="178" t="s">
        <v>1452</v>
      </c>
      <c r="F58" s="178" t="s">
        <v>1176</v>
      </c>
      <c r="G58" s="178" t="s">
        <v>1176</v>
      </c>
      <c r="H58" s="205">
        <v>0</v>
      </c>
      <c r="I58" s="178" t="s">
        <v>2577</v>
      </c>
      <c r="J58" s="178" t="s">
        <v>413</v>
      </c>
      <c r="K58" s="178" t="s">
        <v>1174</v>
      </c>
      <c r="L58" s="203">
        <v>41111</v>
      </c>
      <c r="M58" s="206">
        <v>4</v>
      </c>
      <c r="N58" s="173">
        <f t="shared" si="0"/>
        <v>6.4750000000000002E-2</v>
      </c>
      <c r="O58" s="206">
        <v>66</v>
      </c>
      <c r="P58" s="173">
        <f t="shared" si="1"/>
        <v>0.15725</v>
      </c>
      <c r="Q58" s="206">
        <v>28</v>
      </c>
      <c r="R58" s="173">
        <f t="shared" si="2"/>
        <v>0.10625</v>
      </c>
      <c r="S58" s="206">
        <v>14</v>
      </c>
      <c r="T58" s="173">
        <f t="shared" si="3"/>
        <v>0.125</v>
      </c>
      <c r="U58" s="206">
        <v>5</v>
      </c>
      <c r="V58" s="173">
        <f t="shared" si="4"/>
        <v>6.4750000000000002E-2</v>
      </c>
      <c r="W58" s="206" t="s">
        <v>1174</v>
      </c>
      <c r="X58" s="173">
        <f t="shared" si="5"/>
        <v>0.25</v>
      </c>
      <c r="Y58" s="346">
        <f t="shared" si="6"/>
        <v>0.7679999999999999</v>
      </c>
      <c r="Z58" s="207" t="s">
        <v>2578</v>
      </c>
      <c r="AA58" s="207" t="s">
        <v>2579</v>
      </c>
      <c r="AB58" s="178" t="s">
        <v>1176</v>
      </c>
      <c r="AC58" s="347" t="s">
        <v>1893</v>
      </c>
      <c r="AD58" s="178" t="s">
        <v>1176</v>
      </c>
      <c r="AE58" s="178" t="s">
        <v>1176</v>
      </c>
      <c r="AF58" s="178" t="s">
        <v>1176</v>
      </c>
      <c r="AG58" s="178" t="s">
        <v>1176</v>
      </c>
      <c r="AH58" s="178" t="s">
        <v>2454</v>
      </c>
      <c r="AI58" s="178" t="s">
        <v>1176</v>
      </c>
      <c r="AJ58" s="203">
        <v>41135</v>
      </c>
      <c r="AK58" s="205">
        <v>23</v>
      </c>
      <c r="AL58" s="205">
        <v>166303</v>
      </c>
      <c r="AM58" s="205">
        <v>2824</v>
      </c>
      <c r="AN58" s="205">
        <v>2856</v>
      </c>
      <c r="AO58" s="206">
        <v>170918</v>
      </c>
      <c r="AP58" s="173">
        <f t="shared" si="7"/>
        <v>0.66100000000000003</v>
      </c>
      <c r="AQ58" s="206">
        <f t="shared" si="8"/>
        <v>4615</v>
      </c>
      <c r="AR58" s="173">
        <f t="shared" si="9"/>
        <v>0.36249999999999999</v>
      </c>
      <c r="AS58" s="348">
        <f t="shared" si="10"/>
        <v>2.7750551703817683E-2</v>
      </c>
      <c r="AT58" s="173">
        <f t="shared" si="11"/>
        <v>0.129</v>
      </c>
      <c r="AU58" s="349">
        <f t="shared" si="12"/>
        <v>32</v>
      </c>
      <c r="AV58" s="328">
        <f t="shared" si="13"/>
        <v>1.3913043478260869</v>
      </c>
      <c r="AW58" s="173">
        <f t="shared" si="14"/>
        <v>0.53200000000000003</v>
      </c>
      <c r="AX58" s="350">
        <f t="shared" si="15"/>
        <v>2.4525000000000001</v>
      </c>
    </row>
    <row r="59" spans="1:50" ht="98">
      <c r="A59" s="205">
        <v>58</v>
      </c>
      <c r="B59" s="178" t="s">
        <v>222</v>
      </c>
      <c r="C59" s="178" t="s">
        <v>1451</v>
      </c>
      <c r="D59" s="178" t="s">
        <v>1174</v>
      </c>
      <c r="E59" s="178" t="s">
        <v>1452</v>
      </c>
      <c r="F59" s="178" t="s">
        <v>1176</v>
      </c>
      <c r="G59" s="178" t="s">
        <v>1176</v>
      </c>
      <c r="H59" s="205">
        <v>0</v>
      </c>
      <c r="I59" s="178" t="s">
        <v>2580</v>
      </c>
      <c r="J59" s="178" t="s">
        <v>413</v>
      </c>
      <c r="K59" s="178" t="s">
        <v>1176</v>
      </c>
      <c r="L59" s="203">
        <v>41111</v>
      </c>
      <c r="M59" s="206">
        <v>35</v>
      </c>
      <c r="N59" s="173">
        <f t="shared" si="0"/>
        <v>0.21274999999999999</v>
      </c>
      <c r="O59" s="206">
        <v>64</v>
      </c>
      <c r="P59" s="173">
        <f t="shared" si="1"/>
        <v>0.13875000000000001</v>
      </c>
      <c r="Q59" s="206">
        <v>28</v>
      </c>
      <c r="R59" s="173">
        <f t="shared" si="2"/>
        <v>0.10625</v>
      </c>
      <c r="S59" s="206">
        <v>21</v>
      </c>
      <c r="T59" s="173">
        <f t="shared" si="3"/>
        <v>0.17125000000000001</v>
      </c>
      <c r="U59" s="206">
        <v>29</v>
      </c>
      <c r="V59" s="173">
        <f t="shared" si="4"/>
        <v>0.16650000000000001</v>
      </c>
      <c r="W59" s="206" t="s">
        <v>1174</v>
      </c>
      <c r="X59" s="173">
        <f t="shared" si="5"/>
        <v>0.25</v>
      </c>
      <c r="Y59" s="346">
        <f t="shared" si="6"/>
        <v>1.0455000000000001</v>
      </c>
      <c r="Z59" s="207" t="s">
        <v>2581</v>
      </c>
      <c r="AA59" s="207" t="s">
        <v>2582</v>
      </c>
      <c r="AB59" s="178" t="s">
        <v>1176</v>
      </c>
      <c r="AC59" s="347" t="s">
        <v>2104</v>
      </c>
      <c r="AD59" s="178" t="s">
        <v>1176</v>
      </c>
      <c r="AE59" s="178" t="s">
        <v>1174</v>
      </c>
      <c r="AF59" s="178" t="s">
        <v>1174</v>
      </c>
      <c r="AG59" s="178" t="s">
        <v>1176</v>
      </c>
      <c r="AH59" s="178" t="s">
        <v>2454</v>
      </c>
      <c r="AI59" s="178" t="s">
        <v>1176</v>
      </c>
      <c r="AJ59" s="203">
        <v>41135</v>
      </c>
      <c r="AK59" s="205">
        <v>23</v>
      </c>
      <c r="AL59" s="205">
        <v>29355</v>
      </c>
      <c r="AM59" s="205">
        <v>865</v>
      </c>
      <c r="AN59" s="205">
        <v>881</v>
      </c>
      <c r="AO59" s="206">
        <v>31688</v>
      </c>
      <c r="AP59" s="173">
        <f t="shared" si="7"/>
        <v>0.38900000000000001</v>
      </c>
      <c r="AQ59" s="206">
        <f t="shared" si="8"/>
        <v>2333</v>
      </c>
      <c r="AR59" s="173">
        <f t="shared" si="9"/>
        <v>0.28999999999999998</v>
      </c>
      <c r="AS59" s="348">
        <f t="shared" si="10"/>
        <v>7.9475387497870864E-2</v>
      </c>
      <c r="AT59" s="173">
        <f t="shared" si="11"/>
        <v>0.41899999999999998</v>
      </c>
      <c r="AU59" s="349">
        <f t="shared" si="12"/>
        <v>16</v>
      </c>
      <c r="AV59" s="328">
        <f t="shared" si="13"/>
        <v>0.69565217391304346</v>
      </c>
      <c r="AW59" s="173">
        <f t="shared" si="14"/>
        <v>0.33800000000000002</v>
      </c>
      <c r="AX59" s="350">
        <f t="shared" si="15"/>
        <v>2.4815</v>
      </c>
    </row>
    <row r="60" spans="1:50" ht="56">
      <c r="A60" s="205">
        <v>59</v>
      </c>
      <c r="B60" s="178" t="s">
        <v>225</v>
      </c>
      <c r="C60" s="178" t="s">
        <v>1451</v>
      </c>
      <c r="D60" s="178" t="s">
        <v>1174</v>
      </c>
      <c r="E60" s="178" t="s">
        <v>1452</v>
      </c>
      <c r="F60" s="178" t="s">
        <v>1176</v>
      </c>
      <c r="G60" s="178" t="s">
        <v>1176</v>
      </c>
      <c r="H60" s="205">
        <v>0</v>
      </c>
      <c r="I60" s="178" t="s">
        <v>2583</v>
      </c>
      <c r="J60" s="178" t="s">
        <v>413</v>
      </c>
      <c r="K60" s="178" t="s">
        <v>1176</v>
      </c>
      <c r="L60" s="203">
        <v>41111</v>
      </c>
      <c r="M60" s="206">
        <v>1</v>
      </c>
      <c r="N60" s="173">
        <f t="shared" si="0"/>
        <v>4.1500000000000002E-2</v>
      </c>
      <c r="O60" s="206">
        <v>40</v>
      </c>
      <c r="P60" s="173">
        <f t="shared" si="1"/>
        <v>5.5500000000000001E-2</v>
      </c>
      <c r="Q60" s="206">
        <v>29</v>
      </c>
      <c r="R60" s="173">
        <f t="shared" si="2"/>
        <v>0.125</v>
      </c>
      <c r="S60" s="206">
        <v>14</v>
      </c>
      <c r="T60" s="173">
        <f t="shared" si="3"/>
        <v>0.125</v>
      </c>
      <c r="U60" s="206">
        <v>32</v>
      </c>
      <c r="V60" s="173">
        <f t="shared" si="4"/>
        <v>0.17574999999999999</v>
      </c>
      <c r="W60" s="206" t="s">
        <v>1174</v>
      </c>
      <c r="X60" s="173">
        <f t="shared" si="5"/>
        <v>0.25</v>
      </c>
      <c r="Y60" s="346">
        <f t="shared" si="6"/>
        <v>0.77274999999999994</v>
      </c>
      <c r="Z60" s="207" t="s">
        <v>2584</v>
      </c>
      <c r="AA60" s="207" t="s">
        <v>2585</v>
      </c>
      <c r="AB60" s="178" t="s">
        <v>1176</v>
      </c>
      <c r="AC60" s="347" t="s">
        <v>2104</v>
      </c>
      <c r="AD60" s="178" t="s">
        <v>1176</v>
      </c>
      <c r="AE60" s="178" t="s">
        <v>1176</v>
      </c>
      <c r="AF60" s="178" t="s">
        <v>1174</v>
      </c>
      <c r="AG60" s="178" t="s">
        <v>1176</v>
      </c>
      <c r="AH60" s="178" t="s">
        <v>2454</v>
      </c>
      <c r="AI60" s="178" t="s">
        <v>1176</v>
      </c>
      <c r="AJ60" s="203">
        <v>41135</v>
      </c>
      <c r="AK60" s="205">
        <v>23</v>
      </c>
      <c r="AL60" s="205">
        <v>173644</v>
      </c>
      <c r="AM60" s="205">
        <v>2140</v>
      </c>
      <c r="AN60" s="205">
        <v>2152</v>
      </c>
      <c r="AO60" s="206">
        <v>180221</v>
      </c>
      <c r="AP60" s="173">
        <f t="shared" si="7"/>
        <v>0.69399999999999995</v>
      </c>
      <c r="AQ60" s="206">
        <f t="shared" si="8"/>
        <v>6577</v>
      </c>
      <c r="AR60" s="173">
        <f t="shared" si="9"/>
        <v>0.3705</v>
      </c>
      <c r="AS60" s="348">
        <f t="shared" si="10"/>
        <v>3.7876344705259024E-2</v>
      </c>
      <c r="AT60" s="173">
        <f t="shared" si="11"/>
        <v>0.23350000000000001</v>
      </c>
      <c r="AU60" s="349">
        <f t="shared" si="12"/>
        <v>12</v>
      </c>
      <c r="AV60" s="328">
        <f t="shared" si="13"/>
        <v>0.52173913043478259</v>
      </c>
      <c r="AW60" s="173">
        <f t="shared" si="14"/>
        <v>0.30599999999999999</v>
      </c>
      <c r="AX60" s="350">
        <f t="shared" si="15"/>
        <v>2.3767499999999999</v>
      </c>
    </row>
    <row r="61" spans="1:50" ht="56">
      <c r="A61" s="205">
        <v>60</v>
      </c>
      <c r="B61" s="178" t="s">
        <v>228</v>
      </c>
      <c r="C61" s="178" t="s">
        <v>1451</v>
      </c>
      <c r="D61" s="178" t="s">
        <v>1174</v>
      </c>
      <c r="E61" s="178" t="s">
        <v>1452</v>
      </c>
      <c r="F61" s="178" t="s">
        <v>1174</v>
      </c>
      <c r="G61" s="178" t="s">
        <v>1174</v>
      </c>
      <c r="H61" s="205">
        <v>0</v>
      </c>
      <c r="I61" s="178" t="s">
        <v>2586</v>
      </c>
      <c r="J61" s="178" t="s">
        <v>413</v>
      </c>
      <c r="K61" s="178" t="s">
        <v>1176</v>
      </c>
      <c r="L61" s="203">
        <v>41114</v>
      </c>
      <c r="M61" s="206">
        <v>10</v>
      </c>
      <c r="N61" s="173">
        <f t="shared" si="0"/>
        <v>0.13875000000000001</v>
      </c>
      <c r="O61" s="206">
        <v>63</v>
      </c>
      <c r="P61" s="173">
        <f t="shared" si="1"/>
        <v>0.13425000000000001</v>
      </c>
      <c r="Q61" s="206">
        <v>73</v>
      </c>
      <c r="R61" s="173">
        <f t="shared" si="2"/>
        <v>0.24525</v>
      </c>
      <c r="S61" s="206">
        <v>16</v>
      </c>
      <c r="T61" s="173">
        <f t="shared" si="3"/>
        <v>0.13875000000000001</v>
      </c>
      <c r="U61" s="206">
        <v>51</v>
      </c>
      <c r="V61" s="173">
        <f t="shared" si="4"/>
        <v>0.23125000000000001</v>
      </c>
      <c r="W61" s="206" t="s">
        <v>1174</v>
      </c>
      <c r="X61" s="173">
        <f t="shared" si="5"/>
        <v>0.25</v>
      </c>
      <c r="Y61" s="346">
        <f t="shared" si="6"/>
        <v>1.13825</v>
      </c>
      <c r="Z61" s="207" t="s">
        <v>2587</v>
      </c>
      <c r="AA61" s="207" t="s">
        <v>2588</v>
      </c>
      <c r="AB61" s="178" t="s">
        <v>1176</v>
      </c>
      <c r="AC61" s="347" t="s">
        <v>2104</v>
      </c>
      <c r="AD61" s="178" t="s">
        <v>1176</v>
      </c>
      <c r="AE61" s="178" t="s">
        <v>1176</v>
      </c>
      <c r="AF61" s="178" t="s">
        <v>1176</v>
      </c>
      <c r="AG61" s="178" t="s">
        <v>1176</v>
      </c>
      <c r="AH61" s="178" t="s">
        <v>2454</v>
      </c>
      <c r="AI61" s="178" t="s">
        <v>1174</v>
      </c>
      <c r="AJ61" s="203">
        <v>41135</v>
      </c>
      <c r="AK61" s="205">
        <v>23</v>
      </c>
      <c r="AL61" s="205">
        <v>42206</v>
      </c>
      <c r="AM61" s="205">
        <v>605</v>
      </c>
      <c r="AN61" s="205">
        <v>640</v>
      </c>
      <c r="AO61" s="206">
        <v>45093</v>
      </c>
      <c r="AP61" s="173">
        <f t="shared" si="7"/>
        <v>0.49099999999999999</v>
      </c>
      <c r="AQ61" s="206">
        <f t="shared" si="8"/>
        <v>2887</v>
      </c>
      <c r="AR61" s="173">
        <f t="shared" si="9"/>
        <v>0.29799999999999999</v>
      </c>
      <c r="AS61" s="348">
        <f t="shared" si="10"/>
        <v>6.8402596787186631E-2</v>
      </c>
      <c r="AT61" s="173">
        <f t="shared" si="11"/>
        <v>0.41099999999999998</v>
      </c>
      <c r="AU61" s="349">
        <f t="shared" si="12"/>
        <v>35</v>
      </c>
      <c r="AV61" s="328">
        <f t="shared" si="13"/>
        <v>1.5217391304347827</v>
      </c>
      <c r="AW61" s="173">
        <f t="shared" si="14"/>
        <v>0.56399999999999995</v>
      </c>
      <c r="AX61" s="350">
        <f t="shared" si="15"/>
        <v>2.9022499999999996</v>
      </c>
    </row>
    <row r="62" spans="1:50" ht="28">
      <c r="A62" s="205">
        <v>61</v>
      </c>
      <c r="B62" s="178" t="s">
        <v>229</v>
      </c>
      <c r="C62" s="178" t="s">
        <v>1451</v>
      </c>
      <c r="D62" s="178" t="s">
        <v>1174</v>
      </c>
      <c r="E62" s="178" t="s">
        <v>1452</v>
      </c>
      <c r="F62" s="178" t="s">
        <v>1176</v>
      </c>
      <c r="G62" s="178" t="s">
        <v>1176</v>
      </c>
      <c r="H62" s="205">
        <v>0</v>
      </c>
      <c r="I62" s="178" t="s">
        <v>2589</v>
      </c>
      <c r="J62" s="178" t="s">
        <v>413</v>
      </c>
      <c r="K62" s="178" t="s">
        <v>1176</v>
      </c>
      <c r="L62" s="203">
        <v>41111</v>
      </c>
      <c r="M62" s="206">
        <v>0</v>
      </c>
      <c r="N62" s="173">
        <f t="shared" si="0"/>
        <v>0</v>
      </c>
      <c r="O62" s="206">
        <v>7</v>
      </c>
      <c r="P62" s="173">
        <f t="shared" si="1"/>
        <v>1.375E-2</v>
      </c>
      <c r="Q62" s="206">
        <v>0</v>
      </c>
      <c r="R62" s="173">
        <f t="shared" si="2"/>
        <v>0</v>
      </c>
      <c r="S62" s="206">
        <v>7</v>
      </c>
      <c r="T62" s="173">
        <f t="shared" si="3"/>
        <v>9.2499999999999999E-2</v>
      </c>
      <c r="U62" s="206">
        <v>3</v>
      </c>
      <c r="V62" s="173">
        <f t="shared" si="4"/>
        <v>2.3E-2</v>
      </c>
      <c r="W62" s="206" t="s">
        <v>1176</v>
      </c>
      <c r="X62" s="173">
        <f t="shared" si="5"/>
        <v>0</v>
      </c>
      <c r="Y62" s="346">
        <f t="shared" si="6"/>
        <v>0.12925</v>
      </c>
      <c r="Z62" s="207" t="s">
        <v>2590</v>
      </c>
      <c r="AA62" s="207" t="s">
        <v>2591</v>
      </c>
      <c r="AB62" s="178" t="s">
        <v>1176</v>
      </c>
      <c r="AC62" s="347" t="s">
        <v>1893</v>
      </c>
      <c r="AD62" s="178" t="s">
        <v>1176</v>
      </c>
      <c r="AE62" s="178" t="s">
        <v>1176</v>
      </c>
      <c r="AF62" s="178" t="s">
        <v>1176</v>
      </c>
      <c r="AG62" s="178" t="s">
        <v>1176</v>
      </c>
      <c r="AH62" s="178" t="s">
        <v>2454</v>
      </c>
      <c r="AI62" s="178" t="s">
        <v>1176</v>
      </c>
      <c r="AJ62" s="203">
        <v>41135</v>
      </c>
      <c r="AK62" s="205">
        <v>23</v>
      </c>
      <c r="AL62" s="205">
        <v>974140</v>
      </c>
      <c r="AM62" s="205">
        <v>8</v>
      </c>
      <c r="AN62" s="205">
        <v>11</v>
      </c>
      <c r="AO62" s="206">
        <v>1003945</v>
      </c>
      <c r="AP62" s="173">
        <f t="shared" si="7"/>
        <v>0.96599999999999997</v>
      </c>
      <c r="AQ62" s="206">
        <f t="shared" si="8"/>
        <v>29805</v>
      </c>
      <c r="AR62" s="173">
        <f t="shared" si="9"/>
        <v>0.46750000000000003</v>
      </c>
      <c r="AS62" s="348">
        <f t="shared" si="10"/>
        <v>3.0596218202722403E-2</v>
      </c>
      <c r="AT62" s="173">
        <f t="shared" si="11"/>
        <v>0.153</v>
      </c>
      <c r="AU62" s="349">
        <f t="shared" si="12"/>
        <v>3</v>
      </c>
      <c r="AV62" s="328">
        <f t="shared" si="13"/>
        <v>0.13043478260869565</v>
      </c>
      <c r="AW62" s="173">
        <f t="shared" si="14"/>
        <v>0.17699999999999999</v>
      </c>
      <c r="AX62" s="350">
        <f t="shared" si="15"/>
        <v>1.8927500000000002</v>
      </c>
    </row>
    <row r="63" spans="1:50" ht="42">
      <c r="A63" s="205">
        <v>62</v>
      </c>
      <c r="B63" s="178" t="s">
        <v>231</v>
      </c>
      <c r="C63" s="178" t="s">
        <v>1451</v>
      </c>
      <c r="D63" s="178" t="s">
        <v>1174</v>
      </c>
      <c r="E63" s="178" t="s">
        <v>1452</v>
      </c>
      <c r="F63" s="178" t="s">
        <v>1176</v>
      </c>
      <c r="G63" s="178" t="s">
        <v>1176</v>
      </c>
      <c r="H63" s="205">
        <v>0</v>
      </c>
      <c r="I63" s="178" t="s">
        <v>2592</v>
      </c>
      <c r="J63" s="178" t="s">
        <v>413</v>
      </c>
      <c r="K63" s="178" t="s">
        <v>1174</v>
      </c>
      <c r="L63" s="203">
        <v>41111</v>
      </c>
      <c r="M63" s="206">
        <v>11</v>
      </c>
      <c r="N63" s="173">
        <f t="shared" si="0"/>
        <v>0.14799999999999999</v>
      </c>
      <c r="O63" s="206">
        <v>45</v>
      </c>
      <c r="P63" s="173">
        <f t="shared" si="1"/>
        <v>6.4750000000000002E-2</v>
      </c>
      <c r="Q63" s="206">
        <v>6</v>
      </c>
      <c r="R63" s="173">
        <f t="shared" si="2"/>
        <v>1.375E-2</v>
      </c>
      <c r="S63" s="206">
        <v>12</v>
      </c>
      <c r="T63" s="173">
        <f t="shared" si="3"/>
        <v>0.12025</v>
      </c>
      <c r="U63" s="206">
        <v>28</v>
      </c>
      <c r="V63" s="173">
        <f t="shared" si="4"/>
        <v>0.15725</v>
      </c>
      <c r="W63" s="206" t="s">
        <v>1174</v>
      </c>
      <c r="X63" s="173">
        <f t="shared" si="5"/>
        <v>0.25</v>
      </c>
      <c r="Y63" s="346">
        <f t="shared" si="6"/>
        <v>0.754</v>
      </c>
      <c r="Z63" s="207" t="s">
        <v>2593</v>
      </c>
      <c r="AA63" s="207" t="s">
        <v>2594</v>
      </c>
      <c r="AB63" s="178" t="s">
        <v>1176</v>
      </c>
      <c r="AC63" s="347" t="s">
        <v>1893</v>
      </c>
      <c r="AD63" s="178" t="s">
        <v>1176</v>
      </c>
      <c r="AE63" s="178" t="s">
        <v>1176</v>
      </c>
      <c r="AF63" s="178" t="s">
        <v>1176</v>
      </c>
      <c r="AG63" s="178" t="s">
        <v>1176</v>
      </c>
      <c r="AH63" s="178" t="s">
        <v>2454</v>
      </c>
      <c r="AI63" s="178" t="s">
        <v>1176</v>
      </c>
      <c r="AJ63" s="203">
        <v>41135</v>
      </c>
      <c r="AK63" s="205">
        <v>23</v>
      </c>
      <c r="AL63" s="205">
        <v>95865</v>
      </c>
      <c r="AM63" s="205">
        <v>2106</v>
      </c>
      <c r="AN63" s="205">
        <v>2224</v>
      </c>
      <c r="AO63" s="206">
        <v>100038</v>
      </c>
      <c r="AP63" s="173">
        <f t="shared" si="7"/>
        <v>0.61</v>
      </c>
      <c r="AQ63" s="206">
        <f t="shared" si="8"/>
        <v>4173</v>
      </c>
      <c r="AR63" s="173">
        <f t="shared" si="9"/>
        <v>0.33850000000000002</v>
      </c>
      <c r="AS63" s="348">
        <f t="shared" si="10"/>
        <v>4.3529964011891797E-2</v>
      </c>
      <c r="AT63" s="173">
        <f t="shared" si="11"/>
        <v>0.28999999999999998</v>
      </c>
      <c r="AU63" s="349">
        <f t="shared" si="12"/>
        <v>118</v>
      </c>
      <c r="AV63" s="328">
        <f t="shared" si="13"/>
        <v>5.1304347826086953</v>
      </c>
      <c r="AW63" s="173">
        <f t="shared" si="14"/>
        <v>0.87</v>
      </c>
      <c r="AX63" s="350">
        <f t="shared" si="15"/>
        <v>2.8624999999999998</v>
      </c>
    </row>
    <row r="64" spans="1:50" ht="70">
      <c r="A64" s="205">
        <v>63</v>
      </c>
      <c r="B64" s="178" t="s">
        <v>234</v>
      </c>
      <c r="C64" s="178" t="s">
        <v>1451</v>
      </c>
      <c r="D64" s="178" t="s">
        <v>1174</v>
      </c>
      <c r="E64" s="178" t="s">
        <v>1452</v>
      </c>
      <c r="F64" s="178" t="s">
        <v>1176</v>
      </c>
      <c r="G64" s="178" t="s">
        <v>1176</v>
      </c>
      <c r="H64" s="205">
        <v>0</v>
      </c>
      <c r="I64" s="178" t="s">
        <v>2595</v>
      </c>
      <c r="J64" s="178" t="s">
        <v>413</v>
      </c>
      <c r="K64" s="178" t="s">
        <v>1176</v>
      </c>
      <c r="L64" s="203">
        <v>41111</v>
      </c>
      <c r="M64" s="206">
        <v>1</v>
      </c>
      <c r="N64" s="173">
        <f t="shared" si="0"/>
        <v>4.1500000000000002E-2</v>
      </c>
      <c r="O64" s="206">
        <v>90</v>
      </c>
      <c r="P64" s="173">
        <f t="shared" si="1"/>
        <v>0.24525</v>
      </c>
      <c r="Q64" s="206">
        <v>16</v>
      </c>
      <c r="R64" s="173">
        <f t="shared" si="2"/>
        <v>5.0750000000000003E-2</v>
      </c>
      <c r="S64" s="206">
        <v>44</v>
      </c>
      <c r="T64" s="173">
        <f t="shared" si="3"/>
        <v>0.222</v>
      </c>
      <c r="U64" s="206">
        <v>18</v>
      </c>
      <c r="V64" s="173">
        <f t="shared" si="4"/>
        <v>0.12025</v>
      </c>
      <c r="W64" s="206" t="s">
        <v>1174</v>
      </c>
      <c r="X64" s="173">
        <f t="shared" si="5"/>
        <v>0.25</v>
      </c>
      <c r="Y64" s="346">
        <f t="shared" si="6"/>
        <v>0.92974999999999985</v>
      </c>
      <c r="Z64" s="207" t="s">
        <v>2596</v>
      </c>
      <c r="AA64" s="207" t="s">
        <v>2597</v>
      </c>
      <c r="AB64" s="178" t="s">
        <v>1176</v>
      </c>
      <c r="AC64" s="347" t="s">
        <v>2104</v>
      </c>
      <c r="AD64" s="178" t="s">
        <v>1176</v>
      </c>
      <c r="AE64" s="178" t="s">
        <v>1176</v>
      </c>
      <c r="AF64" s="178" t="s">
        <v>1174</v>
      </c>
      <c r="AG64" s="178" t="s">
        <v>1176</v>
      </c>
      <c r="AH64" s="178" t="s">
        <v>2454</v>
      </c>
      <c r="AI64" s="178" t="s">
        <v>1174</v>
      </c>
      <c r="AJ64" s="203">
        <v>41135</v>
      </c>
      <c r="AK64" s="205">
        <v>23</v>
      </c>
      <c r="AL64" s="205">
        <v>23707</v>
      </c>
      <c r="AM64" s="205">
        <v>688</v>
      </c>
      <c r="AN64" s="205">
        <v>698</v>
      </c>
      <c r="AO64" s="206">
        <v>24592</v>
      </c>
      <c r="AP64" s="173">
        <f t="shared" si="7"/>
        <v>0.35499999999999998</v>
      </c>
      <c r="AQ64" s="206">
        <f t="shared" si="8"/>
        <v>885</v>
      </c>
      <c r="AR64" s="173">
        <f t="shared" si="9"/>
        <v>0.19350000000000001</v>
      </c>
      <c r="AS64" s="348">
        <f t="shared" si="10"/>
        <v>3.7330746193107611E-2</v>
      </c>
      <c r="AT64" s="173">
        <f t="shared" si="11"/>
        <v>0.20949999999999999</v>
      </c>
      <c r="AU64" s="349">
        <f t="shared" si="12"/>
        <v>10</v>
      </c>
      <c r="AV64" s="328">
        <f t="shared" si="13"/>
        <v>0.43478260869565216</v>
      </c>
      <c r="AW64" s="173">
        <f t="shared" si="14"/>
        <v>0.25800000000000001</v>
      </c>
      <c r="AX64" s="350">
        <f t="shared" si="15"/>
        <v>1.9457499999999999</v>
      </c>
    </row>
    <row r="65" spans="1:50">
      <c r="A65" s="205">
        <v>64</v>
      </c>
      <c r="B65" s="178" t="s">
        <v>236</v>
      </c>
      <c r="C65" s="178"/>
      <c r="D65" s="178"/>
      <c r="E65" s="178"/>
      <c r="F65" s="178"/>
      <c r="G65" s="178"/>
      <c r="H65" s="205"/>
      <c r="I65" s="178" t="s">
        <v>2598</v>
      </c>
      <c r="J65" s="178" t="s">
        <v>413</v>
      </c>
      <c r="K65" s="178" t="s">
        <v>1176</v>
      </c>
      <c r="L65" s="203">
        <v>41081</v>
      </c>
      <c r="M65" s="206">
        <v>21</v>
      </c>
      <c r="N65" s="173">
        <f t="shared" si="0"/>
        <v>0.17125000000000001</v>
      </c>
      <c r="O65" s="206">
        <v>63</v>
      </c>
      <c r="P65" s="173">
        <f t="shared" si="1"/>
        <v>0.13425000000000001</v>
      </c>
      <c r="Q65" s="206">
        <v>27</v>
      </c>
      <c r="R65" s="173">
        <f t="shared" si="2"/>
        <v>9.7000000000000003E-2</v>
      </c>
      <c r="S65" s="206">
        <v>34</v>
      </c>
      <c r="T65" s="173">
        <f t="shared" si="3"/>
        <v>0.21375</v>
      </c>
      <c r="U65" s="206">
        <v>3</v>
      </c>
      <c r="V65" s="173">
        <f t="shared" si="4"/>
        <v>2.3E-2</v>
      </c>
      <c r="W65" s="206" t="s">
        <v>1174</v>
      </c>
      <c r="X65" s="173">
        <f t="shared" si="5"/>
        <v>0.25</v>
      </c>
      <c r="Y65" s="346">
        <f t="shared" si="6"/>
        <v>0.88924999999999998</v>
      </c>
      <c r="Z65" s="207"/>
      <c r="AA65" s="207"/>
      <c r="AB65" s="178" t="s">
        <v>1176</v>
      </c>
      <c r="AC65" s="347" t="s">
        <v>1893</v>
      </c>
      <c r="AD65" s="178"/>
      <c r="AE65" s="178"/>
      <c r="AF65" s="178"/>
      <c r="AG65" s="178"/>
      <c r="AH65" s="178"/>
      <c r="AI65" s="178"/>
      <c r="AJ65" s="203">
        <v>41129</v>
      </c>
      <c r="AK65" s="205">
        <f>AJ65-L65</f>
        <v>48</v>
      </c>
      <c r="AL65" s="205">
        <v>40471</v>
      </c>
      <c r="AM65" s="205">
        <v>2594</v>
      </c>
      <c r="AN65" s="205">
        <v>2643</v>
      </c>
      <c r="AO65" s="206">
        <v>43879</v>
      </c>
      <c r="AP65" s="173">
        <f t="shared" si="7"/>
        <v>0.48699999999999999</v>
      </c>
      <c r="AQ65" s="206">
        <f>(AO65-AL65)/2</f>
        <v>1704</v>
      </c>
      <c r="AR65" s="173">
        <f t="shared" si="9"/>
        <v>0.23649999999999999</v>
      </c>
      <c r="AS65" s="348">
        <f>((AO65/AL65)-1)/2</f>
        <v>4.2104222776803146E-2</v>
      </c>
      <c r="AT65" s="173">
        <f t="shared" si="11"/>
        <v>0.27950000000000003</v>
      </c>
      <c r="AU65" s="349">
        <f t="shared" si="12"/>
        <v>49</v>
      </c>
      <c r="AV65" s="328">
        <f>(AU65/AK65)/2</f>
        <v>0.51041666666666663</v>
      </c>
      <c r="AW65" s="173">
        <f t="shared" si="14"/>
        <v>0.30399999999999999</v>
      </c>
      <c r="AX65" s="350">
        <f t="shared" si="15"/>
        <v>2.19625</v>
      </c>
    </row>
  </sheetData>
  <conditionalFormatting sqref="AQ1:AQ1048576">
    <cfRule type="cellIs" dxfId="12" priority="3" operator="lessThan">
      <formula>0</formula>
    </cfRule>
  </conditionalFormatting>
  <conditionalFormatting sqref="AS1:AS1048576">
    <cfRule type="cellIs" dxfId="11" priority="2" operator="lessThan">
      <formula>0</formula>
    </cfRule>
  </conditionalFormatting>
  <conditionalFormatting sqref="AV1:AV1048576">
    <cfRule type="cellIs" dxfId="10" priority="1" operator="lessThan">
      <formula>0</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9" workbookViewId="0">
      <selection activeCell="E34" sqref="E34"/>
    </sheetView>
  </sheetViews>
  <sheetFormatPr baseColWidth="10" defaultRowHeight="15" x14ac:dyDescent="0"/>
  <cols>
    <col min="1" max="1" width="19.6640625" style="422" bestFit="1" customWidth="1"/>
    <col min="2" max="2" width="10.83203125" style="422"/>
    <col min="3" max="3" width="12.1640625" style="422" bestFit="1" customWidth="1"/>
    <col min="4" max="4" width="24.6640625" style="422" bestFit="1" customWidth="1"/>
    <col min="5" max="5" width="18.6640625" style="429" bestFit="1" customWidth="1"/>
    <col min="6" max="16384" width="10.83203125" style="422"/>
  </cols>
  <sheetData>
    <row r="1" spans="1:5">
      <c r="A1" s="437" t="s">
        <v>249</v>
      </c>
      <c r="B1" s="438">
        <v>2011</v>
      </c>
      <c r="C1" s="438">
        <v>2012</v>
      </c>
      <c r="D1" s="438" t="s">
        <v>3500</v>
      </c>
      <c r="E1" s="439" t="s">
        <v>3501</v>
      </c>
    </row>
    <row r="2" spans="1:5">
      <c r="A2" s="440" t="s">
        <v>63</v>
      </c>
      <c r="B2" s="441">
        <v>54080</v>
      </c>
      <c r="C2" s="442">
        <v>173341</v>
      </c>
      <c r="D2" s="443">
        <f>C2-B2</f>
        <v>119261</v>
      </c>
      <c r="E2" s="444">
        <f>D2/B2</f>
        <v>2.2052699704142014</v>
      </c>
    </row>
    <row r="3" spans="1:5">
      <c r="A3" s="440" t="s">
        <v>3502</v>
      </c>
      <c r="B3" s="441">
        <v>4906</v>
      </c>
      <c r="C3" s="442">
        <v>8835</v>
      </c>
      <c r="D3" s="443">
        <f t="shared" ref="D3:D39" si="0">C3-B3</f>
        <v>3929</v>
      </c>
      <c r="E3" s="444">
        <f t="shared" ref="E3:E39" si="1">D3/B3</f>
        <v>0.80085609457806772</v>
      </c>
    </row>
    <row r="4" spans="1:5">
      <c r="A4" s="445" t="s">
        <v>72</v>
      </c>
      <c r="B4" s="441">
        <v>7858</v>
      </c>
      <c r="C4" s="442">
        <v>20236</v>
      </c>
      <c r="D4" s="443">
        <f t="shared" si="0"/>
        <v>12378</v>
      </c>
      <c r="E4" s="444">
        <f t="shared" si="1"/>
        <v>1.575209977093408</v>
      </c>
    </row>
    <row r="5" spans="1:5">
      <c r="A5" s="446" t="s">
        <v>78</v>
      </c>
      <c r="B5" s="441">
        <v>5964</v>
      </c>
      <c r="C5" s="442">
        <v>39936</v>
      </c>
      <c r="D5" s="443">
        <f t="shared" si="0"/>
        <v>33972</v>
      </c>
      <c r="E5" s="444">
        <f t="shared" si="1"/>
        <v>5.6961770623742458</v>
      </c>
    </row>
    <row r="6" spans="1:5">
      <c r="A6" s="447" t="s">
        <v>82</v>
      </c>
      <c r="B6" s="441">
        <v>1116</v>
      </c>
      <c r="C6" s="442">
        <v>4441</v>
      </c>
      <c r="D6" s="443">
        <f t="shared" si="0"/>
        <v>3325</v>
      </c>
      <c r="E6" s="444">
        <f t="shared" si="1"/>
        <v>2.9793906810035842</v>
      </c>
    </row>
    <row r="7" spans="1:5">
      <c r="A7" s="447" t="s">
        <v>93</v>
      </c>
      <c r="B7" s="441">
        <v>468817</v>
      </c>
      <c r="C7" s="442">
        <v>1192104</v>
      </c>
      <c r="D7" s="443">
        <f t="shared" si="0"/>
        <v>723287</v>
      </c>
      <c r="E7" s="444">
        <f t="shared" si="1"/>
        <v>1.5427917502991573</v>
      </c>
    </row>
    <row r="8" spans="1:5">
      <c r="A8" s="440" t="s">
        <v>96</v>
      </c>
      <c r="B8" s="441">
        <v>88452</v>
      </c>
      <c r="C8" s="442">
        <v>481186</v>
      </c>
      <c r="D8" s="443">
        <f t="shared" si="0"/>
        <v>392734</v>
      </c>
      <c r="E8" s="444">
        <f t="shared" si="1"/>
        <v>4.4400804956360513</v>
      </c>
    </row>
    <row r="9" spans="1:5">
      <c r="A9" s="446" t="s">
        <v>100</v>
      </c>
      <c r="B9" s="441">
        <v>10302</v>
      </c>
      <c r="C9" s="442">
        <v>20284</v>
      </c>
      <c r="D9" s="443">
        <f t="shared" si="0"/>
        <v>9982</v>
      </c>
      <c r="E9" s="444">
        <f t="shared" si="1"/>
        <v>0.96893807027761603</v>
      </c>
    </row>
    <row r="10" spans="1:5">
      <c r="A10" s="440" t="s">
        <v>3503</v>
      </c>
      <c r="B10" s="441">
        <v>14429</v>
      </c>
      <c r="C10" s="442">
        <v>31794</v>
      </c>
      <c r="D10" s="443">
        <f t="shared" si="0"/>
        <v>17365</v>
      </c>
      <c r="E10" s="444">
        <f t="shared" si="1"/>
        <v>1.203479104581052</v>
      </c>
    </row>
    <row r="11" spans="1:5">
      <c r="A11" s="447" t="s">
        <v>109</v>
      </c>
      <c r="B11" s="441">
        <v>103524</v>
      </c>
      <c r="C11" s="442">
        <v>392288</v>
      </c>
      <c r="D11" s="443">
        <f t="shared" si="0"/>
        <v>288764</v>
      </c>
      <c r="E11" s="444">
        <f t="shared" si="1"/>
        <v>2.7893435338665431</v>
      </c>
    </row>
    <row r="12" spans="1:5">
      <c r="A12" s="440" t="s">
        <v>111</v>
      </c>
      <c r="B12" s="441">
        <v>278642</v>
      </c>
      <c r="C12" s="442">
        <v>331371</v>
      </c>
      <c r="D12" s="443">
        <f t="shared" si="0"/>
        <v>52729</v>
      </c>
      <c r="E12" s="444">
        <f t="shared" si="1"/>
        <v>0.18923565004557819</v>
      </c>
    </row>
    <row r="13" spans="1:5">
      <c r="A13" s="447" t="s">
        <v>114</v>
      </c>
      <c r="B13" s="441">
        <v>5065</v>
      </c>
      <c r="C13" s="442">
        <v>9280</v>
      </c>
      <c r="D13" s="443">
        <f t="shared" si="0"/>
        <v>4215</v>
      </c>
      <c r="E13" s="444">
        <f t="shared" si="1"/>
        <v>0.83218163869693973</v>
      </c>
    </row>
    <row r="14" spans="1:5">
      <c r="A14" s="440" t="s">
        <v>117</v>
      </c>
      <c r="B14" s="441">
        <v>261768</v>
      </c>
      <c r="C14" s="442">
        <v>433160</v>
      </c>
      <c r="D14" s="443">
        <f t="shared" si="0"/>
        <v>171392</v>
      </c>
      <c r="E14" s="444">
        <f t="shared" si="1"/>
        <v>0.65474771553436628</v>
      </c>
    </row>
    <row r="15" spans="1:5">
      <c r="A15" s="440" t="s">
        <v>3504</v>
      </c>
      <c r="B15" s="441">
        <v>141505</v>
      </c>
      <c r="C15" s="442">
        <v>397872</v>
      </c>
      <c r="D15" s="443">
        <f t="shared" si="0"/>
        <v>256367</v>
      </c>
      <c r="E15" s="444">
        <f t="shared" si="1"/>
        <v>1.8117169004628813</v>
      </c>
    </row>
    <row r="16" spans="1:5">
      <c r="A16" s="447" t="s">
        <v>123</v>
      </c>
      <c r="B16" s="441">
        <v>356621</v>
      </c>
      <c r="C16" s="442">
        <v>414469</v>
      </c>
      <c r="D16" s="443">
        <f t="shared" si="0"/>
        <v>57848</v>
      </c>
      <c r="E16" s="444">
        <f t="shared" si="1"/>
        <v>0.16221142333177238</v>
      </c>
    </row>
    <row r="17" spans="1:5">
      <c r="A17" s="440" t="s">
        <v>127</v>
      </c>
      <c r="B17" s="441">
        <v>2395</v>
      </c>
      <c r="C17" s="442">
        <v>7115</v>
      </c>
      <c r="D17" s="443">
        <f t="shared" si="0"/>
        <v>4720</v>
      </c>
      <c r="E17" s="444">
        <f t="shared" si="1"/>
        <v>1.9707724425887265</v>
      </c>
    </row>
    <row r="18" spans="1:5">
      <c r="A18" s="447" t="s">
        <v>136</v>
      </c>
      <c r="B18" s="441">
        <v>17924</v>
      </c>
      <c r="C18" s="442">
        <v>85009</v>
      </c>
      <c r="D18" s="443">
        <f t="shared" si="0"/>
        <v>67085</v>
      </c>
      <c r="E18" s="444">
        <f t="shared" si="1"/>
        <v>3.7427471546529794</v>
      </c>
    </row>
    <row r="19" spans="1:5">
      <c r="A19" s="448" t="s">
        <v>139</v>
      </c>
      <c r="B19" s="441">
        <v>447</v>
      </c>
      <c r="C19" s="442">
        <v>13667</v>
      </c>
      <c r="D19" s="443">
        <f t="shared" si="0"/>
        <v>13220</v>
      </c>
      <c r="E19" s="444">
        <f t="shared" si="1"/>
        <v>29.574944071588366</v>
      </c>
    </row>
    <row r="20" spans="1:5">
      <c r="A20" s="440" t="s">
        <v>141</v>
      </c>
      <c r="B20" s="441">
        <v>120984</v>
      </c>
      <c r="C20" s="442">
        <v>433673</v>
      </c>
      <c r="D20" s="443">
        <f t="shared" si="0"/>
        <v>312689</v>
      </c>
      <c r="E20" s="444">
        <f t="shared" si="1"/>
        <v>2.584548370032401</v>
      </c>
    </row>
    <row r="21" spans="1:5">
      <c r="A21" s="449" t="s">
        <v>145</v>
      </c>
      <c r="B21" s="441">
        <v>8518</v>
      </c>
      <c r="C21" s="442">
        <v>114655</v>
      </c>
      <c r="D21" s="443">
        <f t="shared" si="0"/>
        <v>106137</v>
      </c>
      <c r="E21" s="444">
        <f t="shared" si="1"/>
        <v>12.460319323784926</v>
      </c>
    </row>
    <row r="22" spans="1:5">
      <c r="A22" s="449" t="s">
        <v>148</v>
      </c>
      <c r="B22" s="441">
        <v>35423</v>
      </c>
      <c r="C22" s="442">
        <v>97539</v>
      </c>
      <c r="D22" s="443">
        <f t="shared" si="0"/>
        <v>62116</v>
      </c>
      <c r="E22" s="444">
        <f t="shared" si="1"/>
        <v>1.7535499534200942</v>
      </c>
    </row>
    <row r="23" spans="1:5">
      <c r="A23" s="449" t="s">
        <v>150</v>
      </c>
      <c r="B23" s="441">
        <v>8249</v>
      </c>
      <c r="C23" s="442">
        <v>18200</v>
      </c>
      <c r="D23" s="443">
        <f t="shared" si="0"/>
        <v>9951</v>
      </c>
      <c r="E23" s="444">
        <f t="shared" si="1"/>
        <v>1.2063280397623954</v>
      </c>
    </row>
    <row r="24" spans="1:5">
      <c r="A24" s="445" t="s">
        <v>153</v>
      </c>
      <c r="B24" s="441">
        <v>74676</v>
      </c>
      <c r="C24" s="442">
        <v>285519</v>
      </c>
      <c r="D24" s="443">
        <f t="shared" si="0"/>
        <v>210843</v>
      </c>
      <c r="E24" s="444">
        <f t="shared" si="1"/>
        <v>2.8234372489153143</v>
      </c>
    </row>
    <row r="25" spans="1:5">
      <c r="A25" s="449" t="s">
        <v>163</v>
      </c>
      <c r="B25" s="441">
        <v>2375</v>
      </c>
      <c r="C25" s="442">
        <v>5205</v>
      </c>
      <c r="D25" s="443">
        <f t="shared" si="0"/>
        <v>2830</v>
      </c>
      <c r="E25" s="444">
        <f t="shared" si="1"/>
        <v>1.1915789473684211</v>
      </c>
    </row>
    <row r="26" spans="1:5">
      <c r="A26" s="449" t="s">
        <v>165</v>
      </c>
      <c r="B26" s="441">
        <v>57975</v>
      </c>
      <c r="C26" s="442">
        <v>240561</v>
      </c>
      <c r="D26" s="443">
        <f t="shared" si="0"/>
        <v>182586</v>
      </c>
      <c r="E26" s="444">
        <f t="shared" si="1"/>
        <v>3.1493919793014231</v>
      </c>
    </row>
    <row r="27" spans="1:5">
      <c r="A27" s="449" t="s">
        <v>169</v>
      </c>
      <c r="B27" s="441">
        <v>281008</v>
      </c>
      <c r="C27" s="450">
        <v>708924</v>
      </c>
      <c r="D27" s="443">
        <f t="shared" si="0"/>
        <v>427916</v>
      </c>
      <c r="E27" s="444">
        <f t="shared" si="1"/>
        <v>1.5227893867790241</v>
      </c>
    </row>
    <row r="28" spans="1:5">
      <c r="A28" s="451" t="s">
        <v>174</v>
      </c>
      <c r="B28" s="441">
        <v>256583</v>
      </c>
      <c r="C28" s="450">
        <v>844767</v>
      </c>
      <c r="D28" s="443">
        <f t="shared" si="0"/>
        <v>588184</v>
      </c>
      <c r="E28" s="444">
        <f t="shared" si="1"/>
        <v>2.2923732281561913</v>
      </c>
    </row>
    <row r="29" spans="1:5">
      <c r="A29" s="449" t="s">
        <v>182</v>
      </c>
      <c r="B29" s="441">
        <v>77181</v>
      </c>
      <c r="C29" s="450">
        <v>143027</v>
      </c>
      <c r="D29" s="443">
        <f t="shared" si="0"/>
        <v>65846</v>
      </c>
      <c r="E29" s="444">
        <f t="shared" si="1"/>
        <v>0.85313743019655097</v>
      </c>
    </row>
    <row r="30" spans="1:5">
      <c r="A30" s="449" t="s">
        <v>185</v>
      </c>
      <c r="B30" s="441">
        <v>32726</v>
      </c>
      <c r="C30" s="450">
        <v>60279</v>
      </c>
      <c r="D30" s="443">
        <f t="shared" si="0"/>
        <v>27553</v>
      </c>
      <c r="E30" s="444">
        <f t="shared" si="1"/>
        <v>0.8419299639430422</v>
      </c>
    </row>
    <row r="31" spans="1:5">
      <c r="A31" s="449" t="s">
        <v>193</v>
      </c>
      <c r="B31" s="441">
        <v>88088</v>
      </c>
      <c r="C31" s="450">
        <v>244996</v>
      </c>
      <c r="D31" s="443">
        <f t="shared" si="0"/>
        <v>156908</v>
      </c>
      <c r="E31" s="444">
        <f t="shared" si="1"/>
        <v>1.7812641903550994</v>
      </c>
    </row>
    <row r="32" spans="1:5">
      <c r="A32" s="449" t="s">
        <v>196</v>
      </c>
      <c r="B32" s="441">
        <v>5610</v>
      </c>
      <c r="C32" s="450">
        <v>30752</v>
      </c>
      <c r="D32" s="443">
        <f t="shared" si="0"/>
        <v>25142</v>
      </c>
      <c r="E32" s="444">
        <f t="shared" si="1"/>
        <v>4.4816399286987521</v>
      </c>
    </row>
    <row r="33" spans="1:5">
      <c r="A33" s="445" t="s">
        <v>203</v>
      </c>
      <c r="B33" s="441">
        <v>8211</v>
      </c>
      <c r="C33" s="450">
        <v>16604</v>
      </c>
      <c r="D33" s="443">
        <f t="shared" si="0"/>
        <v>8393</v>
      </c>
      <c r="E33" s="444">
        <f t="shared" si="1"/>
        <v>1.0221653878942882</v>
      </c>
    </row>
    <row r="34" spans="1:5">
      <c r="A34" s="449" t="s">
        <v>209</v>
      </c>
      <c r="B34" s="441">
        <v>6689</v>
      </c>
      <c r="C34" s="450">
        <v>16508</v>
      </c>
      <c r="D34" s="443">
        <f t="shared" si="0"/>
        <v>9819</v>
      </c>
      <c r="E34" s="444">
        <f t="shared" si="1"/>
        <v>1.4679324263716549</v>
      </c>
    </row>
    <row r="35" spans="1:5">
      <c r="A35" s="449" t="s">
        <v>220</v>
      </c>
      <c r="B35" s="441">
        <v>88621</v>
      </c>
      <c r="C35" s="450">
        <v>170918</v>
      </c>
      <c r="D35" s="443">
        <f t="shared" si="0"/>
        <v>82297</v>
      </c>
      <c r="E35" s="444">
        <f t="shared" si="1"/>
        <v>0.92863993861500094</v>
      </c>
    </row>
    <row r="36" spans="1:5">
      <c r="A36" s="449" t="s">
        <v>222</v>
      </c>
      <c r="B36" s="441">
        <v>2148</v>
      </c>
      <c r="C36" s="450">
        <v>31688</v>
      </c>
      <c r="D36" s="443">
        <f t="shared" si="0"/>
        <v>29540</v>
      </c>
      <c r="E36" s="444">
        <f t="shared" si="1"/>
        <v>13.752327746741155</v>
      </c>
    </row>
    <row r="37" spans="1:5">
      <c r="A37" s="449" t="s">
        <v>225</v>
      </c>
      <c r="B37" s="441">
        <v>67276</v>
      </c>
      <c r="C37" s="450">
        <v>180221</v>
      </c>
      <c r="D37" s="443">
        <f t="shared" si="0"/>
        <v>112945</v>
      </c>
      <c r="E37" s="444">
        <f t="shared" si="1"/>
        <v>1.6788304893275463</v>
      </c>
    </row>
    <row r="38" spans="1:5">
      <c r="A38" s="449" t="s">
        <v>229</v>
      </c>
      <c r="B38" s="441">
        <v>542041</v>
      </c>
      <c r="C38" s="450">
        <v>1003945</v>
      </c>
      <c r="D38" s="443">
        <f t="shared" si="0"/>
        <v>461904</v>
      </c>
      <c r="E38" s="444">
        <f t="shared" si="1"/>
        <v>0.8521569401576633</v>
      </c>
    </row>
    <row r="39" spans="1:5">
      <c r="A39" s="449" t="s">
        <v>231</v>
      </c>
      <c r="B39" s="441">
        <v>37465</v>
      </c>
      <c r="C39" s="450">
        <v>100038</v>
      </c>
      <c r="D39" s="443">
        <f t="shared" si="0"/>
        <v>62573</v>
      </c>
      <c r="E39" s="444">
        <f t="shared" si="1"/>
        <v>1.6701721606833044</v>
      </c>
    </row>
    <row r="40" spans="1:5">
      <c r="B40" s="452" t="s">
        <v>67</v>
      </c>
      <c r="C40" s="453">
        <f>AVERAGE(C2:C39)</f>
        <v>231694.92105263157</v>
      </c>
      <c r="D40" s="454">
        <f>AVERAGE(D2:D39)</f>
        <v>136282.76315789475</v>
      </c>
      <c r="E40" s="455">
        <f>AVERAGE(E2:E39)</f>
        <v>3.1961738636192067</v>
      </c>
    </row>
    <row r="42" spans="1:5">
      <c r="A42" s="447" t="s">
        <v>106</v>
      </c>
      <c r="B42" s="441">
        <v>570</v>
      </c>
      <c r="C42" s="442">
        <v>1257606</v>
      </c>
      <c r="D42" s="443">
        <f>C42-B42</f>
        <v>1257036</v>
      </c>
      <c r="E42" s="444">
        <f>D42/B42</f>
        <v>2205.3263157894735</v>
      </c>
    </row>
    <row r="44" spans="1:5">
      <c r="C44" s="456"/>
    </row>
    <row r="45" spans="1:5">
      <c r="C45" s="456"/>
    </row>
    <row r="46" spans="1:5">
      <c r="C46" s="456"/>
    </row>
    <row r="50" spans="3:3">
      <c r="C50" s="456"/>
    </row>
    <row r="53" spans="3:3">
      <c r="C53" s="45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70"/>
  <sheetViews>
    <sheetView zoomScale="125" zoomScaleNormal="125" zoomScalePageLayoutView="125" workbookViewId="0">
      <pane xSplit="2" ySplit="1" topLeftCell="CE2" activePane="bottomRight" state="frozen"/>
      <selection pane="topRight" activeCell="C1" sqref="C1"/>
      <selection pane="bottomLeft" activeCell="A2" sqref="A2"/>
      <selection pane="bottomRight" activeCell="B7" sqref="B7"/>
    </sheetView>
  </sheetViews>
  <sheetFormatPr baseColWidth="10" defaultColWidth="21.83203125" defaultRowHeight="14" x14ac:dyDescent="0"/>
  <cols>
    <col min="1" max="8" width="21.83203125" style="194"/>
    <col min="9" max="9" width="21.83203125" style="200"/>
    <col min="10" max="26" width="21.83203125" style="194"/>
    <col min="27" max="27" width="21.83203125" style="200"/>
    <col min="28" max="29" width="21.83203125" style="194"/>
    <col min="30" max="30" width="21.83203125" style="391"/>
    <col min="31" max="33" width="21.83203125" style="194"/>
    <col min="34" max="35" width="21.83203125" style="200"/>
    <col min="36" max="43" width="21.83203125" style="194"/>
    <col min="44" max="44" width="21.83203125" style="200"/>
    <col min="45" max="59" width="21.83203125" style="194"/>
    <col min="60" max="61" width="21.83203125" style="200"/>
    <col min="62" max="74" width="21.83203125" style="194"/>
    <col min="75" max="75" width="21.83203125" style="392"/>
    <col min="76" max="76" width="21.83203125" style="408"/>
    <col min="77" max="77" width="21.83203125" style="194"/>
    <col min="78" max="78" width="21.83203125" style="408"/>
    <col min="79" max="79" width="21.83203125" style="194"/>
    <col min="80" max="80" width="21.83203125" style="233"/>
    <col min="81" max="81" width="21.83203125" style="194"/>
    <col min="82" max="83" width="21.83203125" style="408"/>
    <col min="84" max="84" width="21.83203125" style="194"/>
    <col min="85" max="85" width="21.83203125" style="408"/>
    <col min="86" max="86" width="21.83203125" style="194"/>
    <col min="87" max="87" width="21.83203125" style="409"/>
    <col min="88" max="16384" width="21.83203125" style="194"/>
  </cols>
  <sheetData>
    <row r="1" spans="1:87" s="200" customFormat="1" ht="56">
      <c r="A1" s="195" t="s">
        <v>1100</v>
      </c>
      <c r="B1" s="195" t="s">
        <v>249</v>
      </c>
      <c r="C1" s="195" t="s">
        <v>1407</v>
      </c>
      <c r="D1" s="195" t="s">
        <v>2777</v>
      </c>
      <c r="E1" s="195" t="s">
        <v>1408</v>
      </c>
      <c r="F1" s="195" t="s">
        <v>2778</v>
      </c>
      <c r="G1" s="195" t="s">
        <v>2409</v>
      </c>
      <c r="H1" s="195" t="s">
        <v>1101</v>
      </c>
      <c r="I1" s="195" t="s">
        <v>2779</v>
      </c>
      <c r="J1" s="195" t="s">
        <v>2780</v>
      </c>
      <c r="K1" s="195" t="s">
        <v>2781</v>
      </c>
      <c r="L1" s="195" t="s">
        <v>2782</v>
      </c>
      <c r="M1" s="195" t="s">
        <v>2783</v>
      </c>
      <c r="N1" s="195" t="s">
        <v>2784</v>
      </c>
      <c r="O1" s="195" t="s">
        <v>2785</v>
      </c>
      <c r="P1" s="195" t="s">
        <v>2786</v>
      </c>
      <c r="Q1" s="195" t="s">
        <v>2787</v>
      </c>
      <c r="R1" s="195" t="s">
        <v>2788</v>
      </c>
      <c r="S1" s="195" t="s">
        <v>2789</v>
      </c>
      <c r="T1" s="195" t="s">
        <v>2790</v>
      </c>
      <c r="U1" s="195" t="s">
        <v>2791</v>
      </c>
      <c r="V1" s="195" t="s">
        <v>2792</v>
      </c>
      <c r="W1" s="195" t="s">
        <v>2793</v>
      </c>
      <c r="X1" s="147" t="s">
        <v>2794</v>
      </c>
      <c r="Y1" s="195" t="s">
        <v>2795</v>
      </c>
      <c r="Z1" s="195" t="s">
        <v>2796</v>
      </c>
      <c r="AA1" s="195" t="s">
        <v>2797</v>
      </c>
      <c r="AB1" s="195" t="s">
        <v>2798</v>
      </c>
      <c r="AC1" s="147" t="s">
        <v>2799</v>
      </c>
      <c r="AD1" s="378" t="s">
        <v>2800</v>
      </c>
      <c r="AE1" s="195" t="s">
        <v>2801</v>
      </c>
      <c r="AF1" s="195" t="s">
        <v>2802</v>
      </c>
      <c r="AG1" s="147" t="s">
        <v>2803</v>
      </c>
      <c r="AH1" s="195" t="s">
        <v>2804</v>
      </c>
      <c r="AI1" s="195" t="s">
        <v>2805</v>
      </c>
      <c r="AJ1" s="195" t="s">
        <v>2806</v>
      </c>
      <c r="AK1" s="146" t="s">
        <v>2807</v>
      </c>
      <c r="AL1" s="195" t="s">
        <v>2808</v>
      </c>
      <c r="AM1" s="146" t="s">
        <v>2807</v>
      </c>
      <c r="AN1" s="147" t="s">
        <v>2809</v>
      </c>
      <c r="AO1" s="195" t="s">
        <v>2810</v>
      </c>
      <c r="AP1" s="195" t="s">
        <v>2811</v>
      </c>
      <c r="AQ1" s="195" t="s">
        <v>2812</v>
      </c>
      <c r="AR1" s="195" t="s">
        <v>2813</v>
      </c>
      <c r="AS1" s="147" t="s">
        <v>2814</v>
      </c>
      <c r="AT1" s="195" t="s">
        <v>2815</v>
      </c>
      <c r="AU1" s="195" t="s">
        <v>2816</v>
      </c>
      <c r="AV1" s="195" t="s">
        <v>2817</v>
      </c>
      <c r="AW1" s="195" t="s">
        <v>2818</v>
      </c>
      <c r="AX1" s="195" t="s">
        <v>2819</v>
      </c>
      <c r="AY1" s="195" t="s">
        <v>2820</v>
      </c>
      <c r="AZ1" s="195" t="s">
        <v>2821</v>
      </c>
      <c r="BA1" s="195" t="s">
        <v>2822</v>
      </c>
      <c r="BB1" s="195" t="s">
        <v>2823</v>
      </c>
      <c r="BC1" s="195" t="s">
        <v>2824</v>
      </c>
      <c r="BD1" s="195" t="s">
        <v>2825</v>
      </c>
      <c r="BE1" s="195" t="s">
        <v>2826</v>
      </c>
      <c r="BF1" s="195" t="s">
        <v>2827</v>
      </c>
      <c r="BG1" s="195" t="s">
        <v>2828</v>
      </c>
      <c r="BH1" s="195" t="s">
        <v>2829</v>
      </c>
      <c r="BI1" s="195" t="s">
        <v>2830</v>
      </c>
      <c r="BJ1" s="195" t="s">
        <v>2831</v>
      </c>
      <c r="BK1" s="195" t="s">
        <v>2832</v>
      </c>
      <c r="BL1" s="195" t="s">
        <v>2833</v>
      </c>
      <c r="BM1" s="195" t="s">
        <v>2834</v>
      </c>
      <c r="BN1" s="195" t="s">
        <v>2835</v>
      </c>
      <c r="BO1" s="195" t="s">
        <v>2836</v>
      </c>
      <c r="BP1" s="195" t="s">
        <v>2837</v>
      </c>
      <c r="BQ1" s="147" t="s">
        <v>2838</v>
      </c>
      <c r="BR1" s="195" t="s">
        <v>2839</v>
      </c>
      <c r="BS1" s="195" t="s">
        <v>2840</v>
      </c>
      <c r="BT1" s="195" t="s">
        <v>2841</v>
      </c>
      <c r="BU1" s="195" t="s">
        <v>2842</v>
      </c>
      <c r="BV1" s="195" t="s">
        <v>2843</v>
      </c>
      <c r="BW1" s="195" t="s">
        <v>2844</v>
      </c>
      <c r="BX1" s="149" t="s">
        <v>2845</v>
      </c>
      <c r="BY1" s="147" t="s">
        <v>2846</v>
      </c>
      <c r="BZ1" s="149" t="s">
        <v>2847</v>
      </c>
      <c r="CA1" s="147" t="s">
        <v>2848</v>
      </c>
      <c r="CB1" s="149" t="s">
        <v>2849</v>
      </c>
      <c r="CC1" s="147" t="s">
        <v>2850</v>
      </c>
      <c r="CD1" s="149" t="s">
        <v>2851</v>
      </c>
      <c r="CE1" s="149" t="s">
        <v>2852</v>
      </c>
      <c r="CF1" s="147" t="s">
        <v>2853</v>
      </c>
      <c r="CG1" s="149" t="s">
        <v>2854</v>
      </c>
      <c r="CH1" s="147" t="s">
        <v>2855</v>
      </c>
      <c r="CI1" s="379" t="s">
        <v>2856</v>
      </c>
    </row>
    <row r="2" spans="1:87" ht="56">
      <c r="A2" s="205">
        <v>1</v>
      </c>
      <c r="B2" s="178" t="s">
        <v>63</v>
      </c>
      <c r="C2" s="178" t="s">
        <v>1451</v>
      </c>
      <c r="D2" s="178" t="s">
        <v>1174</v>
      </c>
      <c r="E2" s="178" t="s">
        <v>1452</v>
      </c>
      <c r="F2" s="178" t="s">
        <v>1176</v>
      </c>
      <c r="G2" s="178" t="s">
        <v>1176</v>
      </c>
      <c r="H2" s="178" t="s">
        <v>413</v>
      </c>
      <c r="I2" s="207" t="s">
        <v>2857</v>
      </c>
      <c r="J2" s="178" t="s">
        <v>2858</v>
      </c>
      <c r="K2" s="178" t="s">
        <v>2859</v>
      </c>
      <c r="O2" s="178" t="s">
        <v>2858</v>
      </c>
      <c r="Q2" s="178" t="s">
        <v>1174</v>
      </c>
      <c r="R2" s="178" t="s">
        <v>2860</v>
      </c>
      <c r="S2" s="178" t="s">
        <v>421</v>
      </c>
      <c r="T2" s="208">
        <v>0</v>
      </c>
      <c r="U2" s="208">
        <v>0</v>
      </c>
      <c r="V2" s="208">
        <v>4</v>
      </c>
      <c r="W2" s="208">
        <v>0</v>
      </c>
      <c r="X2" s="173">
        <f t="shared" ref="X2:X65" si="0">PERCENTRANK($W$2:$W$64,W2,3)*0.5</f>
        <v>0</v>
      </c>
      <c r="Y2" s="208">
        <v>0</v>
      </c>
      <c r="AA2" s="207" t="s">
        <v>2861</v>
      </c>
      <c r="AB2" s="178" t="s">
        <v>1174</v>
      </c>
      <c r="AC2" s="173">
        <v>0.5</v>
      </c>
      <c r="AD2" s="380" t="s">
        <v>1974</v>
      </c>
      <c r="AE2" s="208">
        <v>18</v>
      </c>
      <c r="AF2" s="208">
        <v>0.1111111111111111</v>
      </c>
      <c r="AG2" s="173">
        <f t="shared" ref="AG2:AG65" si="1">PERCENTRANK($AF$2:$AF$64,AF2,3)</f>
        <v>0.4</v>
      </c>
      <c r="AH2" s="207" t="s">
        <v>2862</v>
      </c>
      <c r="AI2" s="207" t="s">
        <v>2863</v>
      </c>
      <c r="AJ2" s="178" t="s">
        <v>1174</v>
      </c>
      <c r="AK2" s="206">
        <f>IF(AJ2="Yes",0.25,0)</f>
        <v>0.25</v>
      </c>
      <c r="AL2" s="178" t="s">
        <v>1176</v>
      </c>
      <c r="AM2" s="206">
        <f>IF(AL2="Yes",0.25,0)</f>
        <v>0</v>
      </c>
      <c r="AN2" s="173">
        <f>SUM(AM2,AK2)</f>
        <v>0.25</v>
      </c>
      <c r="AO2" s="178" t="s">
        <v>421</v>
      </c>
      <c r="AP2" s="178" t="s">
        <v>1176</v>
      </c>
      <c r="AQ2" s="178" t="s">
        <v>1176</v>
      </c>
      <c r="AR2" s="207" t="s">
        <v>2864</v>
      </c>
      <c r="AS2" s="173">
        <v>0</v>
      </c>
      <c r="AT2" s="203">
        <v>41117</v>
      </c>
      <c r="AU2" s="208">
        <v>3076</v>
      </c>
      <c r="AV2" s="208">
        <v>59</v>
      </c>
      <c r="AW2" s="208">
        <v>378111</v>
      </c>
      <c r="AX2" s="203">
        <v>41134</v>
      </c>
      <c r="AY2" s="208">
        <v>3314</v>
      </c>
      <c r="AZ2" s="208">
        <v>59</v>
      </c>
      <c r="BA2" s="178" t="s">
        <v>2865</v>
      </c>
      <c r="BB2" s="178" t="s">
        <v>2866</v>
      </c>
      <c r="BC2" s="203">
        <v>40963</v>
      </c>
      <c r="BD2" s="208">
        <v>385.85380116959067</v>
      </c>
      <c r="BE2" s="178" t="s">
        <v>1176</v>
      </c>
      <c r="BF2" s="178" t="s">
        <v>1176</v>
      </c>
      <c r="BG2" s="178" t="s">
        <v>1176</v>
      </c>
      <c r="BH2" s="207" t="s">
        <v>2867</v>
      </c>
      <c r="BI2" s="207" t="s">
        <v>2868</v>
      </c>
      <c r="BJ2" s="203">
        <v>40093</v>
      </c>
      <c r="BK2" s="208">
        <v>3516140</v>
      </c>
      <c r="BL2" s="208">
        <v>3377.6560999039384</v>
      </c>
      <c r="BN2" s="178" t="s">
        <v>2869</v>
      </c>
      <c r="BO2" s="178" t="s">
        <v>1176</v>
      </c>
      <c r="BP2" s="178" t="s">
        <v>1176</v>
      </c>
      <c r="BQ2" s="173">
        <v>0</v>
      </c>
      <c r="BR2" s="208">
        <v>238</v>
      </c>
      <c r="BS2" s="381">
        <v>7.7373211963589095E-2</v>
      </c>
      <c r="BT2" s="208">
        <v>0</v>
      </c>
      <c r="BU2" s="349">
        <v>0</v>
      </c>
      <c r="BV2" s="381">
        <v>0</v>
      </c>
      <c r="BW2" s="382">
        <v>7082.1864406779659</v>
      </c>
      <c r="BX2" s="383">
        <v>417849</v>
      </c>
      <c r="BY2" s="173">
        <f t="shared" ref="BY2:BY65" si="2">PERCENTRANK($BX$2:$BX$64,BX2)*0.5</f>
        <v>0.26700000000000002</v>
      </c>
      <c r="BZ2" s="383">
        <v>39738</v>
      </c>
      <c r="CA2" s="173">
        <f t="shared" ref="CA2:CA65" si="3">PERCENTRANK($BZ$2:$BZ$64,BZ2)*0.25</f>
        <v>0.20250000000000001</v>
      </c>
      <c r="CB2" s="384">
        <v>0.1050961225671827</v>
      </c>
      <c r="CC2" s="173">
        <f t="shared" ref="CC2:CC65" si="4">PERCENTRANK($CB$2:$CB$64,CB2)*0.25</f>
        <v>0.21425</v>
      </c>
      <c r="CD2" s="165">
        <f t="shared" ref="CD2:CD65" si="5">(AX2-AT2)/7</f>
        <v>2.4285714285714284</v>
      </c>
      <c r="CE2" s="165">
        <f>BZ2/CD2</f>
        <v>16362.705882352942</v>
      </c>
      <c r="CF2" s="173">
        <f t="shared" ref="CF2:CF64" si="6">PERCENTRANK($CE$2:$CE$64,CE2)*0.25</f>
        <v>0.20949999999999999</v>
      </c>
      <c r="CG2" s="383">
        <v>65981</v>
      </c>
      <c r="CH2" s="173">
        <f t="shared" ref="CH2:CH65" si="7">PERCENTRANK($CG$2:$CG$64,CG2)*0.25</f>
        <v>0.125</v>
      </c>
      <c r="CI2" s="385">
        <f t="shared" ref="CI2:CI65" si="8">SUM(CH2,CF2,CC2,CA2,BY2,BQ2,AS2,AN2,AG2,AC2,X2)</f>
        <v>2.16825</v>
      </c>
    </row>
    <row r="3" spans="1:87" ht="42">
      <c r="A3" s="205">
        <v>2</v>
      </c>
      <c r="B3" s="178" t="s">
        <v>69</v>
      </c>
      <c r="C3" s="178" t="s">
        <v>1451</v>
      </c>
      <c r="D3" s="178" t="s">
        <v>1174</v>
      </c>
      <c r="E3" s="178" t="s">
        <v>1452</v>
      </c>
      <c r="F3" s="178" t="s">
        <v>1174</v>
      </c>
      <c r="G3" s="178" t="s">
        <v>1174</v>
      </c>
      <c r="H3" s="178" t="s">
        <v>74</v>
      </c>
      <c r="I3" s="207" t="s">
        <v>2870</v>
      </c>
      <c r="Q3" s="178" t="s">
        <v>1176</v>
      </c>
      <c r="R3" s="178" t="s">
        <v>421</v>
      </c>
      <c r="T3" s="208">
        <v>0</v>
      </c>
      <c r="U3" s="208">
        <v>0</v>
      </c>
      <c r="V3" s="208">
        <v>0</v>
      </c>
      <c r="W3" s="208">
        <v>0</v>
      </c>
      <c r="X3" s="173">
        <f t="shared" si="0"/>
        <v>0</v>
      </c>
      <c r="Y3" s="208" t="s">
        <v>2534</v>
      </c>
      <c r="AB3" s="178" t="s">
        <v>1174</v>
      </c>
      <c r="AC3" s="173">
        <v>0.5</v>
      </c>
      <c r="AD3" s="380" t="s">
        <v>2871</v>
      </c>
      <c r="AE3" s="208">
        <v>19</v>
      </c>
      <c r="AF3" s="208">
        <v>0.63157894736842113</v>
      </c>
      <c r="AG3" s="173">
        <f t="shared" si="1"/>
        <v>0.96299999999999997</v>
      </c>
      <c r="AI3" s="207" t="s">
        <v>2872</v>
      </c>
      <c r="AJ3" s="178" t="s">
        <v>1174</v>
      </c>
      <c r="AK3" s="206">
        <f t="shared" ref="AK3:AM65" si="9">IF(AJ3="Yes",0.25,0)</f>
        <v>0.25</v>
      </c>
      <c r="AL3" s="178" t="s">
        <v>1176</v>
      </c>
      <c r="AM3" s="206">
        <f t="shared" si="9"/>
        <v>0</v>
      </c>
      <c r="AN3" s="173">
        <f t="shared" ref="AN3:AN65" si="10">SUM(AM3,AK3)</f>
        <v>0.25</v>
      </c>
      <c r="AO3" s="178" t="s">
        <v>2873</v>
      </c>
      <c r="AP3" s="178" t="s">
        <v>1176</v>
      </c>
      <c r="AQ3" s="178" t="s">
        <v>1176</v>
      </c>
      <c r="AR3" s="207" t="s">
        <v>2874</v>
      </c>
      <c r="AS3" s="173">
        <v>0</v>
      </c>
      <c r="AT3" s="203">
        <v>41117</v>
      </c>
      <c r="AU3" s="208">
        <v>466</v>
      </c>
      <c r="AV3" s="208">
        <v>89</v>
      </c>
      <c r="AW3" s="208">
        <v>461655</v>
      </c>
      <c r="AX3" s="203">
        <v>41134</v>
      </c>
      <c r="AY3" s="208">
        <v>502</v>
      </c>
      <c r="AZ3" s="208">
        <v>112</v>
      </c>
      <c r="BA3" s="178" t="s">
        <v>2875</v>
      </c>
      <c r="BB3" s="178" t="s">
        <v>2876</v>
      </c>
      <c r="BC3" s="203">
        <v>40980</v>
      </c>
      <c r="BD3" s="208">
        <v>367.45454545454544</v>
      </c>
      <c r="BE3" s="178" t="s">
        <v>1176</v>
      </c>
      <c r="BF3" s="178" t="s">
        <v>1176</v>
      </c>
      <c r="BG3" s="178" t="s">
        <v>1176</v>
      </c>
      <c r="BH3" s="207" t="s">
        <v>2877</v>
      </c>
      <c r="BI3" s="207" t="s">
        <v>2878</v>
      </c>
      <c r="BJ3" s="203">
        <v>39857</v>
      </c>
      <c r="BK3" s="208">
        <v>245268</v>
      </c>
      <c r="BL3" s="208">
        <v>192.06577916992953</v>
      </c>
      <c r="BN3" s="178" t="s">
        <v>684</v>
      </c>
      <c r="BO3" s="178" t="s">
        <v>1176</v>
      </c>
      <c r="BP3" s="178" t="s">
        <v>1176</v>
      </c>
      <c r="BQ3" s="173">
        <v>0</v>
      </c>
      <c r="BR3" s="208">
        <v>36</v>
      </c>
      <c r="BS3" s="381">
        <v>7.7253218884120206E-2</v>
      </c>
      <c r="BU3" s="349">
        <v>23</v>
      </c>
      <c r="BV3" s="381">
        <v>0.2584269662921348</v>
      </c>
      <c r="BW3" s="382">
        <v>5083.6517857142853</v>
      </c>
      <c r="BX3" s="383">
        <v>569369</v>
      </c>
      <c r="BY3" s="173">
        <f t="shared" si="2"/>
        <v>0.32750000000000001</v>
      </c>
      <c r="BZ3" s="383">
        <v>107714</v>
      </c>
      <c r="CA3" s="173">
        <f t="shared" si="3"/>
        <v>0.2155</v>
      </c>
      <c r="CB3" s="384">
        <v>0.23332141967486539</v>
      </c>
      <c r="CC3" s="173">
        <f t="shared" si="4"/>
        <v>0.24099999999999999</v>
      </c>
      <c r="CD3" s="165">
        <f t="shared" si="5"/>
        <v>2.4285714285714284</v>
      </c>
      <c r="CE3" s="165">
        <f t="shared" ref="CE3:CE65" si="11">BZ3/CD3</f>
        <v>44352.823529411769</v>
      </c>
      <c r="CF3" s="173">
        <f t="shared" si="6"/>
        <v>0.2175</v>
      </c>
      <c r="CG3" s="383">
        <v>56588</v>
      </c>
      <c r="CH3" s="173">
        <f t="shared" si="7"/>
        <v>0.11625000000000001</v>
      </c>
      <c r="CI3" s="385">
        <f t="shared" si="8"/>
        <v>2.8307500000000001</v>
      </c>
    </row>
    <row r="4" spans="1:87" ht="42">
      <c r="A4" s="205">
        <v>3</v>
      </c>
      <c r="B4" s="178" t="s">
        <v>72</v>
      </c>
      <c r="C4" s="178" t="s">
        <v>1451</v>
      </c>
      <c r="D4" s="178" t="s">
        <v>1174</v>
      </c>
      <c r="E4" s="178" t="s">
        <v>1452</v>
      </c>
      <c r="F4" s="178" t="s">
        <v>1176</v>
      </c>
      <c r="G4" s="178" t="s">
        <v>1176</v>
      </c>
      <c r="H4" s="178" t="s">
        <v>65</v>
      </c>
      <c r="I4" s="207" t="s">
        <v>2879</v>
      </c>
      <c r="J4" s="178" t="s">
        <v>421</v>
      </c>
      <c r="K4" s="178" t="s">
        <v>421</v>
      </c>
      <c r="L4" s="178" t="s">
        <v>421</v>
      </c>
      <c r="M4" s="178" t="s">
        <v>421</v>
      </c>
      <c r="N4" s="178" t="s">
        <v>421</v>
      </c>
      <c r="O4" s="178" t="s">
        <v>421</v>
      </c>
      <c r="P4" s="178" t="s">
        <v>421</v>
      </c>
      <c r="Q4" s="178" t="s">
        <v>1176</v>
      </c>
      <c r="R4" s="178" t="s">
        <v>421</v>
      </c>
      <c r="T4" s="208">
        <v>0</v>
      </c>
      <c r="U4" s="208">
        <v>0</v>
      </c>
      <c r="V4" s="208">
        <v>7</v>
      </c>
      <c r="W4" s="208">
        <v>0</v>
      </c>
      <c r="X4" s="173">
        <f t="shared" si="0"/>
        <v>0</v>
      </c>
      <c r="Y4" s="208">
        <v>0</v>
      </c>
      <c r="AB4" s="178" t="s">
        <v>1174</v>
      </c>
      <c r="AC4" s="173">
        <v>0.5</v>
      </c>
      <c r="AD4" s="380" t="s">
        <v>1974</v>
      </c>
      <c r="AE4" s="208">
        <v>19</v>
      </c>
      <c r="AF4" s="208">
        <v>0.10526315789473679</v>
      </c>
      <c r="AG4" s="173">
        <f t="shared" si="1"/>
        <v>0.309</v>
      </c>
      <c r="AH4" s="207" t="s">
        <v>2880</v>
      </c>
      <c r="AI4" s="207" t="s">
        <v>2881</v>
      </c>
      <c r="AJ4" s="178" t="s">
        <v>1176</v>
      </c>
      <c r="AK4" s="206">
        <f t="shared" si="9"/>
        <v>0</v>
      </c>
      <c r="AL4" s="178" t="s">
        <v>1176</v>
      </c>
      <c r="AM4" s="206">
        <f t="shared" si="9"/>
        <v>0</v>
      </c>
      <c r="AN4" s="173">
        <f t="shared" si="10"/>
        <v>0</v>
      </c>
      <c r="AO4" s="178" t="s">
        <v>421</v>
      </c>
      <c r="AP4" s="178" t="s">
        <v>1176</v>
      </c>
      <c r="AQ4" s="178" t="s">
        <v>1176</v>
      </c>
      <c r="AR4" s="207" t="s">
        <v>2882</v>
      </c>
      <c r="AS4" s="173">
        <v>0</v>
      </c>
      <c r="AT4" s="203">
        <v>41117</v>
      </c>
      <c r="AU4" s="208">
        <v>88</v>
      </c>
      <c r="AV4" s="208">
        <v>14</v>
      </c>
      <c r="AW4" s="208">
        <v>54930</v>
      </c>
      <c r="AX4" s="203">
        <v>41134</v>
      </c>
      <c r="AY4" s="208">
        <v>89</v>
      </c>
      <c r="AZ4" s="208">
        <v>14</v>
      </c>
      <c r="BA4" s="178" t="s">
        <v>2883</v>
      </c>
      <c r="BB4" s="178" t="s">
        <v>2884</v>
      </c>
      <c r="BC4" s="203">
        <v>40031</v>
      </c>
      <c r="BD4" s="208">
        <v>37.883952855847689</v>
      </c>
      <c r="BE4" s="178" t="s">
        <v>1176</v>
      </c>
      <c r="BF4" s="178" t="s">
        <v>1176</v>
      </c>
      <c r="BG4" s="178" t="s">
        <v>1176</v>
      </c>
      <c r="BH4" s="207" t="s">
        <v>2885</v>
      </c>
      <c r="BI4" s="207" t="s">
        <v>2886</v>
      </c>
      <c r="BJ4" s="203">
        <v>41073</v>
      </c>
      <c r="BK4" s="208">
        <v>37452</v>
      </c>
      <c r="BL4" s="208">
        <v>613.96721311475414</v>
      </c>
      <c r="BN4" s="178" t="s">
        <v>2869</v>
      </c>
      <c r="BO4" s="178" t="s">
        <v>1176</v>
      </c>
      <c r="BP4" s="178" t="s">
        <v>1176</v>
      </c>
      <c r="BQ4" s="173">
        <v>0</v>
      </c>
      <c r="BR4" s="208">
        <v>1</v>
      </c>
      <c r="BS4" s="381">
        <v>1.13636363636364E-2</v>
      </c>
      <c r="BU4" s="349">
        <v>0</v>
      </c>
      <c r="BV4" s="381">
        <v>0</v>
      </c>
      <c r="BW4" s="382">
        <v>3959.0714285714284</v>
      </c>
      <c r="BX4" s="383">
        <v>55427</v>
      </c>
      <c r="BY4" s="173">
        <f t="shared" si="2"/>
        <v>0.129</v>
      </c>
      <c r="BZ4" s="383">
        <v>497</v>
      </c>
      <c r="CA4" s="173">
        <f t="shared" si="3"/>
        <v>3.4250000000000003E-2</v>
      </c>
      <c r="CB4" s="384">
        <v>9.0478791188785997E-3</v>
      </c>
      <c r="CC4" s="173">
        <f t="shared" si="4"/>
        <v>0.04</v>
      </c>
      <c r="CD4" s="165">
        <f t="shared" si="5"/>
        <v>2.4285714285714284</v>
      </c>
      <c r="CE4" s="165">
        <f t="shared" si="11"/>
        <v>204.64705882352942</v>
      </c>
      <c r="CF4" s="173">
        <f t="shared" si="6"/>
        <v>5.2249999999999998E-2</v>
      </c>
      <c r="CG4" s="383">
        <v>41786</v>
      </c>
      <c r="CH4" s="173">
        <f t="shared" si="7"/>
        <v>9.9000000000000005E-2</v>
      </c>
      <c r="CI4" s="385">
        <f t="shared" si="8"/>
        <v>1.1635</v>
      </c>
    </row>
    <row r="5" spans="1:87" ht="42">
      <c r="A5" s="205">
        <v>4</v>
      </c>
      <c r="B5" s="178" t="s">
        <v>78</v>
      </c>
      <c r="C5" s="178" t="s">
        <v>1451</v>
      </c>
      <c r="D5" s="178" t="s">
        <v>1174</v>
      </c>
      <c r="E5" s="178" t="s">
        <v>1452</v>
      </c>
      <c r="F5" s="178" t="s">
        <v>1174</v>
      </c>
      <c r="G5" s="178" t="s">
        <v>1174</v>
      </c>
      <c r="H5" s="178" t="s">
        <v>413</v>
      </c>
      <c r="I5" s="207" t="s">
        <v>2887</v>
      </c>
      <c r="J5" s="178" t="s">
        <v>2888</v>
      </c>
      <c r="K5" s="178" t="s">
        <v>2889</v>
      </c>
      <c r="L5" s="178" t="s">
        <v>2890</v>
      </c>
      <c r="M5" s="178" t="s">
        <v>2891</v>
      </c>
      <c r="N5" s="178" t="s">
        <v>2892</v>
      </c>
      <c r="O5" s="178" t="s">
        <v>2888</v>
      </c>
      <c r="Q5" s="178" t="s">
        <v>1176</v>
      </c>
      <c r="T5" s="208">
        <v>0</v>
      </c>
      <c r="U5" s="208">
        <v>2</v>
      </c>
      <c r="V5" s="208">
        <v>6</v>
      </c>
      <c r="W5" s="208">
        <v>0</v>
      </c>
      <c r="X5" s="173">
        <f t="shared" si="0"/>
        <v>0</v>
      </c>
      <c r="Y5" s="208">
        <v>0.33333333333333331</v>
      </c>
      <c r="AA5" s="207" t="s">
        <v>2893</v>
      </c>
      <c r="AB5" s="178" t="s">
        <v>1174</v>
      </c>
      <c r="AC5" s="173">
        <v>0.5</v>
      </c>
      <c r="AD5" s="380" t="s">
        <v>1974</v>
      </c>
      <c r="AE5" s="208">
        <v>19</v>
      </c>
      <c r="AF5" s="208">
        <v>0.10526315789473679</v>
      </c>
      <c r="AG5" s="173">
        <f t="shared" si="1"/>
        <v>0.309</v>
      </c>
      <c r="AH5" s="207" t="s">
        <v>2894</v>
      </c>
      <c r="AI5" s="207" t="s">
        <v>2895</v>
      </c>
      <c r="AJ5" s="178" t="s">
        <v>1176</v>
      </c>
      <c r="AK5" s="206">
        <f t="shared" si="9"/>
        <v>0</v>
      </c>
      <c r="AL5" s="178" t="s">
        <v>1176</v>
      </c>
      <c r="AM5" s="206">
        <f t="shared" si="9"/>
        <v>0</v>
      </c>
      <c r="AN5" s="173">
        <f t="shared" si="10"/>
        <v>0</v>
      </c>
      <c r="AO5" s="178" t="s">
        <v>421</v>
      </c>
      <c r="AP5" s="178" t="s">
        <v>1176</v>
      </c>
      <c r="AQ5" s="178" t="s">
        <v>1176</v>
      </c>
      <c r="AR5" s="207" t="s">
        <v>2896</v>
      </c>
      <c r="AS5" s="173">
        <v>0</v>
      </c>
      <c r="AT5" s="203">
        <v>41117</v>
      </c>
      <c r="AU5" s="208">
        <v>478</v>
      </c>
      <c r="AV5" s="208">
        <v>11</v>
      </c>
      <c r="AW5" s="208">
        <v>88504</v>
      </c>
      <c r="AX5" s="203">
        <v>41134</v>
      </c>
      <c r="AY5" s="208">
        <v>485</v>
      </c>
      <c r="AZ5" s="208">
        <v>11</v>
      </c>
      <c r="BA5" s="178" t="s">
        <v>2897</v>
      </c>
      <c r="BB5" s="178" t="s">
        <v>2898</v>
      </c>
      <c r="BC5" s="203">
        <v>40947</v>
      </c>
      <c r="BD5" s="208">
        <v>169.36898395721926</v>
      </c>
      <c r="BE5" s="178" t="s">
        <v>1176</v>
      </c>
      <c r="BF5" s="178" t="s">
        <v>1176</v>
      </c>
      <c r="BG5" s="178" t="s">
        <v>1176</v>
      </c>
      <c r="BH5" s="207" t="s">
        <v>2899</v>
      </c>
      <c r="BI5" s="207" t="s">
        <v>2900</v>
      </c>
      <c r="BJ5" s="203">
        <v>40712</v>
      </c>
      <c r="BK5" s="208">
        <v>87125</v>
      </c>
      <c r="BL5" s="208">
        <v>206.45734597156397</v>
      </c>
      <c r="BN5" s="178" t="s">
        <v>2901</v>
      </c>
      <c r="BO5" s="178" t="s">
        <v>1176</v>
      </c>
      <c r="BP5" s="178" t="s">
        <v>1176</v>
      </c>
      <c r="BQ5" s="173">
        <v>0</v>
      </c>
      <c r="BR5" s="208">
        <v>7</v>
      </c>
      <c r="BS5" s="381">
        <v>1.46443514644351E-2</v>
      </c>
      <c r="BU5" s="349">
        <v>0</v>
      </c>
      <c r="BV5" s="381">
        <v>0</v>
      </c>
      <c r="BW5" s="382">
        <v>8212.363636363636</v>
      </c>
      <c r="BX5" s="383">
        <v>90336</v>
      </c>
      <c r="BY5" s="173">
        <f t="shared" si="2"/>
        <v>0.14649999999999999</v>
      </c>
      <c r="BZ5" s="383">
        <v>1832</v>
      </c>
      <c r="CA5" s="173">
        <f t="shared" si="3"/>
        <v>5.1499999999999997E-2</v>
      </c>
      <c r="CB5" s="384">
        <v>2.06996293952816E-2</v>
      </c>
      <c r="CC5" s="173">
        <f t="shared" si="4"/>
        <v>0.1115</v>
      </c>
      <c r="CD5" s="165">
        <f t="shared" si="5"/>
        <v>2.4285714285714284</v>
      </c>
      <c r="CE5" s="165">
        <f t="shared" si="11"/>
        <v>754.35294117647061</v>
      </c>
      <c r="CF5" s="173">
        <f t="shared" si="6"/>
        <v>6.4500000000000002E-2</v>
      </c>
      <c r="CG5" s="383">
        <v>31672</v>
      </c>
      <c r="CH5" s="173">
        <f t="shared" si="7"/>
        <v>8.5999999999999993E-2</v>
      </c>
      <c r="CI5" s="385">
        <f t="shared" si="8"/>
        <v>1.2689999999999999</v>
      </c>
    </row>
    <row r="6" spans="1:87" ht="84">
      <c r="A6" s="205">
        <v>5</v>
      </c>
      <c r="B6" s="178" t="s">
        <v>82</v>
      </c>
      <c r="C6" s="178" t="s">
        <v>1451</v>
      </c>
      <c r="D6" s="178" t="s">
        <v>1174</v>
      </c>
      <c r="E6" s="178" t="s">
        <v>1452</v>
      </c>
      <c r="F6" s="178" t="s">
        <v>1176</v>
      </c>
      <c r="G6" s="178" t="s">
        <v>1176</v>
      </c>
      <c r="H6" s="178" t="s">
        <v>413</v>
      </c>
      <c r="I6" s="207" t="s">
        <v>2902</v>
      </c>
      <c r="J6" s="178" t="s">
        <v>2903</v>
      </c>
      <c r="K6" s="178" t="s">
        <v>2904</v>
      </c>
      <c r="L6" s="178" t="s">
        <v>2905</v>
      </c>
      <c r="M6" s="178" t="s">
        <v>2892</v>
      </c>
      <c r="N6" s="178" t="s">
        <v>2906</v>
      </c>
      <c r="O6" s="178" t="s">
        <v>2903</v>
      </c>
      <c r="Q6" s="178" t="s">
        <v>1176</v>
      </c>
      <c r="T6" s="208">
        <v>0</v>
      </c>
      <c r="U6" s="208">
        <v>0</v>
      </c>
      <c r="V6" s="208">
        <v>6</v>
      </c>
      <c r="W6" s="208">
        <v>0</v>
      </c>
      <c r="X6" s="173">
        <f t="shared" si="0"/>
        <v>0</v>
      </c>
      <c r="Y6" s="208">
        <v>0</v>
      </c>
      <c r="Z6" s="178" t="s">
        <v>1176</v>
      </c>
      <c r="AB6" s="178" t="s">
        <v>1174</v>
      </c>
      <c r="AC6" s="173">
        <v>0.5</v>
      </c>
      <c r="AD6" s="380" t="s">
        <v>2907</v>
      </c>
      <c r="AE6" s="208">
        <v>19</v>
      </c>
      <c r="AF6" s="208">
        <v>0.47368421052631582</v>
      </c>
      <c r="AG6" s="173">
        <f t="shared" si="1"/>
        <v>0.83599999999999997</v>
      </c>
      <c r="AH6" s="207" t="s">
        <v>2908</v>
      </c>
      <c r="AI6" s="207" t="s">
        <v>2909</v>
      </c>
      <c r="AJ6" s="178" t="s">
        <v>1176</v>
      </c>
      <c r="AK6" s="206">
        <f t="shared" si="9"/>
        <v>0</v>
      </c>
      <c r="AL6" s="178" t="s">
        <v>1176</v>
      </c>
      <c r="AM6" s="206">
        <f t="shared" si="9"/>
        <v>0</v>
      </c>
      <c r="AN6" s="173">
        <f t="shared" si="10"/>
        <v>0</v>
      </c>
      <c r="AO6" s="178" t="s">
        <v>421</v>
      </c>
      <c r="AP6" s="178" t="s">
        <v>1176</v>
      </c>
      <c r="AQ6" s="178" t="s">
        <v>1176</v>
      </c>
      <c r="AR6" s="207" t="s">
        <v>2910</v>
      </c>
      <c r="AS6" s="173">
        <v>0.5</v>
      </c>
      <c r="AT6" s="203">
        <v>41117</v>
      </c>
      <c r="AU6" s="208">
        <v>247</v>
      </c>
      <c r="AV6" s="208">
        <v>106</v>
      </c>
      <c r="AW6" s="208">
        <v>320339</v>
      </c>
      <c r="AX6" s="203">
        <v>41134</v>
      </c>
      <c r="AY6" s="208">
        <v>251</v>
      </c>
      <c r="AZ6" s="208">
        <v>107</v>
      </c>
      <c r="BA6" s="178" t="s">
        <v>2911</v>
      </c>
      <c r="BB6" s="178" t="s">
        <v>2912</v>
      </c>
      <c r="BC6" s="203">
        <v>41017</v>
      </c>
      <c r="BD6" s="208">
        <v>1557.6153846153845</v>
      </c>
      <c r="BE6" s="178" t="s">
        <v>1176</v>
      </c>
      <c r="BF6" s="178" t="s">
        <v>1176</v>
      </c>
      <c r="BG6" s="178" t="s">
        <v>1176</v>
      </c>
      <c r="BH6" s="207" t="s">
        <v>2913</v>
      </c>
      <c r="BI6" s="207" t="s">
        <v>2914</v>
      </c>
      <c r="BJ6" s="203">
        <v>40368</v>
      </c>
      <c r="BK6" s="208">
        <v>999</v>
      </c>
      <c r="BL6" s="208">
        <v>1.304177545691906</v>
      </c>
      <c r="BN6" s="178" t="s">
        <v>684</v>
      </c>
      <c r="BO6" s="178" t="s">
        <v>1176</v>
      </c>
      <c r="BP6" s="178" t="s">
        <v>1176</v>
      </c>
      <c r="BQ6" s="173">
        <v>0</v>
      </c>
      <c r="BR6" s="208">
        <v>4</v>
      </c>
      <c r="BS6" s="381">
        <v>1.6194331983805699E-2</v>
      </c>
      <c r="BU6" s="349">
        <v>1</v>
      </c>
      <c r="BV6" s="381">
        <v>9.4339622641508997E-3</v>
      </c>
      <c r="BW6" s="382">
        <v>3015.299065420561</v>
      </c>
      <c r="BX6" s="383">
        <v>322637</v>
      </c>
      <c r="BY6" s="173">
        <f t="shared" si="2"/>
        <v>0.25</v>
      </c>
      <c r="BZ6" s="383">
        <v>2298</v>
      </c>
      <c r="CA6" s="173">
        <f t="shared" si="3"/>
        <v>6.4500000000000002E-2</v>
      </c>
      <c r="CB6" s="384">
        <v>7.1736504140925998E-3</v>
      </c>
      <c r="CC6" s="173">
        <f t="shared" si="4"/>
        <v>2.2249999999999999E-2</v>
      </c>
      <c r="CD6" s="165">
        <f t="shared" si="5"/>
        <v>2.4285714285714284</v>
      </c>
      <c r="CE6" s="165">
        <f t="shared" si="11"/>
        <v>946.23529411764719</v>
      </c>
      <c r="CF6" s="173">
        <f t="shared" si="6"/>
        <v>7.6499999999999999E-2</v>
      </c>
      <c r="CG6" s="383">
        <v>182241</v>
      </c>
      <c r="CH6" s="173">
        <f t="shared" si="7"/>
        <v>0.16800000000000001</v>
      </c>
      <c r="CI6" s="385">
        <f t="shared" si="8"/>
        <v>2.4172500000000001</v>
      </c>
    </row>
    <row r="7" spans="1:87" ht="42">
      <c r="A7" s="205">
        <v>6</v>
      </c>
      <c r="B7" s="178" t="s">
        <v>87</v>
      </c>
      <c r="C7" s="178" t="s">
        <v>1451</v>
      </c>
      <c r="D7" s="178" t="s">
        <v>1174</v>
      </c>
      <c r="E7" s="178" t="s">
        <v>1452</v>
      </c>
      <c r="F7" s="178" t="s">
        <v>1176</v>
      </c>
      <c r="G7" s="178" t="s">
        <v>1176</v>
      </c>
      <c r="H7" s="178" t="s">
        <v>413</v>
      </c>
      <c r="I7" s="207" t="s">
        <v>2915</v>
      </c>
      <c r="J7" s="178" t="s">
        <v>2916</v>
      </c>
      <c r="K7" s="178" t="s">
        <v>2916</v>
      </c>
      <c r="L7" s="178" t="s">
        <v>2916</v>
      </c>
      <c r="M7" s="178" t="s">
        <v>2917</v>
      </c>
      <c r="O7" s="178" t="s">
        <v>2916</v>
      </c>
      <c r="Q7" s="178" t="s">
        <v>1176</v>
      </c>
      <c r="V7" s="208">
        <v>5</v>
      </c>
      <c r="W7" s="208">
        <v>0</v>
      </c>
      <c r="X7" s="173">
        <f t="shared" si="0"/>
        <v>0</v>
      </c>
      <c r="Y7" s="208">
        <v>0</v>
      </c>
      <c r="AB7" s="178" t="s">
        <v>1176</v>
      </c>
      <c r="AC7" s="173">
        <v>0</v>
      </c>
      <c r="AD7" s="380" t="s">
        <v>1893</v>
      </c>
      <c r="AE7" s="208">
        <v>20</v>
      </c>
      <c r="AF7" s="208">
        <v>0</v>
      </c>
      <c r="AG7" s="173">
        <f t="shared" si="1"/>
        <v>0</v>
      </c>
      <c r="AH7" s="207" t="s">
        <v>2918</v>
      </c>
      <c r="AI7" s="207" t="s">
        <v>2919</v>
      </c>
      <c r="AJ7" s="178" t="s">
        <v>1176</v>
      </c>
      <c r="AK7" s="206">
        <f t="shared" si="9"/>
        <v>0</v>
      </c>
      <c r="AL7" s="178" t="s">
        <v>1176</v>
      </c>
      <c r="AM7" s="206">
        <f t="shared" si="9"/>
        <v>0</v>
      </c>
      <c r="AN7" s="173">
        <f t="shared" si="10"/>
        <v>0</v>
      </c>
      <c r="AO7" s="178" t="s">
        <v>2920</v>
      </c>
      <c r="AP7" s="178" t="s">
        <v>1176</v>
      </c>
      <c r="AQ7" s="178" t="s">
        <v>1176</v>
      </c>
      <c r="AR7" s="207" t="s">
        <v>2921</v>
      </c>
      <c r="AS7" s="173">
        <v>0</v>
      </c>
      <c r="AT7" s="203">
        <v>41117</v>
      </c>
      <c r="AU7" s="208">
        <v>7</v>
      </c>
      <c r="AV7" s="208">
        <v>1</v>
      </c>
      <c r="AW7" s="208">
        <v>1042</v>
      </c>
      <c r="AX7" s="203">
        <v>41134</v>
      </c>
      <c r="AY7" s="208">
        <v>27</v>
      </c>
      <c r="AZ7" s="208">
        <v>2</v>
      </c>
      <c r="BA7" s="178" t="s">
        <v>2922</v>
      </c>
      <c r="BB7" s="178" t="s">
        <v>2923</v>
      </c>
      <c r="BC7" s="203">
        <v>41123</v>
      </c>
      <c r="BD7" s="208">
        <v>288.09090909090907</v>
      </c>
      <c r="BE7" s="178" t="s">
        <v>1176</v>
      </c>
      <c r="BF7" s="178" t="s">
        <v>1176</v>
      </c>
      <c r="BG7" s="178" t="s">
        <v>1176</v>
      </c>
      <c r="BH7" s="207" t="s">
        <v>2924</v>
      </c>
      <c r="BI7" s="207" t="s">
        <v>2925</v>
      </c>
      <c r="BJ7" s="203">
        <v>39179</v>
      </c>
      <c r="BK7" s="208">
        <v>42637</v>
      </c>
      <c r="BL7" s="208">
        <v>21.809207161125318</v>
      </c>
      <c r="BN7" s="178" t="s">
        <v>684</v>
      </c>
      <c r="BO7" s="178" t="s">
        <v>1176</v>
      </c>
      <c r="BP7" s="178" t="s">
        <v>1176</v>
      </c>
      <c r="BQ7" s="173">
        <v>0</v>
      </c>
      <c r="BR7" s="208">
        <v>20</v>
      </c>
      <c r="BS7" s="381">
        <v>2.8571428571428572</v>
      </c>
      <c r="BU7" s="349">
        <v>1</v>
      </c>
      <c r="BV7" s="381">
        <v>1</v>
      </c>
      <c r="BW7" s="382">
        <v>2300.5</v>
      </c>
      <c r="BX7" s="383">
        <v>4601</v>
      </c>
      <c r="BY7" s="173">
        <f t="shared" si="2"/>
        <v>0.06</v>
      </c>
      <c r="BZ7" s="383">
        <v>3559</v>
      </c>
      <c r="CA7" s="173">
        <f t="shared" si="3"/>
        <v>8.1750000000000003E-2</v>
      </c>
      <c r="CB7" s="384">
        <v>3.4155470249520152</v>
      </c>
      <c r="CC7" s="173">
        <f t="shared" si="4"/>
        <v>0.25</v>
      </c>
      <c r="CD7" s="165">
        <f t="shared" si="5"/>
        <v>2.4285714285714284</v>
      </c>
      <c r="CE7" s="165">
        <f t="shared" si="11"/>
        <v>1465.4705882352941</v>
      </c>
      <c r="CF7" s="173">
        <f t="shared" si="6"/>
        <v>0.10075000000000001</v>
      </c>
      <c r="CG7" s="383">
        <v>3169</v>
      </c>
      <c r="CH7" s="173">
        <f t="shared" si="7"/>
        <v>3.4250000000000003E-2</v>
      </c>
      <c r="CI7" s="385">
        <f t="shared" si="8"/>
        <v>0.52675000000000005</v>
      </c>
    </row>
    <row r="8" spans="1:87" ht="56">
      <c r="A8" s="205">
        <v>7</v>
      </c>
      <c r="B8" s="178" t="s">
        <v>90</v>
      </c>
      <c r="C8" s="178" t="s">
        <v>1451</v>
      </c>
      <c r="D8" s="178" t="s">
        <v>1174</v>
      </c>
      <c r="E8" s="178" t="s">
        <v>1452</v>
      </c>
      <c r="F8" s="178" t="s">
        <v>1176</v>
      </c>
      <c r="G8" s="178" t="s">
        <v>1176</v>
      </c>
      <c r="H8" s="178" t="s">
        <v>413</v>
      </c>
      <c r="I8" s="207" t="s">
        <v>2926</v>
      </c>
      <c r="J8" s="178" t="s">
        <v>2927</v>
      </c>
      <c r="K8" s="178" t="s">
        <v>2928</v>
      </c>
      <c r="L8" s="178" t="s">
        <v>2929</v>
      </c>
      <c r="O8" s="178" t="s">
        <v>2927</v>
      </c>
      <c r="Q8" s="178" t="s">
        <v>1176</v>
      </c>
      <c r="T8" s="208">
        <v>0</v>
      </c>
      <c r="U8" s="208">
        <v>0</v>
      </c>
      <c r="V8" s="208">
        <v>4</v>
      </c>
      <c r="W8" s="208">
        <v>0</v>
      </c>
      <c r="X8" s="173">
        <f t="shared" si="0"/>
        <v>0</v>
      </c>
      <c r="Y8" s="208">
        <v>0</v>
      </c>
      <c r="Z8" s="178" t="s">
        <v>1176</v>
      </c>
      <c r="AB8" s="178" t="s">
        <v>1174</v>
      </c>
      <c r="AC8" s="173">
        <v>0.5</v>
      </c>
      <c r="AD8" s="380" t="s">
        <v>2930</v>
      </c>
      <c r="AE8" s="208">
        <v>19</v>
      </c>
      <c r="AF8" s="208">
        <v>0.31578947368421051</v>
      </c>
      <c r="AG8" s="173">
        <f t="shared" si="1"/>
        <v>0.67200000000000004</v>
      </c>
      <c r="AH8" s="207" t="s">
        <v>2931</v>
      </c>
      <c r="AI8" s="207" t="s">
        <v>2932</v>
      </c>
      <c r="AJ8" s="178" t="s">
        <v>1174</v>
      </c>
      <c r="AK8" s="206">
        <f t="shared" si="9"/>
        <v>0.25</v>
      </c>
      <c r="AL8" s="178" t="s">
        <v>1176</v>
      </c>
      <c r="AM8" s="206">
        <f t="shared" si="9"/>
        <v>0</v>
      </c>
      <c r="AN8" s="173">
        <f t="shared" si="10"/>
        <v>0.25</v>
      </c>
      <c r="AO8" s="178" t="s">
        <v>421</v>
      </c>
      <c r="AP8" s="178" t="s">
        <v>1176</v>
      </c>
      <c r="AQ8" s="178" t="s">
        <v>1176</v>
      </c>
      <c r="AR8" s="207" t="s">
        <v>2933</v>
      </c>
      <c r="AS8" s="173">
        <v>0</v>
      </c>
      <c r="AT8" s="203">
        <v>41117</v>
      </c>
      <c r="AU8" s="208">
        <v>808</v>
      </c>
      <c r="AV8" s="208">
        <v>32</v>
      </c>
      <c r="AW8" s="208">
        <v>228472</v>
      </c>
      <c r="AX8" s="203">
        <v>41134</v>
      </c>
      <c r="AY8" s="208">
        <v>831</v>
      </c>
      <c r="AZ8" s="208">
        <v>32</v>
      </c>
      <c r="BA8" s="178" t="s">
        <v>2934</v>
      </c>
      <c r="BB8" s="178" t="s">
        <v>2932</v>
      </c>
      <c r="BC8" s="203">
        <v>40350</v>
      </c>
      <c r="BD8" s="208">
        <v>60.339285714285715</v>
      </c>
      <c r="BE8" s="178" t="s">
        <v>1176</v>
      </c>
      <c r="BF8" s="178" t="s">
        <v>1176</v>
      </c>
      <c r="BG8" s="178" t="s">
        <v>1176</v>
      </c>
      <c r="BH8" s="207" t="s">
        <v>2935</v>
      </c>
      <c r="BI8" s="207" t="s">
        <v>2936</v>
      </c>
      <c r="BJ8" s="203">
        <v>39716</v>
      </c>
      <c r="BK8" s="208">
        <v>31401</v>
      </c>
      <c r="BL8" s="208">
        <v>22.144569816643159</v>
      </c>
      <c r="BN8" s="178" t="s">
        <v>148</v>
      </c>
      <c r="BO8" s="178" t="s">
        <v>1176</v>
      </c>
      <c r="BP8" s="178" t="s">
        <v>1174</v>
      </c>
      <c r="BQ8" s="173">
        <v>0</v>
      </c>
      <c r="BR8" s="208">
        <v>23</v>
      </c>
      <c r="BS8" s="381">
        <v>2.8465346534653501E-2</v>
      </c>
      <c r="BU8" s="349">
        <v>0</v>
      </c>
      <c r="BV8" s="381">
        <v>0</v>
      </c>
      <c r="BW8" s="382">
        <v>7376.4375</v>
      </c>
      <c r="BX8" s="383">
        <v>236046</v>
      </c>
      <c r="BY8" s="173">
        <f t="shared" si="2"/>
        <v>0.20649999999999999</v>
      </c>
      <c r="BZ8" s="383">
        <v>7574</v>
      </c>
      <c r="CA8" s="173">
        <f t="shared" si="3"/>
        <v>0.12925</v>
      </c>
      <c r="CB8" s="384">
        <v>3.3150670541685599E-2</v>
      </c>
      <c r="CC8" s="173">
        <f t="shared" si="4"/>
        <v>0.1605</v>
      </c>
      <c r="CD8" s="165">
        <f t="shared" si="5"/>
        <v>2.4285714285714284</v>
      </c>
      <c r="CE8" s="165">
        <f t="shared" si="11"/>
        <v>3118.7058823529414</v>
      </c>
      <c r="CF8" s="173">
        <f t="shared" si="6"/>
        <v>0.13700000000000001</v>
      </c>
      <c r="CG8" s="383">
        <v>47306</v>
      </c>
      <c r="CH8" s="173">
        <f t="shared" si="7"/>
        <v>0.10775</v>
      </c>
      <c r="CI8" s="385">
        <f t="shared" si="8"/>
        <v>2.1630000000000003</v>
      </c>
    </row>
    <row r="9" spans="1:87" ht="84">
      <c r="A9" s="205">
        <v>8</v>
      </c>
      <c r="B9" s="178" t="s">
        <v>93</v>
      </c>
      <c r="C9" s="178" t="s">
        <v>1451</v>
      </c>
      <c r="D9" s="178" t="s">
        <v>1174</v>
      </c>
      <c r="E9" s="178" t="s">
        <v>1452</v>
      </c>
      <c r="F9" s="178" t="s">
        <v>1174</v>
      </c>
      <c r="G9" s="178" t="s">
        <v>1176</v>
      </c>
      <c r="H9" s="178" t="s">
        <v>413</v>
      </c>
      <c r="I9" s="207" t="s">
        <v>2937</v>
      </c>
      <c r="J9" s="178" t="s">
        <v>2888</v>
      </c>
      <c r="K9" s="178" t="s">
        <v>93</v>
      </c>
      <c r="L9" s="178" t="s">
        <v>2927</v>
      </c>
      <c r="M9" s="178" t="s">
        <v>2928</v>
      </c>
      <c r="N9" s="178" t="s">
        <v>2929</v>
      </c>
      <c r="O9" s="178" t="s">
        <v>2888</v>
      </c>
      <c r="Q9" s="178" t="s">
        <v>1176</v>
      </c>
      <c r="R9" s="178" t="s">
        <v>421</v>
      </c>
      <c r="T9" s="208">
        <v>1</v>
      </c>
      <c r="U9" s="208">
        <v>2</v>
      </c>
      <c r="V9" s="208">
        <v>6</v>
      </c>
      <c r="W9" s="208">
        <v>0.16666666666666671</v>
      </c>
      <c r="X9" s="173">
        <f t="shared" si="0"/>
        <v>0.5</v>
      </c>
      <c r="Y9" s="208">
        <v>0.33333333333333331</v>
      </c>
      <c r="Z9" s="178" t="s">
        <v>1174</v>
      </c>
      <c r="AA9" s="207" t="s">
        <v>2938</v>
      </c>
      <c r="AB9" s="178" t="s">
        <v>1174</v>
      </c>
      <c r="AC9" s="173">
        <v>0.5</v>
      </c>
      <c r="AD9" s="380" t="s">
        <v>2939</v>
      </c>
      <c r="AE9" s="208">
        <v>19</v>
      </c>
      <c r="AF9" s="208">
        <v>0.84210526315789469</v>
      </c>
      <c r="AG9" s="173">
        <f t="shared" si="1"/>
        <v>1</v>
      </c>
      <c r="AH9" s="207" t="s">
        <v>2940</v>
      </c>
      <c r="AI9" s="207" t="s">
        <v>2941</v>
      </c>
      <c r="AJ9" s="178" t="s">
        <v>1176</v>
      </c>
      <c r="AK9" s="206">
        <f t="shared" si="9"/>
        <v>0</v>
      </c>
      <c r="AL9" s="178" t="s">
        <v>1176</v>
      </c>
      <c r="AM9" s="206">
        <f t="shared" si="9"/>
        <v>0</v>
      </c>
      <c r="AN9" s="173">
        <f t="shared" si="10"/>
        <v>0</v>
      </c>
      <c r="AO9" s="178" t="s">
        <v>421</v>
      </c>
      <c r="AP9" s="178" t="s">
        <v>1176</v>
      </c>
      <c r="AQ9" s="178" t="s">
        <v>1176</v>
      </c>
      <c r="AR9" s="207" t="s">
        <v>2942</v>
      </c>
      <c r="AS9" s="173">
        <v>0.5</v>
      </c>
      <c r="AT9" s="203">
        <v>41117</v>
      </c>
      <c r="AU9" s="208">
        <v>38717</v>
      </c>
      <c r="AV9" s="208">
        <v>273</v>
      </c>
      <c r="AW9" s="208">
        <v>15006701</v>
      </c>
      <c r="AX9" s="203">
        <v>41135</v>
      </c>
      <c r="AY9" s="208">
        <v>39485</v>
      </c>
      <c r="AZ9" s="208">
        <v>275</v>
      </c>
      <c r="BA9" s="178" t="s">
        <v>2943</v>
      </c>
      <c r="BB9" s="178" t="s">
        <v>2944</v>
      </c>
      <c r="BC9" s="203">
        <v>40347</v>
      </c>
      <c r="BD9" s="208">
        <v>850.6649746192893</v>
      </c>
      <c r="BE9" s="178" t="s">
        <v>1176</v>
      </c>
      <c r="BF9" s="178" t="s">
        <v>1176</v>
      </c>
      <c r="BG9" s="178" t="s">
        <v>1176</v>
      </c>
      <c r="BH9" s="207" t="s">
        <v>2945</v>
      </c>
      <c r="BI9" s="207" t="s">
        <v>2946</v>
      </c>
      <c r="BJ9" s="203">
        <v>41085</v>
      </c>
      <c r="BK9" s="208">
        <v>2098</v>
      </c>
      <c r="BL9" s="208">
        <v>41.96</v>
      </c>
      <c r="BN9" s="178" t="s">
        <v>2947</v>
      </c>
      <c r="BO9" s="178" t="s">
        <v>1176</v>
      </c>
      <c r="BP9" s="178" t="s">
        <v>1176</v>
      </c>
      <c r="BQ9" s="173">
        <v>0</v>
      </c>
      <c r="BR9" s="208">
        <v>768</v>
      </c>
      <c r="BS9" s="381">
        <v>1.9836247643154201E-2</v>
      </c>
      <c r="BU9" s="349">
        <v>2</v>
      </c>
      <c r="BV9" s="381">
        <v>7.3260073260073E-3</v>
      </c>
      <c r="BW9" s="382">
        <v>56313.574545454547</v>
      </c>
      <c r="BX9" s="383">
        <v>15486233</v>
      </c>
      <c r="BY9" s="173">
        <f t="shared" si="2"/>
        <v>0.48249999999999998</v>
      </c>
      <c r="BZ9" s="383">
        <v>479532</v>
      </c>
      <c r="CA9" s="173">
        <f t="shared" si="3"/>
        <v>0.24124999999999999</v>
      </c>
      <c r="CB9" s="384">
        <v>3.19545248485993E-2</v>
      </c>
      <c r="CC9" s="173">
        <f t="shared" si="4"/>
        <v>0.14724999999999999</v>
      </c>
      <c r="CD9" s="165">
        <f t="shared" si="5"/>
        <v>2.5714285714285716</v>
      </c>
      <c r="CE9" s="165">
        <f t="shared" si="11"/>
        <v>186484.66666666666</v>
      </c>
      <c r="CF9" s="173">
        <f t="shared" si="6"/>
        <v>0.24174999999999999</v>
      </c>
      <c r="CG9" s="383">
        <v>670324</v>
      </c>
      <c r="CH9" s="173">
        <f t="shared" si="7"/>
        <v>0.20674999999999999</v>
      </c>
      <c r="CI9" s="385">
        <f t="shared" si="8"/>
        <v>3.8194999999999997</v>
      </c>
    </row>
    <row r="10" spans="1:87" ht="56">
      <c r="A10" s="205">
        <v>9</v>
      </c>
      <c r="B10" s="178" t="s">
        <v>96</v>
      </c>
      <c r="C10" s="178" t="s">
        <v>1451</v>
      </c>
      <c r="D10" s="178" t="s">
        <v>1174</v>
      </c>
      <c r="E10" s="178" t="s">
        <v>1452</v>
      </c>
      <c r="F10" s="178" t="s">
        <v>1176</v>
      </c>
      <c r="G10" s="178" t="s">
        <v>1176</v>
      </c>
      <c r="H10" s="178" t="s">
        <v>413</v>
      </c>
      <c r="I10" s="207" t="s">
        <v>2948</v>
      </c>
      <c r="J10" s="178" t="s">
        <v>2927</v>
      </c>
      <c r="Q10" s="178" t="s">
        <v>1174</v>
      </c>
      <c r="R10" s="178" t="s">
        <v>2949</v>
      </c>
      <c r="T10" s="208">
        <v>0</v>
      </c>
      <c r="U10" s="208">
        <v>0</v>
      </c>
      <c r="V10" s="208">
        <v>2</v>
      </c>
      <c r="W10" s="208">
        <v>0</v>
      </c>
      <c r="X10" s="173">
        <f t="shared" si="0"/>
        <v>0</v>
      </c>
      <c r="Y10" s="208">
        <v>0</v>
      </c>
      <c r="Z10" s="178" t="s">
        <v>1176</v>
      </c>
      <c r="AB10" s="178" t="s">
        <v>1174</v>
      </c>
      <c r="AC10" s="173">
        <v>0.5</v>
      </c>
      <c r="AD10" s="380" t="s">
        <v>1925</v>
      </c>
      <c r="AE10" s="208">
        <v>19</v>
      </c>
      <c r="AF10" s="208">
        <v>0.2105263157894737</v>
      </c>
      <c r="AG10" s="173">
        <f t="shared" si="1"/>
        <v>0.50900000000000001</v>
      </c>
      <c r="AH10" s="207" t="s">
        <v>2950</v>
      </c>
      <c r="AI10" s="207" t="s">
        <v>2951</v>
      </c>
      <c r="AJ10" s="178" t="s">
        <v>1176</v>
      </c>
      <c r="AK10" s="206">
        <f t="shared" si="9"/>
        <v>0</v>
      </c>
      <c r="AL10" s="178" t="s">
        <v>1176</v>
      </c>
      <c r="AM10" s="206">
        <f t="shared" si="9"/>
        <v>0</v>
      </c>
      <c r="AN10" s="173">
        <f t="shared" si="10"/>
        <v>0</v>
      </c>
      <c r="AO10" s="178" t="s">
        <v>421</v>
      </c>
      <c r="AP10" s="178" t="s">
        <v>1176</v>
      </c>
      <c r="AQ10" s="178" t="s">
        <v>1176</v>
      </c>
      <c r="AR10" s="207" t="s">
        <v>2952</v>
      </c>
      <c r="AS10" s="173">
        <v>0</v>
      </c>
      <c r="AT10" s="203">
        <v>41117</v>
      </c>
      <c r="AU10" s="208">
        <v>5907</v>
      </c>
      <c r="AV10" s="208">
        <v>106</v>
      </c>
      <c r="AW10" s="208">
        <v>5377541</v>
      </c>
      <c r="AX10" s="203">
        <v>41135</v>
      </c>
      <c r="AY10" s="208">
        <v>6003</v>
      </c>
      <c r="AZ10" s="208">
        <v>106</v>
      </c>
      <c r="BA10" s="178" t="s">
        <v>2953</v>
      </c>
      <c r="BB10" s="178" t="s">
        <v>2951</v>
      </c>
      <c r="BC10" s="203">
        <v>40557</v>
      </c>
      <c r="BD10" s="208">
        <v>1599.3408304498271</v>
      </c>
      <c r="BE10" s="178" t="s">
        <v>1176</v>
      </c>
      <c r="BF10" s="178" t="s">
        <v>1176</v>
      </c>
      <c r="BG10" s="178" t="s">
        <v>1176</v>
      </c>
      <c r="BH10" s="207" t="s">
        <v>2954</v>
      </c>
      <c r="BI10" s="207" t="s">
        <v>2955</v>
      </c>
      <c r="BJ10" s="203">
        <v>39979</v>
      </c>
      <c r="BK10" s="208">
        <v>1416318</v>
      </c>
      <c r="BL10" s="208">
        <v>1225.188581314879</v>
      </c>
      <c r="BM10" s="178" t="s">
        <v>2956</v>
      </c>
      <c r="BO10" s="178" t="s">
        <v>1176</v>
      </c>
      <c r="BP10" s="178" t="s">
        <v>1176</v>
      </c>
      <c r="BQ10" s="173">
        <v>0</v>
      </c>
      <c r="BR10" s="208">
        <v>96</v>
      </c>
      <c r="BS10" s="381">
        <v>1.6251904520060902E-2</v>
      </c>
      <c r="BU10" s="349">
        <v>0</v>
      </c>
      <c r="BV10" s="381">
        <v>0</v>
      </c>
      <c r="BW10" s="382">
        <v>51066.858490566039</v>
      </c>
      <c r="BX10" s="383">
        <v>5413087</v>
      </c>
      <c r="BY10" s="173">
        <f t="shared" si="2"/>
        <v>0.43099999999999999</v>
      </c>
      <c r="BZ10" s="383">
        <v>35546</v>
      </c>
      <c r="CA10" s="173">
        <f t="shared" si="3"/>
        <v>0.19825000000000001</v>
      </c>
      <c r="CB10" s="384">
        <v>6.6100844233451996E-3</v>
      </c>
      <c r="CC10" s="173">
        <f t="shared" si="4"/>
        <v>1.7749999999999998E-2</v>
      </c>
      <c r="CD10" s="165">
        <f t="shared" si="5"/>
        <v>2.5714285714285716</v>
      </c>
      <c r="CE10" s="165">
        <f t="shared" si="11"/>
        <v>13823.444444444443</v>
      </c>
      <c r="CF10" s="173">
        <f t="shared" si="6"/>
        <v>0.20549999999999999</v>
      </c>
      <c r="CG10" s="383">
        <v>924419</v>
      </c>
      <c r="CH10" s="173">
        <f t="shared" si="7"/>
        <v>0.21975</v>
      </c>
      <c r="CI10" s="385">
        <f t="shared" si="8"/>
        <v>2.0812499999999998</v>
      </c>
    </row>
    <row r="11" spans="1:87" ht="42">
      <c r="A11" s="205">
        <v>10</v>
      </c>
      <c r="B11" s="178" t="s">
        <v>100</v>
      </c>
      <c r="C11" s="178" t="s">
        <v>1451</v>
      </c>
      <c r="D11" s="178" t="s">
        <v>1174</v>
      </c>
      <c r="E11" s="178" t="s">
        <v>1452</v>
      </c>
      <c r="F11" s="178" t="s">
        <v>1176</v>
      </c>
      <c r="G11" s="178" t="s">
        <v>1176</v>
      </c>
      <c r="H11" s="178" t="s">
        <v>413</v>
      </c>
      <c r="I11" s="207" t="s">
        <v>2957</v>
      </c>
      <c r="Q11" s="178" t="s">
        <v>1176</v>
      </c>
      <c r="R11" s="178" t="s">
        <v>421</v>
      </c>
      <c r="T11" s="208">
        <v>0</v>
      </c>
      <c r="U11" s="208">
        <v>0</v>
      </c>
      <c r="V11" s="208">
        <v>0</v>
      </c>
      <c r="W11" s="208">
        <v>0</v>
      </c>
      <c r="X11" s="173">
        <f t="shared" si="0"/>
        <v>0</v>
      </c>
      <c r="Y11" s="208" t="s">
        <v>2534</v>
      </c>
      <c r="Z11" s="178" t="s">
        <v>1176</v>
      </c>
      <c r="AB11" s="178" t="s">
        <v>1174</v>
      </c>
      <c r="AC11" s="173">
        <v>0.5</v>
      </c>
      <c r="AD11" s="380" t="s">
        <v>2101</v>
      </c>
      <c r="AE11" s="208">
        <v>19</v>
      </c>
      <c r="AF11" s="208">
        <v>5.2631578947368397E-2</v>
      </c>
      <c r="AG11" s="173">
        <f t="shared" si="1"/>
        <v>0.23599999999999999</v>
      </c>
      <c r="AH11" s="207" t="s">
        <v>2958</v>
      </c>
      <c r="AI11" s="207" t="s">
        <v>2959</v>
      </c>
      <c r="AJ11" s="178" t="s">
        <v>1176</v>
      </c>
      <c r="AK11" s="206">
        <f t="shared" si="9"/>
        <v>0</v>
      </c>
      <c r="AL11" s="178" t="s">
        <v>1176</v>
      </c>
      <c r="AM11" s="206">
        <f t="shared" si="9"/>
        <v>0</v>
      </c>
      <c r="AN11" s="173">
        <f t="shared" si="10"/>
        <v>0</v>
      </c>
      <c r="AO11" s="178" t="s">
        <v>2891</v>
      </c>
      <c r="AP11" s="178" t="s">
        <v>1176</v>
      </c>
      <c r="AQ11" s="178" t="s">
        <v>1176</v>
      </c>
      <c r="AR11" s="207" t="s">
        <v>2960</v>
      </c>
      <c r="AS11" s="173">
        <v>0</v>
      </c>
      <c r="AT11" s="203">
        <v>41117</v>
      </c>
      <c r="AU11" s="208">
        <v>36</v>
      </c>
      <c r="AV11" s="208">
        <v>24</v>
      </c>
      <c r="AW11" s="208">
        <v>2819</v>
      </c>
      <c r="AX11" s="203">
        <v>41135</v>
      </c>
      <c r="AY11" s="208">
        <v>36</v>
      </c>
      <c r="AZ11" s="208">
        <v>24</v>
      </c>
      <c r="BA11" s="178" t="s">
        <v>2961</v>
      </c>
      <c r="BB11" s="178" t="s">
        <v>2962</v>
      </c>
      <c r="BC11" s="203">
        <v>40456</v>
      </c>
      <c r="BD11" s="208">
        <v>0.75699558173784975</v>
      </c>
      <c r="BE11" s="178" t="s">
        <v>1176</v>
      </c>
      <c r="BF11" s="178" t="s">
        <v>1176</v>
      </c>
      <c r="BG11" s="178" t="s">
        <v>1176</v>
      </c>
      <c r="BH11" s="207" t="s">
        <v>2963</v>
      </c>
      <c r="BI11" s="207" t="s">
        <v>2964</v>
      </c>
      <c r="BJ11" s="203">
        <v>40788</v>
      </c>
      <c r="BK11" s="208">
        <v>123550</v>
      </c>
      <c r="BL11" s="208">
        <v>356.05187319884726</v>
      </c>
      <c r="BN11" s="178" t="s">
        <v>684</v>
      </c>
      <c r="BO11" s="178" t="s">
        <v>1176</v>
      </c>
      <c r="BP11" s="178" t="s">
        <v>1176</v>
      </c>
      <c r="BQ11" s="173">
        <v>0</v>
      </c>
      <c r="BR11" s="208">
        <v>0</v>
      </c>
      <c r="BS11" s="381">
        <v>0</v>
      </c>
      <c r="BU11" s="349">
        <v>0</v>
      </c>
      <c r="BV11" s="381">
        <v>0</v>
      </c>
      <c r="BW11" s="382">
        <v>119.16666666666667</v>
      </c>
      <c r="BX11" s="383">
        <v>2860</v>
      </c>
      <c r="BY11" s="173">
        <f t="shared" si="2"/>
        <v>4.2999999999999997E-2</v>
      </c>
      <c r="BZ11" s="383">
        <v>41</v>
      </c>
      <c r="CA11" s="173">
        <f t="shared" si="3"/>
        <v>1.7000000000000001E-2</v>
      </c>
      <c r="CB11" s="384">
        <v>1.4544164597375E-2</v>
      </c>
      <c r="CC11" s="173">
        <f t="shared" si="4"/>
        <v>9.375E-2</v>
      </c>
      <c r="CD11" s="165">
        <f t="shared" si="5"/>
        <v>2.5714285714285716</v>
      </c>
      <c r="CE11" s="165">
        <f t="shared" si="11"/>
        <v>15.944444444444443</v>
      </c>
      <c r="CF11" s="173">
        <f t="shared" si="6"/>
        <v>3.2250000000000001E-2</v>
      </c>
      <c r="CG11" s="383">
        <v>514</v>
      </c>
      <c r="CH11" s="173">
        <f t="shared" si="7"/>
        <v>1.7000000000000001E-2</v>
      </c>
      <c r="CI11" s="385">
        <f t="shared" si="8"/>
        <v>0.93900000000000006</v>
      </c>
    </row>
    <row r="12" spans="1:87" ht="56">
      <c r="A12" s="205">
        <v>11</v>
      </c>
      <c r="B12" s="178" t="s">
        <v>102</v>
      </c>
      <c r="C12" s="178" t="s">
        <v>1451</v>
      </c>
      <c r="D12" s="178" t="s">
        <v>1174</v>
      </c>
      <c r="E12" s="178" t="s">
        <v>1452</v>
      </c>
      <c r="F12" s="178" t="s">
        <v>1176</v>
      </c>
      <c r="G12" s="178" t="s">
        <v>1176</v>
      </c>
      <c r="H12" s="178" t="s">
        <v>413</v>
      </c>
      <c r="I12" s="207" t="s">
        <v>2965</v>
      </c>
      <c r="J12" s="178" t="s">
        <v>2859</v>
      </c>
      <c r="K12" s="178" t="s">
        <v>2966</v>
      </c>
      <c r="O12" s="178" t="s">
        <v>2859</v>
      </c>
      <c r="Q12" s="178" t="s">
        <v>1174</v>
      </c>
      <c r="R12" s="178" t="s">
        <v>2949</v>
      </c>
      <c r="T12" s="208">
        <v>0</v>
      </c>
      <c r="U12" s="208">
        <v>0</v>
      </c>
      <c r="V12" s="208">
        <v>4</v>
      </c>
      <c r="W12" s="208">
        <v>0</v>
      </c>
      <c r="X12" s="173">
        <f t="shared" si="0"/>
        <v>0</v>
      </c>
      <c r="Y12" s="208">
        <v>0</v>
      </c>
      <c r="Z12" s="178" t="s">
        <v>1176</v>
      </c>
      <c r="AB12" s="178" t="s">
        <v>1174</v>
      </c>
      <c r="AC12" s="173">
        <v>0.5</v>
      </c>
      <c r="AD12" s="380" t="s">
        <v>2967</v>
      </c>
      <c r="AE12" s="208">
        <v>16</v>
      </c>
      <c r="AF12" s="208">
        <v>0.5</v>
      </c>
      <c r="AG12" s="173">
        <f t="shared" si="1"/>
        <v>0.89</v>
      </c>
      <c r="AH12" s="207" t="s">
        <v>2968</v>
      </c>
      <c r="AI12" s="207" t="s">
        <v>2969</v>
      </c>
      <c r="AJ12" s="178" t="s">
        <v>1176</v>
      </c>
      <c r="AK12" s="206">
        <f t="shared" si="9"/>
        <v>0</v>
      </c>
      <c r="AL12" s="178" t="s">
        <v>1176</v>
      </c>
      <c r="AM12" s="206">
        <f t="shared" si="9"/>
        <v>0</v>
      </c>
      <c r="AN12" s="173">
        <f t="shared" si="10"/>
        <v>0</v>
      </c>
      <c r="AO12" s="178" t="s">
        <v>421</v>
      </c>
      <c r="AP12" s="178" t="s">
        <v>1176</v>
      </c>
      <c r="AQ12" s="178" t="s">
        <v>1176</v>
      </c>
      <c r="AR12" s="207" t="s">
        <v>2970</v>
      </c>
      <c r="AS12" s="173">
        <v>0</v>
      </c>
      <c r="AT12" s="203">
        <v>41117</v>
      </c>
      <c r="AU12" s="208">
        <v>27742</v>
      </c>
      <c r="AV12" s="208">
        <v>139</v>
      </c>
      <c r="AW12" s="208">
        <v>7712601</v>
      </c>
      <c r="AX12" s="203">
        <v>41135</v>
      </c>
      <c r="AY12" s="208">
        <v>28715</v>
      </c>
      <c r="AZ12" s="208">
        <v>141</v>
      </c>
      <c r="BA12" s="178" t="s">
        <v>2971</v>
      </c>
      <c r="BB12" s="178" t="s">
        <v>2972</v>
      </c>
      <c r="BC12" s="203">
        <v>40395</v>
      </c>
      <c r="BD12" s="208">
        <v>1925.0783783783784</v>
      </c>
      <c r="BE12" s="178" t="s">
        <v>1176</v>
      </c>
      <c r="BF12" s="178" t="s">
        <v>1176</v>
      </c>
      <c r="BG12" s="178" t="s">
        <v>1176</v>
      </c>
      <c r="BH12" s="207" t="s">
        <v>2973</v>
      </c>
      <c r="BI12" s="207" t="s">
        <v>2974</v>
      </c>
      <c r="BJ12" s="203">
        <v>38708</v>
      </c>
      <c r="BK12" s="208">
        <v>2988851</v>
      </c>
      <c r="BL12" s="208">
        <v>1231.5002060156571</v>
      </c>
      <c r="BN12" s="178" t="s">
        <v>684</v>
      </c>
      <c r="BO12" s="178" t="s">
        <v>1176</v>
      </c>
      <c r="BP12" s="178" t="s">
        <v>1176</v>
      </c>
      <c r="BQ12" s="173">
        <v>0</v>
      </c>
      <c r="BR12" s="208">
        <v>973</v>
      </c>
      <c r="BS12" s="381">
        <v>3.5073174248432003E-2</v>
      </c>
      <c r="BU12" s="349">
        <v>2</v>
      </c>
      <c r="BV12" s="381">
        <v>1.4388489208633099E-2</v>
      </c>
      <c r="BW12" s="382">
        <v>57761.702127659577</v>
      </c>
      <c r="BX12" s="383">
        <v>8144400</v>
      </c>
      <c r="BY12" s="173">
        <f t="shared" si="2"/>
        <v>0.45650000000000002</v>
      </c>
      <c r="BZ12" s="383">
        <v>431799</v>
      </c>
      <c r="CA12" s="173">
        <f t="shared" si="3"/>
        <v>0.23275000000000001</v>
      </c>
      <c r="CB12" s="384">
        <v>5.5986171202166403E-2</v>
      </c>
      <c r="CC12" s="173">
        <f t="shared" si="4"/>
        <v>0.1875</v>
      </c>
      <c r="CD12" s="165">
        <f t="shared" si="5"/>
        <v>2.5714285714285716</v>
      </c>
      <c r="CE12" s="165">
        <f t="shared" si="11"/>
        <v>167921.83333333331</v>
      </c>
      <c r="CF12" s="173">
        <f t="shared" si="6"/>
        <v>0.23375000000000001</v>
      </c>
      <c r="CG12" s="383">
        <v>1424558</v>
      </c>
      <c r="CH12" s="173">
        <f t="shared" si="7"/>
        <v>0.22825000000000001</v>
      </c>
      <c r="CI12" s="385">
        <f t="shared" si="8"/>
        <v>2.7287500000000002</v>
      </c>
    </row>
    <row r="13" spans="1:87" ht="70">
      <c r="A13" s="205">
        <v>12</v>
      </c>
      <c r="B13" s="178" t="s">
        <v>104</v>
      </c>
      <c r="C13" s="178" t="s">
        <v>1451</v>
      </c>
      <c r="D13" s="178" t="s">
        <v>1174</v>
      </c>
      <c r="E13" s="178" t="s">
        <v>1452</v>
      </c>
      <c r="F13" s="178" t="s">
        <v>1176</v>
      </c>
      <c r="G13" s="178" t="s">
        <v>1176</v>
      </c>
      <c r="H13" s="178" t="s">
        <v>413</v>
      </c>
      <c r="I13" s="207" t="s">
        <v>2975</v>
      </c>
      <c r="J13" s="178" t="s">
        <v>2927</v>
      </c>
      <c r="Q13" s="178" t="s">
        <v>1176</v>
      </c>
      <c r="R13" s="178" t="s">
        <v>421</v>
      </c>
      <c r="T13" s="208">
        <v>0</v>
      </c>
      <c r="U13" s="208">
        <v>0</v>
      </c>
      <c r="V13" s="208">
        <v>1</v>
      </c>
      <c r="W13" s="208">
        <v>0</v>
      </c>
      <c r="X13" s="173">
        <f t="shared" si="0"/>
        <v>0</v>
      </c>
      <c r="Y13" s="208">
        <v>0</v>
      </c>
      <c r="Z13" s="178" t="s">
        <v>1176</v>
      </c>
      <c r="AB13" s="178" t="s">
        <v>1174</v>
      </c>
      <c r="AC13" s="173">
        <v>0.5</v>
      </c>
      <c r="AD13" s="380" t="s">
        <v>1893</v>
      </c>
      <c r="AE13" s="208">
        <v>19</v>
      </c>
      <c r="AF13" s="208">
        <v>0</v>
      </c>
      <c r="AG13" s="173">
        <f t="shared" si="1"/>
        <v>0</v>
      </c>
      <c r="AH13" s="207" t="s">
        <v>2976</v>
      </c>
      <c r="AI13" s="207" t="s">
        <v>2977</v>
      </c>
      <c r="AJ13" s="178" t="s">
        <v>1176</v>
      </c>
      <c r="AK13" s="206">
        <f t="shared" si="9"/>
        <v>0</v>
      </c>
      <c r="AL13" s="178" t="s">
        <v>1176</v>
      </c>
      <c r="AM13" s="206">
        <f t="shared" si="9"/>
        <v>0</v>
      </c>
      <c r="AN13" s="173">
        <f t="shared" si="10"/>
        <v>0</v>
      </c>
      <c r="AO13" s="178" t="s">
        <v>2978</v>
      </c>
      <c r="AP13" s="178" t="s">
        <v>1176</v>
      </c>
      <c r="AQ13" s="178" t="s">
        <v>1176</v>
      </c>
      <c r="AR13" s="207" t="s">
        <v>2979</v>
      </c>
      <c r="AS13" s="173">
        <v>0</v>
      </c>
      <c r="AT13" s="203">
        <v>41117</v>
      </c>
      <c r="AU13" s="208">
        <v>1522</v>
      </c>
      <c r="AV13" s="208">
        <v>33</v>
      </c>
      <c r="AW13" s="208">
        <v>773424</v>
      </c>
      <c r="AX13" s="203">
        <v>41135</v>
      </c>
      <c r="AY13" s="208">
        <v>1548</v>
      </c>
      <c r="AZ13" s="208">
        <v>33</v>
      </c>
      <c r="BA13" s="178" t="s">
        <v>2980</v>
      </c>
      <c r="BB13" s="178" t="s">
        <v>2981</v>
      </c>
      <c r="BC13" s="203">
        <v>40443</v>
      </c>
      <c r="BD13" s="208">
        <v>520.96242774566474</v>
      </c>
      <c r="BE13" s="178" t="s">
        <v>1176</v>
      </c>
      <c r="BF13" s="178" t="s">
        <v>1176</v>
      </c>
      <c r="BG13" s="178" t="s">
        <v>1176</v>
      </c>
      <c r="BH13" s="207" t="s">
        <v>2982</v>
      </c>
      <c r="BI13" s="207" t="s">
        <v>2983</v>
      </c>
      <c r="BJ13" s="203">
        <v>40973</v>
      </c>
      <c r="BK13" s="208">
        <v>20240</v>
      </c>
      <c r="BL13" s="208">
        <v>124.93827160493827</v>
      </c>
      <c r="BN13" s="178" t="s">
        <v>684</v>
      </c>
      <c r="BO13" s="178" t="s">
        <v>1176</v>
      </c>
      <c r="BP13" s="178" t="s">
        <v>1176</v>
      </c>
      <c r="BQ13" s="173">
        <v>0</v>
      </c>
      <c r="BR13" s="208">
        <v>26</v>
      </c>
      <c r="BS13" s="381">
        <v>1.7082785808147202E-2</v>
      </c>
      <c r="BU13" s="349">
        <v>0</v>
      </c>
      <c r="BV13" s="381">
        <v>0</v>
      </c>
      <c r="BW13" s="382">
        <v>23717.363636363636</v>
      </c>
      <c r="BX13" s="383">
        <v>782673</v>
      </c>
      <c r="BY13" s="173">
        <f t="shared" si="2"/>
        <v>0.34449999999999997</v>
      </c>
      <c r="BZ13" s="383">
        <v>9249</v>
      </c>
      <c r="CA13" s="173">
        <f t="shared" si="3"/>
        <v>0.13350000000000001</v>
      </c>
      <c r="CB13" s="384">
        <v>1.1958511760690099E-2</v>
      </c>
      <c r="CC13" s="173">
        <f t="shared" si="4"/>
        <v>7.1249999999999994E-2</v>
      </c>
      <c r="CD13" s="165">
        <f t="shared" si="5"/>
        <v>2.5714285714285716</v>
      </c>
      <c r="CE13" s="165">
        <f t="shared" si="11"/>
        <v>3596.833333333333</v>
      </c>
      <c r="CF13" s="173">
        <f t="shared" si="6"/>
        <v>0.14099999999999999</v>
      </c>
      <c r="CG13" s="383">
        <v>360506</v>
      </c>
      <c r="CH13" s="173">
        <f t="shared" si="7"/>
        <v>0.19375000000000001</v>
      </c>
      <c r="CI13" s="385">
        <f t="shared" si="8"/>
        <v>1.3839999999999999</v>
      </c>
    </row>
    <row r="14" spans="1:87" ht="70">
      <c r="A14" s="205">
        <v>13</v>
      </c>
      <c r="B14" s="178" t="s">
        <v>106</v>
      </c>
      <c r="C14" s="178" t="s">
        <v>1451</v>
      </c>
      <c r="D14" s="178" t="s">
        <v>1174</v>
      </c>
      <c r="E14" s="178" t="s">
        <v>1452</v>
      </c>
      <c r="F14" s="178" t="s">
        <v>1176</v>
      </c>
      <c r="G14" s="178" t="s">
        <v>1176</v>
      </c>
      <c r="H14" s="178" t="s">
        <v>413</v>
      </c>
      <c r="I14" s="207" t="s">
        <v>2984</v>
      </c>
      <c r="J14" s="178" t="s">
        <v>2859</v>
      </c>
      <c r="O14" s="178" t="s">
        <v>2859</v>
      </c>
      <c r="Q14" s="178" t="s">
        <v>1176</v>
      </c>
      <c r="R14" s="178" t="s">
        <v>421</v>
      </c>
      <c r="T14" s="208">
        <v>0</v>
      </c>
      <c r="U14" s="208">
        <v>0</v>
      </c>
      <c r="V14" s="208">
        <v>2</v>
      </c>
      <c r="W14" s="208">
        <v>0</v>
      </c>
      <c r="X14" s="173">
        <f t="shared" si="0"/>
        <v>0</v>
      </c>
      <c r="Y14" s="208">
        <v>0</v>
      </c>
      <c r="Z14" s="178" t="s">
        <v>1176</v>
      </c>
      <c r="AB14" s="178" t="s">
        <v>1174</v>
      </c>
      <c r="AC14" s="173">
        <v>0.5</v>
      </c>
      <c r="AD14" s="380" t="s">
        <v>2907</v>
      </c>
      <c r="AE14" s="208">
        <v>19</v>
      </c>
      <c r="AF14" s="208">
        <v>0.47368421052631582</v>
      </c>
      <c r="AG14" s="173">
        <f t="shared" si="1"/>
        <v>0.83599999999999997</v>
      </c>
      <c r="AH14" s="207" t="s">
        <v>2985</v>
      </c>
      <c r="AI14" s="207" t="s">
        <v>2986</v>
      </c>
      <c r="AJ14" s="178" t="s">
        <v>1176</v>
      </c>
      <c r="AK14" s="206">
        <f t="shared" si="9"/>
        <v>0</v>
      </c>
      <c r="AL14" s="178" t="s">
        <v>1176</v>
      </c>
      <c r="AM14" s="206">
        <f t="shared" si="9"/>
        <v>0</v>
      </c>
      <c r="AN14" s="173">
        <f t="shared" si="10"/>
        <v>0</v>
      </c>
      <c r="AO14" s="178" t="s">
        <v>421</v>
      </c>
      <c r="AP14" s="178" t="s">
        <v>1176</v>
      </c>
      <c r="AQ14" s="178" t="s">
        <v>1176</v>
      </c>
      <c r="AR14" s="207" t="s">
        <v>2987</v>
      </c>
      <c r="AS14" s="173">
        <v>0</v>
      </c>
      <c r="AT14" s="203">
        <v>41117</v>
      </c>
      <c r="AU14" s="208">
        <v>24210</v>
      </c>
      <c r="AV14" s="208">
        <v>147</v>
      </c>
      <c r="AW14" s="204">
        <v>53930117</v>
      </c>
      <c r="AX14" s="203">
        <v>41135</v>
      </c>
      <c r="AY14" s="208">
        <v>25021</v>
      </c>
      <c r="AZ14" s="208">
        <v>149</v>
      </c>
      <c r="BA14" s="178" t="s">
        <v>2988</v>
      </c>
      <c r="BB14" s="178" t="s">
        <v>2989</v>
      </c>
      <c r="BC14" s="203">
        <v>41031</v>
      </c>
      <c r="BD14" s="208">
        <v>167261.42307692306</v>
      </c>
      <c r="BE14" s="178" t="s">
        <v>1176</v>
      </c>
      <c r="BF14" s="178" t="s">
        <v>1176</v>
      </c>
      <c r="BG14" s="178" t="s">
        <v>1176</v>
      </c>
      <c r="BH14" s="207" t="s">
        <v>2990</v>
      </c>
      <c r="BI14" s="207" t="s">
        <v>2991</v>
      </c>
      <c r="BJ14" s="203">
        <v>39787</v>
      </c>
      <c r="BK14" s="208">
        <v>1442020</v>
      </c>
      <c r="BL14" s="208">
        <v>1069.7477744807122</v>
      </c>
      <c r="BN14" s="178" t="s">
        <v>684</v>
      </c>
      <c r="BO14" s="178" t="s">
        <v>1176</v>
      </c>
      <c r="BP14" s="178" t="s">
        <v>1176</v>
      </c>
      <c r="BQ14" s="173">
        <v>0</v>
      </c>
      <c r="BR14" s="208">
        <v>811</v>
      </c>
      <c r="BS14" s="381">
        <v>3.3498554316398199E-2</v>
      </c>
      <c r="BT14" s="208">
        <v>0</v>
      </c>
      <c r="BU14" s="349">
        <v>2</v>
      </c>
      <c r="BV14" s="381">
        <v>1.3605442176870699E-2</v>
      </c>
      <c r="BW14" s="382">
        <v>358279.10067114094</v>
      </c>
      <c r="BX14" s="386">
        <v>54490803</v>
      </c>
      <c r="BY14" s="173">
        <f t="shared" si="2"/>
        <v>0.5</v>
      </c>
      <c r="BZ14" s="383">
        <f>BX14-AW14</f>
        <v>560686</v>
      </c>
      <c r="CA14" s="173">
        <f t="shared" si="3"/>
        <v>0.2455</v>
      </c>
      <c r="CB14" s="384">
        <f>BX14/AW14-1</f>
        <v>1.0396528529689641E-2</v>
      </c>
      <c r="CC14" s="173">
        <f t="shared" si="4"/>
        <v>5.8000000000000003E-2</v>
      </c>
      <c r="CD14" s="165">
        <f t="shared" si="5"/>
        <v>2.5714285714285716</v>
      </c>
      <c r="CE14" s="165">
        <f t="shared" si="11"/>
        <v>218044.55555555553</v>
      </c>
      <c r="CF14" s="173">
        <f t="shared" si="6"/>
        <v>0.24575</v>
      </c>
      <c r="CG14" s="383">
        <v>17395188</v>
      </c>
      <c r="CH14" s="173">
        <f t="shared" si="7"/>
        <v>0.25</v>
      </c>
      <c r="CI14" s="385">
        <f t="shared" si="8"/>
        <v>2.6352500000000001</v>
      </c>
    </row>
    <row r="15" spans="1:87">
      <c r="A15" s="215">
        <v>14</v>
      </c>
      <c r="B15" s="220" t="s">
        <v>109</v>
      </c>
      <c r="C15" s="220" t="s">
        <v>1451</v>
      </c>
      <c r="D15" s="220" t="s">
        <v>1176</v>
      </c>
      <c r="E15" s="220"/>
      <c r="F15" s="220"/>
      <c r="G15" s="220"/>
      <c r="H15" s="220"/>
      <c r="I15" s="223"/>
      <c r="J15" s="220"/>
      <c r="K15" s="180"/>
      <c r="L15" s="180"/>
      <c r="M15" s="180"/>
      <c r="N15" s="180"/>
      <c r="O15" s="220"/>
      <c r="P15" s="180"/>
      <c r="Q15" s="220"/>
      <c r="R15" s="220"/>
      <c r="S15" s="180"/>
      <c r="T15" s="224"/>
      <c r="U15" s="224"/>
      <c r="V15" s="224"/>
      <c r="W15" s="224"/>
      <c r="X15" s="173">
        <f t="shared" si="0"/>
        <v>0</v>
      </c>
      <c r="Y15" s="224"/>
      <c r="Z15" s="220"/>
      <c r="AA15" s="181"/>
      <c r="AB15" s="220"/>
      <c r="AC15" s="173"/>
      <c r="AD15" s="387"/>
      <c r="AE15" s="224"/>
      <c r="AF15" s="224"/>
      <c r="AG15" s="173">
        <f t="shared" si="1"/>
        <v>0</v>
      </c>
      <c r="AH15" s="223"/>
      <c r="AI15" s="223"/>
      <c r="AJ15" s="220"/>
      <c r="AK15" s="206">
        <f t="shared" si="9"/>
        <v>0</v>
      </c>
      <c r="AL15" s="220"/>
      <c r="AM15" s="206">
        <f t="shared" si="9"/>
        <v>0</v>
      </c>
      <c r="AN15" s="173">
        <f t="shared" si="10"/>
        <v>0</v>
      </c>
      <c r="AO15" s="220"/>
      <c r="AP15" s="220"/>
      <c r="AQ15" s="220"/>
      <c r="AR15" s="223"/>
      <c r="AS15" s="173">
        <v>0</v>
      </c>
      <c r="AT15" s="221"/>
      <c r="AU15" s="224"/>
      <c r="AV15" s="224"/>
      <c r="AW15" s="224"/>
      <c r="AX15" s="221"/>
      <c r="AY15" s="224"/>
      <c r="AZ15" s="224"/>
      <c r="BA15" s="220"/>
      <c r="BB15" s="220"/>
      <c r="BC15" s="221"/>
      <c r="BD15" s="224"/>
      <c r="BE15" s="220"/>
      <c r="BF15" s="220"/>
      <c r="BG15" s="220"/>
      <c r="BH15" s="223"/>
      <c r="BI15" s="223"/>
      <c r="BJ15" s="221"/>
      <c r="BK15" s="224"/>
      <c r="BL15" s="224"/>
      <c r="BM15" s="180"/>
      <c r="BN15" s="220"/>
      <c r="BO15" s="220"/>
      <c r="BP15" s="220"/>
      <c r="BQ15" s="173"/>
      <c r="BR15" s="224"/>
      <c r="BS15" s="388"/>
      <c r="BT15" s="224"/>
      <c r="BU15" s="389"/>
      <c r="BV15" s="388"/>
      <c r="BW15" s="390"/>
      <c r="BX15" s="383"/>
      <c r="BY15" s="173">
        <f t="shared" si="2"/>
        <v>0</v>
      </c>
      <c r="BZ15" s="383"/>
      <c r="CA15" s="173">
        <f t="shared" si="3"/>
        <v>0</v>
      </c>
      <c r="CB15" s="384"/>
      <c r="CC15" s="173">
        <f t="shared" si="4"/>
        <v>0</v>
      </c>
      <c r="CD15" s="165">
        <f t="shared" si="5"/>
        <v>0</v>
      </c>
      <c r="CE15" s="165">
        <v>0</v>
      </c>
      <c r="CF15" s="173">
        <f t="shared" si="6"/>
        <v>0</v>
      </c>
      <c r="CG15" s="383"/>
      <c r="CH15" s="173">
        <f t="shared" si="7"/>
        <v>0</v>
      </c>
      <c r="CI15" s="385">
        <f t="shared" si="8"/>
        <v>0</v>
      </c>
    </row>
    <row r="16" spans="1:87" ht="56">
      <c r="A16" s="205">
        <v>15</v>
      </c>
      <c r="B16" s="178" t="s">
        <v>111</v>
      </c>
      <c r="C16" s="178" t="s">
        <v>1451</v>
      </c>
      <c r="D16" s="178" t="s">
        <v>1174</v>
      </c>
      <c r="E16" s="178" t="s">
        <v>1452</v>
      </c>
      <c r="F16" s="178" t="s">
        <v>1176</v>
      </c>
      <c r="G16" s="178" t="s">
        <v>1176</v>
      </c>
      <c r="H16" s="178" t="s">
        <v>413</v>
      </c>
      <c r="I16" s="207" t="s">
        <v>2992</v>
      </c>
      <c r="J16" s="178" t="s">
        <v>2993</v>
      </c>
      <c r="K16" s="178" t="s">
        <v>2929</v>
      </c>
      <c r="L16" s="178" t="s">
        <v>2928</v>
      </c>
      <c r="M16" s="178" t="s">
        <v>2994</v>
      </c>
      <c r="N16" s="178" t="s">
        <v>2995</v>
      </c>
      <c r="O16" s="178" t="s">
        <v>2993</v>
      </c>
      <c r="Q16" s="178" t="s">
        <v>1176</v>
      </c>
      <c r="R16" s="178" t="s">
        <v>421</v>
      </c>
      <c r="S16" s="178" t="s">
        <v>421</v>
      </c>
      <c r="T16" s="208">
        <v>0</v>
      </c>
      <c r="U16" s="208">
        <v>0</v>
      </c>
      <c r="V16" s="208">
        <v>6</v>
      </c>
      <c r="W16" s="208">
        <v>0</v>
      </c>
      <c r="X16" s="173">
        <f t="shared" si="0"/>
        <v>0</v>
      </c>
      <c r="Y16" s="208">
        <v>0</v>
      </c>
      <c r="Z16" s="178" t="s">
        <v>1176</v>
      </c>
      <c r="AB16" s="178" t="s">
        <v>1174</v>
      </c>
      <c r="AC16" s="173">
        <v>0.5</v>
      </c>
      <c r="AD16" s="380" t="s">
        <v>2930</v>
      </c>
      <c r="AE16" s="208">
        <v>16</v>
      </c>
      <c r="AF16" s="208">
        <v>0.375</v>
      </c>
      <c r="AG16" s="173">
        <f t="shared" si="1"/>
        <v>0.76300000000000001</v>
      </c>
      <c r="AH16" s="207" t="s">
        <v>2996</v>
      </c>
      <c r="AI16" s="207" t="s">
        <v>2997</v>
      </c>
      <c r="AJ16" s="178" t="s">
        <v>1176</v>
      </c>
      <c r="AK16" s="206">
        <f t="shared" si="9"/>
        <v>0</v>
      </c>
      <c r="AL16" s="178" t="s">
        <v>1176</v>
      </c>
      <c r="AM16" s="206">
        <f t="shared" si="9"/>
        <v>0</v>
      </c>
      <c r="AN16" s="173">
        <f t="shared" si="10"/>
        <v>0</v>
      </c>
      <c r="AO16" s="178" t="s">
        <v>421</v>
      </c>
      <c r="AP16" s="178" t="s">
        <v>1176</v>
      </c>
      <c r="AQ16" s="178" t="s">
        <v>1176</v>
      </c>
      <c r="AR16" s="207" t="s">
        <v>2998</v>
      </c>
      <c r="AS16" s="173">
        <v>0</v>
      </c>
      <c r="AT16" s="203">
        <v>41117</v>
      </c>
      <c r="AU16" s="208">
        <v>994</v>
      </c>
      <c r="AV16" s="208">
        <v>57</v>
      </c>
      <c r="AW16" s="208">
        <v>271489</v>
      </c>
      <c r="AX16" s="203">
        <v>41135</v>
      </c>
      <c r="AY16" s="208">
        <v>1005</v>
      </c>
      <c r="AZ16" s="208">
        <v>57</v>
      </c>
      <c r="BA16" s="178" t="s">
        <v>2999</v>
      </c>
      <c r="BB16" s="178" t="s">
        <v>3000</v>
      </c>
      <c r="BC16" s="203">
        <v>40253</v>
      </c>
      <c r="BD16" s="208">
        <v>21.56689342403628</v>
      </c>
      <c r="BE16" s="178" t="s">
        <v>1176</v>
      </c>
      <c r="BF16" s="178" t="s">
        <v>1176</v>
      </c>
      <c r="BG16" s="178" t="s">
        <v>1176</v>
      </c>
      <c r="BH16" s="207" t="s">
        <v>3001</v>
      </c>
      <c r="BI16" s="207" t="s">
        <v>3002</v>
      </c>
      <c r="BJ16" s="203">
        <v>40532</v>
      </c>
      <c r="BK16" s="208">
        <v>95311</v>
      </c>
      <c r="BL16" s="208">
        <v>158.06135986733003</v>
      </c>
      <c r="BN16" s="178" t="s">
        <v>3003</v>
      </c>
      <c r="BO16" s="178" t="s">
        <v>1176</v>
      </c>
      <c r="BP16" s="178" t="s">
        <v>1176</v>
      </c>
      <c r="BQ16" s="173">
        <v>0</v>
      </c>
      <c r="BR16" s="208">
        <v>11</v>
      </c>
      <c r="BS16" s="381">
        <v>1.1066398390342101E-2</v>
      </c>
      <c r="BU16" s="349">
        <v>0</v>
      </c>
      <c r="BV16" s="381">
        <v>0</v>
      </c>
      <c r="BW16" s="382">
        <v>4808.0175438596489</v>
      </c>
      <c r="BX16" s="383">
        <v>274057</v>
      </c>
      <c r="BY16" s="173">
        <f t="shared" si="2"/>
        <v>0.224</v>
      </c>
      <c r="BZ16" s="383">
        <v>2568</v>
      </c>
      <c r="CA16" s="173">
        <f t="shared" si="3"/>
        <v>6.8750000000000006E-2</v>
      </c>
      <c r="CB16" s="384">
        <v>9.4589467713240994E-3</v>
      </c>
      <c r="CC16" s="173">
        <f t="shared" si="4"/>
        <v>4.9000000000000002E-2</v>
      </c>
      <c r="CD16" s="165">
        <f t="shared" si="5"/>
        <v>2.5714285714285716</v>
      </c>
      <c r="CE16" s="165">
        <f t="shared" si="11"/>
        <v>998.66666666666663</v>
      </c>
      <c r="CF16" s="173">
        <f t="shared" si="6"/>
        <v>8.0500000000000002E-2</v>
      </c>
      <c r="CG16" s="383">
        <v>19022</v>
      </c>
      <c r="CH16" s="173">
        <f t="shared" si="7"/>
        <v>7.3249999999999996E-2</v>
      </c>
      <c r="CI16" s="385">
        <f t="shared" si="8"/>
        <v>1.7585</v>
      </c>
    </row>
    <row r="17" spans="1:87" ht="56">
      <c r="A17" s="205">
        <v>16</v>
      </c>
      <c r="B17" s="178" t="s">
        <v>114</v>
      </c>
      <c r="C17" s="178" t="s">
        <v>1451</v>
      </c>
      <c r="D17" s="178" t="s">
        <v>1174</v>
      </c>
      <c r="E17" s="178" t="s">
        <v>1452</v>
      </c>
      <c r="F17" s="178" t="s">
        <v>1174</v>
      </c>
      <c r="G17" s="178" t="s">
        <v>1174</v>
      </c>
      <c r="H17" s="178" t="s">
        <v>413</v>
      </c>
      <c r="I17" s="207" t="s">
        <v>3004</v>
      </c>
      <c r="Q17" s="178" t="s">
        <v>1174</v>
      </c>
      <c r="R17" s="178" t="s">
        <v>3005</v>
      </c>
      <c r="T17" s="208">
        <v>0</v>
      </c>
      <c r="U17" s="208">
        <v>0</v>
      </c>
      <c r="V17" s="208">
        <v>1</v>
      </c>
      <c r="W17" s="208">
        <v>0</v>
      </c>
      <c r="X17" s="173">
        <f t="shared" si="0"/>
        <v>0</v>
      </c>
      <c r="Y17" s="208">
        <v>0</v>
      </c>
      <c r="Z17" s="178" t="s">
        <v>1176</v>
      </c>
      <c r="AB17" s="178" t="s">
        <v>1174</v>
      </c>
      <c r="AC17" s="173">
        <v>0.5</v>
      </c>
      <c r="AD17" s="380" t="s">
        <v>1893</v>
      </c>
      <c r="AE17" s="208">
        <v>19</v>
      </c>
      <c r="AF17" s="208">
        <v>0</v>
      </c>
      <c r="AG17" s="173">
        <f t="shared" si="1"/>
        <v>0</v>
      </c>
      <c r="AK17" s="206">
        <f t="shared" si="9"/>
        <v>0</v>
      </c>
      <c r="AM17" s="206">
        <f t="shared" si="9"/>
        <v>0</v>
      </c>
      <c r="AN17" s="173">
        <f t="shared" si="10"/>
        <v>0</v>
      </c>
      <c r="AR17" s="207" t="s">
        <v>3006</v>
      </c>
      <c r="AS17" s="173">
        <v>0</v>
      </c>
      <c r="AT17" s="203">
        <v>41117</v>
      </c>
      <c r="AU17" s="208">
        <v>4</v>
      </c>
      <c r="AV17" s="208">
        <v>4</v>
      </c>
      <c r="AW17" s="208">
        <v>682</v>
      </c>
      <c r="AX17" s="203">
        <v>41135</v>
      </c>
      <c r="AY17" s="208">
        <v>7</v>
      </c>
      <c r="AZ17" s="208">
        <v>4</v>
      </c>
      <c r="BA17" s="178" t="s">
        <v>3007</v>
      </c>
      <c r="BB17" s="178" t="s">
        <v>3008</v>
      </c>
      <c r="BC17" s="203">
        <v>40960</v>
      </c>
      <c r="BD17" s="208">
        <v>3.0114285714285716</v>
      </c>
      <c r="BE17" s="178" t="s">
        <v>1176</v>
      </c>
      <c r="BF17" s="178" t="s">
        <v>1176</v>
      </c>
      <c r="BG17" s="178" t="s">
        <v>1176</v>
      </c>
      <c r="BH17" s="207" t="s">
        <v>3009</v>
      </c>
      <c r="BI17" s="207" t="s">
        <v>3010</v>
      </c>
      <c r="BJ17" s="203">
        <v>39851</v>
      </c>
      <c r="BK17" s="208">
        <v>28206</v>
      </c>
      <c r="BL17" s="208">
        <v>21.967289719626169</v>
      </c>
      <c r="BN17" s="178" t="s">
        <v>3011</v>
      </c>
      <c r="BO17" s="178" t="s">
        <v>1176</v>
      </c>
      <c r="BP17" s="178" t="s">
        <v>1176</v>
      </c>
      <c r="BQ17" s="173">
        <v>0</v>
      </c>
      <c r="BR17" s="208">
        <v>3</v>
      </c>
      <c r="BS17" s="381">
        <v>0.75</v>
      </c>
      <c r="BU17" s="349">
        <v>0</v>
      </c>
      <c r="BV17" s="381">
        <v>0</v>
      </c>
      <c r="BW17" s="382">
        <v>190.25</v>
      </c>
      <c r="BX17" s="383">
        <v>761</v>
      </c>
      <c r="BY17" s="173">
        <f t="shared" si="2"/>
        <v>3.4000000000000002E-2</v>
      </c>
      <c r="BZ17" s="383">
        <v>79</v>
      </c>
      <c r="CA17" s="173">
        <f t="shared" si="3"/>
        <v>2.1499999999999998E-2</v>
      </c>
      <c r="CB17" s="384">
        <v>0.1158357771260997</v>
      </c>
      <c r="CC17" s="173">
        <f t="shared" si="4"/>
        <v>0.223</v>
      </c>
      <c r="CD17" s="165">
        <f t="shared" si="5"/>
        <v>2.5714285714285716</v>
      </c>
      <c r="CE17" s="165">
        <f t="shared" si="11"/>
        <v>30.722222222222221</v>
      </c>
      <c r="CF17" s="173">
        <f t="shared" si="6"/>
        <v>3.6249999999999998E-2</v>
      </c>
      <c r="CG17" s="383">
        <v>527</v>
      </c>
      <c r="CH17" s="173">
        <f t="shared" si="7"/>
        <v>2.1499999999999998E-2</v>
      </c>
      <c r="CI17" s="385">
        <f t="shared" si="8"/>
        <v>0.83625000000000005</v>
      </c>
    </row>
    <row r="18" spans="1:87" ht="42">
      <c r="A18" s="205">
        <v>17</v>
      </c>
      <c r="B18" s="178" t="s">
        <v>118</v>
      </c>
      <c r="C18" s="178" t="s">
        <v>1451</v>
      </c>
      <c r="D18" s="178" t="s">
        <v>1174</v>
      </c>
      <c r="E18" s="178" t="s">
        <v>1452</v>
      </c>
      <c r="F18" s="178" t="s">
        <v>1176</v>
      </c>
      <c r="G18" s="178" t="s">
        <v>1176</v>
      </c>
      <c r="H18" s="178" t="s">
        <v>413</v>
      </c>
      <c r="I18" s="207" t="s">
        <v>3012</v>
      </c>
      <c r="J18" s="178" t="s">
        <v>2927</v>
      </c>
      <c r="O18" s="178" t="s">
        <v>2927</v>
      </c>
      <c r="Q18" s="178" t="s">
        <v>1174</v>
      </c>
      <c r="R18" s="178" t="s">
        <v>3005</v>
      </c>
      <c r="T18" s="208">
        <v>0</v>
      </c>
      <c r="U18" s="208">
        <v>0</v>
      </c>
      <c r="V18" s="208">
        <v>3</v>
      </c>
      <c r="W18" s="208">
        <v>0</v>
      </c>
      <c r="X18" s="173">
        <f t="shared" si="0"/>
        <v>0</v>
      </c>
      <c r="Y18" s="208">
        <v>0</v>
      </c>
      <c r="Z18" s="178" t="s">
        <v>1176</v>
      </c>
      <c r="AB18" s="178" t="s">
        <v>1174</v>
      </c>
      <c r="AC18" s="173">
        <v>0.5</v>
      </c>
      <c r="AD18" s="380" t="s">
        <v>1974</v>
      </c>
      <c r="AE18" s="208">
        <v>18</v>
      </c>
      <c r="AF18" s="208">
        <v>0.1111111111111111</v>
      </c>
      <c r="AG18" s="173">
        <f t="shared" si="1"/>
        <v>0.4</v>
      </c>
      <c r="AH18" s="207" t="s">
        <v>3013</v>
      </c>
      <c r="AI18" s="207" t="s">
        <v>3014</v>
      </c>
      <c r="AJ18" s="178" t="s">
        <v>1176</v>
      </c>
      <c r="AK18" s="206">
        <f t="shared" si="9"/>
        <v>0</v>
      </c>
      <c r="AL18" s="178" t="s">
        <v>1176</v>
      </c>
      <c r="AM18" s="206">
        <f t="shared" si="9"/>
        <v>0</v>
      </c>
      <c r="AN18" s="173">
        <f t="shared" si="10"/>
        <v>0</v>
      </c>
      <c r="AO18" s="178" t="s">
        <v>421</v>
      </c>
      <c r="AP18" s="178" t="s">
        <v>1176</v>
      </c>
      <c r="AQ18" s="178" t="s">
        <v>1176</v>
      </c>
      <c r="AR18" s="207" t="s">
        <v>3015</v>
      </c>
      <c r="AS18" s="173">
        <v>0</v>
      </c>
      <c r="AT18" s="203">
        <v>41117</v>
      </c>
      <c r="AU18" s="208">
        <v>477</v>
      </c>
      <c r="AV18" s="208">
        <v>59</v>
      </c>
      <c r="AW18" s="208">
        <v>145184</v>
      </c>
      <c r="AX18" s="203">
        <v>41135</v>
      </c>
      <c r="AY18" s="208">
        <v>490</v>
      </c>
      <c r="AZ18" s="208">
        <v>60</v>
      </c>
      <c r="BA18" s="178" t="s">
        <v>3016</v>
      </c>
      <c r="BB18" s="178" t="s">
        <v>3017</v>
      </c>
      <c r="BC18" s="203">
        <v>40998</v>
      </c>
      <c r="BD18" s="208">
        <v>133.78102189781021</v>
      </c>
      <c r="BE18" s="178" t="s">
        <v>1176</v>
      </c>
      <c r="BF18" s="178" t="s">
        <v>1176</v>
      </c>
      <c r="BG18" s="178" t="s">
        <v>1176</v>
      </c>
      <c r="BH18" s="207" t="s">
        <v>3018</v>
      </c>
      <c r="BI18" s="207" t="s">
        <v>3019</v>
      </c>
      <c r="BJ18" s="203">
        <v>40069</v>
      </c>
      <c r="BK18" s="208">
        <v>30433</v>
      </c>
      <c r="BL18" s="208">
        <v>28.548780487804876</v>
      </c>
      <c r="BN18" s="178" t="s">
        <v>684</v>
      </c>
      <c r="BO18" s="178" t="s">
        <v>1176</v>
      </c>
      <c r="BP18" s="178" t="s">
        <v>1176</v>
      </c>
      <c r="BQ18" s="173">
        <v>0</v>
      </c>
      <c r="BR18" s="208">
        <v>13</v>
      </c>
      <c r="BS18" s="381">
        <v>2.7253668763102701E-2</v>
      </c>
      <c r="BU18" s="349">
        <v>1</v>
      </c>
      <c r="BV18" s="381">
        <v>1.6949152542372899E-2</v>
      </c>
      <c r="BW18" s="382">
        <v>2454.5</v>
      </c>
      <c r="BX18" s="383">
        <v>147270</v>
      </c>
      <c r="BY18" s="173">
        <f t="shared" si="2"/>
        <v>0.17199999999999999</v>
      </c>
      <c r="BZ18" s="383">
        <v>2086</v>
      </c>
      <c r="CA18" s="173">
        <f t="shared" si="3"/>
        <v>5.6000000000000001E-2</v>
      </c>
      <c r="CB18" s="384">
        <v>1.4367974432444299E-2</v>
      </c>
      <c r="CC18" s="173">
        <f t="shared" si="4"/>
        <v>8.9249999999999996E-2</v>
      </c>
      <c r="CD18" s="165">
        <f t="shared" si="5"/>
        <v>2.5714285714285716</v>
      </c>
      <c r="CE18" s="165">
        <f t="shared" si="11"/>
        <v>811.22222222222217</v>
      </c>
      <c r="CF18" s="173">
        <f t="shared" si="6"/>
        <v>6.8500000000000005E-2</v>
      </c>
      <c r="CG18" s="383">
        <v>18328</v>
      </c>
      <c r="CH18" s="173">
        <f t="shared" si="7"/>
        <v>6.4500000000000002E-2</v>
      </c>
      <c r="CI18" s="385">
        <f t="shared" si="8"/>
        <v>1.35025</v>
      </c>
    </row>
    <row r="19" spans="1:87" ht="154">
      <c r="A19" s="205">
        <v>18</v>
      </c>
      <c r="B19" s="178" t="s">
        <v>120</v>
      </c>
      <c r="C19" s="178" t="s">
        <v>1451</v>
      </c>
      <c r="D19" s="178" t="s">
        <v>1174</v>
      </c>
      <c r="E19" s="178" t="s">
        <v>1452</v>
      </c>
      <c r="F19" s="178" t="s">
        <v>1174</v>
      </c>
      <c r="G19" s="178" t="s">
        <v>1176</v>
      </c>
      <c r="H19" s="178" t="s">
        <v>413</v>
      </c>
      <c r="I19" s="207" t="s">
        <v>3020</v>
      </c>
      <c r="J19" s="178" t="s">
        <v>2891</v>
      </c>
      <c r="K19" s="178" t="s">
        <v>3021</v>
      </c>
      <c r="L19" s="178" t="s">
        <v>2890</v>
      </c>
      <c r="M19" s="178" t="s">
        <v>2892</v>
      </c>
      <c r="N19" s="178" t="s">
        <v>3022</v>
      </c>
      <c r="O19" s="178" t="s">
        <v>2891</v>
      </c>
      <c r="Q19" s="178" t="s">
        <v>1176</v>
      </c>
      <c r="T19" s="208">
        <v>0</v>
      </c>
      <c r="U19" s="208">
        <v>0</v>
      </c>
      <c r="V19" s="208">
        <v>6</v>
      </c>
      <c r="W19" s="208">
        <v>0</v>
      </c>
      <c r="X19" s="173">
        <f t="shared" si="0"/>
        <v>0</v>
      </c>
      <c r="Y19" s="208">
        <v>0</v>
      </c>
      <c r="Z19" s="178" t="s">
        <v>1176</v>
      </c>
      <c r="AB19" s="178" t="s">
        <v>1174</v>
      </c>
      <c r="AC19" s="173">
        <v>0.5</v>
      </c>
      <c r="AD19" s="380" t="s">
        <v>2967</v>
      </c>
      <c r="AE19" s="208">
        <v>19</v>
      </c>
      <c r="AF19" s="208">
        <v>0.4210526315789474</v>
      </c>
      <c r="AG19" s="173">
        <f t="shared" si="1"/>
        <v>0.78100000000000003</v>
      </c>
      <c r="AH19" s="207" t="s">
        <v>3023</v>
      </c>
      <c r="AI19" s="207" t="s">
        <v>3024</v>
      </c>
      <c r="AK19" s="206">
        <f t="shared" si="9"/>
        <v>0</v>
      </c>
      <c r="AM19" s="206">
        <f t="shared" si="9"/>
        <v>0</v>
      </c>
      <c r="AN19" s="173">
        <f t="shared" si="10"/>
        <v>0</v>
      </c>
      <c r="AO19" s="178" t="s">
        <v>421</v>
      </c>
      <c r="AP19" s="178" t="s">
        <v>1176</v>
      </c>
      <c r="AQ19" s="178" t="s">
        <v>1176</v>
      </c>
      <c r="AR19" s="207" t="s">
        <v>3025</v>
      </c>
      <c r="AS19" s="173">
        <v>0.5</v>
      </c>
      <c r="AT19" s="203">
        <v>41117</v>
      </c>
      <c r="AU19" s="208">
        <v>20398</v>
      </c>
      <c r="AV19" s="208">
        <v>502</v>
      </c>
      <c r="AW19" s="208">
        <v>12979924</v>
      </c>
      <c r="AX19" s="203">
        <v>41135</v>
      </c>
      <c r="AY19" s="208">
        <v>20821</v>
      </c>
      <c r="AZ19" s="208">
        <v>502</v>
      </c>
      <c r="BA19" s="178" t="s">
        <v>3026</v>
      </c>
      <c r="BB19" s="178" t="s">
        <v>3027</v>
      </c>
      <c r="BC19" s="203">
        <v>40283</v>
      </c>
      <c r="BD19" s="208">
        <v>1200.2981220657277</v>
      </c>
      <c r="BE19" s="178" t="s">
        <v>1174</v>
      </c>
      <c r="BF19" s="178" t="s">
        <v>1176</v>
      </c>
      <c r="BG19" s="178" t="s">
        <v>1176</v>
      </c>
      <c r="BH19" s="207" t="s">
        <v>3028</v>
      </c>
      <c r="BI19" s="207" t="s">
        <v>3029</v>
      </c>
      <c r="BJ19" s="203">
        <v>40282</v>
      </c>
      <c r="BK19" s="208">
        <v>1535299</v>
      </c>
      <c r="BL19" s="208">
        <v>1799.8815943728018</v>
      </c>
      <c r="BN19" s="178" t="s">
        <v>684</v>
      </c>
      <c r="BO19" s="178" t="s">
        <v>1176</v>
      </c>
      <c r="BP19" s="178" t="s">
        <v>1176</v>
      </c>
      <c r="BQ19" s="173">
        <v>0</v>
      </c>
      <c r="BR19" s="208">
        <v>423</v>
      </c>
      <c r="BS19" s="381">
        <v>2.07373271889401E-2</v>
      </c>
      <c r="BU19" s="349">
        <v>0</v>
      </c>
      <c r="BV19" s="381">
        <v>0</v>
      </c>
      <c r="BW19" s="382">
        <v>26644.984063745022</v>
      </c>
      <c r="BX19" s="383">
        <v>13375782</v>
      </c>
      <c r="BY19" s="173">
        <f t="shared" si="2"/>
        <v>0.47399999999999998</v>
      </c>
      <c r="BZ19" s="383">
        <v>395858</v>
      </c>
      <c r="CA19" s="173">
        <f t="shared" si="3"/>
        <v>0.22825000000000001</v>
      </c>
      <c r="CB19" s="384">
        <v>3.0497713237766299E-2</v>
      </c>
      <c r="CC19" s="173">
        <f t="shared" si="4"/>
        <v>0.13825000000000001</v>
      </c>
      <c r="CD19" s="165">
        <f t="shared" si="5"/>
        <v>2.5714285714285716</v>
      </c>
      <c r="CE19" s="165">
        <f t="shared" si="11"/>
        <v>153944.77777777775</v>
      </c>
      <c r="CF19" s="173">
        <f t="shared" si="6"/>
        <v>0.22975000000000001</v>
      </c>
      <c r="CG19" s="383">
        <v>1022654</v>
      </c>
      <c r="CH19" s="173">
        <f t="shared" si="7"/>
        <v>0.224</v>
      </c>
      <c r="CI19" s="385">
        <f t="shared" si="8"/>
        <v>3.07525</v>
      </c>
    </row>
    <row r="20" spans="1:87" ht="56">
      <c r="A20" s="205">
        <v>19</v>
      </c>
      <c r="B20" s="178" t="s">
        <v>123</v>
      </c>
      <c r="C20" s="178" t="s">
        <v>1451</v>
      </c>
      <c r="D20" s="178" t="s">
        <v>1174</v>
      </c>
      <c r="E20" s="178" t="s">
        <v>1452</v>
      </c>
      <c r="F20" s="178" t="s">
        <v>1176</v>
      </c>
      <c r="G20" s="178" t="s">
        <v>1176</v>
      </c>
      <c r="H20" s="178" t="s">
        <v>413</v>
      </c>
      <c r="I20" s="207" t="s">
        <v>3030</v>
      </c>
      <c r="J20" s="178" t="s">
        <v>3031</v>
      </c>
      <c r="Q20" s="178" t="s">
        <v>1174</v>
      </c>
      <c r="R20" s="178" t="s">
        <v>3005</v>
      </c>
      <c r="T20" s="208">
        <v>0</v>
      </c>
      <c r="U20" s="208">
        <v>0</v>
      </c>
      <c r="V20" s="208">
        <v>2</v>
      </c>
      <c r="W20" s="208">
        <v>0</v>
      </c>
      <c r="X20" s="173">
        <f t="shared" si="0"/>
        <v>0</v>
      </c>
      <c r="Y20" s="208">
        <v>0</v>
      </c>
      <c r="Z20" s="178" t="s">
        <v>1176</v>
      </c>
      <c r="AB20" s="178" t="s">
        <v>1174</v>
      </c>
      <c r="AC20" s="173">
        <v>0.5</v>
      </c>
      <c r="AD20" s="380" t="s">
        <v>3032</v>
      </c>
      <c r="AE20" s="208">
        <v>19</v>
      </c>
      <c r="AF20" s="208">
        <v>0.57894736842105265</v>
      </c>
      <c r="AG20" s="173">
        <f t="shared" si="1"/>
        <v>0.94499999999999995</v>
      </c>
      <c r="AH20" s="207" t="s">
        <v>3033</v>
      </c>
      <c r="AI20" s="207" t="s">
        <v>3034</v>
      </c>
      <c r="AJ20" s="178" t="s">
        <v>1174</v>
      </c>
      <c r="AK20" s="206">
        <f t="shared" si="9"/>
        <v>0.25</v>
      </c>
      <c r="AL20" s="178" t="s">
        <v>1174</v>
      </c>
      <c r="AM20" s="206">
        <f t="shared" si="9"/>
        <v>0.25</v>
      </c>
      <c r="AN20" s="173">
        <f t="shared" si="10"/>
        <v>0.5</v>
      </c>
      <c r="AO20" s="178" t="s">
        <v>421</v>
      </c>
      <c r="AP20" s="178" t="s">
        <v>1176</v>
      </c>
      <c r="AQ20" s="178" t="s">
        <v>1176</v>
      </c>
      <c r="AR20" s="207" t="s">
        <v>3035</v>
      </c>
      <c r="AS20" s="173">
        <v>0</v>
      </c>
      <c r="AT20" s="203">
        <v>41117</v>
      </c>
      <c r="AU20" s="208">
        <v>914</v>
      </c>
      <c r="AV20" s="208">
        <v>28</v>
      </c>
      <c r="AW20" s="208">
        <v>550265</v>
      </c>
      <c r="AX20" s="203">
        <v>41135</v>
      </c>
      <c r="AY20" s="208">
        <v>950</v>
      </c>
      <c r="AZ20" s="208">
        <v>29</v>
      </c>
      <c r="BA20" s="178" t="s">
        <v>3036</v>
      </c>
      <c r="BB20" s="178" t="s">
        <v>3037</v>
      </c>
      <c r="BC20" s="203">
        <v>40189</v>
      </c>
      <c r="BD20" s="208">
        <v>137.36257928118394</v>
      </c>
      <c r="BE20" s="178" t="s">
        <v>1176</v>
      </c>
      <c r="BF20" s="178" t="s">
        <v>1176</v>
      </c>
      <c r="BG20" s="178" t="s">
        <v>1176</v>
      </c>
      <c r="BH20" s="207" t="s">
        <v>3038</v>
      </c>
      <c r="BI20" s="207" t="s">
        <v>3039</v>
      </c>
      <c r="BJ20" s="203">
        <v>39671</v>
      </c>
      <c r="BK20" s="208">
        <v>361152</v>
      </c>
      <c r="BL20" s="208">
        <v>246.68852459016392</v>
      </c>
      <c r="BN20" s="178" t="s">
        <v>3040</v>
      </c>
      <c r="BO20" s="178" t="s">
        <v>1176</v>
      </c>
      <c r="BP20" s="178" t="s">
        <v>1176</v>
      </c>
      <c r="BQ20" s="173">
        <v>0</v>
      </c>
      <c r="BR20" s="208">
        <v>36</v>
      </c>
      <c r="BS20" s="381">
        <v>3.9387308533916802E-2</v>
      </c>
      <c r="BU20" s="349">
        <v>1</v>
      </c>
      <c r="BV20" s="381">
        <v>3.5714285714285698E-2</v>
      </c>
      <c r="BW20" s="382">
        <v>19442.96551724138</v>
      </c>
      <c r="BX20" s="383">
        <v>563846</v>
      </c>
      <c r="BY20" s="173">
        <f t="shared" si="2"/>
        <v>0.31850000000000001</v>
      </c>
      <c r="BZ20" s="383">
        <v>13581</v>
      </c>
      <c r="CA20" s="173">
        <f t="shared" si="3"/>
        <v>0.16375000000000001</v>
      </c>
      <c r="CB20" s="384">
        <v>2.4680835597394001E-2</v>
      </c>
      <c r="CC20" s="173">
        <f t="shared" si="4"/>
        <v>0.1205</v>
      </c>
      <c r="CD20" s="165">
        <f t="shared" si="5"/>
        <v>2.5714285714285716</v>
      </c>
      <c r="CE20" s="165">
        <f t="shared" si="11"/>
        <v>5281.5</v>
      </c>
      <c r="CF20" s="173">
        <f t="shared" si="6"/>
        <v>0.16925000000000001</v>
      </c>
      <c r="CG20" s="383">
        <v>129945</v>
      </c>
      <c r="CH20" s="173">
        <f t="shared" si="7"/>
        <v>0.15925</v>
      </c>
      <c r="CI20" s="385">
        <f t="shared" si="8"/>
        <v>2.8762499999999998</v>
      </c>
    </row>
    <row r="21" spans="1:87">
      <c r="A21" s="215">
        <v>20</v>
      </c>
      <c r="B21" s="220" t="s">
        <v>125</v>
      </c>
      <c r="C21" s="220" t="s">
        <v>1451</v>
      </c>
      <c r="D21" s="220" t="s">
        <v>1176</v>
      </c>
      <c r="E21" s="220"/>
      <c r="F21" s="220"/>
      <c r="G21" s="220"/>
      <c r="H21" s="220"/>
      <c r="I21" s="223"/>
      <c r="J21" s="180"/>
      <c r="K21" s="180"/>
      <c r="L21" s="180"/>
      <c r="M21" s="180"/>
      <c r="N21" s="180"/>
      <c r="O21" s="180"/>
      <c r="P21" s="180"/>
      <c r="Q21" s="220"/>
      <c r="R21" s="220"/>
      <c r="S21" s="180"/>
      <c r="T21" s="224"/>
      <c r="U21" s="224"/>
      <c r="V21" s="224"/>
      <c r="W21" s="224"/>
      <c r="X21" s="173">
        <f t="shared" si="0"/>
        <v>0</v>
      </c>
      <c r="Y21" s="224"/>
      <c r="Z21" s="220"/>
      <c r="AA21" s="181"/>
      <c r="AB21" s="220"/>
      <c r="AC21" s="173"/>
      <c r="AD21" s="387"/>
      <c r="AE21" s="224"/>
      <c r="AF21" s="224"/>
      <c r="AG21" s="173">
        <f t="shared" si="1"/>
        <v>0</v>
      </c>
      <c r="AH21" s="223"/>
      <c r="AI21" s="223"/>
      <c r="AJ21" s="220"/>
      <c r="AK21" s="206">
        <f t="shared" si="9"/>
        <v>0</v>
      </c>
      <c r="AL21" s="220"/>
      <c r="AM21" s="206">
        <f t="shared" si="9"/>
        <v>0</v>
      </c>
      <c r="AN21" s="173">
        <f t="shared" si="10"/>
        <v>0</v>
      </c>
      <c r="AO21" s="220"/>
      <c r="AP21" s="220"/>
      <c r="AQ21" s="220"/>
      <c r="AR21" s="223"/>
      <c r="AS21" s="173">
        <v>0</v>
      </c>
      <c r="AT21" s="221"/>
      <c r="AU21" s="224"/>
      <c r="AV21" s="224"/>
      <c r="AW21" s="224"/>
      <c r="AX21" s="221"/>
      <c r="AY21" s="224"/>
      <c r="AZ21" s="224"/>
      <c r="BA21" s="220"/>
      <c r="BB21" s="220"/>
      <c r="BC21" s="221"/>
      <c r="BD21" s="224"/>
      <c r="BE21" s="220"/>
      <c r="BF21" s="220"/>
      <c r="BG21" s="220"/>
      <c r="BH21" s="223"/>
      <c r="BI21" s="223"/>
      <c r="BJ21" s="221"/>
      <c r="BK21" s="224"/>
      <c r="BL21" s="224"/>
      <c r="BM21" s="180"/>
      <c r="BN21" s="220"/>
      <c r="BO21" s="220"/>
      <c r="BP21" s="220"/>
      <c r="BQ21" s="173"/>
      <c r="BR21" s="224"/>
      <c r="BS21" s="388"/>
      <c r="BT21" s="180"/>
      <c r="BU21" s="389"/>
      <c r="BV21" s="388"/>
      <c r="BW21" s="390"/>
      <c r="BX21" s="383"/>
      <c r="BY21" s="173">
        <f t="shared" si="2"/>
        <v>0</v>
      </c>
      <c r="BZ21" s="383"/>
      <c r="CA21" s="173">
        <f t="shared" si="3"/>
        <v>0</v>
      </c>
      <c r="CB21" s="384"/>
      <c r="CC21" s="173">
        <f t="shared" si="4"/>
        <v>0</v>
      </c>
      <c r="CD21" s="165">
        <f t="shared" si="5"/>
        <v>0</v>
      </c>
      <c r="CE21" s="165">
        <v>0</v>
      </c>
      <c r="CF21" s="173">
        <f t="shared" si="6"/>
        <v>0</v>
      </c>
      <c r="CG21" s="383"/>
      <c r="CH21" s="173">
        <f t="shared" si="7"/>
        <v>0</v>
      </c>
      <c r="CI21" s="385">
        <f t="shared" si="8"/>
        <v>0</v>
      </c>
    </row>
    <row r="22" spans="1:87" ht="84">
      <c r="A22" s="205">
        <v>21</v>
      </c>
      <c r="B22" s="178" t="s">
        <v>127</v>
      </c>
      <c r="C22" s="178" t="s">
        <v>1451</v>
      </c>
      <c r="D22" s="178" t="s">
        <v>1174</v>
      </c>
      <c r="E22" s="178" t="s">
        <v>1452</v>
      </c>
      <c r="F22" s="178" t="s">
        <v>1174</v>
      </c>
      <c r="G22" s="178" t="s">
        <v>1176</v>
      </c>
      <c r="H22" s="178" t="s">
        <v>413</v>
      </c>
      <c r="I22" s="207" t="s">
        <v>3041</v>
      </c>
      <c r="Q22" s="178" t="s">
        <v>1176</v>
      </c>
      <c r="R22" s="178" t="s">
        <v>421</v>
      </c>
      <c r="T22" s="208">
        <v>0</v>
      </c>
      <c r="U22" s="208">
        <v>0</v>
      </c>
      <c r="V22" s="208">
        <v>0</v>
      </c>
      <c r="W22" s="208">
        <v>0</v>
      </c>
      <c r="X22" s="173">
        <f t="shared" si="0"/>
        <v>0</v>
      </c>
      <c r="Y22" s="208" t="s">
        <v>2534</v>
      </c>
      <c r="Z22" s="178" t="s">
        <v>1176</v>
      </c>
      <c r="AB22" s="178" t="s">
        <v>1174</v>
      </c>
      <c r="AC22" s="173">
        <v>0.5</v>
      </c>
      <c r="AG22" s="173">
        <f t="shared" si="1"/>
        <v>0</v>
      </c>
      <c r="AH22" s="207" t="s">
        <v>3042</v>
      </c>
      <c r="AI22" s="207" t="s">
        <v>3043</v>
      </c>
      <c r="AJ22" s="178" t="s">
        <v>1174</v>
      </c>
      <c r="AK22" s="206">
        <f t="shared" si="9"/>
        <v>0.25</v>
      </c>
      <c r="AL22" s="178" t="s">
        <v>1174</v>
      </c>
      <c r="AM22" s="206">
        <f t="shared" si="9"/>
        <v>0.25</v>
      </c>
      <c r="AN22" s="173">
        <f t="shared" si="10"/>
        <v>0.5</v>
      </c>
      <c r="AO22" s="178" t="s">
        <v>421</v>
      </c>
      <c r="AP22" s="178" t="s">
        <v>1176</v>
      </c>
      <c r="AQ22" s="178" t="s">
        <v>1176</v>
      </c>
      <c r="AR22" s="207" t="s">
        <v>3044</v>
      </c>
      <c r="AS22" s="173">
        <v>0.5</v>
      </c>
      <c r="AT22" s="203">
        <v>41117</v>
      </c>
      <c r="AU22" s="208">
        <v>1117</v>
      </c>
      <c r="AV22" s="208">
        <v>67</v>
      </c>
      <c r="AW22" s="208">
        <v>536861</v>
      </c>
      <c r="AX22" s="203">
        <v>41135</v>
      </c>
      <c r="AY22" s="208">
        <v>1138</v>
      </c>
      <c r="AZ22" s="208">
        <v>67</v>
      </c>
      <c r="BA22" s="178" t="s">
        <v>3045</v>
      </c>
      <c r="BB22" s="178" t="s">
        <v>3046</v>
      </c>
      <c r="BC22" s="203">
        <v>41059</v>
      </c>
      <c r="BD22" s="208">
        <v>1294.3684210526317</v>
      </c>
      <c r="BE22" s="178" t="s">
        <v>1176</v>
      </c>
      <c r="BF22" s="178" t="s">
        <v>1176</v>
      </c>
      <c r="BG22" s="178" t="s">
        <v>1176</v>
      </c>
      <c r="BH22" s="207" t="s">
        <v>3047</v>
      </c>
      <c r="BI22" s="207" t="s">
        <v>127</v>
      </c>
      <c r="BJ22" s="203">
        <v>39496</v>
      </c>
      <c r="BK22" s="208">
        <v>62300</v>
      </c>
      <c r="BL22" s="208">
        <v>38.010982306284319</v>
      </c>
      <c r="BN22" s="178" t="s">
        <v>684</v>
      </c>
      <c r="BO22" s="178" t="s">
        <v>1176</v>
      </c>
      <c r="BP22" s="178" t="s">
        <v>1176</v>
      </c>
      <c r="BQ22" s="173">
        <v>0</v>
      </c>
      <c r="BR22" s="208">
        <v>21</v>
      </c>
      <c r="BS22" s="381">
        <v>1.88003581020591E-2</v>
      </c>
      <c r="BU22" s="349">
        <v>0</v>
      </c>
      <c r="BV22" s="381">
        <v>0</v>
      </c>
      <c r="BW22" s="382">
        <v>8108.9253731343288</v>
      </c>
      <c r="BX22" s="383">
        <v>543298</v>
      </c>
      <c r="BY22" s="173">
        <f t="shared" si="2"/>
        <v>0.30149999999999999</v>
      </c>
      <c r="BZ22" s="383">
        <v>6437</v>
      </c>
      <c r="CA22" s="173">
        <f t="shared" si="3"/>
        <v>0.125</v>
      </c>
      <c r="CB22" s="384">
        <v>1.1990068192697901E-2</v>
      </c>
      <c r="CC22" s="173">
        <f t="shared" si="4"/>
        <v>7.5749999999999998E-2</v>
      </c>
      <c r="CD22" s="165">
        <f t="shared" si="5"/>
        <v>2.5714285714285716</v>
      </c>
      <c r="CE22" s="165">
        <f t="shared" si="11"/>
        <v>2503.2777777777774</v>
      </c>
      <c r="CF22" s="173">
        <f t="shared" si="6"/>
        <v>0.13300000000000001</v>
      </c>
      <c r="CG22" s="383">
        <v>98372</v>
      </c>
      <c r="CH22" s="173">
        <f t="shared" si="7"/>
        <v>0.14199999999999999</v>
      </c>
      <c r="CI22" s="385">
        <f t="shared" si="8"/>
        <v>2.27725</v>
      </c>
    </row>
    <row r="23" spans="1:87" ht="70">
      <c r="A23" s="205">
        <v>22</v>
      </c>
      <c r="B23" s="178" t="s">
        <v>129</v>
      </c>
      <c r="C23" s="178" t="s">
        <v>1451</v>
      </c>
      <c r="D23" s="178" t="s">
        <v>1174</v>
      </c>
      <c r="E23" s="178" t="s">
        <v>1452</v>
      </c>
      <c r="F23" s="178" t="s">
        <v>1176</v>
      </c>
      <c r="G23" s="178" t="s">
        <v>1176</v>
      </c>
      <c r="H23" s="178" t="s">
        <v>413</v>
      </c>
      <c r="I23" s="207" t="s">
        <v>3048</v>
      </c>
      <c r="Q23" s="178" t="s">
        <v>1174</v>
      </c>
      <c r="R23" s="178" t="s">
        <v>3005</v>
      </c>
      <c r="T23" s="208">
        <v>0</v>
      </c>
      <c r="U23" s="208">
        <v>0</v>
      </c>
      <c r="V23" s="208">
        <v>1</v>
      </c>
      <c r="W23" s="208">
        <v>0</v>
      </c>
      <c r="X23" s="173">
        <f t="shared" si="0"/>
        <v>0</v>
      </c>
      <c r="Y23" s="208">
        <v>0</v>
      </c>
      <c r="Z23" s="178" t="s">
        <v>1176</v>
      </c>
      <c r="AC23" s="176"/>
      <c r="AD23" s="380" t="s">
        <v>1974</v>
      </c>
      <c r="AE23" s="208">
        <v>20</v>
      </c>
      <c r="AF23" s="208">
        <v>0.1</v>
      </c>
      <c r="AG23" s="173">
        <f t="shared" si="1"/>
        <v>0.28999999999999998</v>
      </c>
      <c r="AH23" s="207" t="s">
        <v>3049</v>
      </c>
      <c r="AI23" s="207" t="s">
        <v>3050</v>
      </c>
      <c r="AJ23" s="178" t="s">
        <v>1176</v>
      </c>
      <c r="AK23" s="206">
        <f t="shared" si="9"/>
        <v>0</v>
      </c>
      <c r="AL23" s="178" t="s">
        <v>1176</v>
      </c>
      <c r="AM23" s="206">
        <f t="shared" si="9"/>
        <v>0</v>
      </c>
      <c r="AN23" s="173">
        <f t="shared" si="10"/>
        <v>0</v>
      </c>
      <c r="AO23" s="178" t="s">
        <v>3051</v>
      </c>
      <c r="AP23" s="178" t="s">
        <v>1176</v>
      </c>
      <c r="AQ23" s="178" t="s">
        <v>1176</v>
      </c>
      <c r="AR23" s="207" t="s">
        <v>3052</v>
      </c>
      <c r="AS23" s="173">
        <v>0</v>
      </c>
      <c r="AT23" s="203">
        <v>41117</v>
      </c>
      <c r="AU23" s="208">
        <v>133</v>
      </c>
      <c r="AV23" s="208">
        <v>12</v>
      </c>
      <c r="AW23" s="208">
        <v>44110</v>
      </c>
      <c r="AX23" s="203">
        <v>41135</v>
      </c>
      <c r="AY23" s="208">
        <v>141</v>
      </c>
      <c r="AZ23" s="208">
        <v>12</v>
      </c>
      <c r="BA23" s="178" t="s">
        <v>3053</v>
      </c>
      <c r="BB23" s="178" t="s">
        <v>3054</v>
      </c>
      <c r="BC23" s="203">
        <v>40742</v>
      </c>
      <c r="BD23" s="208">
        <v>25.351145038167939</v>
      </c>
      <c r="BE23" s="178" t="s">
        <v>1176</v>
      </c>
      <c r="BF23" s="178" t="s">
        <v>1176</v>
      </c>
      <c r="BG23" s="178" t="s">
        <v>1176</v>
      </c>
      <c r="BH23" s="207" t="s">
        <v>3055</v>
      </c>
      <c r="BI23" s="207" t="s">
        <v>3056</v>
      </c>
      <c r="BJ23" s="203">
        <v>40910</v>
      </c>
      <c r="BK23" s="208">
        <v>102944</v>
      </c>
      <c r="BL23" s="208">
        <v>457.5288888888889</v>
      </c>
      <c r="BN23" s="178" t="s">
        <v>3057</v>
      </c>
      <c r="BO23" s="178" t="s">
        <v>1176</v>
      </c>
      <c r="BP23" s="178" t="s">
        <v>1176</v>
      </c>
      <c r="BQ23" s="173">
        <v>0</v>
      </c>
      <c r="BR23" s="208">
        <v>8</v>
      </c>
      <c r="BS23" s="381">
        <v>6.01503759398496E-2</v>
      </c>
      <c r="BU23" s="349">
        <v>0</v>
      </c>
      <c r="BV23" s="381">
        <v>0</v>
      </c>
      <c r="BW23" s="382">
        <v>3784.75</v>
      </c>
      <c r="BX23" s="383">
        <v>45417</v>
      </c>
      <c r="BY23" s="173">
        <f t="shared" si="2"/>
        <v>0.112</v>
      </c>
      <c r="BZ23" s="383">
        <v>1307</v>
      </c>
      <c r="CA23" s="173">
        <f t="shared" si="3"/>
        <v>4.2999999999999997E-2</v>
      </c>
      <c r="CB23" s="384">
        <v>2.9630469281342098E-2</v>
      </c>
      <c r="CC23" s="173">
        <f t="shared" si="4"/>
        <v>0.13375000000000001</v>
      </c>
      <c r="CD23" s="165">
        <f t="shared" si="5"/>
        <v>2.5714285714285716</v>
      </c>
      <c r="CE23" s="165">
        <f t="shared" si="11"/>
        <v>508.27777777777771</v>
      </c>
      <c r="CF23" s="173">
        <f t="shared" si="6"/>
        <v>5.6250000000000001E-2</v>
      </c>
      <c r="CG23" s="383">
        <v>9963</v>
      </c>
      <c r="CH23" s="173">
        <f t="shared" si="7"/>
        <v>4.725E-2</v>
      </c>
      <c r="CI23" s="385">
        <f t="shared" si="8"/>
        <v>0.68225000000000002</v>
      </c>
    </row>
    <row r="24" spans="1:87" ht="126">
      <c r="A24" s="205">
        <v>23</v>
      </c>
      <c r="B24" s="178" t="s">
        <v>134</v>
      </c>
      <c r="C24" s="178" t="s">
        <v>1451</v>
      </c>
      <c r="D24" s="178" t="s">
        <v>1174</v>
      </c>
      <c r="E24" s="178" t="s">
        <v>1452</v>
      </c>
      <c r="F24" s="178" t="s">
        <v>1176</v>
      </c>
      <c r="G24" s="178" t="s">
        <v>1176</v>
      </c>
      <c r="H24" s="178" t="s">
        <v>413</v>
      </c>
      <c r="I24" s="207" t="s">
        <v>3058</v>
      </c>
      <c r="J24" s="178" t="s">
        <v>2927</v>
      </c>
      <c r="K24" s="178" t="s">
        <v>2891</v>
      </c>
      <c r="L24" s="178" t="s">
        <v>2890</v>
      </c>
      <c r="M24" s="178" t="s">
        <v>3059</v>
      </c>
      <c r="N24" s="178" t="s">
        <v>3060</v>
      </c>
      <c r="Q24" s="178" t="s">
        <v>1176</v>
      </c>
      <c r="V24" s="208">
        <v>5</v>
      </c>
      <c r="W24" s="208">
        <v>0</v>
      </c>
      <c r="X24" s="173">
        <f t="shared" si="0"/>
        <v>0</v>
      </c>
      <c r="Y24" s="208">
        <v>0</v>
      </c>
      <c r="AB24" s="178" t="s">
        <v>1174</v>
      </c>
      <c r="AC24" s="173">
        <v>0.5</v>
      </c>
      <c r="AD24" s="380" t="s">
        <v>1920</v>
      </c>
      <c r="AE24" s="208">
        <v>18</v>
      </c>
      <c r="AF24" s="208">
        <v>0.16666666666666671</v>
      </c>
      <c r="AG24" s="173">
        <f t="shared" si="1"/>
        <v>0.47199999999999998</v>
      </c>
      <c r="AH24" s="207" t="s">
        <v>3061</v>
      </c>
      <c r="AI24" s="207" t="s">
        <v>3062</v>
      </c>
      <c r="AJ24" s="178" t="s">
        <v>1176</v>
      </c>
      <c r="AK24" s="206">
        <f t="shared" si="9"/>
        <v>0</v>
      </c>
      <c r="AL24" s="178" t="s">
        <v>1176</v>
      </c>
      <c r="AM24" s="206">
        <f t="shared" si="9"/>
        <v>0</v>
      </c>
      <c r="AN24" s="173">
        <f t="shared" si="10"/>
        <v>0</v>
      </c>
      <c r="AO24" s="178" t="s">
        <v>3063</v>
      </c>
      <c r="AP24" s="178" t="s">
        <v>1176</v>
      </c>
      <c r="AQ24" s="178" t="s">
        <v>1176</v>
      </c>
      <c r="AR24" s="207" t="s">
        <v>3064</v>
      </c>
      <c r="AS24" s="173">
        <v>0.5</v>
      </c>
      <c r="AT24" s="203">
        <v>41117</v>
      </c>
      <c r="AU24" s="208">
        <v>2564</v>
      </c>
      <c r="AV24" s="208">
        <v>122</v>
      </c>
      <c r="AW24" s="208">
        <v>20422149</v>
      </c>
      <c r="AX24" s="203">
        <v>41135</v>
      </c>
      <c r="AY24" s="208">
        <v>2605</v>
      </c>
      <c r="AZ24" s="208">
        <v>124</v>
      </c>
      <c r="BA24" s="178" t="s">
        <v>3065</v>
      </c>
      <c r="BB24" s="178" t="s">
        <v>3066</v>
      </c>
      <c r="BC24" s="203">
        <v>40981</v>
      </c>
      <c r="BD24" s="208">
        <v>29839.16883116883</v>
      </c>
      <c r="BE24" s="178" t="s">
        <v>1176</v>
      </c>
      <c r="BF24" s="178" t="s">
        <v>1176</v>
      </c>
      <c r="BG24" s="178" t="s">
        <v>1176</v>
      </c>
      <c r="BH24" s="207" t="s">
        <v>3067</v>
      </c>
      <c r="BI24" s="207" t="s">
        <v>3068</v>
      </c>
      <c r="BJ24" s="203">
        <v>40426</v>
      </c>
      <c r="BK24" s="208">
        <v>47482</v>
      </c>
      <c r="BL24" s="208">
        <v>66.970380818053599</v>
      </c>
      <c r="BN24" s="178" t="s">
        <v>684</v>
      </c>
      <c r="BO24" s="178" t="s">
        <v>1176</v>
      </c>
      <c r="BP24" s="178" t="s">
        <v>1176</v>
      </c>
      <c r="BQ24" s="173">
        <v>0</v>
      </c>
      <c r="BR24" s="208">
        <v>41</v>
      </c>
      <c r="BS24" s="381">
        <v>1.5990639625585001E-2</v>
      </c>
      <c r="BU24" s="349">
        <v>2</v>
      </c>
      <c r="BV24" s="381">
        <v>1.63934426229508E-2</v>
      </c>
      <c r="BW24" s="382">
        <v>164775.70161290321</v>
      </c>
      <c r="BX24" s="383">
        <v>20432187</v>
      </c>
      <c r="BY24" s="173">
        <f t="shared" si="2"/>
        <v>0.49099999999999999</v>
      </c>
      <c r="BZ24" s="383">
        <v>10038</v>
      </c>
      <c r="CA24" s="173">
        <f t="shared" si="3"/>
        <v>0.14649999999999999</v>
      </c>
      <c r="CB24" s="384">
        <v>4.9152515731819995E-4</v>
      </c>
      <c r="CC24" s="173">
        <f t="shared" si="4"/>
        <v>4.2500000000000003E-3</v>
      </c>
      <c r="CD24" s="165">
        <f t="shared" si="5"/>
        <v>2.5714285714285716</v>
      </c>
      <c r="CE24" s="165">
        <f t="shared" si="11"/>
        <v>3903.6666666666665</v>
      </c>
      <c r="CF24" s="173">
        <f t="shared" si="6"/>
        <v>0.153</v>
      </c>
      <c r="CG24" s="383">
        <v>4595232</v>
      </c>
      <c r="CH24" s="173">
        <f t="shared" si="7"/>
        <v>0.2455</v>
      </c>
      <c r="CI24" s="385">
        <f t="shared" si="8"/>
        <v>2.5122499999999999</v>
      </c>
    </row>
    <row r="25" spans="1:87" ht="70">
      <c r="A25" s="205">
        <v>24</v>
      </c>
      <c r="B25" s="178" t="s">
        <v>136</v>
      </c>
      <c r="C25" s="178" t="s">
        <v>1451</v>
      </c>
      <c r="D25" s="178" t="s">
        <v>1174</v>
      </c>
      <c r="E25" s="178" t="s">
        <v>1452</v>
      </c>
      <c r="F25" s="178" t="s">
        <v>1176</v>
      </c>
      <c r="G25" s="178" t="s">
        <v>1176</v>
      </c>
      <c r="H25" s="178" t="s">
        <v>413</v>
      </c>
      <c r="I25" s="207" t="s">
        <v>3069</v>
      </c>
      <c r="J25" s="178" t="s">
        <v>2966</v>
      </c>
      <c r="K25" s="178" t="s">
        <v>3070</v>
      </c>
      <c r="L25" s="178" t="s">
        <v>3071</v>
      </c>
      <c r="M25" s="178" t="s">
        <v>3031</v>
      </c>
      <c r="Q25" s="178" t="s">
        <v>1176</v>
      </c>
      <c r="R25" s="178" t="s">
        <v>2966</v>
      </c>
      <c r="T25" s="208">
        <v>0</v>
      </c>
      <c r="U25" s="208">
        <v>0</v>
      </c>
      <c r="V25" s="208">
        <v>4</v>
      </c>
      <c r="W25" s="208">
        <v>0</v>
      </c>
      <c r="X25" s="173">
        <f t="shared" si="0"/>
        <v>0</v>
      </c>
      <c r="Y25" s="208">
        <v>0</v>
      </c>
      <c r="Z25" s="178" t="s">
        <v>1176</v>
      </c>
      <c r="AB25" s="178" t="s">
        <v>1174</v>
      </c>
      <c r="AC25" s="173">
        <v>0.5</v>
      </c>
      <c r="AD25" s="380" t="s">
        <v>3072</v>
      </c>
      <c r="AE25" s="208">
        <v>18</v>
      </c>
      <c r="AF25" s="208">
        <v>0.55555555555555558</v>
      </c>
      <c r="AG25" s="173">
        <f t="shared" si="1"/>
        <v>0.92700000000000005</v>
      </c>
      <c r="AH25" s="207" t="s">
        <v>3073</v>
      </c>
      <c r="AI25" s="207" t="s">
        <v>3074</v>
      </c>
      <c r="AJ25" s="178" t="s">
        <v>1174</v>
      </c>
      <c r="AK25" s="206">
        <f t="shared" si="9"/>
        <v>0.25</v>
      </c>
      <c r="AL25" s="178" t="s">
        <v>1176</v>
      </c>
      <c r="AM25" s="206">
        <f t="shared" si="9"/>
        <v>0</v>
      </c>
      <c r="AN25" s="173">
        <f t="shared" si="10"/>
        <v>0.25</v>
      </c>
      <c r="AO25" s="178" t="s">
        <v>421</v>
      </c>
      <c r="AP25" s="178" t="s">
        <v>1176</v>
      </c>
      <c r="AQ25" s="178" t="s">
        <v>1176</v>
      </c>
      <c r="AR25" s="207" t="s">
        <v>3075</v>
      </c>
      <c r="AS25" s="173">
        <v>0</v>
      </c>
      <c r="AT25" s="203">
        <v>41117</v>
      </c>
      <c r="AU25" s="208">
        <v>8761</v>
      </c>
      <c r="AV25" s="208">
        <v>99</v>
      </c>
      <c r="AW25" s="208">
        <v>9283823</v>
      </c>
      <c r="AX25" s="203">
        <v>41135</v>
      </c>
      <c r="AY25" s="208">
        <v>9016</v>
      </c>
      <c r="AZ25" s="208">
        <v>156</v>
      </c>
      <c r="BA25" s="178" t="s">
        <v>3076</v>
      </c>
      <c r="BB25" s="178" t="s">
        <v>3077</v>
      </c>
      <c r="BC25" s="203">
        <v>40598</v>
      </c>
      <c r="BD25" s="208">
        <v>2727.1098696461827</v>
      </c>
      <c r="BE25" s="178" t="s">
        <v>1176</v>
      </c>
      <c r="BF25" s="178" t="s">
        <v>1176</v>
      </c>
      <c r="BG25" s="178" t="s">
        <v>1176</v>
      </c>
      <c r="BH25" s="207" t="s">
        <v>3078</v>
      </c>
      <c r="BI25" s="207" t="s">
        <v>3079</v>
      </c>
      <c r="BJ25" s="203">
        <v>40437</v>
      </c>
      <c r="BK25" s="208">
        <v>1053436</v>
      </c>
      <c r="BL25" s="208">
        <v>1509.2206303724929</v>
      </c>
      <c r="BN25" s="178" t="s">
        <v>684</v>
      </c>
      <c r="BO25" s="178" t="s">
        <v>1176</v>
      </c>
      <c r="BP25" s="178" t="s">
        <v>1176</v>
      </c>
      <c r="BQ25" s="173">
        <v>0</v>
      </c>
      <c r="BR25" s="208">
        <v>255</v>
      </c>
      <c r="BS25" s="381">
        <v>2.9106266407944299E-2</v>
      </c>
      <c r="BU25" s="349">
        <v>57</v>
      </c>
      <c r="BV25" s="381">
        <v>0.5757575757575758</v>
      </c>
      <c r="BW25" s="382">
        <v>60086.051282051281</v>
      </c>
      <c r="BX25" s="383">
        <v>9373424</v>
      </c>
      <c r="BY25" s="173">
        <f t="shared" si="2"/>
        <v>0.46550000000000002</v>
      </c>
      <c r="BZ25" s="383">
        <v>89601</v>
      </c>
      <c r="CA25" s="173">
        <f t="shared" si="3"/>
        <v>0.21099999999999999</v>
      </c>
      <c r="CB25" s="384">
        <v>9.6513042094834994E-3</v>
      </c>
      <c r="CC25" s="173">
        <f t="shared" si="4"/>
        <v>5.3499999999999999E-2</v>
      </c>
      <c r="CD25" s="165">
        <f t="shared" si="5"/>
        <v>2.5714285714285716</v>
      </c>
      <c r="CE25" s="165">
        <f t="shared" si="11"/>
        <v>34844.833333333328</v>
      </c>
      <c r="CF25" s="173">
        <f t="shared" si="6"/>
        <v>0.2135</v>
      </c>
      <c r="CG25" s="383">
        <v>1464458</v>
      </c>
      <c r="CH25" s="173">
        <f t="shared" si="7"/>
        <v>0.23275000000000001</v>
      </c>
      <c r="CI25" s="385">
        <f t="shared" si="8"/>
        <v>2.8532500000000001</v>
      </c>
    </row>
    <row r="26" spans="1:87" ht="42">
      <c r="A26" s="205">
        <v>25</v>
      </c>
      <c r="B26" s="178" t="s">
        <v>139</v>
      </c>
      <c r="C26" s="178" t="s">
        <v>1451</v>
      </c>
      <c r="D26" s="178" t="s">
        <v>1174</v>
      </c>
      <c r="E26" s="178" t="s">
        <v>1452</v>
      </c>
      <c r="F26" s="178" t="s">
        <v>1174</v>
      </c>
      <c r="G26" s="178" t="s">
        <v>1176</v>
      </c>
      <c r="H26" s="178" t="s">
        <v>413</v>
      </c>
      <c r="I26" s="207" t="s">
        <v>3080</v>
      </c>
      <c r="J26" s="178" t="s">
        <v>2859</v>
      </c>
      <c r="O26" s="178" t="s">
        <v>2859</v>
      </c>
      <c r="Q26" s="178" t="s">
        <v>1174</v>
      </c>
      <c r="R26" s="178" t="s">
        <v>3081</v>
      </c>
      <c r="T26" s="208">
        <v>0</v>
      </c>
      <c r="U26" s="208">
        <v>0</v>
      </c>
      <c r="V26" s="208">
        <v>3</v>
      </c>
      <c r="W26" s="208">
        <v>0</v>
      </c>
      <c r="X26" s="173">
        <f t="shared" si="0"/>
        <v>0</v>
      </c>
      <c r="Y26" s="208">
        <v>0</v>
      </c>
      <c r="Z26" s="178" t="s">
        <v>1176</v>
      </c>
      <c r="AB26" s="178" t="s">
        <v>1176</v>
      </c>
      <c r="AC26" s="173">
        <v>0</v>
      </c>
      <c r="AD26" s="380" t="s">
        <v>1893</v>
      </c>
      <c r="AE26" s="208">
        <v>20</v>
      </c>
      <c r="AF26" s="208">
        <v>0</v>
      </c>
      <c r="AG26" s="173">
        <f t="shared" si="1"/>
        <v>0</v>
      </c>
      <c r="AH26" s="207" t="s">
        <v>3082</v>
      </c>
      <c r="AI26" s="207" t="s">
        <v>3083</v>
      </c>
      <c r="AJ26" s="178" t="s">
        <v>1176</v>
      </c>
      <c r="AK26" s="206">
        <f t="shared" si="9"/>
        <v>0</v>
      </c>
      <c r="AL26" s="178" t="s">
        <v>1176</v>
      </c>
      <c r="AM26" s="206">
        <f t="shared" si="9"/>
        <v>0</v>
      </c>
      <c r="AN26" s="173">
        <f t="shared" si="10"/>
        <v>0</v>
      </c>
      <c r="AO26" s="178" t="s">
        <v>421</v>
      </c>
      <c r="AP26" s="178" t="s">
        <v>1176</v>
      </c>
      <c r="AQ26" s="178" t="s">
        <v>1176</v>
      </c>
      <c r="AR26" s="207" t="s">
        <v>3084</v>
      </c>
      <c r="AS26" s="173">
        <v>0</v>
      </c>
      <c r="AT26" s="203">
        <v>41117</v>
      </c>
      <c r="AU26" s="208">
        <v>84</v>
      </c>
      <c r="AV26" s="208">
        <v>1</v>
      </c>
      <c r="AW26" s="208">
        <v>3229</v>
      </c>
      <c r="AX26" s="203">
        <v>41156</v>
      </c>
      <c r="AY26" s="208">
        <v>116</v>
      </c>
      <c r="AZ26" s="208">
        <v>1</v>
      </c>
      <c r="BQ26" s="173">
        <v>0</v>
      </c>
      <c r="BR26" s="208">
        <v>-84</v>
      </c>
      <c r="BS26" s="381">
        <v>-1</v>
      </c>
      <c r="BU26" s="349">
        <v>-1</v>
      </c>
      <c r="BV26" s="381">
        <v>-1</v>
      </c>
      <c r="BX26" s="383">
        <v>4174</v>
      </c>
      <c r="BY26" s="173">
        <f t="shared" si="2"/>
        <v>5.1499999999999997E-2</v>
      </c>
      <c r="BZ26" s="383">
        <f>BX26-AW26</f>
        <v>945</v>
      </c>
      <c r="CA26" s="173">
        <f t="shared" si="3"/>
        <v>3.875E-2</v>
      </c>
      <c r="CB26" s="384">
        <f>(BX26/AW26)-1</f>
        <v>0.29266026633632714</v>
      </c>
      <c r="CC26" s="173">
        <f t="shared" si="4"/>
        <v>0.2455</v>
      </c>
      <c r="CD26" s="165">
        <f t="shared" si="5"/>
        <v>5.5714285714285712</v>
      </c>
      <c r="CE26" s="165">
        <f t="shared" si="11"/>
        <v>169.61538461538461</v>
      </c>
      <c r="CF26" s="173">
        <f t="shared" si="6"/>
        <v>4.8250000000000001E-2</v>
      </c>
      <c r="CG26" s="383">
        <v>4174</v>
      </c>
      <c r="CH26" s="173">
        <f t="shared" si="7"/>
        <v>3.875E-2</v>
      </c>
      <c r="CI26" s="385">
        <f t="shared" si="8"/>
        <v>0.42275000000000001</v>
      </c>
    </row>
    <row r="27" spans="1:87" ht="140">
      <c r="A27" s="205">
        <v>26</v>
      </c>
      <c r="B27" s="178" t="s">
        <v>141</v>
      </c>
      <c r="C27" s="178" t="s">
        <v>1451</v>
      </c>
      <c r="D27" s="178" t="s">
        <v>1174</v>
      </c>
      <c r="E27" s="178" t="s">
        <v>1452</v>
      </c>
      <c r="F27" s="178" t="s">
        <v>1174</v>
      </c>
      <c r="G27" s="178" t="s">
        <v>1176</v>
      </c>
      <c r="H27" s="178" t="s">
        <v>413</v>
      </c>
      <c r="I27" s="207" t="s">
        <v>3085</v>
      </c>
      <c r="J27" s="178" t="s">
        <v>2888</v>
      </c>
      <c r="K27" s="178" t="s">
        <v>2859</v>
      </c>
      <c r="O27" s="178" t="s">
        <v>3086</v>
      </c>
      <c r="Q27" s="178" t="s">
        <v>1176</v>
      </c>
      <c r="R27" s="178" t="s">
        <v>421</v>
      </c>
      <c r="T27" s="208">
        <v>0</v>
      </c>
      <c r="U27" s="208">
        <v>2</v>
      </c>
      <c r="V27" s="208">
        <v>3</v>
      </c>
      <c r="W27" s="208">
        <v>0</v>
      </c>
      <c r="X27" s="173">
        <f t="shared" si="0"/>
        <v>0</v>
      </c>
      <c r="Y27" s="208">
        <v>0.66666666666666674</v>
      </c>
      <c r="Z27" s="178" t="s">
        <v>1176</v>
      </c>
      <c r="AA27" s="207" t="s">
        <v>3087</v>
      </c>
      <c r="AB27" s="178" t="s">
        <v>1176</v>
      </c>
      <c r="AC27" s="173">
        <v>0</v>
      </c>
      <c r="AD27" s="380" t="s">
        <v>1893</v>
      </c>
      <c r="AE27" s="208">
        <v>20</v>
      </c>
      <c r="AF27" s="208">
        <v>0</v>
      </c>
      <c r="AG27" s="173">
        <f t="shared" si="1"/>
        <v>0</v>
      </c>
      <c r="AH27" s="207" t="s">
        <v>3088</v>
      </c>
      <c r="AI27" s="207" t="s">
        <v>3089</v>
      </c>
      <c r="AJ27" s="178" t="s">
        <v>1176</v>
      </c>
      <c r="AK27" s="206">
        <f t="shared" si="9"/>
        <v>0</v>
      </c>
      <c r="AL27" s="178" t="s">
        <v>1176</v>
      </c>
      <c r="AM27" s="206">
        <f t="shared" si="9"/>
        <v>0</v>
      </c>
      <c r="AN27" s="173">
        <f t="shared" si="10"/>
        <v>0</v>
      </c>
      <c r="AO27" s="178" t="s">
        <v>421</v>
      </c>
      <c r="AP27" s="178" t="s">
        <v>1176</v>
      </c>
      <c r="AQ27" s="178" t="s">
        <v>1176</v>
      </c>
      <c r="AR27" s="207" t="s">
        <v>3090</v>
      </c>
      <c r="AS27" s="173">
        <v>0.5</v>
      </c>
      <c r="AT27" s="203">
        <v>41117</v>
      </c>
      <c r="AU27" s="208">
        <v>4226</v>
      </c>
      <c r="AV27" s="208">
        <v>94</v>
      </c>
      <c r="AW27" s="208">
        <v>1191884</v>
      </c>
      <c r="AX27" s="203">
        <v>41135</v>
      </c>
      <c r="AY27" s="208">
        <v>4313</v>
      </c>
      <c r="AZ27" s="208">
        <v>94</v>
      </c>
      <c r="BA27" s="178" t="s">
        <v>3091</v>
      </c>
      <c r="BB27" s="178" t="s">
        <v>3092</v>
      </c>
      <c r="BC27" s="203">
        <v>40473</v>
      </c>
      <c r="BD27" s="208">
        <v>464.20392749244712</v>
      </c>
      <c r="BE27" s="178" t="s">
        <v>1176</v>
      </c>
      <c r="BF27" s="178" t="s">
        <v>1176</v>
      </c>
      <c r="BG27" s="178" t="s">
        <v>1176</v>
      </c>
      <c r="BH27" s="207" t="s">
        <v>3093</v>
      </c>
      <c r="BI27" s="207" t="s">
        <v>3094</v>
      </c>
      <c r="BJ27" s="203">
        <v>40807</v>
      </c>
      <c r="BK27" s="208">
        <v>203058</v>
      </c>
      <c r="BL27" s="208">
        <v>619.07926829268297</v>
      </c>
      <c r="BN27" s="178" t="s">
        <v>3095</v>
      </c>
      <c r="BO27" s="178" t="s">
        <v>1176</v>
      </c>
      <c r="BP27" s="178" t="s">
        <v>1176</v>
      </c>
      <c r="BQ27" s="173">
        <v>0</v>
      </c>
      <c r="BR27" s="208">
        <v>87</v>
      </c>
      <c r="BS27" s="381">
        <v>2.0586843350686199E-2</v>
      </c>
      <c r="BU27" s="349">
        <v>0</v>
      </c>
      <c r="BV27" s="381">
        <v>0</v>
      </c>
      <c r="BW27" s="382">
        <v>12840.925531914894</v>
      </c>
      <c r="BX27" s="383">
        <v>1207047</v>
      </c>
      <c r="BY27" s="173">
        <f t="shared" si="2"/>
        <v>0.379</v>
      </c>
      <c r="BZ27" s="383">
        <v>15163</v>
      </c>
      <c r="CA27" s="173">
        <f t="shared" si="3"/>
        <v>0.18099999999999999</v>
      </c>
      <c r="CB27" s="384">
        <v>1.2721875618768299E-2</v>
      </c>
      <c r="CC27" s="173">
        <f t="shared" si="4"/>
        <v>8.0250000000000002E-2</v>
      </c>
      <c r="CD27" s="165">
        <f t="shared" si="5"/>
        <v>2.5714285714285716</v>
      </c>
      <c r="CE27" s="165">
        <f t="shared" si="11"/>
        <v>5896.7222222222217</v>
      </c>
      <c r="CF27" s="173">
        <f t="shared" si="6"/>
        <v>0.18525</v>
      </c>
      <c r="CG27" s="383">
        <v>307303</v>
      </c>
      <c r="CH27" s="173">
        <f t="shared" si="7"/>
        <v>0.1895</v>
      </c>
      <c r="CI27" s="385">
        <f t="shared" si="8"/>
        <v>1.5150000000000001</v>
      </c>
    </row>
    <row r="28" spans="1:87" ht="98">
      <c r="A28" s="205">
        <v>27</v>
      </c>
      <c r="B28" s="178" t="s">
        <v>143</v>
      </c>
      <c r="C28" s="178" t="s">
        <v>1451</v>
      </c>
      <c r="D28" s="178" t="s">
        <v>1174</v>
      </c>
      <c r="E28" s="178" t="s">
        <v>1452</v>
      </c>
      <c r="F28" s="178" t="s">
        <v>1176</v>
      </c>
      <c r="G28" s="178" t="s">
        <v>1176</v>
      </c>
      <c r="H28" s="178" t="s">
        <v>413</v>
      </c>
      <c r="I28" s="207" t="s">
        <v>3096</v>
      </c>
      <c r="J28" s="178" t="s">
        <v>3097</v>
      </c>
      <c r="K28" s="178" t="s">
        <v>3098</v>
      </c>
      <c r="O28" s="178" t="s">
        <v>3097</v>
      </c>
      <c r="Q28" s="178" t="s">
        <v>1176</v>
      </c>
      <c r="T28" s="208">
        <v>0</v>
      </c>
      <c r="U28" s="208">
        <v>0</v>
      </c>
      <c r="V28" s="208">
        <v>3</v>
      </c>
      <c r="W28" s="208">
        <v>0</v>
      </c>
      <c r="X28" s="173">
        <f t="shared" si="0"/>
        <v>0</v>
      </c>
      <c r="Y28" s="208">
        <v>0</v>
      </c>
      <c r="Z28" s="178" t="s">
        <v>1176</v>
      </c>
      <c r="AB28" s="178" t="s">
        <v>1174</v>
      </c>
      <c r="AC28" s="173">
        <v>0.5</v>
      </c>
      <c r="AD28" s="380" t="s">
        <v>1925</v>
      </c>
      <c r="AE28" s="208">
        <v>19</v>
      </c>
      <c r="AF28" s="208">
        <v>0.2105263157894737</v>
      </c>
      <c r="AG28" s="173">
        <f t="shared" si="1"/>
        <v>0.50900000000000001</v>
      </c>
      <c r="AH28" s="207" t="s">
        <v>3096</v>
      </c>
      <c r="AI28" s="207" t="s">
        <v>3099</v>
      </c>
      <c r="AJ28" s="178" t="s">
        <v>1176</v>
      </c>
      <c r="AK28" s="206">
        <f t="shared" si="9"/>
        <v>0</v>
      </c>
      <c r="AL28" s="178" t="s">
        <v>1176</v>
      </c>
      <c r="AM28" s="206">
        <f t="shared" si="9"/>
        <v>0</v>
      </c>
      <c r="AN28" s="173">
        <f t="shared" si="10"/>
        <v>0</v>
      </c>
      <c r="AO28" s="178" t="s">
        <v>421</v>
      </c>
      <c r="AP28" s="178" t="s">
        <v>1176</v>
      </c>
      <c r="AQ28" s="178" t="s">
        <v>1176</v>
      </c>
      <c r="AR28" s="207" t="s">
        <v>3100</v>
      </c>
      <c r="AS28" s="173">
        <v>0.5</v>
      </c>
      <c r="AT28" s="203">
        <v>41103</v>
      </c>
      <c r="AU28" s="208">
        <v>2605</v>
      </c>
      <c r="AV28" s="208">
        <v>47</v>
      </c>
      <c r="AW28" s="208">
        <v>1137340</v>
      </c>
      <c r="AX28" s="203">
        <v>41135</v>
      </c>
      <c r="AY28" s="208">
        <v>2874</v>
      </c>
      <c r="AZ28" s="208">
        <v>33</v>
      </c>
      <c r="BA28" s="178" t="s">
        <v>3101</v>
      </c>
      <c r="BB28" s="178" t="s">
        <v>3102</v>
      </c>
      <c r="BC28" s="203">
        <v>40611</v>
      </c>
      <c r="BD28" s="208">
        <v>569.73664122137404</v>
      </c>
      <c r="BE28" s="178" t="s">
        <v>1176</v>
      </c>
      <c r="BF28" s="178" t="s">
        <v>1176</v>
      </c>
      <c r="BG28" s="178" t="s">
        <v>1176</v>
      </c>
      <c r="BH28" s="207" t="s">
        <v>3103</v>
      </c>
      <c r="BI28" s="207" t="s">
        <v>3104</v>
      </c>
      <c r="BJ28" s="203">
        <v>40491</v>
      </c>
      <c r="BK28" s="208">
        <v>88710</v>
      </c>
      <c r="BL28" s="208">
        <v>137.74844720496895</v>
      </c>
      <c r="BN28" s="178" t="s">
        <v>684</v>
      </c>
      <c r="BO28" s="178" t="s">
        <v>1176</v>
      </c>
      <c r="BP28" s="178" t="s">
        <v>1176</v>
      </c>
      <c r="BQ28" s="173">
        <v>0</v>
      </c>
      <c r="BR28" s="208">
        <v>269</v>
      </c>
      <c r="BS28" s="381">
        <v>0.1032629558541267</v>
      </c>
      <c r="BU28" s="349">
        <v>-14</v>
      </c>
      <c r="BV28" s="381">
        <v>-0.2978723404255319</v>
      </c>
      <c r="BW28" s="382">
        <v>36146.727272727272</v>
      </c>
      <c r="BX28" s="383">
        <v>1192842</v>
      </c>
      <c r="BY28" s="173">
        <f t="shared" si="2"/>
        <v>0.3705</v>
      </c>
      <c r="BZ28" s="383">
        <v>55502</v>
      </c>
      <c r="CA28" s="173">
        <f t="shared" si="3"/>
        <v>0.20674999999999999</v>
      </c>
      <c r="CB28" s="384">
        <v>4.87998311850458E-2</v>
      </c>
      <c r="CC28" s="173">
        <f t="shared" si="4"/>
        <v>0.183</v>
      </c>
      <c r="CD28" s="165">
        <f t="shared" si="5"/>
        <v>4.5714285714285712</v>
      </c>
      <c r="CE28" s="165">
        <f t="shared" si="11"/>
        <v>12141.0625</v>
      </c>
      <c r="CF28" s="173">
        <f t="shared" si="6"/>
        <v>0.20150000000000001</v>
      </c>
      <c r="CG28" s="383">
        <v>298542</v>
      </c>
      <c r="CH28" s="173">
        <f t="shared" si="7"/>
        <v>0.18099999999999999</v>
      </c>
      <c r="CI28" s="385">
        <f t="shared" si="8"/>
        <v>2.6517499999999998</v>
      </c>
    </row>
    <row r="29" spans="1:87" ht="126">
      <c r="A29" s="205">
        <v>28</v>
      </c>
      <c r="B29" s="178" t="s">
        <v>145</v>
      </c>
      <c r="C29" s="178" t="s">
        <v>1451</v>
      </c>
      <c r="D29" s="178" t="s">
        <v>1174</v>
      </c>
      <c r="E29" s="178" t="s">
        <v>1452</v>
      </c>
      <c r="F29" s="178" t="s">
        <v>1174</v>
      </c>
      <c r="G29" s="178" t="s">
        <v>1176</v>
      </c>
      <c r="H29" s="178" t="s">
        <v>413</v>
      </c>
      <c r="I29" s="207" t="s">
        <v>3105</v>
      </c>
      <c r="J29" s="178" t="s">
        <v>3106</v>
      </c>
      <c r="K29" s="178" t="s">
        <v>3107</v>
      </c>
      <c r="L29" s="178" t="s">
        <v>3071</v>
      </c>
      <c r="M29" s="178" t="s">
        <v>3108</v>
      </c>
      <c r="O29" s="178" t="s">
        <v>3106</v>
      </c>
      <c r="Q29" s="178" t="s">
        <v>1176</v>
      </c>
      <c r="T29" s="208">
        <v>0</v>
      </c>
      <c r="U29" s="208">
        <v>0</v>
      </c>
      <c r="V29" s="208">
        <v>5</v>
      </c>
      <c r="W29" s="208">
        <v>0</v>
      </c>
      <c r="X29" s="173">
        <f t="shared" si="0"/>
        <v>0</v>
      </c>
      <c r="Y29" s="208">
        <v>0</v>
      </c>
      <c r="Z29" s="178" t="s">
        <v>1176</v>
      </c>
      <c r="AB29" s="178" t="s">
        <v>1174</v>
      </c>
      <c r="AC29" s="173">
        <v>0.5</v>
      </c>
      <c r="AD29" s="380" t="s">
        <v>3072</v>
      </c>
      <c r="AE29" s="208">
        <v>19</v>
      </c>
      <c r="AF29" s="208">
        <v>0.52631578947368418</v>
      </c>
      <c r="AG29" s="173">
        <f t="shared" si="1"/>
        <v>0.90900000000000003</v>
      </c>
      <c r="AH29" s="207" t="s">
        <v>3109</v>
      </c>
      <c r="AI29" s="207" t="s">
        <v>3110</v>
      </c>
      <c r="AJ29" s="178" t="s">
        <v>1176</v>
      </c>
      <c r="AK29" s="206">
        <f t="shared" si="9"/>
        <v>0</v>
      </c>
      <c r="AL29" s="178" t="s">
        <v>1176</v>
      </c>
      <c r="AM29" s="206">
        <f t="shared" si="9"/>
        <v>0</v>
      </c>
      <c r="AN29" s="173">
        <f t="shared" si="10"/>
        <v>0</v>
      </c>
      <c r="AO29" s="178" t="s">
        <v>421</v>
      </c>
      <c r="AP29" s="178" t="s">
        <v>1176</v>
      </c>
      <c r="AQ29" s="178" t="s">
        <v>1176</v>
      </c>
      <c r="AR29" s="207" t="s">
        <v>3111</v>
      </c>
      <c r="AS29" s="173">
        <v>0.5</v>
      </c>
      <c r="AT29" s="203">
        <v>41117</v>
      </c>
      <c r="AU29" s="208">
        <v>5060</v>
      </c>
      <c r="AV29" s="208">
        <v>233</v>
      </c>
      <c r="AW29" s="208">
        <v>5138036</v>
      </c>
      <c r="AX29" s="203">
        <v>41135</v>
      </c>
      <c r="AY29" s="208">
        <v>5196</v>
      </c>
      <c r="AZ29" s="208">
        <v>239</v>
      </c>
      <c r="BA29" s="178" t="s">
        <v>3112</v>
      </c>
      <c r="BB29" s="178" t="s">
        <v>3113</v>
      </c>
      <c r="BC29" s="203">
        <v>40990</v>
      </c>
      <c r="BD29" s="208">
        <v>5086.9586206896556</v>
      </c>
      <c r="BE29" s="178" t="s">
        <v>1176</v>
      </c>
      <c r="BF29" s="178" t="s">
        <v>1176</v>
      </c>
      <c r="BG29" s="178" t="s">
        <v>1176</v>
      </c>
      <c r="BH29" s="207" t="s">
        <v>3114</v>
      </c>
      <c r="BI29" s="207" t="s">
        <v>3115</v>
      </c>
      <c r="BJ29" s="203">
        <v>40935</v>
      </c>
      <c r="BK29" s="208">
        <v>1353482</v>
      </c>
      <c r="BL29" s="208">
        <v>6767.41</v>
      </c>
      <c r="BN29" s="178" t="s">
        <v>3116</v>
      </c>
      <c r="BO29" s="178" t="s">
        <v>1176</v>
      </c>
      <c r="BP29" s="178" t="s">
        <v>1176</v>
      </c>
      <c r="BQ29" s="173">
        <v>0</v>
      </c>
      <c r="BR29" s="208">
        <v>136</v>
      </c>
      <c r="BS29" s="381">
        <v>2.6877470355731198E-2</v>
      </c>
      <c r="BU29" s="349">
        <v>6</v>
      </c>
      <c r="BV29" s="381">
        <v>2.5751072961373401E-2</v>
      </c>
      <c r="BW29" s="382">
        <v>22516.979079497909</v>
      </c>
      <c r="BX29" s="383">
        <v>5381558</v>
      </c>
      <c r="BY29" s="173">
        <f t="shared" si="2"/>
        <v>0.42199999999999999</v>
      </c>
      <c r="BZ29" s="383">
        <v>243522</v>
      </c>
      <c r="CA29" s="173">
        <f t="shared" si="3"/>
        <v>0.224</v>
      </c>
      <c r="CB29" s="384">
        <v>4.7395931052254203E-2</v>
      </c>
      <c r="CC29" s="173">
        <f t="shared" si="4"/>
        <v>0.17849999999999999</v>
      </c>
      <c r="CD29" s="165">
        <f t="shared" si="5"/>
        <v>2.5714285714285716</v>
      </c>
      <c r="CE29" s="165">
        <f t="shared" si="11"/>
        <v>94703</v>
      </c>
      <c r="CF29" s="173">
        <f t="shared" si="6"/>
        <v>0.22575000000000001</v>
      </c>
      <c r="CG29" s="383">
        <v>737609</v>
      </c>
      <c r="CH29" s="173">
        <f t="shared" si="7"/>
        <v>0.21099999999999999</v>
      </c>
      <c r="CI29" s="385">
        <f t="shared" si="8"/>
        <v>3.1702500000000002</v>
      </c>
    </row>
    <row r="30" spans="1:87" ht="42">
      <c r="A30" s="205">
        <v>29</v>
      </c>
      <c r="B30" s="178" t="s">
        <v>148</v>
      </c>
      <c r="C30" s="178" t="s">
        <v>1451</v>
      </c>
      <c r="D30" s="178" t="s">
        <v>1174</v>
      </c>
      <c r="E30" s="178" t="s">
        <v>1452</v>
      </c>
      <c r="F30" s="178" t="s">
        <v>1176</v>
      </c>
      <c r="G30" s="178" t="s">
        <v>1176</v>
      </c>
      <c r="H30" s="178" t="s">
        <v>413</v>
      </c>
      <c r="I30" s="207" t="s">
        <v>3117</v>
      </c>
      <c r="Q30" s="178" t="s">
        <v>1174</v>
      </c>
      <c r="R30" s="178" t="s">
        <v>3118</v>
      </c>
      <c r="T30" s="208">
        <v>0</v>
      </c>
      <c r="U30" s="208">
        <v>0</v>
      </c>
      <c r="V30" s="208">
        <v>1</v>
      </c>
      <c r="W30" s="208">
        <v>0</v>
      </c>
      <c r="X30" s="173">
        <f t="shared" si="0"/>
        <v>0</v>
      </c>
      <c r="Y30" s="208">
        <v>0</v>
      </c>
      <c r="Z30" s="178" t="s">
        <v>1176</v>
      </c>
      <c r="AB30" s="178" t="s">
        <v>1176</v>
      </c>
      <c r="AC30" s="173">
        <v>0</v>
      </c>
      <c r="AD30" s="380" t="s">
        <v>1925</v>
      </c>
      <c r="AE30" s="208">
        <v>20</v>
      </c>
      <c r="AF30" s="208">
        <v>0.2</v>
      </c>
      <c r="AG30" s="173">
        <f t="shared" si="1"/>
        <v>0.49</v>
      </c>
      <c r="AH30" s="207" t="s">
        <v>3119</v>
      </c>
      <c r="AI30" s="207" t="s">
        <v>3120</v>
      </c>
      <c r="AJ30" s="178" t="s">
        <v>1176</v>
      </c>
      <c r="AK30" s="206">
        <f t="shared" si="9"/>
        <v>0</v>
      </c>
      <c r="AL30" s="178" t="s">
        <v>1174</v>
      </c>
      <c r="AM30" s="206">
        <f t="shared" si="9"/>
        <v>0.25</v>
      </c>
      <c r="AN30" s="173">
        <f t="shared" si="10"/>
        <v>0.25</v>
      </c>
      <c r="AO30" s="178" t="s">
        <v>421</v>
      </c>
      <c r="AP30" s="178" t="s">
        <v>1176</v>
      </c>
      <c r="AQ30" s="178" t="s">
        <v>1176</v>
      </c>
      <c r="AR30" s="207" t="s">
        <v>3121</v>
      </c>
      <c r="AS30" s="173">
        <v>0</v>
      </c>
      <c r="AT30" s="203">
        <v>41117</v>
      </c>
      <c r="AU30" s="208">
        <v>593</v>
      </c>
      <c r="AV30" s="208">
        <v>20</v>
      </c>
      <c r="AW30" s="208">
        <v>202747</v>
      </c>
      <c r="AX30" s="203">
        <v>41135</v>
      </c>
      <c r="AY30" s="208">
        <v>609</v>
      </c>
      <c r="AZ30" s="208">
        <v>21</v>
      </c>
      <c r="BA30" s="178" t="s">
        <v>3122</v>
      </c>
      <c r="BB30" s="178" t="s">
        <v>3123</v>
      </c>
      <c r="BC30" s="203">
        <v>40203</v>
      </c>
      <c r="BD30" s="208">
        <v>50.007510729613735</v>
      </c>
      <c r="BE30" s="178" t="s">
        <v>1176</v>
      </c>
      <c r="BF30" s="178" t="s">
        <v>1176</v>
      </c>
      <c r="BG30" s="178" t="s">
        <v>1176</v>
      </c>
      <c r="BH30" s="207" t="s">
        <v>3124</v>
      </c>
      <c r="BI30" s="207" t="s">
        <v>3125</v>
      </c>
      <c r="BJ30" s="203">
        <v>40108</v>
      </c>
      <c r="BK30" s="208">
        <v>98329</v>
      </c>
      <c r="BL30" s="208">
        <v>95.74391431353456</v>
      </c>
      <c r="BN30" s="178" t="s">
        <v>684</v>
      </c>
      <c r="BO30" s="178" t="s">
        <v>1176</v>
      </c>
      <c r="BP30" s="178" t="s">
        <v>1176</v>
      </c>
      <c r="BQ30" s="173">
        <v>0</v>
      </c>
      <c r="BR30" s="208">
        <v>16</v>
      </c>
      <c r="BS30" s="381">
        <v>2.6981450252951102E-2</v>
      </c>
      <c r="BU30" s="349">
        <v>1</v>
      </c>
      <c r="BV30" s="381">
        <v>0.05</v>
      </c>
      <c r="BW30" s="204">
        <v>10097.952380952382</v>
      </c>
      <c r="BX30" s="383">
        <v>212057</v>
      </c>
      <c r="BY30" s="173">
        <f t="shared" si="2"/>
        <v>0.19800000000000001</v>
      </c>
      <c r="BZ30" s="393">
        <v>9310</v>
      </c>
      <c r="CA30" s="173">
        <f t="shared" si="3"/>
        <v>0.13775000000000001</v>
      </c>
      <c r="CB30" s="394">
        <v>4.5919298435981797E-2</v>
      </c>
      <c r="CC30" s="173">
        <f t="shared" si="4"/>
        <v>0.17399999999999999</v>
      </c>
      <c r="CD30" s="165">
        <f t="shared" si="5"/>
        <v>2.5714285714285716</v>
      </c>
      <c r="CE30" s="165">
        <f t="shared" si="11"/>
        <v>3620.5555555555552</v>
      </c>
      <c r="CF30" s="173">
        <f t="shared" si="6"/>
        <v>0.14499999999999999</v>
      </c>
      <c r="CG30" s="383">
        <v>46607</v>
      </c>
      <c r="CH30" s="173">
        <f t="shared" si="7"/>
        <v>0.10324999999999999</v>
      </c>
      <c r="CI30" s="385">
        <f t="shared" si="8"/>
        <v>1.498</v>
      </c>
    </row>
    <row r="31" spans="1:87" ht="56">
      <c r="A31" s="205">
        <v>30</v>
      </c>
      <c r="B31" s="178" t="s">
        <v>150</v>
      </c>
      <c r="C31" s="178" t="s">
        <v>1451</v>
      </c>
      <c r="D31" s="178" t="s">
        <v>1174</v>
      </c>
      <c r="E31" s="178" t="s">
        <v>1452</v>
      </c>
      <c r="F31" s="178" t="s">
        <v>1176</v>
      </c>
      <c r="G31" s="178" t="s">
        <v>1176</v>
      </c>
      <c r="H31" s="178" t="s">
        <v>413</v>
      </c>
      <c r="I31" s="207" t="s">
        <v>3126</v>
      </c>
      <c r="J31" s="178" t="s">
        <v>3127</v>
      </c>
      <c r="O31" s="178" t="s">
        <v>3127</v>
      </c>
      <c r="Q31" s="178" t="s">
        <v>1176</v>
      </c>
      <c r="T31" s="208">
        <v>0</v>
      </c>
      <c r="U31" s="208">
        <v>0</v>
      </c>
      <c r="V31" s="208">
        <v>2</v>
      </c>
      <c r="W31" s="208">
        <v>0</v>
      </c>
      <c r="X31" s="173">
        <f t="shared" si="0"/>
        <v>0</v>
      </c>
      <c r="Y31" s="208">
        <v>0</v>
      </c>
      <c r="Z31" s="178" t="s">
        <v>1176</v>
      </c>
      <c r="AB31" s="178" t="s">
        <v>1174</v>
      </c>
      <c r="AC31" s="173">
        <v>0.5</v>
      </c>
      <c r="AD31" s="380" t="s">
        <v>1920</v>
      </c>
      <c r="AE31" s="208">
        <v>19</v>
      </c>
      <c r="AF31" s="208">
        <v>0.15789473684210531</v>
      </c>
      <c r="AG31" s="173">
        <f t="shared" si="1"/>
        <v>0.436</v>
      </c>
      <c r="AH31" s="207" t="s">
        <v>3128</v>
      </c>
      <c r="AI31" s="207" t="s">
        <v>3129</v>
      </c>
      <c r="AJ31" s="178" t="s">
        <v>1176</v>
      </c>
      <c r="AK31" s="206">
        <f t="shared" si="9"/>
        <v>0</v>
      </c>
      <c r="AL31" s="178" t="s">
        <v>1176</v>
      </c>
      <c r="AM31" s="206">
        <f t="shared" si="9"/>
        <v>0</v>
      </c>
      <c r="AN31" s="173">
        <f t="shared" si="10"/>
        <v>0</v>
      </c>
      <c r="AO31" s="178" t="s">
        <v>421</v>
      </c>
      <c r="AP31" s="178" t="s">
        <v>1176</v>
      </c>
      <c r="AQ31" s="178" t="s">
        <v>1176</v>
      </c>
      <c r="AR31" s="207" t="s">
        <v>3130</v>
      </c>
      <c r="AS31" s="173">
        <v>0</v>
      </c>
      <c r="AT31" s="203">
        <v>41117</v>
      </c>
      <c r="AU31" s="208">
        <v>423</v>
      </c>
      <c r="AV31" s="208">
        <v>62</v>
      </c>
      <c r="AW31" s="208">
        <v>410662</v>
      </c>
      <c r="AX31" s="203">
        <v>41135</v>
      </c>
      <c r="AY31" s="208">
        <v>427</v>
      </c>
      <c r="AZ31" s="208">
        <v>62</v>
      </c>
      <c r="BA31" s="178" t="s">
        <v>3131</v>
      </c>
      <c r="BB31" s="178" t="s">
        <v>3132</v>
      </c>
      <c r="BC31" s="203">
        <v>40911</v>
      </c>
      <c r="BD31" s="208">
        <v>870.375</v>
      </c>
      <c r="BE31" s="178" t="s">
        <v>1176</v>
      </c>
      <c r="BF31" s="178" t="s">
        <v>1176</v>
      </c>
      <c r="BG31" s="178" t="s">
        <v>1176</v>
      </c>
      <c r="BH31" s="207" t="s">
        <v>3133</v>
      </c>
      <c r="BI31" s="207" t="s">
        <v>3134</v>
      </c>
      <c r="BJ31" s="203">
        <v>39490</v>
      </c>
      <c r="BK31" s="208">
        <v>382254</v>
      </c>
      <c r="BL31" s="208">
        <v>232.37325227963527</v>
      </c>
      <c r="BN31" s="178" t="s">
        <v>684</v>
      </c>
      <c r="BO31" s="178" t="s">
        <v>1176</v>
      </c>
      <c r="BP31" s="178" t="s">
        <v>1176</v>
      </c>
      <c r="BQ31" s="173">
        <v>0</v>
      </c>
      <c r="BR31" s="208">
        <v>4</v>
      </c>
      <c r="BS31" s="381">
        <v>9.4562647754136992E-3</v>
      </c>
      <c r="BU31" s="349">
        <v>0</v>
      </c>
      <c r="BV31" s="381">
        <v>0</v>
      </c>
      <c r="BW31" s="382">
        <v>6840.4032258064517</v>
      </c>
      <c r="BX31" s="383">
        <v>424105</v>
      </c>
      <c r="BY31" s="173">
        <f t="shared" si="2"/>
        <v>0.27550000000000002</v>
      </c>
      <c r="BZ31" s="383">
        <v>13443</v>
      </c>
      <c r="CA31" s="173">
        <f t="shared" si="3"/>
        <v>0.15925</v>
      </c>
      <c r="CB31" s="384">
        <v>3.2734949910145097E-2</v>
      </c>
      <c r="CC31" s="173">
        <f t="shared" si="4"/>
        <v>0.15175</v>
      </c>
      <c r="CD31" s="165">
        <f t="shared" si="5"/>
        <v>2.5714285714285716</v>
      </c>
      <c r="CE31" s="165">
        <f t="shared" si="11"/>
        <v>5227.833333333333</v>
      </c>
      <c r="CF31" s="173">
        <f t="shared" si="6"/>
        <v>0.16525000000000001</v>
      </c>
      <c r="CG31" s="383">
        <v>194964</v>
      </c>
      <c r="CH31" s="173">
        <f t="shared" si="7"/>
        <v>0.17224999999999999</v>
      </c>
      <c r="CI31" s="385">
        <f t="shared" si="8"/>
        <v>1.86</v>
      </c>
    </row>
    <row r="32" spans="1:87" ht="42">
      <c r="A32" s="205">
        <v>31</v>
      </c>
      <c r="B32" s="178" t="s">
        <v>153</v>
      </c>
      <c r="C32" s="178" t="s">
        <v>1451</v>
      </c>
      <c r="D32" s="178" t="s">
        <v>1174</v>
      </c>
      <c r="E32" s="178" t="s">
        <v>1452</v>
      </c>
      <c r="F32" s="178" t="s">
        <v>1176</v>
      </c>
      <c r="G32" s="178" t="s">
        <v>1176</v>
      </c>
      <c r="H32" s="178" t="s">
        <v>413</v>
      </c>
      <c r="I32" s="207" t="s">
        <v>3135</v>
      </c>
      <c r="Q32" s="178" t="s">
        <v>1176</v>
      </c>
      <c r="T32" s="208">
        <v>0</v>
      </c>
      <c r="U32" s="208">
        <v>0</v>
      </c>
      <c r="V32" s="208">
        <v>0</v>
      </c>
      <c r="W32" s="208">
        <v>0</v>
      </c>
      <c r="X32" s="173">
        <f t="shared" si="0"/>
        <v>0</v>
      </c>
      <c r="Y32" s="208" t="s">
        <v>2534</v>
      </c>
      <c r="Z32" s="178" t="s">
        <v>1176</v>
      </c>
      <c r="AB32" s="178" t="s">
        <v>1174</v>
      </c>
      <c r="AC32" s="173">
        <v>0.5</v>
      </c>
      <c r="AD32" s="380" t="s">
        <v>2967</v>
      </c>
      <c r="AE32" s="208">
        <v>19</v>
      </c>
      <c r="AF32" s="208">
        <v>0.4210526315789474</v>
      </c>
      <c r="AG32" s="173">
        <f t="shared" si="1"/>
        <v>0.78100000000000003</v>
      </c>
      <c r="AH32" s="207" t="s">
        <v>3136</v>
      </c>
      <c r="AI32" s="207" t="s">
        <v>3137</v>
      </c>
      <c r="AJ32" s="178" t="s">
        <v>1176</v>
      </c>
      <c r="AK32" s="206">
        <f t="shared" si="9"/>
        <v>0</v>
      </c>
      <c r="AL32" s="178" t="s">
        <v>1176</v>
      </c>
      <c r="AM32" s="206">
        <f t="shared" si="9"/>
        <v>0</v>
      </c>
      <c r="AN32" s="173">
        <f t="shared" si="10"/>
        <v>0</v>
      </c>
      <c r="AO32" s="178" t="s">
        <v>421</v>
      </c>
      <c r="AP32" s="178" t="s">
        <v>1176</v>
      </c>
      <c r="AQ32" s="178" t="s">
        <v>1176</v>
      </c>
      <c r="AR32" s="207" t="s">
        <v>3138</v>
      </c>
      <c r="AS32" s="173">
        <v>0</v>
      </c>
      <c r="AT32" s="203">
        <v>41117</v>
      </c>
      <c r="AU32" s="208">
        <v>1747</v>
      </c>
      <c r="AV32" s="208">
        <v>64</v>
      </c>
      <c r="AW32" s="208">
        <v>631934</v>
      </c>
      <c r="AX32" s="203">
        <v>41135</v>
      </c>
      <c r="AY32" s="208">
        <v>1781</v>
      </c>
      <c r="AZ32" s="208">
        <v>64</v>
      </c>
      <c r="BA32" s="178" t="s">
        <v>3139</v>
      </c>
      <c r="BB32" s="178" t="s">
        <v>3137</v>
      </c>
      <c r="BC32" s="203">
        <v>40567</v>
      </c>
      <c r="BD32" s="208">
        <v>296.87323943661971</v>
      </c>
      <c r="BE32" s="178" t="s">
        <v>1176</v>
      </c>
      <c r="BF32" s="178" t="s">
        <v>1176</v>
      </c>
      <c r="BG32" s="178" t="s">
        <v>1176</v>
      </c>
      <c r="BH32" s="207" t="s">
        <v>3140</v>
      </c>
      <c r="BI32" s="207" t="s">
        <v>3141</v>
      </c>
      <c r="BJ32" s="203">
        <v>40486</v>
      </c>
      <c r="BK32" s="208">
        <v>662</v>
      </c>
      <c r="BL32" s="208">
        <v>1.0200308166409862</v>
      </c>
      <c r="BN32" s="178" t="s">
        <v>3142</v>
      </c>
      <c r="BO32" s="178" t="s">
        <v>1176</v>
      </c>
      <c r="BP32" s="178" t="s">
        <v>1176</v>
      </c>
      <c r="BQ32" s="173">
        <v>0</v>
      </c>
      <c r="BR32" s="208">
        <v>34</v>
      </c>
      <c r="BS32" s="381">
        <v>1.94619347452776E-2</v>
      </c>
      <c r="BU32" s="349">
        <v>0</v>
      </c>
      <c r="BV32" s="381">
        <v>0</v>
      </c>
      <c r="BW32" s="382">
        <v>9960.203125</v>
      </c>
      <c r="BX32" s="383">
        <v>637453</v>
      </c>
      <c r="BY32" s="173">
        <f t="shared" si="2"/>
        <v>0.33600000000000002</v>
      </c>
      <c r="BZ32" s="383">
        <v>5519</v>
      </c>
      <c r="CA32" s="173">
        <f t="shared" si="3"/>
        <v>0.11625000000000001</v>
      </c>
      <c r="CB32" s="384">
        <v>8.7335069801592995E-3</v>
      </c>
      <c r="CC32" s="173">
        <f t="shared" si="4"/>
        <v>3.5499999999999997E-2</v>
      </c>
      <c r="CD32" s="165">
        <f t="shared" si="5"/>
        <v>2.5714285714285716</v>
      </c>
      <c r="CE32" s="165">
        <f t="shared" si="11"/>
        <v>2146.2777777777778</v>
      </c>
      <c r="CF32" s="173">
        <f t="shared" si="6"/>
        <v>0.125</v>
      </c>
      <c r="CG32" s="383">
        <v>168624</v>
      </c>
      <c r="CH32" s="173">
        <f t="shared" si="7"/>
        <v>0.16375000000000001</v>
      </c>
      <c r="CI32" s="385">
        <f t="shared" si="8"/>
        <v>2.0575000000000001</v>
      </c>
    </row>
    <row r="33" spans="1:87" ht="98">
      <c r="A33" s="205">
        <v>32</v>
      </c>
      <c r="B33" s="178" t="s">
        <v>156</v>
      </c>
      <c r="C33" s="178" t="s">
        <v>1451</v>
      </c>
      <c r="D33" s="178" t="s">
        <v>1174</v>
      </c>
      <c r="E33" s="178" t="s">
        <v>1452</v>
      </c>
      <c r="F33" s="178" t="s">
        <v>1174</v>
      </c>
      <c r="G33" s="178" t="s">
        <v>1176</v>
      </c>
      <c r="H33" s="178" t="s">
        <v>413</v>
      </c>
      <c r="I33" s="207" t="s">
        <v>3143</v>
      </c>
      <c r="J33" s="178" t="s">
        <v>3144</v>
      </c>
      <c r="K33" s="178" t="s">
        <v>93</v>
      </c>
      <c r="L33" s="178" t="s">
        <v>3145</v>
      </c>
      <c r="M33" s="178" t="s">
        <v>3146</v>
      </c>
      <c r="N33" s="178" t="s">
        <v>2929</v>
      </c>
      <c r="O33" s="178" t="s">
        <v>3144</v>
      </c>
      <c r="Q33" s="178" t="s">
        <v>1176</v>
      </c>
      <c r="T33" s="208">
        <v>0</v>
      </c>
      <c r="U33" s="208">
        <v>1</v>
      </c>
      <c r="V33" s="208">
        <v>6</v>
      </c>
      <c r="W33" s="208">
        <v>0</v>
      </c>
      <c r="X33" s="173">
        <f t="shared" si="0"/>
        <v>0</v>
      </c>
      <c r="Y33" s="208">
        <v>0.16666666666666671</v>
      </c>
      <c r="Z33" s="178" t="s">
        <v>1176</v>
      </c>
      <c r="AA33" s="207" t="s">
        <v>3147</v>
      </c>
      <c r="AB33" s="178" t="s">
        <v>1174</v>
      </c>
      <c r="AC33" s="173">
        <v>0.5</v>
      </c>
      <c r="AD33" s="380" t="s">
        <v>2930</v>
      </c>
      <c r="AE33" s="208">
        <v>19</v>
      </c>
      <c r="AF33" s="208">
        <v>0.31578947368421051</v>
      </c>
      <c r="AG33" s="173">
        <f t="shared" si="1"/>
        <v>0.67200000000000004</v>
      </c>
      <c r="AH33" s="207" t="s">
        <v>3148</v>
      </c>
      <c r="AI33" s="207" t="s">
        <v>3149</v>
      </c>
      <c r="AJ33" s="178" t="s">
        <v>1176</v>
      </c>
      <c r="AK33" s="206">
        <f t="shared" si="9"/>
        <v>0</v>
      </c>
      <c r="AL33" s="178" t="s">
        <v>1176</v>
      </c>
      <c r="AM33" s="206">
        <f t="shared" si="9"/>
        <v>0</v>
      </c>
      <c r="AN33" s="173">
        <f t="shared" si="10"/>
        <v>0</v>
      </c>
      <c r="AO33" s="178" t="s">
        <v>421</v>
      </c>
      <c r="AP33" s="178" t="s">
        <v>1176</v>
      </c>
      <c r="AQ33" s="178" t="s">
        <v>1176</v>
      </c>
      <c r="AR33" s="207" t="s">
        <v>3150</v>
      </c>
      <c r="AS33" s="173">
        <v>0.5</v>
      </c>
      <c r="AT33" s="203">
        <v>41117</v>
      </c>
      <c r="AU33" s="208">
        <v>1919</v>
      </c>
      <c r="AV33" s="208">
        <v>140</v>
      </c>
      <c r="AW33" s="208">
        <v>3403699</v>
      </c>
      <c r="AX33" s="203">
        <v>41135</v>
      </c>
      <c r="AY33" s="208">
        <v>2001</v>
      </c>
      <c r="AZ33" s="208">
        <v>140</v>
      </c>
      <c r="BA33" s="178" t="s">
        <v>3151</v>
      </c>
      <c r="BB33" s="178" t="s">
        <v>3152</v>
      </c>
      <c r="BC33" s="203">
        <v>40609</v>
      </c>
      <c r="BD33" s="208">
        <v>4358.403041825095</v>
      </c>
      <c r="BE33" s="178" t="s">
        <v>1176</v>
      </c>
      <c r="BF33" s="178" t="s">
        <v>1176</v>
      </c>
      <c r="BG33" s="178" t="s">
        <v>1176</v>
      </c>
      <c r="BH33" s="207" t="s">
        <v>3153</v>
      </c>
      <c r="BI33" s="207" t="s">
        <v>3154</v>
      </c>
      <c r="BJ33" s="203">
        <v>38960</v>
      </c>
      <c r="BK33" s="208">
        <v>115905</v>
      </c>
      <c r="BL33" s="208">
        <v>53.289655172413795</v>
      </c>
      <c r="BN33" s="178" t="s">
        <v>684</v>
      </c>
      <c r="BO33" s="178" t="s">
        <v>1176</v>
      </c>
      <c r="BP33" s="178" t="s">
        <v>1176</v>
      </c>
      <c r="BQ33" s="173">
        <v>0</v>
      </c>
      <c r="BR33" s="208">
        <v>82</v>
      </c>
      <c r="BS33" s="381">
        <v>4.2730588848358501E-2</v>
      </c>
      <c r="BU33" s="349">
        <v>0</v>
      </c>
      <c r="BV33" s="381">
        <v>0</v>
      </c>
      <c r="BW33" s="382">
        <v>24492.65</v>
      </c>
      <c r="BX33" s="383">
        <v>3428971</v>
      </c>
      <c r="BY33" s="173">
        <f t="shared" si="2"/>
        <v>0.39650000000000002</v>
      </c>
      <c r="BZ33" s="383">
        <v>25272</v>
      </c>
      <c r="CA33" s="173">
        <f t="shared" si="3"/>
        <v>0.19375000000000001</v>
      </c>
      <c r="CB33" s="384">
        <v>7.4248633618895004E-3</v>
      </c>
      <c r="CC33" s="173">
        <f t="shared" si="4"/>
        <v>2.6749999999999999E-2</v>
      </c>
      <c r="CD33" s="165">
        <f t="shared" si="5"/>
        <v>2.5714285714285716</v>
      </c>
      <c r="CE33" s="165">
        <f t="shared" si="11"/>
        <v>9828</v>
      </c>
      <c r="CF33" s="173">
        <f t="shared" si="6"/>
        <v>0.19750000000000001</v>
      </c>
      <c r="CG33" s="383">
        <v>2292520</v>
      </c>
      <c r="CH33" s="173">
        <f t="shared" si="7"/>
        <v>0.24124999999999999</v>
      </c>
      <c r="CI33" s="385">
        <f t="shared" si="8"/>
        <v>2.7277499999999999</v>
      </c>
    </row>
    <row r="34" spans="1:87" ht="56">
      <c r="A34" s="205">
        <v>33</v>
      </c>
      <c r="B34" s="178" t="s">
        <v>158</v>
      </c>
      <c r="C34" s="178" t="s">
        <v>1451</v>
      </c>
      <c r="D34" s="178" t="s">
        <v>1174</v>
      </c>
      <c r="E34" s="178" t="s">
        <v>1452</v>
      </c>
      <c r="F34" s="178" t="s">
        <v>1176</v>
      </c>
      <c r="G34" s="178" t="s">
        <v>1176</v>
      </c>
      <c r="H34" s="178" t="s">
        <v>413</v>
      </c>
      <c r="I34" s="207" t="s">
        <v>3155</v>
      </c>
      <c r="J34" s="178" t="s">
        <v>2859</v>
      </c>
      <c r="O34" s="178" t="s">
        <v>2859</v>
      </c>
      <c r="Q34" s="178" t="s">
        <v>1176</v>
      </c>
      <c r="T34" s="208">
        <v>0</v>
      </c>
      <c r="U34" s="208">
        <v>0</v>
      </c>
      <c r="V34" s="208">
        <v>2</v>
      </c>
      <c r="W34" s="208">
        <v>0</v>
      </c>
      <c r="X34" s="173">
        <f t="shared" si="0"/>
        <v>0</v>
      </c>
      <c r="Y34" s="208">
        <v>0</v>
      </c>
      <c r="Z34" s="178" t="s">
        <v>1176</v>
      </c>
      <c r="AB34" s="178" t="s">
        <v>1176</v>
      </c>
      <c r="AC34" s="173">
        <v>0</v>
      </c>
      <c r="AD34" s="380" t="s">
        <v>1974</v>
      </c>
      <c r="AE34" s="208">
        <v>19</v>
      </c>
      <c r="AF34" s="208">
        <v>0.10526315789473679</v>
      </c>
      <c r="AG34" s="173">
        <f t="shared" si="1"/>
        <v>0.309</v>
      </c>
      <c r="AH34" s="207" t="s">
        <v>3156</v>
      </c>
      <c r="AI34" s="207" t="s">
        <v>3157</v>
      </c>
      <c r="AJ34" s="178" t="s">
        <v>1176</v>
      </c>
      <c r="AK34" s="206">
        <f t="shared" si="9"/>
        <v>0</v>
      </c>
      <c r="AL34" s="178" t="s">
        <v>1176</v>
      </c>
      <c r="AM34" s="206">
        <f t="shared" si="9"/>
        <v>0</v>
      </c>
      <c r="AN34" s="173">
        <f t="shared" si="10"/>
        <v>0</v>
      </c>
      <c r="AO34" s="178" t="s">
        <v>421</v>
      </c>
      <c r="AP34" s="178" t="s">
        <v>1176</v>
      </c>
      <c r="AQ34" s="178" t="s">
        <v>1176</v>
      </c>
      <c r="AR34" s="207" t="s">
        <v>3158</v>
      </c>
      <c r="AS34" s="173">
        <v>0</v>
      </c>
      <c r="AT34" s="203">
        <v>41117</v>
      </c>
      <c r="AU34" s="208">
        <v>43</v>
      </c>
      <c r="AV34" s="208">
        <v>7</v>
      </c>
      <c r="AW34" s="208">
        <v>20319</v>
      </c>
      <c r="AX34" s="203">
        <v>41135</v>
      </c>
      <c r="AY34" s="208">
        <v>42</v>
      </c>
      <c r="AZ34" s="208">
        <v>7</v>
      </c>
      <c r="BA34" s="178" t="s">
        <v>3159</v>
      </c>
      <c r="BB34" s="178" t="s">
        <v>3157</v>
      </c>
      <c r="BC34" s="203">
        <v>40344</v>
      </c>
      <c r="BD34" s="208">
        <v>12.991150442477876</v>
      </c>
      <c r="BE34" s="178" t="s">
        <v>1176</v>
      </c>
      <c r="BF34" s="178" t="s">
        <v>1176</v>
      </c>
      <c r="BG34" s="178" t="s">
        <v>1176</v>
      </c>
      <c r="BH34" s="207" t="s">
        <v>3160</v>
      </c>
      <c r="BI34" s="207" t="s">
        <v>3161</v>
      </c>
      <c r="BJ34" s="203">
        <v>40740</v>
      </c>
      <c r="BK34" s="208">
        <v>1042</v>
      </c>
      <c r="BL34" s="208">
        <v>2.6379746835443036</v>
      </c>
      <c r="BN34" s="178" t="s">
        <v>3162</v>
      </c>
      <c r="BO34" s="178" t="s">
        <v>1176</v>
      </c>
      <c r="BP34" s="178" t="s">
        <v>1176</v>
      </c>
      <c r="BQ34" s="173">
        <v>0</v>
      </c>
      <c r="BR34" s="208">
        <v>-1</v>
      </c>
      <c r="BS34" s="381">
        <v>-2.32558139534884E-2</v>
      </c>
      <c r="BU34" s="349">
        <v>0</v>
      </c>
      <c r="BV34" s="381">
        <v>0</v>
      </c>
      <c r="BW34" s="382">
        <v>2927.8571428571427</v>
      </c>
      <c r="BX34" s="383">
        <v>20495</v>
      </c>
      <c r="BY34" s="173">
        <f t="shared" si="2"/>
        <v>8.5999999999999993E-2</v>
      </c>
      <c r="BZ34" s="383">
        <v>176</v>
      </c>
      <c r="CA34" s="173">
        <f t="shared" si="3"/>
        <v>2.5749999999999999E-2</v>
      </c>
      <c r="CB34" s="384">
        <v>8.6618435946651008E-3</v>
      </c>
      <c r="CC34" s="173">
        <f t="shared" si="4"/>
        <v>3.125E-2</v>
      </c>
      <c r="CD34" s="165">
        <f t="shared" si="5"/>
        <v>2.5714285714285716</v>
      </c>
      <c r="CE34" s="165">
        <f t="shared" si="11"/>
        <v>68.444444444444443</v>
      </c>
      <c r="CF34" s="173">
        <f t="shared" si="6"/>
        <v>4.0250000000000001E-2</v>
      </c>
      <c r="CG34" s="383">
        <v>10276</v>
      </c>
      <c r="CH34" s="173">
        <f t="shared" si="7"/>
        <v>5.1499999999999997E-2</v>
      </c>
      <c r="CI34" s="385">
        <f t="shared" si="8"/>
        <v>0.54374999999999996</v>
      </c>
    </row>
    <row r="35" spans="1:87" ht="28">
      <c r="A35" s="205">
        <v>34</v>
      </c>
      <c r="B35" s="178" t="s">
        <v>161</v>
      </c>
      <c r="C35" s="178" t="s">
        <v>1451</v>
      </c>
      <c r="D35" s="178" t="s">
        <v>1174</v>
      </c>
      <c r="E35" s="178" t="s">
        <v>1452</v>
      </c>
      <c r="F35" s="178" t="s">
        <v>1176</v>
      </c>
      <c r="G35" s="178" t="s">
        <v>1176</v>
      </c>
      <c r="H35" s="178" t="s">
        <v>413</v>
      </c>
      <c r="I35" s="207" t="s">
        <v>3163</v>
      </c>
      <c r="J35" s="178" t="s">
        <v>2859</v>
      </c>
      <c r="K35" s="178" t="s">
        <v>3164</v>
      </c>
      <c r="O35" s="178" t="s">
        <v>2859</v>
      </c>
      <c r="Q35" s="178" t="s">
        <v>1176</v>
      </c>
      <c r="T35" s="208">
        <v>0</v>
      </c>
      <c r="U35" s="208">
        <v>0</v>
      </c>
      <c r="V35" s="208">
        <v>3</v>
      </c>
      <c r="W35" s="208">
        <v>0</v>
      </c>
      <c r="X35" s="173">
        <f t="shared" si="0"/>
        <v>0</v>
      </c>
      <c r="Y35" s="208">
        <v>0</v>
      </c>
      <c r="Z35" s="178" t="s">
        <v>1176</v>
      </c>
      <c r="AB35" s="178" t="s">
        <v>1174</v>
      </c>
      <c r="AC35" s="173">
        <v>0.5</v>
      </c>
      <c r="AD35" s="380" t="s">
        <v>1925</v>
      </c>
      <c r="AE35" s="208">
        <v>19</v>
      </c>
      <c r="AF35" s="208">
        <v>0.2105263157894737</v>
      </c>
      <c r="AG35" s="173">
        <f t="shared" si="1"/>
        <v>0.50900000000000001</v>
      </c>
      <c r="AH35" s="207" t="s">
        <v>3165</v>
      </c>
      <c r="AI35" s="207" t="s">
        <v>3166</v>
      </c>
      <c r="AJ35" s="178" t="s">
        <v>1174</v>
      </c>
      <c r="AK35" s="206">
        <f t="shared" si="9"/>
        <v>0.25</v>
      </c>
      <c r="AL35" s="178" t="s">
        <v>1176</v>
      </c>
      <c r="AM35" s="206">
        <f t="shared" si="9"/>
        <v>0</v>
      </c>
      <c r="AN35" s="173">
        <f t="shared" si="10"/>
        <v>0.25</v>
      </c>
      <c r="AO35" s="178" t="s">
        <v>3063</v>
      </c>
      <c r="AP35" s="178" t="s">
        <v>1176</v>
      </c>
      <c r="AQ35" s="178" t="s">
        <v>1176</v>
      </c>
      <c r="AS35" s="173">
        <v>0</v>
      </c>
      <c r="AT35" s="203">
        <v>41117</v>
      </c>
      <c r="AU35" s="208">
        <v>2839</v>
      </c>
      <c r="AV35" s="208">
        <v>22</v>
      </c>
      <c r="AW35" s="208">
        <v>1178954</v>
      </c>
      <c r="AX35" s="203">
        <v>41135</v>
      </c>
      <c r="AY35" s="208">
        <v>2920</v>
      </c>
      <c r="AZ35" s="208">
        <v>22</v>
      </c>
      <c r="BA35" s="178" t="s">
        <v>3167</v>
      </c>
      <c r="BB35" s="178" t="s">
        <v>3166</v>
      </c>
      <c r="BC35" s="203">
        <v>40785</v>
      </c>
      <c r="BD35" s="208">
        <v>2131.5571428571429</v>
      </c>
      <c r="BE35" s="178" t="s">
        <v>1174</v>
      </c>
      <c r="BF35" s="178" t="s">
        <v>1176</v>
      </c>
      <c r="BG35" s="178" t="s">
        <v>1176</v>
      </c>
      <c r="BH35" s="207" t="s">
        <v>3168</v>
      </c>
      <c r="BI35" s="207" t="s">
        <v>3169</v>
      </c>
      <c r="BJ35" s="203">
        <v>40484</v>
      </c>
      <c r="BK35" s="208">
        <v>468575</v>
      </c>
      <c r="BL35" s="208">
        <v>719.77726574500764</v>
      </c>
      <c r="BN35" s="178" t="s">
        <v>684</v>
      </c>
      <c r="BO35" s="178" t="s">
        <v>1176</v>
      </c>
      <c r="BP35" s="178" t="s">
        <v>1176</v>
      </c>
      <c r="BQ35" s="173">
        <v>0</v>
      </c>
      <c r="BR35" s="208">
        <v>81</v>
      </c>
      <c r="BS35" s="381">
        <v>2.85311729482212E-2</v>
      </c>
      <c r="BU35" s="349">
        <v>0</v>
      </c>
      <c r="BV35" s="381">
        <v>0</v>
      </c>
      <c r="BW35" s="382">
        <v>54177.409090909088</v>
      </c>
      <c r="BX35" s="383">
        <v>1191903</v>
      </c>
      <c r="BY35" s="173">
        <f t="shared" si="2"/>
        <v>0.36199999999999999</v>
      </c>
      <c r="BZ35" s="383">
        <v>12949</v>
      </c>
      <c r="CA35" s="173">
        <f t="shared" si="3"/>
        <v>0.155</v>
      </c>
      <c r="CB35" s="384">
        <v>1.0983465003723601E-2</v>
      </c>
      <c r="CC35" s="173">
        <f t="shared" si="4"/>
        <v>6.25E-2</v>
      </c>
      <c r="CD35" s="165">
        <f t="shared" si="5"/>
        <v>2.5714285714285716</v>
      </c>
      <c r="CE35" s="165">
        <f t="shared" si="11"/>
        <v>5035.7222222222217</v>
      </c>
      <c r="CF35" s="173">
        <f t="shared" si="6"/>
        <v>0.16125</v>
      </c>
      <c r="CG35" s="383">
        <v>746045</v>
      </c>
      <c r="CH35" s="173">
        <f t="shared" si="7"/>
        <v>0.2155</v>
      </c>
      <c r="CI35" s="385">
        <f t="shared" si="8"/>
        <v>2.2152500000000002</v>
      </c>
    </row>
    <row r="36" spans="1:87" ht="112">
      <c r="A36" s="205">
        <v>35</v>
      </c>
      <c r="B36" s="178" t="s">
        <v>163</v>
      </c>
      <c r="C36" s="178" t="s">
        <v>1451</v>
      </c>
      <c r="D36" s="178" t="s">
        <v>1174</v>
      </c>
      <c r="E36" s="178" t="s">
        <v>1452</v>
      </c>
      <c r="F36" s="178" t="s">
        <v>1176</v>
      </c>
      <c r="G36" s="178" t="s">
        <v>1176</v>
      </c>
      <c r="H36" s="178" t="s">
        <v>74</v>
      </c>
      <c r="I36" s="207" t="s">
        <v>3170</v>
      </c>
      <c r="Q36" s="178" t="s">
        <v>1176</v>
      </c>
      <c r="T36" s="208">
        <v>0</v>
      </c>
      <c r="U36" s="208">
        <v>0</v>
      </c>
      <c r="V36" s="208">
        <v>0</v>
      </c>
      <c r="W36" s="208">
        <v>0</v>
      </c>
      <c r="X36" s="173">
        <f t="shared" si="0"/>
        <v>0</v>
      </c>
      <c r="Y36" s="208" t="s">
        <v>2534</v>
      </c>
      <c r="Z36" s="178" t="s">
        <v>1176</v>
      </c>
      <c r="AB36" s="178" t="s">
        <v>1174</v>
      </c>
      <c r="AC36" s="173">
        <v>0.5</v>
      </c>
      <c r="AD36" s="380" t="s">
        <v>1974</v>
      </c>
      <c r="AE36" s="208">
        <v>19</v>
      </c>
      <c r="AF36" s="208">
        <v>0.10526315789473679</v>
      </c>
      <c r="AG36" s="173">
        <f t="shared" si="1"/>
        <v>0.309</v>
      </c>
      <c r="AH36" s="207" t="s">
        <v>3171</v>
      </c>
      <c r="AI36" s="207" t="s">
        <v>3172</v>
      </c>
      <c r="AJ36" s="178" t="s">
        <v>1174</v>
      </c>
      <c r="AK36" s="206">
        <f t="shared" si="9"/>
        <v>0.25</v>
      </c>
      <c r="AL36" s="178" t="s">
        <v>1176</v>
      </c>
      <c r="AM36" s="206">
        <f t="shared" si="9"/>
        <v>0</v>
      </c>
      <c r="AN36" s="173">
        <f t="shared" si="10"/>
        <v>0.25</v>
      </c>
      <c r="AO36" s="178" t="s">
        <v>421</v>
      </c>
      <c r="AP36" s="178" t="s">
        <v>1176</v>
      </c>
      <c r="AQ36" s="178" t="s">
        <v>1176</v>
      </c>
      <c r="AR36" s="207" t="s">
        <v>3173</v>
      </c>
      <c r="AS36" s="173">
        <v>0.5</v>
      </c>
      <c r="AT36" s="203">
        <v>41117</v>
      </c>
      <c r="AU36" s="208">
        <v>1035</v>
      </c>
      <c r="AV36" s="208">
        <v>26</v>
      </c>
      <c r="AW36" s="208">
        <v>5971868</v>
      </c>
      <c r="AX36" s="203">
        <v>41135</v>
      </c>
      <c r="AY36" s="208">
        <v>1042</v>
      </c>
      <c r="AZ36" s="208">
        <v>26</v>
      </c>
      <c r="BA36" s="178" t="s">
        <v>3174</v>
      </c>
      <c r="BB36" s="178" t="s">
        <v>3175</v>
      </c>
      <c r="BC36" s="203">
        <v>40613</v>
      </c>
      <c r="BD36" s="208">
        <v>562.89272030651341</v>
      </c>
      <c r="BE36" s="178" t="s">
        <v>1176</v>
      </c>
      <c r="BF36" s="178" t="s">
        <v>1176</v>
      </c>
      <c r="BG36" s="178" t="s">
        <v>1176</v>
      </c>
      <c r="BH36" s="207" t="s">
        <v>3176</v>
      </c>
      <c r="BI36" s="207" t="s">
        <v>3177</v>
      </c>
      <c r="BJ36" s="203">
        <v>40924</v>
      </c>
      <c r="BK36" s="208">
        <v>43462</v>
      </c>
      <c r="BL36" s="208">
        <v>205.98104265402844</v>
      </c>
      <c r="BN36" s="178" t="s">
        <v>684</v>
      </c>
      <c r="BO36" s="178" t="s">
        <v>1176</v>
      </c>
      <c r="BP36" s="178" t="s">
        <v>1176</v>
      </c>
      <c r="BQ36" s="173">
        <v>0</v>
      </c>
      <c r="BR36" s="208">
        <v>7</v>
      </c>
      <c r="BS36" s="381">
        <v>6.7632850241546002E-3</v>
      </c>
      <c r="BU36" s="349">
        <v>0</v>
      </c>
      <c r="BV36" s="381">
        <v>0</v>
      </c>
      <c r="BW36" s="382">
        <v>229853.61538461538</v>
      </c>
      <c r="BX36" s="383">
        <v>5976194</v>
      </c>
      <c r="BY36" s="173">
        <f t="shared" si="2"/>
        <v>0.4395</v>
      </c>
      <c r="BZ36" s="383">
        <v>4326</v>
      </c>
      <c r="CA36" s="173">
        <f t="shared" si="3"/>
        <v>9.9000000000000005E-2</v>
      </c>
      <c r="CB36" s="384">
        <v>7.2439645350500003E-4</v>
      </c>
      <c r="CC36" s="173">
        <f t="shared" si="4"/>
        <v>8.7500000000000008E-3</v>
      </c>
      <c r="CD36" s="165">
        <f t="shared" si="5"/>
        <v>2.5714285714285716</v>
      </c>
      <c r="CE36" s="165">
        <f t="shared" si="11"/>
        <v>1682.3333333333333</v>
      </c>
      <c r="CF36" s="173">
        <f t="shared" si="6"/>
        <v>0.10875</v>
      </c>
      <c r="CG36" s="383">
        <v>293830</v>
      </c>
      <c r="CH36" s="173">
        <f t="shared" si="7"/>
        <v>0.17649999999999999</v>
      </c>
      <c r="CI36" s="385">
        <f t="shared" si="8"/>
        <v>2.3914999999999997</v>
      </c>
    </row>
    <row r="37" spans="1:87" ht="182">
      <c r="A37" s="205">
        <v>36</v>
      </c>
      <c r="B37" s="178" t="s">
        <v>165</v>
      </c>
      <c r="C37" s="178" t="s">
        <v>1451</v>
      </c>
      <c r="D37" s="178" t="s">
        <v>1174</v>
      </c>
      <c r="E37" s="178" t="s">
        <v>1452</v>
      </c>
      <c r="F37" s="178" t="s">
        <v>1176</v>
      </c>
      <c r="G37" s="178" t="s">
        <v>1176</v>
      </c>
      <c r="H37" s="178" t="s">
        <v>413</v>
      </c>
      <c r="I37" s="207" t="s">
        <v>3178</v>
      </c>
      <c r="J37" s="178" t="s">
        <v>2859</v>
      </c>
      <c r="O37" s="178" t="s">
        <v>2859</v>
      </c>
      <c r="Q37" s="178" t="s">
        <v>1176</v>
      </c>
      <c r="T37" s="208">
        <v>0</v>
      </c>
      <c r="U37" s="208">
        <v>0</v>
      </c>
      <c r="V37" s="208">
        <v>2</v>
      </c>
      <c r="W37" s="208">
        <v>0</v>
      </c>
      <c r="X37" s="173">
        <f t="shared" si="0"/>
        <v>0</v>
      </c>
      <c r="Y37" s="208">
        <v>0</v>
      </c>
      <c r="AB37" s="178" t="s">
        <v>1174</v>
      </c>
      <c r="AC37" s="173">
        <v>0.5</v>
      </c>
      <c r="AD37" s="380" t="s">
        <v>2907</v>
      </c>
      <c r="AE37" s="208">
        <v>19</v>
      </c>
      <c r="AF37" s="208">
        <v>0.47368421052631582</v>
      </c>
      <c r="AG37" s="173">
        <f t="shared" si="1"/>
        <v>0.83599999999999997</v>
      </c>
      <c r="AH37" s="207" t="s">
        <v>3179</v>
      </c>
      <c r="AI37" s="207" t="s">
        <v>3180</v>
      </c>
      <c r="AJ37" s="178" t="s">
        <v>1176</v>
      </c>
      <c r="AK37" s="206">
        <f t="shared" si="9"/>
        <v>0</v>
      </c>
      <c r="AL37" s="178" t="s">
        <v>1176</v>
      </c>
      <c r="AM37" s="206">
        <f t="shared" si="9"/>
        <v>0</v>
      </c>
      <c r="AN37" s="173">
        <f t="shared" si="10"/>
        <v>0</v>
      </c>
      <c r="AO37" s="178" t="s">
        <v>3181</v>
      </c>
      <c r="AP37" s="178" t="s">
        <v>1176</v>
      </c>
      <c r="AQ37" s="178" t="s">
        <v>1176</v>
      </c>
      <c r="AR37" s="207" t="s">
        <v>3182</v>
      </c>
      <c r="AS37" s="173">
        <v>0.5</v>
      </c>
      <c r="AT37" s="203">
        <v>41117</v>
      </c>
      <c r="AU37" s="208">
        <v>16094</v>
      </c>
      <c r="AV37" s="208">
        <v>255</v>
      </c>
      <c r="AW37" s="208">
        <v>4575724</v>
      </c>
      <c r="AX37" s="203">
        <v>41134</v>
      </c>
      <c r="AY37" s="208">
        <v>17833</v>
      </c>
      <c r="AZ37" s="208">
        <v>262</v>
      </c>
      <c r="BA37" s="178" t="s">
        <v>3183</v>
      </c>
      <c r="BB37" s="178" t="s">
        <v>3184</v>
      </c>
      <c r="BC37" s="203">
        <v>41079</v>
      </c>
      <c r="BD37" s="208">
        <v>5515.4</v>
      </c>
      <c r="BE37" s="178" t="s">
        <v>1176</v>
      </c>
      <c r="BF37" s="178" t="s">
        <v>1176</v>
      </c>
      <c r="BG37" s="178" t="s">
        <v>1176</v>
      </c>
      <c r="BH37" s="207" t="s">
        <v>3185</v>
      </c>
      <c r="BI37" s="207" t="s">
        <v>3186</v>
      </c>
      <c r="BJ37" s="203">
        <v>39478</v>
      </c>
      <c r="BK37" s="208">
        <v>843486</v>
      </c>
      <c r="BL37" s="208">
        <v>509.35144927536231</v>
      </c>
      <c r="BN37" s="178" t="s">
        <v>684</v>
      </c>
      <c r="BO37" s="178" t="s">
        <v>1176</v>
      </c>
      <c r="BP37" s="178" t="s">
        <v>1176</v>
      </c>
      <c r="BQ37" s="173">
        <v>0</v>
      </c>
      <c r="BR37" s="208">
        <v>1739</v>
      </c>
      <c r="BS37" s="381">
        <v>0.1080526904436436</v>
      </c>
      <c r="BU37" s="349">
        <v>7</v>
      </c>
      <c r="BV37" s="381">
        <v>2.7450980392156901E-2</v>
      </c>
      <c r="BW37" s="382">
        <v>19124.263358778626</v>
      </c>
      <c r="BX37" s="383">
        <v>5010557</v>
      </c>
      <c r="BY37" s="173">
        <f t="shared" si="2"/>
        <v>0.41349999999999998</v>
      </c>
      <c r="BZ37" s="383">
        <v>434833</v>
      </c>
      <c r="CA37" s="173">
        <f t="shared" si="3"/>
        <v>0.23699999999999999</v>
      </c>
      <c r="CB37" s="384">
        <v>9.50304257861707E-2</v>
      </c>
      <c r="CC37" s="173">
        <f t="shared" si="4"/>
        <v>0.20974999999999999</v>
      </c>
      <c r="CD37" s="165">
        <f t="shared" si="5"/>
        <v>2.4285714285714284</v>
      </c>
      <c r="CE37" s="165">
        <f t="shared" si="11"/>
        <v>179048.8823529412</v>
      </c>
      <c r="CF37" s="173">
        <f t="shared" si="6"/>
        <v>0.23774999999999999</v>
      </c>
      <c r="CG37" s="383">
        <v>303347</v>
      </c>
      <c r="CH37" s="173">
        <f t="shared" si="7"/>
        <v>0.18525</v>
      </c>
      <c r="CI37" s="385">
        <f t="shared" si="8"/>
        <v>3.1192499999999996</v>
      </c>
    </row>
    <row r="38" spans="1:87">
      <c r="A38" s="215">
        <v>37</v>
      </c>
      <c r="B38" s="220" t="s">
        <v>167</v>
      </c>
      <c r="C38" s="220" t="s">
        <v>1451</v>
      </c>
      <c r="D38" s="220" t="s">
        <v>1176</v>
      </c>
      <c r="E38" s="220"/>
      <c r="F38" s="220"/>
      <c r="G38" s="220"/>
      <c r="H38" s="220"/>
      <c r="I38" s="223"/>
      <c r="J38" s="220"/>
      <c r="K38" s="180"/>
      <c r="L38" s="180"/>
      <c r="M38" s="180"/>
      <c r="N38" s="180"/>
      <c r="O38" s="220"/>
      <c r="P38" s="180"/>
      <c r="Q38" s="220"/>
      <c r="R38" s="180"/>
      <c r="S38" s="180"/>
      <c r="T38" s="224"/>
      <c r="U38" s="224"/>
      <c r="V38" s="224"/>
      <c r="W38" s="224"/>
      <c r="X38" s="173">
        <f t="shared" si="0"/>
        <v>0</v>
      </c>
      <c r="Y38" s="224"/>
      <c r="Z38" s="180"/>
      <c r="AA38" s="181"/>
      <c r="AB38" s="220"/>
      <c r="AC38" s="173"/>
      <c r="AD38" s="387"/>
      <c r="AE38" s="224"/>
      <c r="AF38" s="224"/>
      <c r="AG38" s="173">
        <f t="shared" si="1"/>
        <v>0</v>
      </c>
      <c r="AH38" s="223"/>
      <c r="AI38" s="223"/>
      <c r="AJ38" s="220"/>
      <c r="AK38" s="206">
        <f t="shared" si="9"/>
        <v>0</v>
      </c>
      <c r="AL38" s="220"/>
      <c r="AM38" s="206">
        <f t="shared" si="9"/>
        <v>0</v>
      </c>
      <c r="AN38" s="173">
        <f t="shared" si="10"/>
        <v>0</v>
      </c>
      <c r="AO38" s="220"/>
      <c r="AP38" s="220"/>
      <c r="AQ38" s="220"/>
      <c r="AR38" s="223"/>
      <c r="AS38" s="173">
        <v>0</v>
      </c>
      <c r="AT38" s="221"/>
      <c r="AU38" s="224"/>
      <c r="AV38" s="224"/>
      <c r="AW38" s="224"/>
      <c r="AX38" s="221"/>
      <c r="AY38" s="224"/>
      <c r="AZ38" s="224"/>
      <c r="BA38" s="220"/>
      <c r="BB38" s="220"/>
      <c r="BC38" s="221"/>
      <c r="BD38" s="224"/>
      <c r="BE38" s="220"/>
      <c r="BF38" s="220"/>
      <c r="BG38" s="220"/>
      <c r="BH38" s="223"/>
      <c r="BI38" s="223"/>
      <c r="BJ38" s="221"/>
      <c r="BK38" s="224"/>
      <c r="BL38" s="224"/>
      <c r="BM38" s="180"/>
      <c r="BN38" s="220"/>
      <c r="BO38" s="220"/>
      <c r="BP38" s="220"/>
      <c r="BQ38" s="173"/>
      <c r="BR38" s="224"/>
      <c r="BS38" s="388"/>
      <c r="BT38" s="180"/>
      <c r="BU38" s="389"/>
      <c r="BV38" s="388"/>
      <c r="BW38" s="390"/>
      <c r="BX38" s="383"/>
      <c r="BY38" s="173">
        <f t="shared" si="2"/>
        <v>0</v>
      </c>
      <c r="BZ38" s="383"/>
      <c r="CA38" s="173">
        <f t="shared" si="3"/>
        <v>0</v>
      </c>
      <c r="CB38" s="384"/>
      <c r="CC38" s="173">
        <f t="shared" si="4"/>
        <v>0</v>
      </c>
      <c r="CD38" s="165">
        <f t="shared" si="5"/>
        <v>0</v>
      </c>
      <c r="CE38" s="165">
        <v>0</v>
      </c>
      <c r="CF38" s="173">
        <f t="shared" si="6"/>
        <v>0</v>
      </c>
      <c r="CG38" s="383"/>
      <c r="CH38" s="173">
        <f t="shared" si="7"/>
        <v>0</v>
      </c>
      <c r="CI38" s="385">
        <f t="shared" si="8"/>
        <v>0</v>
      </c>
    </row>
    <row r="39" spans="1:87" ht="56">
      <c r="A39" s="205">
        <v>38</v>
      </c>
      <c r="B39" s="178" t="s">
        <v>169</v>
      </c>
      <c r="C39" s="178" t="s">
        <v>1451</v>
      </c>
      <c r="D39" s="178" t="s">
        <v>1174</v>
      </c>
      <c r="E39" s="178" t="s">
        <v>1452</v>
      </c>
      <c r="F39" s="178" t="s">
        <v>1176</v>
      </c>
      <c r="G39" s="178" t="s">
        <v>1176</v>
      </c>
      <c r="H39" s="178" t="s">
        <v>413</v>
      </c>
      <c r="I39" s="207" t="s">
        <v>3187</v>
      </c>
      <c r="Q39" s="178" t="s">
        <v>1176</v>
      </c>
      <c r="T39" s="208">
        <v>0</v>
      </c>
      <c r="U39" s="208">
        <v>0</v>
      </c>
      <c r="V39" s="208">
        <v>0</v>
      </c>
      <c r="W39" s="208">
        <v>0</v>
      </c>
      <c r="X39" s="173">
        <f t="shared" si="0"/>
        <v>0</v>
      </c>
      <c r="Y39" s="208" t="s">
        <v>2534</v>
      </c>
      <c r="Z39" s="178" t="s">
        <v>1176</v>
      </c>
      <c r="AB39" s="178" t="s">
        <v>1174</v>
      </c>
      <c r="AC39" s="173">
        <v>0.5</v>
      </c>
      <c r="AD39" s="380" t="s">
        <v>1925</v>
      </c>
      <c r="AE39" s="208">
        <v>18</v>
      </c>
      <c r="AF39" s="208">
        <v>0.22222222222222221</v>
      </c>
      <c r="AG39" s="173">
        <f t="shared" si="1"/>
        <v>0.58099999999999996</v>
      </c>
      <c r="AH39" s="207" t="s">
        <v>3188</v>
      </c>
      <c r="AI39" s="207" t="s">
        <v>3189</v>
      </c>
      <c r="AJ39" s="178" t="s">
        <v>1176</v>
      </c>
      <c r="AK39" s="206">
        <f t="shared" si="9"/>
        <v>0</v>
      </c>
      <c r="AL39" s="178" t="s">
        <v>1176</v>
      </c>
      <c r="AM39" s="206">
        <f t="shared" si="9"/>
        <v>0</v>
      </c>
      <c r="AN39" s="173">
        <f t="shared" si="10"/>
        <v>0</v>
      </c>
      <c r="AO39" s="178" t="s">
        <v>421</v>
      </c>
      <c r="AP39" s="178" t="s">
        <v>1176</v>
      </c>
      <c r="AQ39" s="178" t="s">
        <v>1176</v>
      </c>
      <c r="AR39" s="207" t="s">
        <v>3190</v>
      </c>
      <c r="AS39" s="173">
        <v>0</v>
      </c>
      <c r="AT39" s="203">
        <v>41117</v>
      </c>
      <c r="AU39" s="208">
        <v>2158</v>
      </c>
      <c r="AV39" s="208">
        <v>106</v>
      </c>
      <c r="AW39" s="208">
        <v>538037</v>
      </c>
      <c r="AX39" s="203">
        <v>41135</v>
      </c>
      <c r="AY39" s="208">
        <v>2228</v>
      </c>
      <c r="AZ39" s="208">
        <v>107</v>
      </c>
      <c r="BA39" s="178" t="s">
        <v>3191</v>
      </c>
      <c r="BB39" s="178" t="s">
        <v>3192</v>
      </c>
      <c r="BC39" s="203">
        <v>40382</v>
      </c>
      <c r="BD39" s="208">
        <v>89.464807436918989</v>
      </c>
      <c r="BE39" s="178" t="s">
        <v>1176</v>
      </c>
      <c r="BF39" s="178" t="s">
        <v>1176</v>
      </c>
      <c r="BG39" s="178" t="s">
        <v>1176</v>
      </c>
      <c r="BH39" s="207" t="s">
        <v>3193</v>
      </c>
      <c r="BI39" s="207" t="s">
        <v>3194</v>
      </c>
      <c r="BJ39" s="203">
        <v>40324</v>
      </c>
      <c r="BK39" s="208">
        <v>69267</v>
      </c>
      <c r="BL39" s="208">
        <v>85.409371146732425</v>
      </c>
      <c r="BN39" s="178" t="s">
        <v>3195</v>
      </c>
      <c r="BO39" s="178" t="s">
        <v>1176</v>
      </c>
      <c r="BP39" s="178" t="s">
        <v>1176</v>
      </c>
      <c r="BQ39" s="173">
        <v>0</v>
      </c>
      <c r="BR39" s="208">
        <v>70</v>
      </c>
      <c r="BS39" s="381">
        <v>3.2437442075996303E-2</v>
      </c>
      <c r="BU39" s="349">
        <v>1</v>
      </c>
      <c r="BV39" s="381">
        <v>9.4339622641508997E-3</v>
      </c>
      <c r="BW39" s="382">
        <v>5120.4018691588781</v>
      </c>
      <c r="BX39" s="383">
        <v>547883</v>
      </c>
      <c r="BY39" s="173">
        <f t="shared" si="2"/>
        <v>0.31</v>
      </c>
      <c r="BZ39" s="383">
        <v>9846</v>
      </c>
      <c r="CA39" s="173">
        <f t="shared" si="3"/>
        <v>0.14199999999999999</v>
      </c>
      <c r="CB39" s="384">
        <v>1.8299856701304899E-2</v>
      </c>
      <c r="CC39" s="173">
        <f t="shared" si="4"/>
        <v>0.107</v>
      </c>
      <c r="CD39" s="165">
        <f t="shared" si="5"/>
        <v>2.5714285714285716</v>
      </c>
      <c r="CE39" s="165">
        <f t="shared" si="11"/>
        <v>3828.9999999999995</v>
      </c>
      <c r="CF39" s="173">
        <f t="shared" si="6"/>
        <v>0.14899999999999999</v>
      </c>
      <c r="CG39" s="383">
        <v>67367</v>
      </c>
      <c r="CH39" s="173">
        <f t="shared" si="7"/>
        <v>0.12925</v>
      </c>
      <c r="CI39" s="385">
        <f t="shared" si="8"/>
        <v>1.91825</v>
      </c>
    </row>
    <row r="40" spans="1:87" ht="42">
      <c r="A40" s="205">
        <v>39</v>
      </c>
      <c r="B40" s="178" t="s">
        <v>171</v>
      </c>
      <c r="C40" s="178" t="s">
        <v>1451</v>
      </c>
      <c r="D40" s="178" t="s">
        <v>1174</v>
      </c>
      <c r="E40" s="178" t="s">
        <v>1452</v>
      </c>
      <c r="F40" s="178" t="s">
        <v>1176</v>
      </c>
      <c r="G40" s="178" t="s">
        <v>1176</v>
      </c>
      <c r="H40" s="178" t="s">
        <v>413</v>
      </c>
      <c r="I40" s="207" t="s">
        <v>3196</v>
      </c>
      <c r="J40" s="178" t="s">
        <v>2859</v>
      </c>
      <c r="O40" s="178" t="s">
        <v>2859</v>
      </c>
      <c r="Q40" s="178" t="s">
        <v>1176</v>
      </c>
      <c r="T40" s="208">
        <v>0</v>
      </c>
      <c r="U40" s="208">
        <v>0</v>
      </c>
      <c r="V40" s="208">
        <v>2</v>
      </c>
      <c r="W40" s="208">
        <v>0</v>
      </c>
      <c r="X40" s="173">
        <f t="shared" si="0"/>
        <v>0</v>
      </c>
      <c r="Y40" s="208">
        <v>0</v>
      </c>
      <c r="Z40" s="178" t="s">
        <v>1176</v>
      </c>
      <c r="AB40" s="178" t="s">
        <v>1176</v>
      </c>
      <c r="AC40" s="173">
        <v>0</v>
      </c>
      <c r="AD40" s="380" t="s">
        <v>1893</v>
      </c>
      <c r="AE40" s="208">
        <v>19</v>
      </c>
      <c r="AF40" s="208">
        <v>0</v>
      </c>
      <c r="AG40" s="173">
        <f t="shared" si="1"/>
        <v>0</v>
      </c>
      <c r="AK40" s="206">
        <f t="shared" si="9"/>
        <v>0</v>
      </c>
      <c r="AM40" s="206">
        <f t="shared" si="9"/>
        <v>0</v>
      </c>
      <c r="AN40" s="173">
        <f t="shared" si="10"/>
        <v>0</v>
      </c>
      <c r="AR40" s="207" t="s">
        <v>3197</v>
      </c>
      <c r="AS40" s="173">
        <v>0</v>
      </c>
      <c r="AT40" s="203">
        <v>41117</v>
      </c>
      <c r="AU40" s="208">
        <v>36</v>
      </c>
      <c r="AV40" s="208">
        <v>29</v>
      </c>
      <c r="AW40" s="208">
        <v>11443</v>
      </c>
      <c r="AX40" s="203">
        <v>41135</v>
      </c>
      <c r="AY40" s="208">
        <v>39</v>
      </c>
      <c r="AZ40" s="208">
        <v>29</v>
      </c>
      <c r="BA40" s="178" t="s">
        <v>3198</v>
      </c>
      <c r="BB40" s="178" t="s">
        <v>3199</v>
      </c>
      <c r="BC40" s="203">
        <v>41065</v>
      </c>
      <c r="BD40" s="208">
        <v>39.471428571428568</v>
      </c>
      <c r="BE40" s="178" t="s">
        <v>1174</v>
      </c>
      <c r="BF40" s="178" t="s">
        <v>1176</v>
      </c>
      <c r="BG40" s="178" t="s">
        <v>1176</v>
      </c>
      <c r="BH40" s="207" t="s">
        <v>3200</v>
      </c>
      <c r="BI40" s="207" t="s">
        <v>171</v>
      </c>
      <c r="BJ40" s="203">
        <v>39500</v>
      </c>
      <c r="BK40" s="208">
        <v>30040</v>
      </c>
      <c r="BL40" s="208">
        <v>18.37308868501529</v>
      </c>
      <c r="BN40" s="178" t="s">
        <v>3201</v>
      </c>
      <c r="BO40" s="178" t="s">
        <v>1176</v>
      </c>
      <c r="BP40" s="178" t="s">
        <v>1176</v>
      </c>
      <c r="BQ40" s="173">
        <v>0</v>
      </c>
      <c r="BR40" s="208">
        <v>3</v>
      </c>
      <c r="BS40" s="381">
        <v>8.3333333333333301E-2</v>
      </c>
      <c r="BU40" s="349">
        <v>0</v>
      </c>
      <c r="BV40" s="381">
        <v>0</v>
      </c>
      <c r="BW40" s="382">
        <v>471.65517241379308</v>
      </c>
      <c r="BX40" s="383">
        <v>13678</v>
      </c>
      <c r="BY40" s="173">
        <f t="shared" si="2"/>
        <v>6.8500000000000005E-2</v>
      </c>
      <c r="BZ40" s="383">
        <v>2235</v>
      </c>
      <c r="CA40" s="173">
        <f t="shared" si="3"/>
        <v>6.0249999999999998E-2</v>
      </c>
      <c r="CB40" s="384">
        <v>0.1953159136590055</v>
      </c>
      <c r="CC40" s="173">
        <f t="shared" si="4"/>
        <v>0.23649999999999999</v>
      </c>
      <c r="CD40" s="165">
        <f t="shared" si="5"/>
        <v>2.5714285714285716</v>
      </c>
      <c r="CE40" s="165">
        <f t="shared" si="11"/>
        <v>869.16666666666663</v>
      </c>
      <c r="CF40" s="173">
        <f t="shared" si="6"/>
        <v>7.2499999999999995E-2</v>
      </c>
      <c r="CG40" s="383">
        <v>2763</v>
      </c>
      <c r="CH40" s="173">
        <f t="shared" si="7"/>
        <v>0.03</v>
      </c>
      <c r="CI40" s="385">
        <f t="shared" si="8"/>
        <v>0.46775</v>
      </c>
    </row>
    <row r="41" spans="1:87" ht="28">
      <c r="A41" s="205">
        <v>40</v>
      </c>
      <c r="B41" s="178" t="s">
        <v>174</v>
      </c>
      <c r="C41" s="178" t="s">
        <v>1451</v>
      </c>
      <c r="D41" s="178" t="s">
        <v>1174</v>
      </c>
      <c r="E41" s="178" t="s">
        <v>1452</v>
      </c>
      <c r="F41" s="178" t="s">
        <v>1176</v>
      </c>
      <c r="G41" s="178" t="s">
        <v>1176</v>
      </c>
      <c r="H41" s="178" t="s">
        <v>74</v>
      </c>
      <c r="I41" s="207" t="s">
        <v>3202</v>
      </c>
      <c r="Q41" s="178" t="s">
        <v>1176</v>
      </c>
      <c r="T41" s="208">
        <v>0</v>
      </c>
      <c r="U41" s="208">
        <v>0</v>
      </c>
      <c r="V41" s="208">
        <v>0</v>
      </c>
      <c r="W41" s="208">
        <v>0</v>
      </c>
      <c r="X41" s="173">
        <f t="shared" si="0"/>
        <v>0</v>
      </c>
      <c r="Y41" s="208" t="s">
        <v>2534</v>
      </c>
      <c r="Z41" s="178" t="s">
        <v>1176</v>
      </c>
      <c r="AB41" s="178" t="s">
        <v>1174</v>
      </c>
      <c r="AC41" s="173">
        <v>0.5</v>
      </c>
      <c r="AD41" s="380" t="s">
        <v>2930</v>
      </c>
      <c r="AE41" s="208">
        <v>19</v>
      </c>
      <c r="AF41" s="208">
        <v>0.31578947368421051</v>
      </c>
      <c r="AG41" s="173">
        <f t="shared" si="1"/>
        <v>0.67200000000000004</v>
      </c>
      <c r="AH41" s="207" t="s">
        <v>3203</v>
      </c>
      <c r="AI41" s="207" t="s">
        <v>3204</v>
      </c>
      <c r="AJ41" s="178" t="s">
        <v>1176</v>
      </c>
      <c r="AK41" s="206">
        <f t="shared" si="9"/>
        <v>0</v>
      </c>
      <c r="AL41" s="178" t="s">
        <v>1176</v>
      </c>
      <c r="AM41" s="206">
        <f t="shared" si="9"/>
        <v>0</v>
      </c>
      <c r="AN41" s="173">
        <f t="shared" si="10"/>
        <v>0</v>
      </c>
      <c r="AO41" s="178" t="s">
        <v>3057</v>
      </c>
      <c r="AP41" s="178" t="s">
        <v>1176</v>
      </c>
      <c r="AQ41" s="178" t="s">
        <v>1176</v>
      </c>
      <c r="AR41" s="207" t="s">
        <v>3205</v>
      </c>
      <c r="AS41" s="173">
        <v>0</v>
      </c>
      <c r="AT41" s="203">
        <v>41117</v>
      </c>
      <c r="AU41" s="208">
        <v>1573</v>
      </c>
      <c r="AV41" s="208">
        <v>64</v>
      </c>
      <c r="AW41" s="208">
        <v>341834</v>
      </c>
      <c r="AX41" s="203">
        <v>41135</v>
      </c>
      <c r="AY41" s="208">
        <v>1653</v>
      </c>
      <c r="AZ41" s="208">
        <v>65</v>
      </c>
      <c r="BA41" s="178" t="s">
        <v>3206</v>
      </c>
      <c r="BB41" s="178" t="s">
        <v>3207</v>
      </c>
      <c r="BC41" s="203">
        <v>40469</v>
      </c>
      <c r="BD41" s="208">
        <v>53.114114114114116</v>
      </c>
      <c r="BE41" s="178" t="s">
        <v>1176</v>
      </c>
      <c r="BF41" s="178" t="s">
        <v>1176</v>
      </c>
      <c r="BG41" s="178" t="s">
        <v>1176</v>
      </c>
      <c r="BH41" s="207" t="s">
        <v>3208</v>
      </c>
      <c r="BI41" s="207" t="s">
        <v>174</v>
      </c>
      <c r="BJ41" s="203">
        <v>39581</v>
      </c>
      <c r="BK41" s="208">
        <v>48970</v>
      </c>
      <c r="BL41" s="208">
        <v>31.512226512226512</v>
      </c>
      <c r="BN41" s="178" t="s">
        <v>3209</v>
      </c>
      <c r="BO41" s="178" t="s">
        <v>1176</v>
      </c>
      <c r="BP41" s="178" t="s">
        <v>1176</v>
      </c>
      <c r="BQ41" s="173">
        <v>0</v>
      </c>
      <c r="BR41" s="208">
        <v>80</v>
      </c>
      <c r="BS41" s="381">
        <v>5.0858232676414497E-2</v>
      </c>
      <c r="BU41" s="349">
        <v>1</v>
      </c>
      <c r="BV41" s="381">
        <v>1.5625E-2</v>
      </c>
      <c r="BW41" s="382">
        <v>5473.3076923076924</v>
      </c>
      <c r="BX41" s="383">
        <v>355765</v>
      </c>
      <c r="BY41" s="173">
        <f t="shared" si="2"/>
        <v>0.25850000000000001</v>
      </c>
      <c r="BZ41" s="383">
        <v>13931</v>
      </c>
      <c r="CA41" s="173">
        <f t="shared" si="3"/>
        <v>0.17649999999999999</v>
      </c>
      <c r="CB41" s="384">
        <v>4.07536991639217E-2</v>
      </c>
      <c r="CC41" s="173">
        <f t="shared" si="4"/>
        <v>0.16500000000000001</v>
      </c>
      <c r="CD41" s="165">
        <f t="shared" si="5"/>
        <v>2.5714285714285716</v>
      </c>
      <c r="CE41" s="165">
        <f t="shared" si="11"/>
        <v>5417.6111111111104</v>
      </c>
      <c r="CF41" s="173">
        <f t="shared" si="6"/>
        <v>0.18124999999999999</v>
      </c>
      <c r="CG41" s="383">
        <v>35374</v>
      </c>
      <c r="CH41" s="173">
        <f t="shared" si="7"/>
        <v>9.4750000000000001E-2</v>
      </c>
      <c r="CI41" s="385">
        <f t="shared" si="8"/>
        <v>2.048</v>
      </c>
    </row>
    <row r="42" spans="1:87" ht="42">
      <c r="A42" s="205">
        <v>41</v>
      </c>
      <c r="B42" s="178" t="s">
        <v>177</v>
      </c>
      <c r="C42" s="178" t="s">
        <v>1451</v>
      </c>
      <c r="D42" s="178" t="s">
        <v>1174</v>
      </c>
      <c r="E42" s="178" t="s">
        <v>1452</v>
      </c>
      <c r="F42" s="178" t="s">
        <v>1176</v>
      </c>
      <c r="H42" s="178" t="s">
        <v>413</v>
      </c>
      <c r="I42" s="207" t="s">
        <v>3210</v>
      </c>
      <c r="J42" s="178" t="s">
        <v>3211</v>
      </c>
      <c r="O42" s="178" t="s">
        <v>3211</v>
      </c>
      <c r="Q42" s="178" t="s">
        <v>1176</v>
      </c>
      <c r="T42" s="208">
        <v>0</v>
      </c>
      <c r="U42" s="208">
        <v>0</v>
      </c>
      <c r="V42" s="208">
        <v>2</v>
      </c>
      <c r="W42" s="208">
        <v>0</v>
      </c>
      <c r="X42" s="173">
        <f t="shared" si="0"/>
        <v>0</v>
      </c>
      <c r="Y42" s="208">
        <v>0</v>
      </c>
      <c r="Z42" s="178" t="s">
        <v>1176</v>
      </c>
      <c r="AC42" s="176"/>
      <c r="AD42" s="380" t="s">
        <v>1893</v>
      </c>
      <c r="AE42" s="208">
        <v>17</v>
      </c>
      <c r="AF42" s="208">
        <v>0</v>
      </c>
      <c r="AG42" s="173">
        <f t="shared" si="1"/>
        <v>0</v>
      </c>
      <c r="AH42" s="207" t="s">
        <v>3212</v>
      </c>
      <c r="AI42" s="207" t="s">
        <v>3213</v>
      </c>
      <c r="AJ42" s="178" t="s">
        <v>1176</v>
      </c>
      <c r="AK42" s="206">
        <f t="shared" si="9"/>
        <v>0</v>
      </c>
      <c r="AL42" s="178" t="s">
        <v>1176</v>
      </c>
      <c r="AM42" s="206">
        <f t="shared" si="9"/>
        <v>0</v>
      </c>
      <c r="AN42" s="173">
        <f t="shared" si="10"/>
        <v>0</v>
      </c>
      <c r="AO42" s="178" t="s">
        <v>3214</v>
      </c>
      <c r="AP42" s="178" t="s">
        <v>1176</v>
      </c>
      <c r="AQ42" s="178" t="s">
        <v>1176</v>
      </c>
      <c r="AR42" s="207" t="s">
        <v>3215</v>
      </c>
      <c r="AS42" s="173">
        <v>0</v>
      </c>
      <c r="AT42" s="203">
        <v>41117</v>
      </c>
      <c r="AU42" s="208">
        <v>359</v>
      </c>
      <c r="AV42" s="208">
        <v>20</v>
      </c>
      <c r="AW42" s="208">
        <v>15020</v>
      </c>
      <c r="AX42" s="203">
        <v>41135</v>
      </c>
      <c r="AY42" s="208">
        <v>367</v>
      </c>
      <c r="AZ42" s="208">
        <v>20</v>
      </c>
      <c r="BA42" s="178" t="s">
        <v>3216</v>
      </c>
      <c r="BB42" s="178" t="s">
        <v>3217</v>
      </c>
      <c r="BC42" s="203">
        <v>40571</v>
      </c>
      <c r="BD42" s="208">
        <v>4.3102836879432624</v>
      </c>
      <c r="BE42" s="178" t="s">
        <v>1176</v>
      </c>
      <c r="BF42" s="178" t="s">
        <v>1176</v>
      </c>
      <c r="BG42" s="178" t="s">
        <v>1176</v>
      </c>
      <c r="BH42" s="207" t="s">
        <v>3218</v>
      </c>
      <c r="BI42" s="207" t="s">
        <v>3219</v>
      </c>
      <c r="BJ42" s="203">
        <v>40554</v>
      </c>
      <c r="BK42" s="208">
        <v>80808</v>
      </c>
      <c r="BL42" s="208">
        <v>139.0843373493976</v>
      </c>
      <c r="BN42" s="178" t="s">
        <v>3220</v>
      </c>
      <c r="BO42" s="178" t="s">
        <v>1176</v>
      </c>
      <c r="BP42" s="178" t="s">
        <v>1176</v>
      </c>
      <c r="BQ42" s="173">
        <v>0</v>
      </c>
      <c r="BR42" s="208">
        <v>8</v>
      </c>
      <c r="BS42" s="381">
        <v>2.2284122562674102E-2</v>
      </c>
      <c r="BU42" s="349">
        <v>0</v>
      </c>
      <c r="BV42" s="381">
        <v>0</v>
      </c>
      <c r="BW42" s="382">
        <v>760.95</v>
      </c>
      <c r="BX42" s="383">
        <v>15219</v>
      </c>
      <c r="BY42" s="173">
        <f t="shared" si="2"/>
        <v>7.7499999999999999E-2</v>
      </c>
      <c r="BZ42" s="383">
        <v>199</v>
      </c>
      <c r="CA42" s="173">
        <f t="shared" si="3"/>
        <v>0.03</v>
      </c>
      <c r="CB42" s="384">
        <v>1.3249001331557901E-2</v>
      </c>
      <c r="CC42" s="173">
        <f t="shared" si="4"/>
        <v>8.4750000000000006E-2</v>
      </c>
      <c r="CD42" s="165">
        <f t="shared" si="5"/>
        <v>2.5714285714285716</v>
      </c>
      <c r="CE42" s="165">
        <f t="shared" si="11"/>
        <v>77.388888888888886</v>
      </c>
      <c r="CF42" s="173">
        <f t="shared" si="6"/>
        <v>4.4249999999999998E-2</v>
      </c>
      <c r="CG42" s="383">
        <v>2431</v>
      </c>
      <c r="CH42" s="173">
        <f t="shared" si="7"/>
        <v>2.5749999999999999E-2</v>
      </c>
      <c r="CI42" s="385">
        <f t="shared" si="8"/>
        <v>0.26224999999999998</v>
      </c>
    </row>
    <row r="43" spans="1:87" ht="42">
      <c r="A43" s="205">
        <v>42</v>
      </c>
      <c r="B43" s="178" t="s">
        <v>180</v>
      </c>
      <c r="C43" s="178" t="s">
        <v>1451</v>
      </c>
      <c r="D43" s="178" t="s">
        <v>1174</v>
      </c>
      <c r="E43" s="178" t="s">
        <v>1452</v>
      </c>
      <c r="F43" s="178" t="s">
        <v>1176</v>
      </c>
      <c r="G43" s="178" t="s">
        <v>1176</v>
      </c>
      <c r="H43" s="178" t="s">
        <v>413</v>
      </c>
      <c r="I43" s="207" t="s">
        <v>3221</v>
      </c>
      <c r="J43" s="178" t="s">
        <v>93</v>
      </c>
      <c r="K43" s="178" t="s">
        <v>3222</v>
      </c>
      <c r="O43" s="178" t="s">
        <v>93</v>
      </c>
      <c r="Q43" s="178" t="s">
        <v>1174</v>
      </c>
      <c r="R43" s="178" t="s">
        <v>3223</v>
      </c>
      <c r="T43" s="208">
        <v>0</v>
      </c>
      <c r="U43" s="208">
        <v>2</v>
      </c>
      <c r="V43" s="208">
        <v>4</v>
      </c>
      <c r="W43" s="208">
        <v>0</v>
      </c>
      <c r="X43" s="173">
        <f t="shared" si="0"/>
        <v>0</v>
      </c>
      <c r="Y43" s="208">
        <v>0.5</v>
      </c>
      <c r="Z43" s="178" t="s">
        <v>1176</v>
      </c>
      <c r="AA43" s="207" t="s">
        <v>3224</v>
      </c>
      <c r="AB43" s="178" t="s">
        <v>1174</v>
      </c>
      <c r="AC43" s="173">
        <v>0.5</v>
      </c>
      <c r="AD43" s="380" t="s">
        <v>1915</v>
      </c>
      <c r="AE43" s="208">
        <v>19</v>
      </c>
      <c r="AF43" s="208">
        <v>0.26315789473684209</v>
      </c>
      <c r="AG43" s="173">
        <f t="shared" si="1"/>
        <v>0.63600000000000001</v>
      </c>
      <c r="AH43" s="207" t="s">
        <v>3225</v>
      </c>
      <c r="AI43" s="207" t="s">
        <v>3226</v>
      </c>
      <c r="AJ43" s="178" t="s">
        <v>1176</v>
      </c>
      <c r="AK43" s="206">
        <f t="shared" si="9"/>
        <v>0</v>
      </c>
      <c r="AL43" s="178" t="s">
        <v>1176</v>
      </c>
      <c r="AM43" s="206">
        <f t="shared" si="9"/>
        <v>0</v>
      </c>
      <c r="AN43" s="173">
        <f t="shared" si="10"/>
        <v>0</v>
      </c>
      <c r="AO43" s="178" t="s">
        <v>421</v>
      </c>
      <c r="AP43" s="178" t="s">
        <v>1176</v>
      </c>
      <c r="AQ43" s="178" t="s">
        <v>1176</v>
      </c>
      <c r="AR43" s="207" t="s">
        <v>3227</v>
      </c>
      <c r="AS43" s="173">
        <v>0</v>
      </c>
      <c r="AT43" s="203">
        <v>41117</v>
      </c>
      <c r="AU43" s="208">
        <v>432</v>
      </c>
      <c r="AV43" s="208">
        <v>45</v>
      </c>
      <c r="AW43" s="208">
        <v>195327</v>
      </c>
      <c r="AX43" s="203">
        <v>41135</v>
      </c>
      <c r="AY43" s="208">
        <v>450</v>
      </c>
      <c r="AZ43" s="208">
        <v>45</v>
      </c>
      <c r="BA43" s="178" t="s">
        <v>3228</v>
      </c>
      <c r="BB43" s="178" t="s">
        <v>3229</v>
      </c>
      <c r="BC43" s="203">
        <v>40949</v>
      </c>
      <c r="BD43" s="208">
        <v>171.5</v>
      </c>
      <c r="BE43" s="178" t="s">
        <v>1176</v>
      </c>
      <c r="BF43" s="178" t="s">
        <v>1176</v>
      </c>
      <c r="BG43" s="178" t="s">
        <v>1176</v>
      </c>
      <c r="BH43" s="207" t="s">
        <v>3230</v>
      </c>
      <c r="BI43" s="207" t="s">
        <v>3231</v>
      </c>
      <c r="BJ43" s="203">
        <v>40812</v>
      </c>
      <c r="BK43" s="208">
        <v>74133</v>
      </c>
      <c r="BL43" s="208">
        <v>229.5139318885449</v>
      </c>
      <c r="BN43" s="178" t="s">
        <v>3195</v>
      </c>
      <c r="BO43" s="178" t="s">
        <v>1176</v>
      </c>
      <c r="BP43" s="178" t="s">
        <v>1176</v>
      </c>
      <c r="BQ43" s="173">
        <v>0</v>
      </c>
      <c r="BR43" s="208">
        <v>18</v>
      </c>
      <c r="BS43" s="381">
        <v>4.1666666666666699E-2</v>
      </c>
      <c r="BU43" s="349">
        <v>0</v>
      </c>
      <c r="BV43" s="381">
        <v>0</v>
      </c>
      <c r="BW43" s="382">
        <v>4648.4444444444443</v>
      </c>
      <c r="BX43" s="383">
        <v>209180</v>
      </c>
      <c r="BY43" s="173">
        <f t="shared" si="2"/>
        <v>0.1895</v>
      </c>
      <c r="BZ43" s="383">
        <v>13853</v>
      </c>
      <c r="CA43" s="173">
        <f t="shared" si="3"/>
        <v>0.17224999999999999</v>
      </c>
      <c r="CB43" s="384">
        <v>7.0922094743686201E-2</v>
      </c>
      <c r="CC43" s="173">
        <f t="shared" si="4"/>
        <v>0.19625000000000001</v>
      </c>
      <c r="CD43" s="165">
        <f t="shared" si="5"/>
        <v>2.5714285714285716</v>
      </c>
      <c r="CE43" s="165">
        <f t="shared" si="11"/>
        <v>5387.2777777777774</v>
      </c>
      <c r="CF43" s="173">
        <f t="shared" si="6"/>
        <v>0.17724999999999999</v>
      </c>
      <c r="CG43" s="383">
        <v>31899</v>
      </c>
      <c r="CH43" s="173">
        <f t="shared" si="7"/>
        <v>9.0499999999999997E-2</v>
      </c>
      <c r="CI43" s="385">
        <f t="shared" si="8"/>
        <v>1.9617499999999999</v>
      </c>
    </row>
    <row r="44" spans="1:87" ht="56">
      <c r="A44" s="205">
        <v>43</v>
      </c>
      <c r="B44" s="178" t="s">
        <v>182</v>
      </c>
      <c r="C44" s="178" t="s">
        <v>1451</v>
      </c>
      <c r="D44" s="178" t="s">
        <v>1174</v>
      </c>
      <c r="E44" s="178" t="s">
        <v>1452</v>
      </c>
      <c r="F44" s="178" t="s">
        <v>1176</v>
      </c>
      <c r="G44" s="178" t="s">
        <v>1176</v>
      </c>
      <c r="H44" s="178" t="s">
        <v>413</v>
      </c>
      <c r="I44" s="207" t="s">
        <v>3232</v>
      </c>
      <c r="J44" s="178" t="s">
        <v>2927</v>
      </c>
      <c r="O44" s="178" t="s">
        <v>2927</v>
      </c>
      <c r="Q44" s="178" t="s">
        <v>1176</v>
      </c>
      <c r="T44" s="208">
        <v>0</v>
      </c>
      <c r="U44" s="208">
        <v>0</v>
      </c>
      <c r="V44" s="208">
        <v>2</v>
      </c>
      <c r="W44" s="208">
        <v>0</v>
      </c>
      <c r="X44" s="173">
        <f t="shared" si="0"/>
        <v>0</v>
      </c>
      <c r="Y44" s="208">
        <v>0</v>
      </c>
      <c r="Z44" s="178" t="s">
        <v>1176</v>
      </c>
      <c r="AB44" s="178" t="s">
        <v>1176</v>
      </c>
      <c r="AC44" s="173">
        <v>0</v>
      </c>
      <c r="AD44" s="380" t="s">
        <v>2101</v>
      </c>
      <c r="AE44" s="208">
        <v>19</v>
      </c>
      <c r="AF44" s="208">
        <v>5.2631578947368397E-2</v>
      </c>
      <c r="AG44" s="173">
        <f t="shared" si="1"/>
        <v>0.23599999999999999</v>
      </c>
      <c r="AH44" s="207" t="s">
        <v>3233</v>
      </c>
      <c r="AI44" s="207" t="s">
        <v>3234</v>
      </c>
      <c r="AJ44" s="178" t="s">
        <v>1176</v>
      </c>
      <c r="AK44" s="206">
        <f t="shared" si="9"/>
        <v>0</v>
      </c>
      <c r="AL44" s="178" t="s">
        <v>1176</v>
      </c>
      <c r="AM44" s="206">
        <f t="shared" si="9"/>
        <v>0</v>
      </c>
      <c r="AN44" s="173">
        <f t="shared" si="10"/>
        <v>0</v>
      </c>
      <c r="AO44" s="178" t="s">
        <v>421</v>
      </c>
      <c r="AP44" s="178" t="s">
        <v>1176</v>
      </c>
      <c r="AQ44" s="178" t="s">
        <v>1176</v>
      </c>
      <c r="AR44" s="207" t="s">
        <v>3235</v>
      </c>
      <c r="AS44" s="173">
        <v>0</v>
      </c>
      <c r="AT44" s="203">
        <v>41117</v>
      </c>
      <c r="AU44" s="208">
        <v>331</v>
      </c>
      <c r="AV44" s="208">
        <v>17</v>
      </c>
      <c r="AW44" s="208">
        <v>93960</v>
      </c>
      <c r="AX44" s="203">
        <v>41135</v>
      </c>
      <c r="AY44" s="208">
        <v>336</v>
      </c>
      <c r="AZ44" s="208">
        <v>19</v>
      </c>
      <c r="BA44" s="178" t="s">
        <v>3236</v>
      </c>
      <c r="BB44" s="178" t="s">
        <v>3237</v>
      </c>
      <c r="BC44" s="203">
        <v>40932</v>
      </c>
      <c r="BD44" s="208">
        <v>91.152709359605907</v>
      </c>
      <c r="BE44" s="178" t="s">
        <v>1176</v>
      </c>
      <c r="BF44" s="178" t="s">
        <v>1176</v>
      </c>
      <c r="BG44" s="178" t="s">
        <v>1176</v>
      </c>
      <c r="BH44" s="207" t="s">
        <v>3238</v>
      </c>
      <c r="BI44" s="207" t="s">
        <v>3239</v>
      </c>
      <c r="BJ44" s="203">
        <v>40803</v>
      </c>
      <c r="BK44" s="208">
        <v>32239</v>
      </c>
      <c r="BL44" s="208">
        <v>97.105421686746993</v>
      </c>
      <c r="BN44" s="178" t="s">
        <v>3240</v>
      </c>
      <c r="BO44" s="178" t="s">
        <v>1176</v>
      </c>
      <c r="BP44" s="178" t="s">
        <v>1176</v>
      </c>
      <c r="BQ44" s="173">
        <v>0</v>
      </c>
      <c r="BR44" s="208">
        <v>5</v>
      </c>
      <c r="BS44" s="381">
        <v>1.51057401812689E-2</v>
      </c>
      <c r="BU44" s="349">
        <v>2</v>
      </c>
      <c r="BV44" s="381">
        <v>0.1176470588235294</v>
      </c>
      <c r="BW44" s="382">
        <v>5022.894736842105</v>
      </c>
      <c r="BX44" s="383">
        <v>95435</v>
      </c>
      <c r="BY44" s="173">
        <f t="shared" si="2"/>
        <v>0.155</v>
      </c>
      <c r="BZ44" s="383">
        <v>1475</v>
      </c>
      <c r="CA44" s="173">
        <f t="shared" si="3"/>
        <v>4.725E-2</v>
      </c>
      <c r="CB44" s="384">
        <v>1.56981694338016E-2</v>
      </c>
      <c r="CC44" s="173">
        <f t="shared" si="4"/>
        <v>9.8000000000000004E-2</v>
      </c>
      <c r="CD44" s="165">
        <f t="shared" si="5"/>
        <v>2.5714285714285716</v>
      </c>
      <c r="CE44" s="165">
        <f t="shared" si="11"/>
        <v>573.61111111111109</v>
      </c>
      <c r="CF44" s="173">
        <f t="shared" si="6"/>
        <v>6.0249999999999998E-2</v>
      </c>
      <c r="CG44" s="383">
        <v>18504</v>
      </c>
      <c r="CH44" s="173">
        <f t="shared" si="7"/>
        <v>6.8750000000000006E-2</v>
      </c>
      <c r="CI44" s="385">
        <f t="shared" si="8"/>
        <v>0.66525000000000001</v>
      </c>
    </row>
    <row r="45" spans="1:87" ht="42">
      <c r="A45" s="205">
        <v>44</v>
      </c>
      <c r="B45" s="178" t="s">
        <v>185</v>
      </c>
      <c r="C45" s="178" t="s">
        <v>1451</v>
      </c>
      <c r="D45" s="178" t="s">
        <v>1174</v>
      </c>
      <c r="E45" s="178" t="s">
        <v>1452</v>
      </c>
      <c r="F45" s="178" t="s">
        <v>1176</v>
      </c>
      <c r="G45" s="178" t="s">
        <v>1176</v>
      </c>
      <c r="H45" s="178" t="s">
        <v>65</v>
      </c>
      <c r="I45" s="207" t="s">
        <v>3241</v>
      </c>
      <c r="J45" s="178" t="s">
        <v>2891</v>
      </c>
      <c r="K45" s="178" t="s">
        <v>3242</v>
      </c>
      <c r="L45" s="178" t="s">
        <v>2890</v>
      </c>
      <c r="M45" s="178" t="s">
        <v>3243</v>
      </c>
      <c r="N45" s="178" t="s">
        <v>3244</v>
      </c>
      <c r="O45" s="178" t="s">
        <v>2891</v>
      </c>
      <c r="Q45" s="178" t="s">
        <v>1176</v>
      </c>
      <c r="T45" s="208">
        <v>0</v>
      </c>
      <c r="U45" s="208">
        <v>0</v>
      </c>
      <c r="V45" s="208">
        <v>6</v>
      </c>
      <c r="W45" s="208">
        <v>0</v>
      </c>
      <c r="X45" s="173">
        <f t="shared" si="0"/>
        <v>0</v>
      </c>
      <c r="Y45" s="208">
        <v>0</v>
      </c>
      <c r="Z45" s="178" t="s">
        <v>1176</v>
      </c>
      <c r="AB45" s="178" t="s">
        <v>1174</v>
      </c>
      <c r="AC45" s="173">
        <v>0.5</v>
      </c>
      <c r="AD45" s="380" t="s">
        <v>1893</v>
      </c>
      <c r="AE45" s="208">
        <v>19</v>
      </c>
      <c r="AF45" s="208">
        <v>0</v>
      </c>
      <c r="AG45" s="173">
        <f t="shared" si="1"/>
        <v>0</v>
      </c>
      <c r="AK45" s="206">
        <f t="shared" si="9"/>
        <v>0</v>
      </c>
      <c r="AM45" s="206">
        <f t="shared" si="9"/>
        <v>0</v>
      </c>
      <c r="AN45" s="173">
        <f t="shared" si="10"/>
        <v>0</v>
      </c>
      <c r="AR45" s="207" t="s">
        <v>3245</v>
      </c>
      <c r="AS45" s="173">
        <v>0</v>
      </c>
      <c r="AT45" s="203">
        <v>41117</v>
      </c>
      <c r="AU45" s="208">
        <v>177</v>
      </c>
      <c r="AV45" s="208">
        <v>58</v>
      </c>
      <c r="AW45" s="208">
        <v>47210</v>
      </c>
      <c r="AX45" s="203">
        <v>41135</v>
      </c>
      <c r="AY45" s="208">
        <v>269</v>
      </c>
      <c r="AZ45" s="208">
        <v>60</v>
      </c>
      <c r="BA45" s="178" t="s">
        <v>3246</v>
      </c>
      <c r="BB45" s="178" t="s">
        <v>3247</v>
      </c>
      <c r="BC45" s="203">
        <v>40366</v>
      </c>
      <c r="BD45" s="208">
        <v>40.145643693107935</v>
      </c>
      <c r="BE45" s="178" t="s">
        <v>1176</v>
      </c>
      <c r="BF45" s="178" t="s">
        <v>1176</v>
      </c>
      <c r="BG45" s="178" t="s">
        <v>1176</v>
      </c>
      <c r="BH45" s="207" t="s">
        <v>3248</v>
      </c>
      <c r="BI45" s="207" t="s">
        <v>185</v>
      </c>
      <c r="BJ45" s="203">
        <v>39426</v>
      </c>
      <c r="BK45" s="208">
        <v>30979</v>
      </c>
      <c r="BL45" s="208">
        <v>18.126974839087186</v>
      </c>
      <c r="BN45" s="178" t="s">
        <v>684</v>
      </c>
      <c r="BO45" s="178" t="s">
        <v>1176</v>
      </c>
      <c r="BP45" s="178" t="s">
        <v>1176</v>
      </c>
      <c r="BQ45" s="173">
        <v>0</v>
      </c>
      <c r="BR45" s="208">
        <v>92</v>
      </c>
      <c r="BS45" s="381">
        <v>0.51977401129943501</v>
      </c>
      <c r="BU45" s="349">
        <v>2</v>
      </c>
      <c r="BV45" s="381">
        <v>3.4482758620689703E-2</v>
      </c>
      <c r="BW45" s="382">
        <v>869.7</v>
      </c>
      <c r="BX45" s="383">
        <v>52182</v>
      </c>
      <c r="BY45" s="173">
        <f t="shared" si="2"/>
        <v>0.1205</v>
      </c>
      <c r="BZ45" s="383">
        <v>4972</v>
      </c>
      <c r="CA45" s="173">
        <f t="shared" si="3"/>
        <v>0.10324999999999999</v>
      </c>
      <c r="CB45" s="384">
        <v>0.1053166701969922</v>
      </c>
      <c r="CC45" s="173">
        <f t="shared" si="4"/>
        <v>0.21875</v>
      </c>
      <c r="CD45" s="165">
        <f t="shared" si="5"/>
        <v>2.5714285714285716</v>
      </c>
      <c r="CE45" s="165">
        <f t="shared" si="11"/>
        <v>1933.5555555555554</v>
      </c>
      <c r="CF45" s="173">
        <f t="shared" si="6"/>
        <v>0.11275</v>
      </c>
      <c r="CG45" s="383">
        <v>30872</v>
      </c>
      <c r="CH45" s="173">
        <f t="shared" si="7"/>
        <v>8.1750000000000003E-2</v>
      </c>
      <c r="CI45" s="385">
        <f t="shared" si="8"/>
        <v>1.137</v>
      </c>
    </row>
    <row r="46" spans="1:87" ht="42">
      <c r="A46" s="205">
        <v>45</v>
      </c>
      <c r="B46" s="178" t="s">
        <v>187</v>
      </c>
      <c r="C46" s="178" t="s">
        <v>1451</v>
      </c>
      <c r="D46" s="178" t="s">
        <v>1174</v>
      </c>
      <c r="E46" s="178" t="s">
        <v>1452</v>
      </c>
      <c r="F46" s="178" t="s">
        <v>1176</v>
      </c>
      <c r="G46" s="178" t="s">
        <v>1176</v>
      </c>
      <c r="H46" s="178" t="s">
        <v>413</v>
      </c>
      <c r="I46" s="207" t="s">
        <v>3249</v>
      </c>
      <c r="J46" s="178" t="s">
        <v>2859</v>
      </c>
      <c r="K46" s="178" t="s">
        <v>3070</v>
      </c>
      <c r="O46" s="178" t="s">
        <v>2859</v>
      </c>
      <c r="Q46" s="178" t="s">
        <v>1174</v>
      </c>
      <c r="R46" s="178" t="s">
        <v>2949</v>
      </c>
      <c r="V46" s="208">
        <v>4</v>
      </c>
      <c r="W46" s="208">
        <v>0</v>
      </c>
      <c r="X46" s="173">
        <f t="shared" si="0"/>
        <v>0</v>
      </c>
      <c r="Y46" s="208">
        <v>0</v>
      </c>
      <c r="Z46" s="178" t="s">
        <v>1176</v>
      </c>
      <c r="AB46" s="178" t="s">
        <v>1174</v>
      </c>
      <c r="AC46" s="173">
        <v>0.5</v>
      </c>
      <c r="AD46" s="380" t="s">
        <v>2967</v>
      </c>
      <c r="AE46" s="208">
        <v>19</v>
      </c>
      <c r="AF46" s="208">
        <v>0.4210526315789474</v>
      </c>
      <c r="AG46" s="173">
        <f t="shared" si="1"/>
        <v>0.78100000000000003</v>
      </c>
      <c r="AH46" s="207" t="s">
        <v>3250</v>
      </c>
      <c r="AI46" s="207" t="s">
        <v>3251</v>
      </c>
      <c r="AJ46" s="178" t="s">
        <v>1176</v>
      </c>
      <c r="AK46" s="206">
        <f t="shared" si="9"/>
        <v>0</v>
      </c>
      <c r="AL46" s="178" t="s">
        <v>1176</v>
      </c>
      <c r="AM46" s="206">
        <f t="shared" si="9"/>
        <v>0</v>
      </c>
      <c r="AN46" s="173">
        <f t="shared" si="10"/>
        <v>0</v>
      </c>
      <c r="AO46" s="178" t="s">
        <v>421</v>
      </c>
      <c r="AP46" s="178" t="s">
        <v>1176</v>
      </c>
      <c r="AQ46" s="178" t="s">
        <v>1176</v>
      </c>
      <c r="AR46" s="207" t="s">
        <v>3252</v>
      </c>
      <c r="AS46" s="173">
        <v>0</v>
      </c>
      <c r="AT46" s="203">
        <v>41117</v>
      </c>
      <c r="AU46" s="208">
        <v>7162</v>
      </c>
      <c r="AV46" s="208">
        <v>85</v>
      </c>
      <c r="AW46" s="208">
        <v>1895037</v>
      </c>
      <c r="AX46" s="203">
        <v>41135</v>
      </c>
      <c r="AY46" s="208">
        <v>7539</v>
      </c>
      <c r="AZ46" s="208">
        <v>86</v>
      </c>
      <c r="BA46" s="178" t="s">
        <v>3253</v>
      </c>
      <c r="BB46" s="178" t="s">
        <v>3251</v>
      </c>
      <c r="BC46" s="203">
        <v>40940</v>
      </c>
      <c r="BD46" s="208">
        <v>2319.0769230769229</v>
      </c>
      <c r="BE46" s="178" t="s">
        <v>1176</v>
      </c>
      <c r="BF46" s="178" t="s">
        <v>1176</v>
      </c>
      <c r="BG46" s="178" t="s">
        <v>1176</v>
      </c>
      <c r="BH46" s="207" t="s">
        <v>3254</v>
      </c>
      <c r="BI46" s="207" t="s">
        <v>3255</v>
      </c>
      <c r="BJ46" s="203">
        <v>40565</v>
      </c>
      <c r="BK46" s="208">
        <v>384091</v>
      </c>
      <c r="BL46" s="208">
        <v>673.84385964912281</v>
      </c>
      <c r="BN46" s="178" t="s">
        <v>684</v>
      </c>
      <c r="BO46" s="178" t="s">
        <v>1176</v>
      </c>
      <c r="BP46" s="178" t="s">
        <v>1176</v>
      </c>
      <c r="BQ46" s="173">
        <v>0</v>
      </c>
      <c r="BR46" s="208">
        <v>377</v>
      </c>
      <c r="BS46" s="381">
        <v>5.2638927673834102E-2</v>
      </c>
      <c r="BU46" s="349">
        <v>1</v>
      </c>
      <c r="BV46" s="381">
        <v>1.1764705882352899E-2</v>
      </c>
      <c r="BW46" s="382">
        <v>23486.662790697676</v>
      </c>
      <c r="BX46" s="383">
        <v>2019853</v>
      </c>
      <c r="BY46" s="173">
        <f t="shared" si="2"/>
        <v>0.38750000000000001</v>
      </c>
      <c r="BZ46" s="383">
        <v>124816</v>
      </c>
      <c r="CA46" s="173">
        <f t="shared" si="3"/>
        <v>0.21975</v>
      </c>
      <c r="CB46" s="384">
        <v>6.5864677048522002E-2</v>
      </c>
      <c r="CC46" s="173">
        <f t="shared" si="4"/>
        <v>0.19175</v>
      </c>
      <c r="CD46" s="165">
        <f t="shared" si="5"/>
        <v>2.5714285714285716</v>
      </c>
      <c r="CE46" s="165">
        <f t="shared" si="11"/>
        <v>48539.555555555555</v>
      </c>
      <c r="CF46" s="173">
        <f t="shared" si="6"/>
        <v>0.22175</v>
      </c>
      <c r="CG46" s="383">
        <v>452220</v>
      </c>
      <c r="CH46" s="173">
        <f t="shared" si="7"/>
        <v>0.20250000000000001</v>
      </c>
      <c r="CI46" s="385">
        <f t="shared" si="8"/>
        <v>2.5042499999999999</v>
      </c>
    </row>
    <row r="47" spans="1:87" ht="42">
      <c r="A47" s="205">
        <v>46</v>
      </c>
      <c r="B47" s="178" t="s">
        <v>190</v>
      </c>
      <c r="C47" s="178" t="s">
        <v>1451</v>
      </c>
      <c r="D47" s="178" t="s">
        <v>1174</v>
      </c>
      <c r="E47" s="178" t="s">
        <v>1452</v>
      </c>
      <c r="F47" s="178" t="s">
        <v>1176</v>
      </c>
      <c r="G47" s="178" t="s">
        <v>1176</v>
      </c>
      <c r="H47" s="178" t="s">
        <v>413</v>
      </c>
      <c r="I47" s="207" t="s">
        <v>3256</v>
      </c>
      <c r="J47" s="178" t="s">
        <v>2859</v>
      </c>
      <c r="O47" s="178" t="s">
        <v>2859</v>
      </c>
      <c r="Q47" s="178" t="s">
        <v>1176</v>
      </c>
      <c r="T47" s="208">
        <v>0</v>
      </c>
      <c r="U47" s="208">
        <v>0</v>
      </c>
      <c r="V47" s="208">
        <v>2</v>
      </c>
      <c r="W47" s="208">
        <v>0</v>
      </c>
      <c r="X47" s="173">
        <f t="shared" si="0"/>
        <v>0</v>
      </c>
      <c r="Y47" s="208">
        <v>0</v>
      </c>
      <c r="Z47" s="178" t="s">
        <v>1176</v>
      </c>
      <c r="AB47" s="178" t="s">
        <v>1174</v>
      </c>
      <c r="AC47" s="173">
        <v>0.5</v>
      </c>
      <c r="AD47" s="380" t="s">
        <v>1925</v>
      </c>
      <c r="AE47" s="208">
        <v>18</v>
      </c>
      <c r="AF47" s="208">
        <v>0.22222222222222221</v>
      </c>
      <c r="AG47" s="173">
        <f t="shared" si="1"/>
        <v>0.58099999999999996</v>
      </c>
      <c r="AH47" s="207" t="s">
        <v>3257</v>
      </c>
      <c r="AI47" s="207" t="s">
        <v>3258</v>
      </c>
      <c r="AJ47" s="178" t="s">
        <v>1176</v>
      </c>
      <c r="AK47" s="206">
        <f t="shared" si="9"/>
        <v>0</v>
      </c>
      <c r="AL47" s="178" t="s">
        <v>1176</v>
      </c>
      <c r="AM47" s="206">
        <f t="shared" si="9"/>
        <v>0</v>
      </c>
      <c r="AN47" s="173">
        <f t="shared" si="10"/>
        <v>0</v>
      </c>
      <c r="AO47" s="178" t="s">
        <v>421</v>
      </c>
      <c r="AP47" s="178" t="s">
        <v>1176</v>
      </c>
      <c r="AQ47" s="178" t="s">
        <v>1176</v>
      </c>
      <c r="AR47" s="207" t="s">
        <v>3259</v>
      </c>
      <c r="AS47" s="173">
        <v>0</v>
      </c>
      <c r="AT47" s="203">
        <v>41117</v>
      </c>
      <c r="AU47" s="208">
        <v>3895</v>
      </c>
      <c r="AV47" s="208">
        <v>150</v>
      </c>
      <c r="AW47" s="208">
        <v>5415804</v>
      </c>
      <c r="AX47" s="203">
        <v>41135</v>
      </c>
      <c r="AY47" s="208">
        <v>4030</v>
      </c>
      <c r="AZ47" s="208">
        <v>157</v>
      </c>
      <c r="BA47" s="178" t="s">
        <v>3260</v>
      </c>
      <c r="BB47" s="178" t="s">
        <v>3258</v>
      </c>
      <c r="BC47" s="203">
        <v>40494</v>
      </c>
      <c r="BD47" s="208">
        <v>645.04056162246491</v>
      </c>
      <c r="BE47" s="178" t="s">
        <v>1176</v>
      </c>
      <c r="BF47" s="178" t="s">
        <v>1176</v>
      </c>
      <c r="BG47" s="178" t="s">
        <v>1176</v>
      </c>
      <c r="BH47" s="207" t="s">
        <v>3261</v>
      </c>
      <c r="BI47" s="207" t="s">
        <v>3262</v>
      </c>
      <c r="BJ47" s="203">
        <v>40806</v>
      </c>
      <c r="BK47" s="208">
        <v>334387</v>
      </c>
      <c r="BL47" s="208">
        <v>1016.3738601823708</v>
      </c>
      <c r="BN47" s="178" t="s">
        <v>684</v>
      </c>
      <c r="BO47" s="178" t="s">
        <v>1176</v>
      </c>
      <c r="BP47" s="178" t="s">
        <v>1176</v>
      </c>
      <c r="BQ47" s="173">
        <v>0</v>
      </c>
      <c r="BR47" s="208">
        <v>135</v>
      </c>
      <c r="BS47" s="381">
        <v>3.4659820282413399E-2</v>
      </c>
      <c r="BU47" s="349">
        <v>7</v>
      </c>
      <c r="BV47" s="381">
        <v>4.6666666666666697E-2</v>
      </c>
      <c r="BW47" s="382">
        <v>38785.433121019109</v>
      </c>
      <c r="BX47" s="383">
        <v>6089313</v>
      </c>
      <c r="BY47" s="173">
        <f t="shared" si="2"/>
        <v>0.44800000000000001</v>
      </c>
      <c r="BZ47" s="383">
        <v>673509</v>
      </c>
      <c r="CA47" s="173">
        <f t="shared" si="3"/>
        <v>0.25</v>
      </c>
      <c r="CB47" s="384">
        <v>0.1243599288305116</v>
      </c>
      <c r="CC47" s="173">
        <f t="shared" si="4"/>
        <v>0.22750000000000001</v>
      </c>
      <c r="CD47" s="165">
        <f t="shared" si="5"/>
        <v>2.5714285714285716</v>
      </c>
      <c r="CE47" s="165">
        <f t="shared" si="11"/>
        <v>261920.16666666666</v>
      </c>
      <c r="CF47" s="173">
        <f t="shared" si="6"/>
        <v>0.25</v>
      </c>
      <c r="CG47" s="383">
        <v>413471</v>
      </c>
      <c r="CH47" s="173">
        <f t="shared" si="7"/>
        <v>0.19825000000000001</v>
      </c>
      <c r="CI47" s="385">
        <f t="shared" si="8"/>
        <v>2.4547499999999998</v>
      </c>
    </row>
    <row r="48" spans="1:87" ht="42">
      <c r="A48" s="205">
        <v>47</v>
      </c>
      <c r="B48" s="178" t="s">
        <v>193</v>
      </c>
      <c r="C48" s="178" t="s">
        <v>1451</v>
      </c>
      <c r="D48" s="178" t="s">
        <v>1174</v>
      </c>
      <c r="E48" s="178" t="s">
        <v>1452</v>
      </c>
      <c r="F48" s="178" t="s">
        <v>1176</v>
      </c>
      <c r="G48" s="178" t="s">
        <v>1176</v>
      </c>
      <c r="H48" s="178" t="s">
        <v>413</v>
      </c>
      <c r="I48" s="207" t="s">
        <v>3263</v>
      </c>
      <c r="J48" s="178" t="s">
        <v>2927</v>
      </c>
      <c r="O48" s="178" t="s">
        <v>2927</v>
      </c>
      <c r="Q48" s="178" t="s">
        <v>1176</v>
      </c>
      <c r="T48" s="208">
        <v>0</v>
      </c>
      <c r="U48" s="208">
        <v>0</v>
      </c>
      <c r="V48" s="208">
        <v>2</v>
      </c>
      <c r="W48" s="208">
        <v>0</v>
      </c>
      <c r="X48" s="173">
        <f t="shared" si="0"/>
        <v>0</v>
      </c>
      <c r="Y48" s="208">
        <v>0</v>
      </c>
      <c r="Z48" s="178" t="s">
        <v>1176</v>
      </c>
      <c r="AB48" s="178" t="s">
        <v>1174</v>
      </c>
      <c r="AC48" s="173">
        <v>0.5</v>
      </c>
      <c r="AD48" s="380" t="s">
        <v>2930</v>
      </c>
      <c r="AE48" s="208">
        <v>17</v>
      </c>
      <c r="AF48" s="208">
        <v>0.3529411764705882</v>
      </c>
      <c r="AG48" s="173">
        <f t="shared" si="1"/>
        <v>0.745</v>
      </c>
      <c r="AH48" s="207" t="s">
        <v>3264</v>
      </c>
      <c r="AI48" s="207" t="s">
        <v>3265</v>
      </c>
      <c r="AJ48" s="178" t="s">
        <v>1176</v>
      </c>
      <c r="AK48" s="206">
        <f t="shared" si="9"/>
        <v>0</v>
      </c>
      <c r="AL48" s="178" t="s">
        <v>1176</v>
      </c>
      <c r="AM48" s="206">
        <f t="shared" si="9"/>
        <v>0</v>
      </c>
      <c r="AN48" s="173">
        <f t="shared" si="10"/>
        <v>0</v>
      </c>
      <c r="AO48" s="178" t="s">
        <v>421</v>
      </c>
      <c r="AP48" s="178" t="s">
        <v>1176</v>
      </c>
      <c r="AQ48" s="178" t="s">
        <v>1176</v>
      </c>
      <c r="AR48" s="207" t="s">
        <v>3266</v>
      </c>
      <c r="AS48" s="173">
        <v>0</v>
      </c>
      <c r="AT48" s="203">
        <v>41117</v>
      </c>
      <c r="AU48" s="208">
        <v>1321</v>
      </c>
      <c r="AV48" s="208">
        <v>37</v>
      </c>
      <c r="AW48" s="208">
        <v>295594</v>
      </c>
      <c r="AX48" s="203">
        <v>41135</v>
      </c>
      <c r="AY48" s="208">
        <v>1393</v>
      </c>
      <c r="AZ48" s="208">
        <v>37</v>
      </c>
      <c r="BA48" s="178" t="s">
        <v>3267</v>
      </c>
      <c r="BB48" s="178" t="s">
        <v>3268</v>
      </c>
      <c r="BC48" s="203">
        <v>41135</v>
      </c>
      <c r="BD48" s="208" t="s">
        <v>2534</v>
      </c>
      <c r="BE48" s="178" t="s">
        <v>1176</v>
      </c>
      <c r="BF48" s="178" t="s">
        <v>1176</v>
      </c>
      <c r="BG48" s="178" t="s">
        <v>1176</v>
      </c>
      <c r="BH48" s="207" t="s">
        <v>3269</v>
      </c>
      <c r="BI48" s="207" t="s">
        <v>3270</v>
      </c>
      <c r="BJ48" s="203">
        <v>39716</v>
      </c>
      <c r="BK48" s="208">
        <v>97062</v>
      </c>
      <c r="BL48" s="208">
        <v>68.401691331923885</v>
      </c>
      <c r="BN48" s="178" t="s">
        <v>3195</v>
      </c>
      <c r="BO48" s="178" t="s">
        <v>1176</v>
      </c>
      <c r="BP48" s="178" t="s">
        <v>1176</v>
      </c>
      <c r="BQ48" s="173">
        <v>0</v>
      </c>
      <c r="BR48" s="208">
        <v>72</v>
      </c>
      <c r="BS48" s="381">
        <v>5.4504163512490503E-2</v>
      </c>
      <c r="BU48" s="349">
        <v>0</v>
      </c>
      <c r="BV48" s="381">
        <v>0</v>
      </c>
      <c r="BW48" s="382">
        <v>8587.6216216216217</v>
      </c>
      <c r="BX48" s="383">
        <v>317742</v>
      </c>
      <c r="BY48" s="173">
        <f t="shared" si="2"/>
        <v>0.24099999999999999</v>
      </c>
      <c r="BZ48" s="383">
        <v>22148</v>
      </c>
      <c r="CA48" s="173">
        <f t="shared" si="3"/>
        <v>0.1895</v>
      </c>
      <c r="CB48" s="384">
        <v>7.4927095949173503E-2</v>
      </c>
      <c r="CC48" s="173">
        <f t="shared" si="4"/>
        <v>0.20075000000000001</v>
      </c>
      <c r="CD48" s="165">
        <f t="shared" si="5"/>
        <v>2.5714285714285716</v>
      </c>
      <c r="CE48" s="165">
        <f t="shared" si="11"/>
        <v>8613.1111111111113</v>
      </c>
      <c r="CF48" s="173">
        <f t="shared" si="6"/>
        <v>0.19350000000000001</v>
      </c>
      <c r="CG48" s="383">
        <v>68814</v>
      </c>
      <c r="CH48" s="173">
        <f t="shared" si="7"/>
        <v>0.13350000000000001</v>
      </c>
      <c r="CI48" s="385">
        <f t="shared" si="8"/>
        <v>2.2032500000000002</v>
      </c>
    </row>
    <row r="49" spans="1:87" ht="42">
      <c r="A49" s="205">
        <v>48</v>
      </c>
      <c r="B49" s="178" t="s">
        <v>196</v>
      </c>
      <c r="C49" s="178" t="s">
        <v>1451</v>
      </c>
      <c r="D49" s="178" t="s">
        <v>1174</v>
      </c>
      <c r="E49" s="178" t="s">
        <v>1452</v>
      </c>
      <c r="F49" s="178" t="s">
        <v>1176</v>
      </c>
      <c r="G49" s="178" t="s">
        <v>1176</v>
      </c>
      <c r="H49" s="178" t="s">
        <v>413</v>
      </c>
      <c r="I49" s="207" t="s">
        <v>3271</v>
      </c>
      <c r="J49" s="178" t="s">
        <v>2906</v>
      </c>
      <c r="K49" s="178" t="s">
        <v>3272</v>
      </c>
      <c r="O49" s="178" t="s">
        <v>2906</v>
      </c>
      <c r="Q49" s="178" t="s">
        <v>1176</v>
      </c>
      <c r="T49" s="208">
        <v>0</v>
      </c>
      <c r="U49" s="208">
        <v>0</v>
      </c>
      <c r="V49" s="208">
        <v>3</v>
      </c>
      <c r="W49" s="208">
        <v>0</v>
      </c>
      <c r="X49" s="173">
        <f t="shared" si="0"/>
        <v>0</v>
      </c>
      <c r="Y49" s="208">
        <v>0</v>
      </c>
      <c r="Z49" s="178" t="s">
        <v>1176</v>
      </c>
      <c r="AB49" s="178" t="s">
        <v>1174</v>
      </c>
      <c r="AC49" s="173">
        <v>0.5</v>
      </c>
      <c r="AD49" s="380" t="s">
        <v>2930</v>
      </c>
      <c r="AE49" s="208">
        <v>19</v>
      </c>
      <c r="AF49" s="208">
        <v>0.31578947368421051</v>
      </c>
      <c r="AG49" s="173">
        <f t="shared" si="1"/>
        <v>0.67200000000000004</v>
      </c>
      <c r="AH49" s="207" t="s">
        <v>3273</v>
      </c>
      <c r="AI49" s="207" t="s">
        <v>3274</v>
      </c>
      <c r="AK49" s="206">
        <f t="shared" si="9"/>
        <v>0</v>
      </c>
      <c r="AM49" s="206">
        <f t="shared" si="9"/>
        <v>0</v>
      </c>
      <c r="AN49" s="173">
        <f t="shared" si="10"/>
        <v>0</v>
      </c>
      <c r="AO49" s="178" t="s">
        <v>421</v>
      </c>
      <c r="AP49" s="178" t="s">
        <v>1176</v>
      </c>
      <c r="AQ49" s="178" t="s">
        <v>1176</v>
      </c>
      <c r="AR49" s="207" t="s">
        <v>3275</v>
      </c>
      <c r="AS49" s="173">
        <v>0</v>
      </c>
      <c r="AT49" s="203">
        <v>41117</v>
      </c>
      <c r="AU49" s="208">
        <v>1394</v>
      </c>
      <c r="AV49" s="208">
        <v>71</v>
      </c>
      <c r="AW49" s="208">
        <v>413046</v>
      </c>
      <c r="AX49" s="203">
        <v>41135</v>
      </c>
      <c r="AY49" s="208">
        <v>1447</v>
      </c>
      <c r="AZ49" s="208">
        <v>72</v>
      </c>
      <c r="BA49" s="178" t="s">
        <v>3276</v>
      </c>
      <c r="BB49" s="178" t="s">
        <v>3277</v>
      </c>
      <c r="BC49" s="203">
        <v>40451</v>
      </c>
      <c r="BD49" s="208">
        <v>124.55409356725146</v>
      </c>
      <c r="BE49" s="178" t="s">
        <v>1174</v>
      </c>
      <c r="BF49" s="178" t="s">
        <v>1176</v>
      </c>
      <c r="BG49" s="178" t="s">
        <v>1176</v>
      </c>
      <c r="BH49" s="207" t="s">
        <v>3278</v>
      </c>
      <c r="BI49" s="207" t="s">
        <v>3279</v>
      </c>
      <c r="BJ49" s="203">
        <v>40816</v>
      </c>
      <c r="BK49" s="208">
        <v>11887</v>
      </c>
      <c r="BL49" s="208">
        <v>37.263322884012538</v>
      </c>
      <c r="BN49" s="178" t="s">
        <v>2947</v>
      </c>
      <c r="BO49" s="178" t="s">
        <v>1176</v>
      </c>
      <c r="BP49" s="178" t="s">
        <v>1176</v>
      </c>
      <c r="BQ49" s="173">
        <v>0</v>
      </c>
      <c r="BR49" s="208">
        <v>53</v>
      </c>
      <c r="BS49" s="381">
        <v>3.8020086083213799E-2</v>
      </c>
      <c r="BU49" s="349">
        <v>1</v>
      </c>
      <c r="BV49" s="381">
        <v>1.4084507042253501E-2</v>
      </c>
      <c r="BW49" s="382">
        <v>5926.291666666667</v>
      </c>
      <c r="BX49" s="383">
        <v>426693</v>
      </c>
      <c r="BY49" s="173">
        <f t="shared" si="2"/>
        <v>0.28399999999999997</v>
      </c>
      <c r="BZ49" s="383">
        <v>13647</v>
      </c>
      <c r="CA49" s="173">
        <f t="shared" si="3"/>
        <v>0.16800000000000001</v>
      </c>
      <c r="CB49" s="384">
        <v>3.3039903545851998E-2</v>
      </c>
      <c r="CC49" s="173">
        <f t="shared" si="4"/>
        <v>0.15625</v>
      </c>
      <c r="CD49" s="165">
        <f t="shared" si="5"/>
        <v>2.5714285714285716</v>
      </c>
      <c r="CE49" s="165">
        <f t="shared" si="11"/>
        <v>5307.1666666666661</v>
      </c>
      <c r="CF49" s="173">
        <f t="shared" si="6"/>
        <v>0.17324999999999999</v>
      </c>
      <c r="CG49" s="383">
        <v>85195</v>
      </c>
      <c r="CH49" s="173">
        <f t="shared" si="7"/>
        <v>0.13775000000000001</v>
      </c>
      <c r="CI49" s="385">
        <f t="shared" si="8"/>
        <v>2.0912500000000001</v>
      </c>
    </row>
    <row r="50" spans="1:87" ht="56">
      <c r="A50" s="205">
        <v>49</v>
      </c>
      <c r="B50" s="178" t="s">
        <v>199</v>
      </c>
      <c r="C50" s="178" t="s">
        <v>1451</v>
      </c>
      <c r="D50" s="178" t="s">
        <v>1174</v>
      </c>
      <c r="E50" s="178" t="s">
        <v>1452</v>
      </c>
      <c r="F50" s="178" t="s">
        <v>1176</v>
      </c>
      <c r="G50" s="178" t="s">
        <v>1176</v>
      </c>
      <c r="H50" s="178" t="s">
        <v>413</v>
      </c>
      <c r="I50" s="207" t="s">
        <v>3280</v>
      </c>
      <c r="J50" s="178" t="s">
        <v>684</v>
      </c>
      <c r="K50" s="178" t="s">
        <v>684</v>
      </c>
      <c r="L50" s="178" t="s">
        <v>684</v>
      </c>
      <c r="M50" s="178" t="s">
        <v>684</v>
      </c>
      <c r="N50" s="178" t="s">
        <v>684</v>
      </c>
      <c r="O50" s="178" t="s">
        <v>684</v>
      </c>
      <c r="P50" s="178" t="s">
        <v>684</v>
      </c>
      <c r="Q50" s="178" t="s">
        <v>1176</v>
      </c>
      <c r="T50" s="208">
        <v>0</v>
      </c>
      <c r="U50" s="208">
        <v>0</v>
      </c>
      <c r="V50" s="208">
        <v>7</v>
      </c>
      <c r="W50" s="208">
        <v>0</v>
      </c>
      <c r="X50" s="173">
        <f t="shared" si="0"/>
        <v>0</v>
      </c>
      <c r="Y50" s="208">
        <v>0</v>
      </c>
      <c r="AB50" s="178" t="s">
        <v>1176</v>
      </c>
      <c r="AC50" s="173">
        <v>0</v>
      </c>
      <c r="AD50" s="380" t="s">
        <v>1893</v>
      </c>
      <c r="AE50" s="208">
        <v>19</v>
      </c>
      <c r="AF50" s="208">
        <v>0</v>
      </c>
      <c r="AG50" s="173">
        <f t="shared" si="1"/>
        <v>0</v>
      </c>
      <c r="AK50" s="206">
        <f t="shared" si="9"/>
        <v>0</v>
      </c>
      <c r="AM50" s="206">
        <f t="shared" si="9"/>
        <v>0</v>
      </c>
      <c r="AN50" s="173">
        <f t="shared" si="10"/>
        <v>0</v>
      </c>
      <c r="AR50" s="207" t="s">
        <v>3281</v>
      </c>
      <c r="AS50" s="173">
        <v>0</v>
      </c>
      <c r="AT50" s="203">
        <v>41117</v>
      </c>
      <c r="AU50" s="208">
        <v>0</v>
      </c>
      <c r="AV50" s="208">
        <v>2</v>
      </c>
      <c r="AW50" s="208">
        <v>6</v>
      </c>
      <c r="AX50" s="203">
        <v>41135</v>
      </c>
      <c r="AY50" s="208">
        <v>0</v>
      </c>
      <c r="AZ50" s="208">
        <v>2</v>
      </c>
      <c r="BA50" s="178" t="s">
        <v>3282</v>
      </c>
      <c r="BB50" s="178" t="s">
        <v>3283</v>
      </c>
      <c r="BC50" s="203">
        <v>41081</v>
      </c>
      <c r="BD50" s="208">
        <v>7.4074074074074098E-2</v>
      </c>
      <c r="BE50" s="178" t="s">
        <v>1174</v>
      </c>
      <c r="BF50" s="178" t="s">
        <v>1176</v>
      </c>
      <c r="BG50" s="178" t="s">
        <v>1176</v>
      </c>
      <c r="BH50" s="207" t="s">
        <v>3284</v>
      </c>
      <c r="BI50" s="207" t="s">
        <v>3285</v>
      </c>
      <c r="BJ50" s="203">
        <v>40842</v>
      </c>
      <c r="BK50" s="208">
        <v>7357</v>
      </c>
      <c r="BL50" s="208">
        <v>25.109215017064848</v>
      </c>
      <c r="BN50" s="178" t="s">
        <v>684</v>
      </c>
      <c r="BO50" s="178" t="s">
        <v>1176</v>
      </c>
      <c r="BP50" s="178" t="s">
        <v>1176</v>
      </c>
      <c r="BQ50" s="173">
        <v>0</v>
      </c>
      <c r="BR50" s="208">
        <v>0</v>
      </c>
      <c r="BS50" s="381">
        <v>0</v>
      </c>
      <c r="BU50" s="349">
        <v>0</v>
      </c>
      <c r="BV50" s="381">
        <v>0</v>
      </c>
      <c r="BW50" s="382">
        <v>3</v>
      </c>
      <c r="BX50" s="383">
        <v>6</v>
      </c>
      <c r="BY50" s="173">
        <f t="shared" si="2"/>
        <v>1.7000000000000001E-2</v>
      </c>
      <c r="BZ50" s="383">
        <v>0</v>
      </c>
      <c r="CA50" s="173">
        <f t="shared" si="3"/>
        <v>0</v>
      </c>
      <c r="CB50" s="384">
        <v>0</v>
      </c>
      <c r="CC50" s="173">
        <f t="shared" si="4"/>
        <v>0</v>
      </c>
      <c r="CD50" s="165">
        <f t="shared" si="5"/>
        <v>2.5714285714285716</v>
      </c>
      <c r="CE50" s="165">
        <f t="shared" si="11"/>
        <v>0</v>
      </c>
      <c r="CF50" s="173">
        <f t="shared" si="6"/>
        <v>0</v>
      </c>
      <c r="CG50" s="383">
        <v>4</v>
      </c>
      <c r="CH50" s="173">
        <f t="shared" si="7"/>
        <v>8.5000000000000006E-3</v>
      </c>
      <c r="CI50" s="385">
        <f t="shared" si="8"/>
        <v>2.5500000000000002E-2</v>
      </c>
    </row>
    <row r="51" spans="1:87" ht="56">
      <c r="A51" s="205">
        <v>50</v>
      </c>
      <c r="B51" s="178" t="s">
        <v>201</v>
      </c>
      <c r="C51" s="178" t="s">
        <v>1451</v>
      </c>
      <c r="D51" s="178" t="s">
        <v>1174</v>
      </c>
      <c r="E51" s="178" t="s">
        <v>1452</v>
      </c>
      <c r="F51" s="178" t="s">
        <v>1176</v>
      </c>
      <c r="G51" s="178" t="s">
        <v>1176</v>
      </c>
      <c r="H51" s="178" t="s">
        <v>413</v>
      </c>
      <c r="I51" s="207" t="s">
        <v>3286</v>
      </c>
      <c r="J51" s="178" t="s">
        <v>684</v>
      </c>
      <c r="K51" s="178" t="s">
        <v>684</v>
      </c>
      <c r="L51" s="178" t="s">
        <v>684</v>
      </c>
      <c r="M51" s="178" t="s">
        <v>684</v>
      </c>
      <c r="N51" s="178" t="s">
        <v>684</v>
      </c>
      <c r="O51" s="178" t="s">
        <v>684</v>
      </c>
      <c r="P51" s="178" t="s">
        <v>684</v>
      </c>
      <c r="Q51" s="178" t="s">
        <v>1176</v>
      </c>
      <c r="T51" s="208">
        <v>0</v>
      </c>
      <c r="U51" s="208">
        <v>0</v>
      </c>
      <c r="V51" s="208">
        <v>7</v>
      </c>
      <c r="W51" s="208">
        <v>0</v>
      </c>
      <c r="X51" s="173">
        <f t="shared" si="0"/>
        <v>0</v>
      </c>
      <c r="Y51" s="208">
        <v>0</v>
      </c>
      <c r="AB51" s="178" t="s">
        <v>1174</v>
      </c>
      <c r="AC51" s="173">
        <v>0.5</v>
      </c>
      <c r="AD51" s="380" t="s">
        <v>1893</v>
      </c>
      <c r="AE51" s="208">
        <v>19</v>
      </c>
      <c r="AF51" s="208">
        <v>0</v>
      </c>
      <c r="AG51" s="173">
        <f t="shared" si="1"/>
        <v>0</v>
      </c>
      <c r="AK51" s="206">
        <f t="shared" si="9"/>
        <v>0</v>
      </c>
      <c r="AM51" s="206">
        <f t="shared" si="9"/>
        <v>0</v>
      </c>
      <c r="AN51" s="173">
        <f t="shared" si="10"/>
        <v>0</v>
      </c>
      <c r="AR51" s="207" t="s">
        <v>3287</v>
      </c>
      <c r="AS51" s="173">
        <v>0</v>
      </c>
      <c r="AT51" s="203">
        <v>41117</v>
      </c>
      <c r="AU51" s="208">
        <v>578</v>
      </c>
      <c r="AV51" s="208">
        <v>63</v>
      </c>
      <c r="AW51" s="208">
        <v>168287</v>
      </c>
      <c r="AX51" s="203">
        <v>41135</v>
      </c>
      <c r="AY51" s="208">
        <v>608</v>
      </c>
      <c r="AZ51" s="208">
        <v>66</v>
      </c>
      <c r="BA51" s="178" t="s">
        <v>3288</v>
      </c>
      <c r="BB51" s="178" t="s">
        <v>3289</v>
      </c>
      <c r="BC51" s="203">
        <v>39581</v>
      </c>
      <c r="BD51" s="208">
        <v>32.350064350064351</v>
      </c>
      <c r="BE51" s="178" t="s">
        <v>1176</v>
      </c>
      <c r="BF51" s="178" t="s">
        <v>1176</v>
      </c>
      <c r="BG51" s="178" t="s">
        <v>1176</v>
      </c>
      <c r="BH51" s="207" t="s">
        <v>3290</v>
      </c>
      <c r="BI51" s="207" t="s">
        <v>3291</v>
      </c>
      <c r="BJ51" s="203">
        <v>40092</v>
      </c>
      <c r="BK51" s="208">
        <v>378407</v>
      </c>
      <c r="BL51" s="208">
        <v>362.80632790028761</v>
      </c>
      <c r="BN51" s="178" t="s">
        <v>3292</v>
      </c>
      <c r="BO51" s="178" t="s">
        <v>1176</v>
      </c>
      <c r="BP51" s="178" t="s">
        <v>1176</v>
      </c>
      <c r="BQ51" s="173">
        <v>0</v>
      </c>
      <c r="BR51" s="208">
        <v>30</v>
      </c>
      <c r="BS51" s="381">
        <v>5.1903114186851201E-2</v>
      </c>
      <c r="BU51" s="349">
        <v>3</v>
      </c>
      <c r="BV51" s="381">
        <v>4.7619047619047603E-2</v>
      </c>
      <c r="BW51" s="382">
        <v>2627.8939393939395</v>
      </c>
      <c r="BX51" s="383">
        <v>173441</v>
      </c>
      <c r="BY51" s="173">
        <f t="shared" si="2"/>
        <v>0.18099999999999999</v>
      </c>
      <c r="BZ51" s="383">
        <v>5154</v>
      </c>
      <c r="CA51" s="173">
        <f t="shared" si="3"/>
        <v>0.112</v>
      </c>
      <c r="CB51" s="384">
        <v>3.06262515821186E-2</v>
      </c>
      <c r="CC51" s="173">
        <f t="shared" si="4"/>
        <v>0.14274999999999999</v>
      </c>
      <c r="CD51" s="165">
        <f t="shared" si="5"/>
        <v>2.5714285714285716</v>
      </c>
      <c r="CE51" s="165">
        <f t="shared" si="11"/>
        <v>2004.3333333333333</v>
      </c>
      <c r="CF51" s="173">
        <f t="shared" si="6"/>
        <v>0.12075</v>
      </c>
      <c r="CG51" s="383">
        <v>50272</v>
      </c>
      <c r="CH51" s="173">
        <f t="shared" si="7"/>
        <v>0.112</v>
      </c>
      <c r="CI51" s="385">
        <f t="shared" si="8"/>
        <v>1.1684999999999999</v>
      </c>
    </row>
    <row r="52" spans="1:87" ht="28">
      <c r="A52" s="205">
        <v>51</v>
      </c>
      <c r="B52" s="178" t="s">
        <v>203</v>
      </c>
      <c r="C52" s="178" t="s">
        <v>1451</v>
      </c>
      <c r="D52" s="178" t="s">
        <v>1174</v>
      </c>
      <c r="E52" s="178" t="s">
        <v>1452</v>
      </c>
      <c r="F52" s="178" t="s">
        <v>1176</v>
      </c>
      <c r="G52" s="178" t="s">
        <v>1176</v>
      </c>
      <c r="H52" s="178" t="s">
        <v>413</v>
      </c>
      <c r="I52" s="207" t="s">
        <v>3293</v>
      </c>
      <c r="J52" s="178" t="s">
        <v>684</v>
      </c>
      <c r="K52" s="178" t="s">
        <v>684</v>
      </c>
      <c r="L52" s="178" t="s">
        <v>684</v>
      </c>
      <c r="M52" s="178" t="s">
        <v>684</v>
      </c>
      <c r="N52" s="178" t="s">
        <v>684</v>
      </c>
      <c r="O52" s="178" t="s">
        <v>684</v>
      </c>
      <c r="P52" s="178" t="s">
        <v>684</v>
      </c>
      <c r="Q52" s="178" t="s">
        <v>1176</v>
      </c>
      <c r="T52" s="208">
        <v>0</v>
      </c>
      <c r="U52" s="208">
        <v>0</v>
      </c>
      <c r="V52" s="208">
        <v>7</v>
      </c>
      <c r="W52" s="208">
        <v>0</v>
      </c>
      <c r="X52" s="173">
        <f t="shared" si="0"/>
        <v>0</v>
      </c>
      <c r="Y52" s="208">
        <v>0</v>
      </c>
      <c r="AA52" s="207" t="s">
        <v>3294</v>
      </c>
      <c r="AB52" s="178" t="s">
        <v>1174</v>
      </c>
      <c r="AC52" s="173">
        <v>0.5</v>
      </c>
      <c r="AD52" s="380" t="s">
        <v>1893</v>
      </c>
      <c r="AE52" s="208">
        <v>19</v>
      </c>
      <c r="AF52" s="208">
        <v>0</v>
      </c>
      <c r="AG52" s="173">
        <f t="shared" si="1"/>
        <v>0</v>
      </c>
      <c r="AH52" s="207" t="s">
        <v>684</v>
      </c>
      <c r="AK52" s="206">
        <f t="shared" si="9"/>
        <v>0</v>
      </c>
      <c r="AM52" s="206">
        <f t="shared" si="9"/>
        <v>0</v>
      </c>
      <c r="AN52" s="173">
        <f t="shared" si="10"/>
        <v>0</v>
      </c>
      <c r="AR52" s="207" t="s">
        <v>3295</v>
      </c>
      <c r="AS52" s="173">
        <v>0</v>
      </c>
      <c r="AT52" s="203">
        <v>41125</v>
      </c>
      <c r="AU52" s="208">
        <v>11</v>
      </c>
      <c r="AV52" s="208">
        <v>12</v>
      </c>
      <c r="AW52" s="208">
        <v>646</v>
      </c>
      <c r="AX52" s="203">
        <v>41135</v>
      </c>
      <c r="AY52" s="208">
        <v>13</v>
      </c>
      <c r="AZ52" s="208">
        <v>12</v>
      </c>
      <c r="BA52" s="178" t="s">
        <v>3296</v>
      </c>
      <c r="BB52" s="178" t="s">
        <v>3297</v>
      </c>
      <c r="BC52" s="203">
        <v>40822</v>
      </c>
      <c r="BD52" s="208">
        <v>1.0670926517571886</v>
      </c>
      <c r="BE52" s="178" t="s">
        <v>1176</v>
      </c>
      <c r="BF52" s="178" t="s">
        <v>1176</v>
      </c>
      <c r="BG52" s="178" t="s">
        <v>1176</v>
      </c>
      <c r="BH52" s="207" t="s">
        <v>3298</v>
      </c>
      <c r="BI52" s="207" t="s">
        <v>3299</v>
      </c>
      <c r="BJ52" s="203">
        <v>40939</v>
      </c>
      <c r="BK52" s="208">
        <v>3257</v>
      </c>
      <c r="BL52" s="208">
        <v>16.617346938775512</v>
      </c>
      <c r="BN52" s="178" t="s">
        <v>3300</v>
      </c>
      <c r="BO52" s="178" t="s">
        <v>1176</v>
      </c>
      <c r="BP52" s="178" t="s">
        <v>1176</v>
      </c>
      <c r="BQ52" s="173">
        <v>0</v>
      </c>
      <c r="BR52" s="208">
        <v>2</v>
      </c>
      <c r="BS52" s="381">
        <v>0.1818181818181818</v>
      </c>
      <c r="BU52" s="349">
        <v>0</v>
      </c>
      <c r="BV52" s="381">
        <v>0</v>
      </c>
      <c r="BW52" s="382">
        <v>55.333333333333336</v>
      </c>
      <c r="BX52" s="383">
        <v>664</v>
      </c>
      <c r="BY52" s="173">
        <f t="shared" si="2"/>
        <v>2.5499999999999998E-2</v>
      </c>
      <c r="BZ52" s="383">
        <v>18</v>
      </c>
      <c r="CA52" s="173">
        <f t="shared" si="3"/>
        <v>1.2749999999999999E-2</v>
      </c>
      <c r="CB52" s="384">
        <v>2.7863777089783302E-2</v>
      </c>
      <c r="CC52" s="173">
        <f t="shared" si="4"/>
        <v>0.12925</v>
      </c>
      <c r="CD52" s="165">
        <f t="shared" si="5"/>
        <v>1.4285714285714286</v>
      </c>
      <c r="CE52" s="165">
        <f t="shared" si="11"/>
        <v>12.6</v>
      </c>
      <c r="CF52" s="173">
        <f t="shared" si="6"/>
        <v>2.8000000000000001E-2</v>
      </c>
      <c r="CG52" s="383">
        <v>334</v>
      </c>
      <c r="CH52" s="173">
        <f t="shared" si="7"/>
        <v>1.2749999999999999E-2</v>
      </c>
      <c r="CI52" s="385">
        <f t="shared" si="8"/>
        <v>0.70825000000000005</v>
      </c>
    </row>
    <row r="53" spans="1:87" ht="70">
      <c r="A53" s="205">
        <v>52</v>
      </c>
      <c r="B53" s="178" t="s">
        <v>206</v>
      </c>
      <c r="C53" s="178" t="s">
        <v>1451</v>
      </c>
      <c r="D53" s="178" t="s">
        <v>1174</v>
      </c>
      <c r="E53" s="178" t="s">
        <v>1452</v>
      </c>
      <c r="F53" s="178" t="s">
        <v>1176</v>
      </c>
      <c r="G53" s="178" t="s">
        <v>1176</v>
      </c>
      <c r="H53" s="178" t="s">
        <v>413</v>
      </c>
      <c r="I53" s="207" t="s">
        <v>3301</v>
      </c>
      <c r="J53" s="178" t="s">
        <v>3302</v>
      </c>
      <c r="K53" s="178" t="s">
        <v>684</v>
      </c>
      <c r="L53" s="178" t="s">
        <v>684</v>
      </c>
      <c r="M53" s="178" t="s">
        <v>684</v>
      </c>
      <c r="N53" s="178" t="s">
        <v>684</v>
      </c>
      <c r="O53" s="178" t="s">
        <v>3302</v>
      </c>
      <c r="P53" s="178" t="s">
        <v>684</v>
      </c>
      <c r="Q53" s="178" t="s">
        <v>1176</v>
      </c>
      <c r="T53" s="208">
        <v>0</v>
      </c>
      <c r="U53" s="208">
        <v>0</v>
      </c>
      <c r="V53" s="208">
        <v>7</v>
      </c>
      <c r="W53" s="208">
        <v>0</v>
      </c>
      <c r="X53" s="173">
        <f t="shared" si="0"/>
        <v>0</v>
      </c>
      <c r="Y53" s="208">
        <v>0</v>
      </c>
      <c r="AB53" s="178" t="s">
        <v>1174</v>
      </c>
      <c r="AC53" s="173">
        <v>0.5</v>
      </c>
      <c r="AD53" s="380" t="s">
        <v>1915</v>
      </c>
      <c r="AE53" s="208">
        <v>20</v>
      </c>
      <c r="AF53" s="208">
        <v>0.25</v>
      </c>
      <c r="AG53" s="173">
        <f t="shared" si="1"/>
        <v>0.61799999999999999</v>
      </c>
      <c r="AH53" s="207" t="s">
        <v>3303</v>
      </c>
      <c r="AI53" s="207" t="s">
        <v>3304</v>
      </c>
      <c r="AJ53" s="178" t="s">
        <v>1174</v>
      </c>
      <c r="AK53" s="206">
        <f t="shared" si="9"/>
        <v>0.25</v>
      </c>
      <c r="AL53" s="178" t="s">
        <v>1174</v>
      </c>
      <c r="AM53" s="206">
        <f t="shared" si="9"/>
        <v>0.25</v>
      </c>
      <c r="AN53" s="173">
        <f t="shared" si="10"/>
        <v>0.5</v>
      </c>
      <c r="AO53" s="178" t="s">
        <v>684</v>
      </c>
      <c r="AP53" s="178" t="s">
        <v>1176</v>
      </c>
      <c r="AQ53" s="178" t="s">
        <v>1176</v>
      </c>
      <c r="AR53" s="207" t="s">
        <v>3305</v>
      </c>
      <c r="AS53" s="173">
        <v>0</v>
      </c>
      <c r="AT53" s="203">
        <v>41117</v>
      </c>
      <c r="AU53" s="208">
        <v>198</v>
      </c>
      <c r="AV53" s="208">
        <v>32</v>
      </c>
      <c r="AW53" s="208">
        <v>40587</v>
      </c>
      <c r="AX53" s="203">
        <v>41135</v>
      </c>
      <c r="AY53" s="208">
        <v>210</v>
      </c>
      <c r="AZ53" s="208">
        <v>34</v>
      </c>
      <c r="BA53" s="178" t="s">
        <v>3306</v>
      </c>
      <c r="BB53" s="178" t="s">
        <v>3307</v>
      </c>
      <c r="BC53" s="203">
        <v>40927</v>
      </c>
      <c r="BD53" s="208">
        <v>30.20673076923077</v>
      </c>
      <c r="BE53" s="178" t="s">
        <v>1176</v>
      </c>
      <c r="BF53" s="178" t="s">
        <v>1176</v>
      </c>
      <c r="BG53" s="178" t="s">
        <v>1176</v>
      </c>
      <c r="BH53" s="207" t="s">
        <v>3308</v>
      </c>
      <c r="BI53" s="207" t="s">
        <v>3309</v>
      </c>
      <c r="BJ53" s="203">
        <v>39961</v>
      </c>
      <c r="BK53" s="208">
        <v>1154</v>
      </c>
      <c r="BL53" s="208">
        <v>0.98296422487223167</v>
      </c>
      <c r="BN53" s="178" t="s">
        <v>3142</v>
      </c>
      <c r="BO53" s="178" t="s">
        <v>1176</v>
      </c>
      <c r="BP53" s="178" t="s">
        <v>1176</v>
      </c>
      <c r="BQ53" s="173">
        <v>0</v>
      </c>
      <c r="BR53" s="208">
        <v>12</v>
      </c>
      <c r="BS53" s="381">
        <v>6.0606060606060601E-2</v>
      </c>
      <c r="BU53" s="349">
        <v>2</v>
      </c>
      <c r="BV53" s="381">
        <v>6.25E-2</v>
      </c>
      <c r="BW53" s="382">
        <v>1301.2647058823529</v>
      </c>
      <c r="BX53" s="383">
        <v>44243</v>
      </c>
      <c r="BY53" s="173">
        <f t="shared" si="2"/>
        <v>0.10299999999999999</v>
      </c>
      <c r="BZ53" s="383">
        <v>3656</v>
      </c>
      <c r="CA53" s="173">
        <f t="shared" si="3"/>
        <v>9.0499999999999997E-2</v>
      </c>
      <c r="CB53" s="384">
        <v>9.0078103826348302E-2</v>
      </c>
      <c r="CC53" s="173">
        <f t="shared" si="4"/>
        <v>0.20524999999999999</v>
      </c>
      <c r="CD53" s="165">
        <f t="shared" si="5"/>
        <v>2.5714285714285716</v>
      </c>
      <c r="CE53" s="165">
        <f t="shared" si="11"/>
        <v>1421.7777777777776</v>
      </c>
      <c r="CF53" s="173">
        <f t="shared" si="6"/>
        <v>9.6750000000000003E-2</v>
      </c>
      <c r="CG53" s="383">
        <v>6283</v>
      </c>
      <c r="CH53" s="173">
        <f t="shared" si="7"/>
        <v>4.2999999999999997E-2</v>
      </c>
      <c r="CI53" s="385">
        <f t="shared" si="8"/>
        <v>2.1564999999999999</v>
      </c>
    </row>
    <row r="54" spans="1:87">
      <c r="A54" s="215">
        <v>53</v>
      </c>
      <c r="B54" s="220" t="s">
        <v>209</v>
      </c>
      <c r="C54" s="220" t="s">
        <v>1451</v>
      </c>
      <c r="D54" s="220" t="s">
        <v>1176</v>
      </c>
      <c r="E54" s="220"/>
      <c r="F54" s="220"/>
      <c r="G54" s="220"/>
      <c r="H54" s="220"/>
      <c r="I54" s="223"/>
      <c r="J54" s="220"/>
      <c r="K54" s="220"/>
      <c r="L54" s="220"/>
      <c r="M54" s="220"/>
      <c r="N54" s="220"/>
      <c r="O54" s="220"/>
      <c r="P54" s="220"/>
      <c r="Q54" s="220"/>
      <c r="R54" s="180"/>
      <c r="S54" s="180"/>
      <c r="T54" s="224"/>
      <c r="U54" s="224"/>
      <c r="V54" s="224"/>
      <c r="W54" s="224"/>
      <c r="X54" s="173">
        <f t="shared" si="0"/>
        <v>0</v>
      </c>
      <c r="Y54" s="224"/>
      <c r="Z54" s="180"/>
      <c r="AA54" s="181"/>
      <c r="AB54" s="220"/>
      <c r="AC54" s="173"/>
      <c r="AD54" s="387"/>
      <c r="AE54" s="224"/>
      <c r="AF54" s="224"/>
      <c r="AG54" s="173">
        <f t="shared" si="1"/>
        <v>0</v>
      </c>
      <c r="AH54" s="223"/>
      <c r="AI54" s="223"/>
      <c r="AJ54" s="220"/>
      <c r="AK54" s="206">
        <f t="shared" si="9"/>
        <v>0</v>
      </c>
      <c r="AL54" s="220"/>
      <c r="AM54" s="206">
        <f t="shared" si="9"/>
        <v>0</v>
      </c>
      <c r="AN54" s="173">
        <f t="shared" si="10"/>
        <v>0</v>
      </c>
      <c r="AO54" s="220"/>
      <c r="AP54" s="220"/>
      <c r="AQ54" s="220"/>
      <c r="AR54" s="223"/>
      <c r="AS54" s="173">
        <v>0</v>
      </c>
      <c r="AT54" s="221"/>
      <c r="AU54" s="224"/>
      <c r="AV54" s="224"/>
      <c r="AW54" s="224"/>
      <c r="AX54" s="221"/>
      <c r="AY54" s="224"/>
      <c r="AZ54" s="224"/>
      <c r="BA54" s="220"/>
      <c r="BB54" s="220"/>
      <c r="BC54" s="221"/>
      <c r="BD54" s="224"/>
      <c r="BE54" s="220"/>
      <c r="BF54" s="220"/>
      <c r="BG54" s="220"/>
      <c r="BH54" s="223"/>
      <c r="BI54" s="223"/>
      <c r="BJ54" s="221"/>
      <c r="BK54" s="224"/>
      <c r="BL54" s="224"/>
      <c r="BM54" s="180"/>
      <c r="BN54" s="220"/>
      <c r="BO54" s="220"/>
      <c r="BP54" s="220"/>
      <c r="BQ54" s="173"/>
      <c r="BR54" s="224"/>
      <c r="BS54" s="388"/>
      <c r="BT54" s="180"/>
      <c r="BU54" s="389"/>
      <c r="BV54" s="388"/>
      <c r="BW54" s="390"/>
      <c r="BX54" s="383"/>
      <c r="BY54" s="173">
        <f t="shared" si="2"/>
        <v>0</v>
      </c>
      <c r="BZ54" s="383"/>
      <c r="CA54" s="173">
        <f t="shared" si="3"/>
        <v>0</v>
      </c>
      <c r="CB54" s="384"/>
      <c r="CC54" s="173">
        <f t="shared" si="4"/>
        <v>0</v>
      </c>
      <c r="CD54" s="165">
        <f t="shared" si="5"/>
        <v>0</v>
      </c>
      <c r="CE54" s="165">
        <v>0</v>
      </c>
      <c r="CF54" s="173">
        <f t="shared" si="6"/>
        <v>0</v>
      </c>
      <c r="CG54" s="383"/>
      <c r="CH54" s="173">
        <f t="shared" si="7"/>
        <v>0</v>
      </c>
      <c r="CI54" s="385">
        <f t="shared" si="8"/>
        <v>0</v>
      </c>
    </row>
    <row r="55" spans="1:87" ht="56">
      <c r="A55" s="205">
        <v>54</v>
      </c>
      <c r="B55" s="178" t="s">
        <v>213</v>
      </c>
      <c r="C55" s="178" t="s">
        <v>1451</v>
      </c>
      <c r="D55" s="178" t="s">
        <v>1174</v>
      </c>
      <c r="E55" s="178" t="s">
        <v>1452</v>
      </c>
      <c r="F55" s="178" t="s">
        <v>1176</v>
      </c>
      <c r="G55" s="178" t="s">
        <v>1176</v>
      </c>
      <c r="H55" s="178" t="s">
        <v>413</v>
      </c>
      <c r="I55" s="207" t="s">
        <v>3310</v>
      </c>
      <c r="J55" s="178" t="s">
        <v>3311</v>
      </c>
      <c r="K55" s="178" t="s">
        <v>684</v>
      </c>
      <c r="L55" s="178" t="s">
        <v>684</v>
      </c>
      <c r="M55" s="178" t="s">
        <v>684</v>
      </c>
      <c r="N55" s="178" t="s">
        <v>684</v>
      </c>
      <c r="O55" s="178" t="s">
        <v>3311</v>
      </c>
      <c r="P55" s="178" t="s">
        <v>684</v>
      </c>
      <c r="Q55" s="178" t="s">
        <v>1176</v>
      </c>
      <c r="T55" s="208">
        <v>0</v>
      </c>
      <c r="U55" s="208">
        <v>0</v>
      </c>
      <c r="V55" s="208">
        <v>7</v>
      </c>
      <c r="W55" s="208">
        <v>0</v>
      </c>
      <c r="X55" s="173">
        <f t="shared" si="0"/>
        <v>0</v>
      </c>
      <c r="Y55" s="208">
        <v>0</v>
      </c>
      <c r="AB55" s="178" t="s">
        <v>1176</v>
      </c>
      <c r="AC55" s="173">
        <v>0</v>
      </c>
      <c r="AD55" s="380" t="s">
        <v>2939</v>
      </c>
      <c r="AE55" s="208">
        <v>20</v>
      </c>
      <c r="AF55" s="208">
        <v>0.8</v>
      </c>
      <c r="AG55" s="173">
        <f t="shared" si="1"/>
        <v>0.98099999999999998</v>
      </c>
      <c r="AH55" s="207" t="s">
        <v>3312</v>
      </c>
      <c r="AI55" s="207" t="s">
        <v>3313</v>
      </c>
      <c r="AJ55" s="178" t="s">
        <v>1174</v>
      </c>
      <c r="AK55" s="206">
        <f t="shared" si="9"/>
        <v>0.25</v>
      </c>
      <c r="AL55" s="178" t="s">
        <v>1174</v>
      </c>
      <c r="AM55" s="206">
        <f t="shared" si="9"/>
        <v>0.25</v>
      </c>
      <c r="AN55" s="173">
        <f t="shared" si="10"/>
        <v>0.5</v>
      </c>
      <c r="AO55" s="178" t="s">
        <v>684</v>
      </c>
      <c r="AP55" s="178" t="s">
        <v>1176</v>
      </c>
      <c r="AQ55" s="178" t="s">
        <v>1176</v>
      </c>
      <c r="AR55" s="207" t="s">
        <v>3314</v>
      </c>
      <c r="AS55" s="173">
        <v>0.5</v>
      </c>
      <c r="AT55" s="203">
        <v>41117</v>
      </c>
      <c r="AU55" s="208">
        <v>335</v>
      </c>
      <c r="AV55" s="208">
        <v>47</v>
      </c>
      <c r="AW55" s="208">
        <v>131579</v>
      </c>
      <c r="AX55" s="203">
        <v>41135</v>
      </c>
      <c r="AY55" s="208">
        <v>346</v>
      </c>
      <c r="AZ55" s="208">
        <v>47</v>
      </c>
      <c r="BA55" s="178" t="s">
        <v>3315</v>
      </c>
      <c r="BB55" s="178" t="s">
        <v>3316</v>
      </c>
      <c r="BC55" s="203">
        <v>40724</v>
      </c>
      <c r="BD55" s="208">
        <v>43.401459854014597</v>
      </c>
      <c r="BE55" s="178" t="s">
        <v>1176</v>
      </c>
      <c r="BF55" s="178" t="s">
        <v>1176</v>
      </c>
      <c r="BG55" s="178" t="s">
        <v>1176</v>
      </c>
      <c r="BH55" s="207" t="s">
        <v>3317</v>
      </c>
      <c r="BI55" s="207" t="s">
        <v>3318</v>
      </c>
      <c r="BJ55" s="203">
        <v>40727</v>
      </c>
      <c r="BK55" s="208">
        <v>963</v>
      </c>
      <c r="BL55" s="208">
        <v>2.3602941176470589</v>
      </c>
      <c r="BN55" s="178" t="s">
        <v>684</v>
      </c>
      <c r="BO55" s="178" t="s">
        <v>1176</v>
      </c>
      <c r="BP55" s="178" t="s">
        <v>1176</v>
      </c>
      <c r="BQ55" s="173">
        <v>0</v>
      </c>
      <c r="BR55" s="208">
        <v>11</v>
      </c>
      <c r="BS55" s="381">
        <v>3.2835820895522401E-2</v>
      </c>
      <c r="BU55" s="349">
        <v>0</v>
      </c>
      <c r="BV55" s="381">
        <v>0</v>
      </c>
      <c r="BW55" s="382">
        <v>2875.2340425531916</v>
      </c>
      <c r="BX55" s="383">
        <v>135136</v>
      </c>
      <c r="BY55" s="173">
        <f t="shared" si="2"/>
        <v>0.16350000000000001</v>
      </c>
      <c r="BZ55" s="383">
        <v>3557</v>
      </c>
      <c r="CA55" s="173">
        <f t="shared" si="3"/>
        <v>7.7499999999999999E-2</v>
      </c>
      <c r="CB55" s="384">
        <v>2.7033189186724298E-2</v>
      </c>
      <c r="CC55" s="173">
        <f t="shared" si="4"/>
        <v>0.125</v>
      </c>
      <c r="CD55" s="165">
        <f t="shared" si="5"/>
        <v>2.5714285714285716</v>
      </c>
      <c r="CE55" s="165">
        <f t="shared" si="11"/>
        <v>1383.2777777777776</v>
      </c>
      <c r="CF55" s="173">
        <f t="shared" si="6"/>
        <v>8.8499999999999995E-2</v>
      </c>
      <c r="CG55" s="383">
        <v>17838</v>
      </c>
      <c r="CH55" s="173">
        <f t="shared" si="7"/>
        <v>6.0249999999999998E-2</v>
      </c>
      <c r="CI55" s="385">
        <f t="shared" si="8"/>
        <v>2.4957500000000001</v>
      </c>
    </row>
    <row r="56" spans="1:87" ht="70">
      <c r="A56" s="205">
        <v>55</v>
      </c>
      <c r="B56" s="178" t="s">
        <v>215</v>
      </c>
      <c r="C56" s="178" t="s">
        <v>1451</v>
      </c>
      <c r="D56" s="178" t="s">
        <v>1174</v>
      </c>
      <c r="E56" s="178" t="s">
        <v>1452</v>
      </c>
      <c r="F56" s="178" t="s">
        <v>1176</v>
      </c>
      <c r="G56" s="178" t="s">
        <v>1176</v>
      </c>
      <c r="H56" s="178" t="s">
        <v>413</v>
      </c>
      <c r="I56" s="207" t="s">
        <v>3319</v>
      </c>
      <c r="J56" s="178" t="s">
        <v>684</v>
      </c>
      <c r="K56" s="178" t="s">
        <v>684</v>
      </c>
      <c r="L56" s="178" t="s">
        <v>684</v>
      </c>
      <c r="M56" s="178" t="s">
        <v>684</v>
      </c>
      <c r="N56" s="178" t="s">
        <v>684</v>
      </c>
      <c r="O56" s="178" t="s">
        <v>684</v>
      </c>
      <c r="P56" s="178" t="s">
        <v>684</v>
      </c>
      <c r="Q56" s="178" t="s">
        <v>1176</v>
      </c>
      <c r="T56" s="208">
        <v>0</v>
      </c>
      <c r="U56" s="208">
        <v>0</v>
      </c>
      <c r="V56" s="208">
        <v>7</v>
      </c>
      <c r="W56" s="208">
        <v>0</v>
      </c>
      <c r="X56" s="173">
        <f t="shared" si="0"/>
        <v>0</v>
      </c>
      <c r="Y56" s="208">
        <v>0</v>
      </c>
      <c r="AB56" s="178" t="s">
        <v>1174</v>
      </c>
      <c r="AC56" s="173">
        <v>0.5</v>
      </c>
      <c r="AD56" s="380" t="s">
        <v>1893</v>
      </c>
      <c r="AE56" s="208">
        <v>20</v>
      </c>
      <c r="AF56" s="208">
        <v>0</v>
      </c>
      <c r="AG56" s="173">
        <f t="shared" si="1"/>
        <v>0</v>
      </c>
      <c r="AK56" s="206">
        <f t="shared" si="9"/>
        <v>0</v>
      </c>
      <c r="AM56" s="206">
        <f t="shared" si="9"/>
        <v>0</v>
      </c>
      <c r="AN56" s="173">
        <f t="shared" si="10"/>
        <v>0</v>
      </c>
      <c r="AR56" s="207" t="s">
        <v>3320</v>
      </c>
      <c r="AS56" s="173">
        <v>0</v>
      </c>
      <c r="AT56" s="203">
        <v>41117</v>
      </c>
      <c r="AU56" s="208">
        <v>101</v>
      </c>
      <c r="AV56" s="208">
        <v>12</v>
      </c>
      <c r="AW56" s="208">
        <v>64433</v>
      </c>
      <c r="AX56" s="203">
        <v>41135</v>
      </c>
      <c r="AY56" s="208">
        <v>115</v>
      </c>
      <c r="AZ56" s="208">
        <v>12</v>
      </c>
      <c r="BA56" s="178" t="s">
        <v>3321</v>
      </c>
      <c r="BB56" s="178" t="s">
        <v>3322</v>
      </c>
      <c r="BC56" s="203">
        <v>40695</v>
      </c>
      <c r="BD56" s="208">
        <v>57.45</v>
      </c>
      <c r="BE56" s="178" t="s">
        <v>1176</v>
      </c>
      <c r="BF56" s="178" t="s">
        <v>1176</v>
      </c>
      <c r="BG56" s="178" t="s">
        <v>1176</v>
      </c>
      <c r="BH56" s="207" t="s">
        <v>3323</v>
      </c>
      <c r="BI56" s="207" t="s">
        <v>3324</v>
      </c>
      <c r="BJ56" s="203">
        <v>40514</v>
      </c>
      <c r="BK56" s="208">
        <v>21791</v>
      </c>
      <c r="BL56" s="208">
        <v>35.090177133655395</v>
      </c>
      <c r="BN56" s="178" t="s">
        <v>684</v>
      </c>
      <c r="BO56" s="178" t="s">
        <v>1176</v>
      </c>
      <c r="BP56" s="178" t="s">
        <v>1176</v>
      </c>
      <c r="BQ56" s="173">
        <v>0</v>
      </c>
      <c r="BR56" s="208">
        <v>14</v>
      </c>
      <c r="BS56" s="381">
        <v>0.1386138613861386</v>
      </c>
      <c r="BU56" s="349">
        <v>0</v>
      </c>
      <c r="BV56" s="381">
        <v>0</v>
      </c>
      <c r="BW56" s="382">
        <v>5590.583333333333</v>
      </c>
      <c r="BX56" s="383">
        <v>67087</v>
      </c>
      <c r="BY56" s="173">
        <f t="shared" si="2"/>
        <v>0.13750000000000001</v>
      </c>
      <c r="BZ56" s="383">
        <v>2654</v>
      </c>
      <c r="CA56" s="173">
        <f t="shared" si="3"/>
        <v>7.3249999999999996E-2</v>
      </c>
      <c r="CB56" s="384">
        <v>4.1190073409588301E-2</v>
      </c>
      <c r="CC56" s="173">
        <f t="shared" si="4"/>
        <v>0.16950000000000001</v>
      </c>
      <c r="CD56" s="165">
        <f t="shared" si="5"/>
        <v>2.5714285714285716</v>
      </c>
      <c r="CE56" s="165">
        <f t="shared" si="11"/>
        <v>1032.1111111111111</v>
      </c>
      <c r="CF56" s="173">
        <f t="shared" si="6"/>
        <v>8.4500000000000006E-2</v>
      </c>
      <c r="CG56" s="383">
        <v>25278</v>
      </c>
      <c r="CH56" s="173">
        <f t="shared" si="7"/>
        <v>7.7499999999999999E-2</v>
      </c>
      <c r="CI56" s="385">
        <f t="shared" si="8"/>
        <v>1.0422500000000001</v>
      </c>
    </row>
    <row r="57" spans="1:87" ht="98">
      <c r="A57" s="205">
        <v>56</v>
      </c>
      <c r="B57" s="178" t="s">
        <v>218</v>
      </c>
      <c r="C57" s="178" t="s">
        <v>1451</v>
      </c>
      <c r="D57" s="178" t="s">
        <v>1174</v>
      </c>
      <c r="E57" s="178" t="s">
        <v>1452</v>
      </c>
      <c r="F57" s="178" t="s">
        <v>1176</v>
      </c>
      <c r="G57" s="178" t="s">
        <v>1176</v>
      </c>
      <c r="H57" s="178" t="s">
        <v>413</v>
      </c>
      <c r="I57" s="207" t="s">
        <v>3325</v>
      </c>
      <c r="J57" s="178" t="s">
        <v>2859</v>
      </c>
      <c r="K57" s="178" t="s">
        <v>684</v>
      </c>
      <c r="L57" s="178" t="s">
        <v>684</v>
      </c>
      <c r="M57" s="178" t="s">
        <v>684</v>
      </c>
      <c r="N57" s="178" t="s">
        <v>684</v>
      </c>
      <c r="O57" s="178" t="s">
        <v>2859</v>
      </c>
      <c r="P57" s="178" t="s">
        <v>684</v>
      </c>
      <c r="Q57" s="178" t="s">
        <v>1176</v>
      </c>
      <c r="T57" s="208">
        <v>0</v>
      </c>
      <c r="U57" s="208">
        <v>0</v>
      </c>
      <c r="V57" s="208">
        <v>7</v>
      </c>
      <c r="W57" s="208">
        <v>0</v>
      </c>
      <c r="X57" s="173">
        <f t="shared" si="0"/>
        <v>0</v>
      </c>
      <c r="Y57" s="208">
        <v>0</v>
      </c>
      <c r="AB57" s="178" t="s">
        <v>1174</v>
      </c>
      <c r="AC57" s="173">
        <v>0.5</v>
      </c>
      <c r="AD57" s="380" t="s">
        <v>2930</v>
      </c>
      <c r="AE57" s="208">
        <v>20</v>
      </c>
      <c r="AF57" s="208">
        <v>0.3</v>
      </c>
      <c r="AG57" s="173">
        <f t="shared" si="1"/>
        <v>0.65400000000000003</v>
      </c>
      <c r="AH57" s="207" t="s">
        <v>3326</v>
      </c>
      <c r="AI57" s="207" t="s">
        <v>3327</v>
      </c>
      <c r="AJ57" s="178" t="s">
        <v>1174</v>
      </c>
      <c r="AK57" s="206">
        <f t="shared" si="9"/>
        <v>0.25</v>
      </c>
      <c r="AL57" s="178" t="s">
        <v>1174</v>
      </c>
      <c r="AM57" s="206">
        <f t="shared" si="9"/>
        <v>0.25</v>
      </c>
      <c r="AN57" s="173">
        <f t="shared" si="10"/>
        <v>0.5</v>
      </c>
      <c r="AO57" s="178" t="s">
        <v>684</v>
      </c>
      <c r="AP57" s="178" t="s">
        <v>1176</v>
      </c>
      <c r="AQ57" s="178" t="s">
        <v>1176</v>
      </c>
      <c r="AR57" s="207" t="s">
        <v>3328</v>
      </c>
      <c r="AS57" s="173">
        <v>0</v>
      </c>
      <c r="AT57" s="203">
        <v>41117</v>
      </c>
      <c r="AU57" s="208">
        <v>1733</v>
      </c>
      <c r="AV57" s="208">
        <v>53</v>
      </c>
      <c r="AW57" s="208">
        <v>4321488</v>
      </c>
      <c r="AX57" s="203">
        <v>41135</v>
      </c>
      <c r="AY57" s="208">
        <v>1788</v>
      </c>
      <c r="AZ57" s="208">
        <v>55</v>
      </c>
      <c r="BA57" s="178" t="s">
        <v>3329</v>
      </c>
      <c r="BB57" s="178" t="s">
        <v>3330</v>
      </c>
      <c r="BC57" s="203">
        <v>40877</v>
      </c>
      <c r="BD57" s="208">
        <v>6365.9418604651164</v>
      </c>
      <c r="BE57" s="178" t="s">
        <v>1174</v>
      </c>
      <c r="BF57" s="178" t="s">
        <v>1176</v>
      </c>
      <c r="BG57" s="178" t="s">
        <v>1176</v>
      </c>
      <c r="BH57" s="207" t="s">
        <v>3331</v>
      </c>
      <c r="BI57" s="207" t="s">
        <v>3332</v>
      </c>
      <c r="BJ57" s="203">
        <v>39727</v>
      </c>
      <c r="BK57" s="208">
        <v>228963</v>
      </c>
      <c r="BL57" s="208">
        <v>162.61576704545453</v>
      </c>
      <c r="BN57" s="178" t="s">
        <v>3333</v>
      </c>
      <c r="BO57" s="178" t="s">
        <v>1176</v>
      </c>
      <c r="BP57" s="178" t="s">
        <v>1176</v>
      </c>
      <c r="BQ57" s="173">
        <v>0</v>
      </c>
      <c r="BR57" s="208">
        <v>55</v>
      </c>
      <c r="BS57" s="381">
        <v>3.1736872475476102E-2</v>
      </c>
      <c r="BU57" s="349">
        <v>2</v>
      </c>
      <c r="BV57" s="381">
        <v>3.77358490566038E-2</v>
      </c>
      <c r="BW57" s="382">
        <v>78782.709090909091</v>
      </c>
      <c r="BX57" s="383">
        <v>4333049</v>
      </c>
      <c r="BY57" s="173">
        <f t="shared" si="2"/>
        <v>0.40500000000000003</v>
      </c>
      <c r="BZ57" s="383">
        <v>11561</v>
      </c>
      <c r="CA57" s="173">
        <f t="shared" si="3"/>
        <v>0.15075</v>
      </c>
      <c r="CB57" s="384">
        <v>2.6752359372512E-3</v>
      </c>
      <c r="CC57" s="173">
        <f t="shared" si="4"/>
        <v>1.325E-2</v>
      </c>
      <c r="CD57" s="165">
        <f t="shared" si="5"/>
        <v>2.5714285714285716</v>
      </c>
      <c r="CE57" s="165">
        <f t="shared" si="11"/>
        <v>4495.9444444444443</v>
      </c>
      <c r="CF57" s="173">
        <f t="shared" si="6"/>
        <v>0.15725</v>
      </c>
      <c r="CG57" s="383">
        <v>1642413</v>
      </c>
      <c r="CH57" s="173">
        <f t="shared" si="7"/>
        <v>0.23699999999999999</v>
      </c>
      <c r="CI57" s="385">
        <f t="shared" si="8"/>
        <v>2.6172499999999999</v>
      </c>
    </row>
    <row r="58" spans="1:87" ht="84">
      <c r="A58" s="205">
        <v>57</v>
      </c>
      <c r="B58" s="178" t="s">
        <v>220</v>
      </c>
      <c r="C58" s="178" t="s">
        <v>1451</v>
      </c>
      <c r="D58" s="178" t="s">
        <v>1174</v>
      </c>
      <c r="E58" s="178" t="s">
        <v>1452</v>
      </c>
      <c r="F58" s="178" t="s">
        <v>1176</v>
      </c>
      <c r="G58" s="178" t="s">
        <v>1176</v>
      </c>
      <c r="H58" s="178" t="s">
        <v>413</v>
      </c>
      <c r="I58" s="207" t="s">
        <v>3334</v>
      </c>
      <c r="J58" s="178" t="s">
        <v>684</v>
      </c>
      <c r="K58" s="178" t="s">
        <v>684</v>
      </c>
      <c r="L58" s="178" t="s">
        <v>684</v>
      </c>
      <c r="M58" s="178" t="s">
        <v>684</v>
      </c>
      <c r="N58" s="178" t="s">
        <v>684</v>
      </c>
      <c r="O58" s="178" t="s">
        <v>684</v>
      </c>
      <c r="P58" s="178" t="s">
        <v>684</v>
      </c>
      <c r="Q58" s="178" t="s">
        <v>1176</v>
      </c>
      <c r="T58" s="208">
        <v>0</v>
      </c>
      <c r="U58" s="208">
        <v>0</v>
      </c>
      <c r="V58" s="208">
        <v>7</v>
      </c>
      <c r="W58" s="208">
        <v>0</v>
      </c>
      <c r="X58" s="173">
        <f t="shared" si="0"/>
        <v>0</v>
      </c>
      <c r="Y58" s="208">
        <v>0</v>
      </c>
      <c r="AB58" s="178" t="s">
        <v>1174</v>
      </c>
      <c r="AC58" s="173">
        <v>0.5</v>
      </c>
      <c r="AD58" s="380" t="s">
        <v>1920</v>
      </c>
      <c r="AE58" s="208">
        <v>19</v>
      </c>
      <c r="AF58" s="208">
        <v>0.15789473684210531</v>
      </c>
      <c r="AG58" s="173">
        <f t="shared" si="1"/>
        <v>0.436</v>
      </c>
      <c r="AH58" s="207" t="s">
        <v>3335</v>
      </c>
      <c r="AI58" s="207" t="s">
        <v>3336</v>
      </c>
      <c r="AJ58" s="178" t="s">
        <v>1176</v>
      </c>
      <c r="AK58" s="206">
        <f t="shared" si="9"/>
        <v>0</v>
      </c>
      <c r="AL58" s="178" t="s">
        <v>1176</v>
      </c>
      <c r="AM58" s="206">
        <f t="shared" si="9"/>
        <v>0</v>
      </c>
      <c r="AN58" s="173">
        <f t="shared" si="10"/>
        <v>0</v>
      </c>
      <c r="AP58" s="178" t="s">
        <v>1176</v>
      </c>
      <c r="AQ58" s="178" t="s">
        <v>1176</v>
      </c>
      <c r="AR58" s="207" t="s">
        <v>3337</v>
      </c>
      <c r="AS58" s="173">
        <v>0.5</v>
      </c>
      <c r="AT58" s="203">
        <v>41117</v>
      </c>
      <c r="AU58" s="208">
        <v>677</v>
      </c>
      <c r="AV58" s="208">
        <v>54</v>
      </c>
      <c r="AW58" s="208">
        <v>308149</v>
      </c>
      <c r="AX58" s="203">
        <v>41135</v>
      </c>
      <c r="AY58" s="208">
        <v>688</v>
      </c>
      <c r="AZ58" s="208">
        <v>54</v>
      </c>
      <c r="BA58" s="178" t="s">
        <v>3338</v>
      </c>
      <c r="BB58" s="178" t="s">
        <v>3339</v>
      </c>
      <c r="BC58" s="203">
        <v>40802</v>
      </c>
      <c r="BD58" s="208">
        <v>195.2012012012012</v>
      </c>
      <c r="BE58" s="178" t="s">
        <v>1174</v>
      </c>
      <c r="BF58" s="178" t="s">
        <v>1174</v>
      </c>
      <c r="BG58" s="178" t="s">
        <v>1176</v>
      </c>
      <c r="BH58" s="207" t="s">
        <v>3340</v>
      </c>
      <c r="BI58" s="207" t="s">
        <v>3341</v>
      </c>
      <c r="BJ58" s="203">
        <v>40190</v>
      </c>
      <c r="BK58" s="208">
        <v>8524</v>
      </c>
      <c r="BL58" s="208">
        <v>9.0201058201058206</v>
      </c>
      <c r="BN58" s="178" t="s">
        <v>684</v>
      </c>
      <c r="BO58" s="178" t="s">
        <v>1176</v>
      </c>
      <c r="BP58" s="178" t="s">
        <v>1176</v>
      </c>
      <c r="BQ58" s="173">
        <v>0.25</v>
      </c>
      <c r="BR58" s="208">
        <v>11</v>
      </c>
      <c r="BS58" s="381">
        <v>1.6248153618906899E-2</v>
      </c>
      <c r="BU58" s="349">
        <v>0</v>
      </c>
      <c r="BV58" s="381">
        <v>0</v>
      </c>
      <c r="BW58" s="382">
        <v>5772.4259259259261</v>
      </c>
      <c r="BX58" s="383">
        <v>311711</v>
      </c>
      <c r="BY58" s="173">
        <f t="shared" si="2"/>
        <v>0.23250000000000001</v>
      </c>
      <c r="BZ58" s="383">
        <v>3562</v>
      </c>
      <c r="CA58" s="173">
        <f t="shared" si="3"/>
        <v>8.5999999999999993E-2</v>
      </c>
      <c r="CB58" s="384">
        <v>1.15593430450853E-2</v>
      </c>
      <c r="CC58" s="173">
        <f t="shared" si="4"/>
        <v>6.6750000000000004E-2</v>
      </c>
      <c r="CD58" s="165">
        <f t="shared" si="5"/>
        <v>2.5714285714285716</v>
      </c>
      <c r="CE58" s="165">
        <f t="shared" si="11"/>
        <v>1385.2222222222222</v>
      </c>
      <c r="CF58" s="173">
        <f t="shared" si="6"/>
        <v>9.2499999999999999E-2</v>
      </c>
      <c r="CG58" s="383">
        <v>65002</v>
      </c>
      <c r="CH58" s="173">
        <f t="shared" si="7"/>
        <v>0.1205</v>
      </c>
      <c r="CI58" s="385">
        <f t="shared" si="8"/>
        <v>2.2842500000000001</v>
      </c>
    </row>
    <row r="59" spans="1:87" ht="56">
      <c r="A59" s="205">
        <v>58</v>
      </c>
      <c r="B59" s="178" t="s">
        <v>222</v>
      </c>
      <c r="C59" s="178" t="s">
        <v>1451</v>
      </c>
      <c r="D59" s="178" t="s">
        <v>1174</v>
      </c>
      <c r="E59" s="178" t="s">
        <v>1452</v>
      </c>
      <c r="F59" s="178" t="s">
        <v>1176</v>
      </c>
      <c r="G59" s="178" t="s">
        <v>1176</v>
      </c>
      <c r="H59" s="178" t="s">
        <v>413</v>
      </c>
      <c r="I59" s="207" t="s">
        <v>3342</v>
      </c>
      <c r="J59" s="178" t="s">
        <v>684</v>
      </c>
      <c r="K59" s="178" t="s">
        <v>684</v>
      </c>
      <c r="L59" s="178" t="s">
        <v>684</v>
      </c>
      <c r="M59" s="178" t="s">
        <v>684</v>
      </c>
      <c r="N59" s="178" t="s">
        <v>684</v>
      </c>
      <c r="O59" s="178" t="s">
        <v>684</v>
      </c>
      <c r="P59" s="178" t="s">
        <v>684</v>
      </c>
      <c r="Q59" s="178" t="s">
        <v>1176</v>
      </c>
      <c r="T59" s="208">
        <v>0</v>
      </c>
      <c r="U59" s="208">
        <v>0</v>
      </c>
      <c r="V59" s="208">
        <v>7</v>
      </c>
      <c r="W59" s="208">
        <v>0</v>
      </c>
      <c r="X59" s="173">
        <f t="shared" si="0"/>
        <v>0</v>
      </c>
      <c r="Y59" s="208">
        <v>0</v>
      </c>
      <c r="AB59" s="178" t="s">
        <v>1174</v>
      </c>
      <c r="AC59" s="173">
        <v>0.5</v>
      </c>
      <c r="AD59" s="380" t="s">
        <v>1974</v>
      </c>
      <c r="AE59" s="208">
        <v>19</v>
      </c>
      <c r="AF59" s="208">
        <v>0.10526315789473679</v>
      </c>
      <c r="AG59" s="173">
        <f t="shared" si="1"/>
        <v>0.309</v>
      </c>
      <c r="AH59" s="207" t="s">
        <v>3343</v>
      </c>
      <c r="AI59" s="207" t="s">
        <v>3344</v>
      </c>
      <c r="AJ59" s="178" t="s">
        <v>1176</v>
      </c>
      <c r="AK59" s="206">
        <f t="shared" si="9"/>
        <v>0</v>
      </c>
      <c r="AL59" s="178" t="s">
        <v>1176</v>
      </c>
      <c r="AM59" s="206">
        <f t="shared" si="9"/>
        <v>0</v>
      </c>
      <c r="AN59" s="173">
        <f t="shared" si="10"/>
        <v>0</v>
      </c>
      <c r="AO59" s="178" t="s">
        <v>3345</v>
      </c>
      <c r="AP59" s="178" t="s">
        <v>1176</v>
      </c>
      <c r="AQ59" s="178" t="s">
        <v>1176</v>
      </c>
      <c r="AR59" s="207" t="s">
        <v>3346</v>
      </c>
      <c r="AS59" s="173">
        <v>0</v>
      </c>
      <c r="AT59" s="203">
        <v>41117</v>
      </c>
      <c r="AU59" s="208">
        <v>1202</v>
      </c>
      <c r="AV59" s="208">
        <v>35</v>
      </c>
      <c r="AW59" s="208">
        <v>244734</v>
      </c>
      <c r="AX59" s="203">
        <v>41135</v>
      </c>
      <c r="AY59" s="208">
        <v>1258</v>
      </c>
      <c r="AZ59" s="208">
        <v>35</v>
      </c>
      <c r="BA59" s="178" t="s">
        <v>3347</v>
      </c>
      <c r="BB59" s="178" t="s">
        <v>3348</v>
      </c>
      <c r="BC59" s="203">
        <v>40828</v>
      </c>
      <c r="BD59" s="208">
        <v>370.2442996742671</v>
      </c>
      <c r="BE59" s="178" t="s">
        <v>1176</v>
      </c>
      <c r="BF59" s="178" t="s">
        <v>1176</v>
      </c>
      <c r="BG59" s="178" t="s">
        <v>1176</v>
      </c>
      <c r="BH59" s="207" t="s">
        <v>3349</v>
      </c>
      <c r="BI59" s="207" t="s">
        <v>3350</v>
      </c>
      <c r="BJ59" s="203">
        <v>40478</v>
      </c>
      <c r="BK59" s="208">
        <v>44538</v>
      </c>
      <c r="BL59" s="208">
        <v>67.789954337899545</v>
      </c>
      <c r="BN59" s="178" t="s">
        <v>3351</v>
      </c>
      <c r="BO59" s="178" t="s">
        <v>1176</v>
      </c>
      <c r="BP59" s="178" t="s">
        <v>1176</v>
      </c>
      <c r="BQ59" s="173">
        <v>0</v>
      </c>
      <c r="BR59" s="208">
        <v>56</v>
      </c>
      <c r="BS59" s="381">
        <v>4.6589018302828598E-2</v>
      </c>
      <c r="BU59" s="349">
        <v>0</v>
      </c>
      <c r="BV59" s="381">
        <v>0</v>
      </c>
      <c r="BW59" s="382">
        <v>7158.5714285714284</v>
      </c>
      <c r="BX59" s="383">
        <v>250550</v>
      </c>
      <c r="BY59" s="173">
        <f t="shared" si="2"/>
        <v>0.2155</v>
      </c>
      <c r="BZ59" s="383">
        <v>5816</v>
      </c>
      <c r="CA59" s="173">
        <f t="shared" si="3"/>
        <v>0.1205</v>
      </c>
      <c r="CB59" s="384">
        <v>2.3764577051002302E-2</v>
      </c>
      <c r="CC59" s="173">
        <f t="shared" si="4"/>
        <v>0.11600000000000001</v>
      </c>
      <c r="CD59" s="165">
        <f t="shared" si="5"/>
        <v>2.5714285714285716</v>
      </c>
      <c r="CE59" s="165">
        <f t="shared" si="11"/>
        <v>2261.7777777777778</v>
      </c>
      <c r="CF59" s="173">
        <f t="shared" si="6"/>
        <v>0.129</v>
      </c>
      <c r="CG59" s="383">
        <v>113665</v>
      </c>
      <c r="CH59" s="173">
        <f t="shared" si="7"/>
        <v>0.14649999999999999</v>
      </c>
      <c r="CI59" s="385">
        <f t="shared" si="8"/>
        <v>1.5365</v>
      </c>
    </row>
    <row r="60" spans="1:87" ht="56">
      <c r="A60" s="205">
        <v>59</v>
      </c>
      <c r="B60" s="178" t="s">
        <v>225</v>
      </c>
      <c r="C60" s="178" t="s">
        <v>1451</v>
      </c>
      <c r="D60" s="178" t="s">
        <v>1174</v>
      </c>
      <c r="E60" s="178" t="s">
        <v>1452</v>
      </c>
      <c r="F60" s="178" t="s">
        <v>1176</v>
      </c>
      <c r="G60" s="178" t="s">
        <v>1176</v>
      </c>
      <c r="H60" s="178" t="s">
        <v>413</v>
      </c>
      <c r="I60" s="207" t="s">
        <v>3352</v>
      </c>
      <c r="J60" s="178" t="s">
        <v>2927</v>
      </c>
      <c r="K60" s="178" t="s">
        <v>2859</v>
      </c>
      <c r="L60" s="178" t="s">
        <v>3070</v>
      </c>
      <c r="M60" s="178" t="s">
        <v>684</v>
      </c>
      <c r="N60" s="178" t="s">
        <v>684</v>
      </c>
      <c r="O60" s="178" t="s">
        <v>2927</v>
      </c>
      <c r="P60" s="178" t="s">
        <v>684</v>
      </c>
      <c r="Q60" s="178" t="s">
        <v>1176</v>
      </c>
      <c r="T60" s="208">
        <v>0</v>
      </c>
      <c r="U60" s="208">
        <v>0</v>
      </c>
      <c r="V60" s="208">
        <v>7</v>
      </c>
      <c r="W60" s="208">
        <v>0</v>
      </c>
      <c r="X60" s="173">
        <f t="shared" si="0"/>
        <v>0</v>
      </c>
      <c r="Y60" s="208">
        <v>0</v>
      </c>
      <c r="Z60" s="178" t="s">
        <v>1176</v>
      </c>
      <c r="AB60" s="178" t="s">
        <v>1174</v>
      </c>
      <c r="AC60" s="173">
        <v>0.5</v>
      </c>
      <c r="AD60" s="380" t="s">
        <v>2101</v>
      </c>
      <c r="AE60" s="208">
        <v>20</v>
      </c>
      <c r="AF60" s="208">
        <v>0.05</v>
      </c>
      <c r="AG60" s="173">
        <f t="shared" si="1"/>
        <v>0.218</v>
      </c>
      <c r="AH60" s="207" t="s">
        <v>3353</v>
      </c>
      <c r="AI60" s="207" t="s">
        <v>3354</v>
      </c>
      <c r="AJ60" s="178" t="s">
        <v>1176</v>
      </c>
      <c r="AK60" s="206">
        <f t="shared" si="9"/>
        <v>0</v>
      </c>
      <c r="AL60" s="178" t="s">
        <v>1176</v>
      </c>
      <c r="AM60" s="206">
        <f t="shared" si="9"/>
        <v>0</v>
      </c>
      <c r="AN60" s="173">
        <f t="shared" si="10"/>
        <v>0</v>
      </c>
      <c r="AO60" s="178" t="s">
        <v>3355</v>
      </c>
      <c r="AP60" s="178" t="s">
        <v>1176</v>
      </c>
      <c r="AQ60" s="178" t="s">
        <v>1176</v>
      </c>
      <c r="AR60" s="207" t="s">
        <v>3356</v>
      </c>
      <c r="AS60" s="173">
        <v>0</v>
      </c>
      <c r="AT60" s="203">
        <v>41117</v>
      </c>
      <c r="AU60" s="208">
        <v>380</v>
      </c>
      <c r="AV60" s="208">
        <v>20</v>
      </c>
      <c r="AW60" s="208">
        <v>26377</v>
      </c>
      <c r="AX60" s="203">
        <v>41135</v>
      </c>
      <c r="AY60" s="208">
        <v>445</v>
      </c>
      <c r="AZ60" s="208">
        <v>20</v>
      </c>
      <c r="BA60" s="178" t="s">
        <v>3357</v>
      </c>
      <c r="BB60" s="178" t="s">
        <v>3358</v>
      </c>
      <c r="BC60" s="203">
        <v>41019</v>
      </c>
      <c r="BD60" s="208">
        <v>90.025862068965523</v>
      </c>
      <c r="BE60" s="178" t="s">
        <v>1176</v>
      </c>
      <c r="BF60" s="178" t="s">
        <v>1176</v>
      </c>
      <c r="BG60" s="178" t="s">
        <v>1176</v>
      </c>
      <c r="BH60" s="207" t="s">
        <v>3359</v>
      </c>
      <c r="BI60" s="207" t="s">
        <v>3360</v>
      </c>
      <c r="BJ60" s="203">
        <v>40809</v>
      </c>
      <c r="BK60" s="208">
        <v>196421</v>
      </c>
      <c r="BL60" s="208">
        <v>602.51840490797542</v>
      </c>
      <c r="BN60" s="178" t="s">
        <v>684</v>
      </c>
      <c r="BO60" s="178" t="s">
        <v>1176</v>
      </c>
      <c r="BP60" s="178" t="s">
        <v>1176</v>
      </c>
      <c r="BQ60" s="173">
        <v>0</v>
      </c>
      <c r="BR60" s="208">
        <v>65</v>
      </c>
      <c r="BS60" s="381">
        <v>0.1710526315789474</v>
      </c>
      <c r="BU60" s="349">
        <v>0</v>
      </c>
      <c r="BV60" s="381">
        <v>0</v>
      </c>
      <c r="BW60" s="382">
        <v>1573.35</v>
      </c>
      <c r="BX60" s="383">
        <v>31467</v>
      </c>
      <c r="BY60" s="173">
        <f t="shared" si="2"/>
        <v>9.4500000000000001E-2</v>
      </c>
      <c r="BZ60" s="383">
        <v>5090</v>
      </c>
      <c r="CA60" s="173">
        <f t="shared" si="3"/>
        <v>0.10775</v>
      </c>
      <c r="CB60" s="384">
        <v>0.19297114910717669</v>
      </c>
      <c r="CC60" s="173">
        <f t="shared" si="4"/>
        <v>0.23200000000000001</v>
      </c>
      <c r="CD60" s="165">
        <f t="shared" si="5"/>
        <v>2.5714285714285716</v>
      </c>
      <c r="CE60" s="165">
        <f t="shared" si="11"/>
        <v>1979.4444444444443</v>
      </c>
      <c r="CF60" s="173">
        <f t="shared" si="6"/>
        <v>0.11675000000000001</v>
      </c>
      <c r="CG60" s="383">
        <v>10443</v>
      </c>
      <c r="CH60" s="173">
        <f t="shared" si="7"/>
        <v>5.6000000000000001E-2</v>
      </c>
      <c r="CI60" s="385">
        <f t="shared" si="8"/>
        <v>1.3250000000000002</v>
      </c>
    </row>
    <row r="61" spans="1:87" ht="70">
      <c r="A61" s="205">
        <v>60</v>
      </c>
      <c r="B61" s="178" t="s">
        <v>228</v>
      </c>
      <c r="C61" s="178" t="s">
        <v>1451</v>
      </c>
      <c r="D61" s="178" t="s">
        <v>1174</v>
      </c>
      <c r="E61" s="178" t="s">
        <v>1452</v>
      </c>
      <c r="F61" s="178" t="s">
        <v>1176</v>
      </c>
      <c r="G61" s="178" t="s">
        <v>1176</v>
      </c>
      <c r="H61" s="178" t="s">
        <v>413</v>
      </c>
      <c r="I61" s="207" t="s">
        <v>3361</v>
      </c>
      <c r="J61" s="178" t="s">
        <v>684</v>
      </c>
      <c r="K61" s="178" t="s">
        <v>684</v>
      </c>
      <c r="L61" s="178" t="s">
        <v>684</v>
      </c>
      <c r="M61" s="178" t="s">
        <v>684</v>
      </c>
      <c r="N61" s="178" t="s">
        <v>684</v>
      </c>
      <c r="O61" s="178" t="s">
        <v>684</v>
      </c>
      <c r="P61" s="178" t="s">
        <v>684</v>
      </c>
      <c r="Q61" s="178" t="s">
        <v>1176</v>
      </c>
      <c r="T61" s="208">
        <v>0</v>
      </c>
      <c r="U61" s="208">
        <v>0</v>
      </c>
      <c r="V61" s="208">
        <v>7</v>
      </c>
      <c r="W61" s="208">
        <v>0</v>
      </c>
      <c r="X61" s="173">
        <f t="shared" si="0"/>
        <v>0</v>
      </c>
      <c r="Y61" s="208">
        <v>0</v>
      </c>
      <c r="AB61" s="178" t="s">
        <v>1174</v>
      </c>
      <c r="AC61" s="173">
        <v>0.5</v>
      </c>
      <c r="AD61" s="380" t="s">
        <v>1925</v>
      </c>
      <c r="AE61" s="208">
        <v>19</v>
      </c>
      <c r="AF61" s="208">
        <v>0.2105263157894737</v>
      </c>
      <c r="AG61" s="173">
        <f t="shared" si="1"/>
        <v>0.50900000000000001</v>
      </c>
      <c r="AH61" s="207" t="s">
        <v>3362</v>
      </c>
      <c r="AI61" s="207" t="s">
        <v>3363</v>
      </c>
      <c r="AJ61" s="178" t="s">
        <v>1176</v>
      </c>
      <c r="AK61" s="206">
        <f t="shared" si="9"/>
        <v>0</v>
      </c>
      <c r="AL61" s="178" t="s">
        <v>1176</v>
      </c>
      <c r="AM61" s="206">
        <f t="shared" si="9"/>
        <v>0</v>
      </c>
      <c r="AN61" s="173">
        <f t="shared" si="10"/>
        <v>0</v>
      </c>
      <c r="AO61" s="178" t="s">
        <v>684</v>
      </c>
      <c r="AP61" s="178" t="s">
        <v>1176</v>
      </c>
      <c r="AQ61" s="178" t="s">
        <v>1176</v>
      </c>
      <c r="AR61" s="207" t="s">
        <v>3364</v>
      </c>
      <c r="AS61" s="173">
        <v>0</v>
      </c>
      <c r="AT61" s="203">
        <v>41117</v>
      </c>
      <c r="AU61" s="208">
        <v>1547</v>
      </c>
      <c r="AV61" s="208">
        <v>37</v>
      </c>
      <c r="AW61" s="208">
        <v>424471</v>
      </c>
      <c r="AX61" s="203">
        <v>41135</v>
      </c>
      <c r="AY61" s="208">
        <v>1560</v>
      </c>
      <c r="AZ61" s="208">
        <v>37</v>
      </c>
      <c r="BA61" s="178" t="s">
        <v>3365</v>
      </c>
      <c r="BB61" s="178" t="s">
        <v>3366</v>
      </c>
      <c r="BC61" s="203">
        <v>40560</v>
      </c>
      <c r="BD61" s="208">
        <v>213.80869565217392</v>
      </c>
      <c r="BE61" s="178" t="s">
        <v>1176</v>
      </c>
      <c r="BF61" s="178" t="s">
        <v>1176</v>
      </c>
      <c r="BG61" s="178" t="s">
        <v>1176</v>
      </c>
      <c r="BH61" s="207" t="s">
        <v>3367</v>
      </c>
      <c r="BI61" s="207" t="s">
        <v>3368</v>
      </c>
      <c r="BJ61" s="203">
        <v>41009</v>
      </c>
      <c r="BK61" s="208">
        <v>67444</v>
      </c>
      <c r="BL61" s="208">
        <v>535.26984126984132</v>
      </c>
      <c r="BN61" s="178" t="s">
        <v>684</v>
      </c>
      <c r="BO61" s="178" t="s">
        <v>1176</v>
      </c>
      <c r="BP61" s="178" t="s">
        <v>1176</v>
      </c>
      <c r="BQ61" s="173">
        <v>0</v>
      </c>
      <c r="BR61" s="208">
        <v>13</v>
      </c>
      <c r="BS61" s="381">
        <v>8.4033613445377991E-3</v>
      </c>
      <c r="BU61" s="349">
        <v>0</v>
      </c>
      <c r="BV61" s="381">
        <v>0</v>
      </c>
      <c r="BW61" s="382">
        <v>11578.297297297297</v>
      </c>
      <c r="BX61" s="383">
        <v>428397</v>
      </c>
      <c r="BY61" s="173">
        <f t="shared" si="2"/>
        <v>0.29299999999999998</v>
      </c>
      <c r="BZ61" s="383">
        <v>3926</v>
      </c>
      <c r="CA61" s="173">
        <f t="shared" si="3"/>
        <v>9.4750000000000001E-2</v>
      </c>
      <c r="CB61" s="384">
        <v>9.2491595421124E-3</v>
      </c>
      <c r="CC61" s="173">
        <f t="shared" si="4"/>
        <v>4.4499999999999998E-2</v>
      </c>
      <c r="CD61" s="165">
        <f t="shared" si="5"/>
        <v>2.5714285714285716</v>
      </c>
      <c r="CE61" s="165">
        <f t="shared" si="11"/>
        <v>1526.7777777777776</v>
      </c>
      <c r="CF61" s="173">
        <f t="shared" si="6"/>
        <v>0.10475</v>
      </c>
      <c r="CG61" s="383">
        <v>122940</v>
      </c>
      <c r="CH61" s="173">
        <f t="shared" si="7"/>
        <v>0.15075</v>
      </c>
      <c r="CI61" s="385">
        <f t="shared" si="8"/>
        <v>1.69675</v>
      </c>
    </row>
    <row r="62" spans="1:87" ht="84">
      <c r="A62" s="205">
        <v>61</v>
      </c>
      <c r="B62" s="178" t="s">
        <v>229</v>
      </c>
      <c r="C62" s="178" t="s">
        <v>1451</v>
      </c>
      <c r="D62" s="178" t="s">
        <v>1174</v>
      </c>
      <c r="E62" s="178" t="s">
        <v>1452</v>
      </c>
      <c r="F62" s="178" t="s">
        <v>1176</v>
      </c>
      <c r="G62" s="178" t="s">
        <v>1176</v>
      </c>
      <c r="H62" s="178" t="s">
        <v>413</v>
      </c>
      <c r="I62" s="207" t="s">
        <v>3369</v>
      </c>
      <c r="J62" s="178" t="s">
        <v>2927</v>
      </c>
      <c r="K62" s="178" t="s">
        <v>3144</v>
      </c>
      <c r="L62" s="178" t="s">
        <v>2859</v>
      </c>
      <c r="M62" s="178" t="s">
        <v>684</v>
      </c>
      <c r="N62" s="178" t="s">
        <v>684</v>
      </c>
      <c r="O62" s="178" t="s">
        <v>2927</v>
      </c>
      <c r="P62" s="178" t="s">
        <v>684</v>
      </c>
      <c r="Q62" s="178" t="s">
        <v>1176</v>
      </c>
      <c r="T62" s="208">
        <v>0</v>
      </c>
      <c r="U62" s="208">
        <v>0</v>
      </c>
      <c r="V62" s="208">
        <v>7</v>
      </c>
      <c r="W62" s="208">
        <v>0</v>
      </c>
      <c r="X62" s="173">
        <f t="shared" si="0"/>
        <v>0</v>
      </c>
      <c r="Y62" s="208">
        <v>0</v>
      </c>
      <c r="AB62" s="178" t="s">
        <v>1174</v>
      </c>
      <c r="AC62" s="173">
        <v>0.5</v>
      </c>
      <c r="AD62" s="380" t="s">
        <v>2101</v>
      </c>
      <c r="AE62" s="208">
        <v>19</v>
      </c>
      <c r="AF62" s="208">
        <v>5.2631578947368397E-2</v>
      </c>
      <c r="AG62" s="173">
        <f t="shared" si="1"/>
        <v>0.23599999999999999</v>
      </c>
      <c r="AH62" s="207" t="s">
        <v>3370</v>
      </c>
      <c r="AI62" s="207" t="s">
        <v>3371</v>
      </c>
      <c r="AJ62" s="178" t="s">
        <v>1174</v>
      </c>
      <c r="AK62" s="206">
        <f t="shared" si="9"/>
        <v>0.25</v>
      </c>
      <c r="AL62" s="178" t="s">
        <v>1174</v>
      </c>
      <c r="AM62" s="206">
        <f t="shared" si="9"/>
        <v>0.25</v>
      </c>
      <c r="AN62" s="173">
        <f t="shared" si="10"/>
        <v>0.5</v>
      </c>
      <c r="AO62" s="178" t="s">
        <v>684</v>
      </c>
      <c r="AP62" s="178" t="s">
        <v>1176</v>
      </c>
      <c r="AQ62" s="178" t="s">
        <v>1176</v>
      </c>
      <c r="AR62" s="207" t="s">
        <v>3372</v>
      </c>
      <c r="AS62" s="173">
        <v>0</v>
      </c>
      <c r="AT62" s="203">
        <v>41117</v>
      </c>
      <c r="AU62" s="208">
        <v>3780</v>
      </c>
      <c r="AV62" s="208">
        <v>52</v>
      </c>
      <c r="AW62" s="208">
        <v>946608</v>
      </c>
      <c r="AX62" s="203">
        <v>41135</v>
      </c>
      <c r="AY62" s="208">
        <v>3906</v>
      </c>
      <c r="AZ62" s="208">
        <v>52</v>
      </c>
      <c r="BA62" s="178" t="s">
        <v>3373</v>
      </c>
      <c r="BB62" s="178" t="s">
        <v>3374</v>
      </c>
      <c r="BC62" s="203">
        <v>40431</v>
      </c>
      <c r="BD62" s="208">
        <v>175.90056818181819</v>
      </c>
      <c r="BE62" s="178" t="s">
        <v>1176</v>
      </c>
      <c r="BF62" s="178" t="s">
        <v>1176</v>
      </c>
      <c r="BG62" s="178" t="s">
        <v>1176</v>
      </c>
      <c r="BH62" s="207" t="s">
        <v>3375</v>
      </c>
      <c r="BI62" s="207" t="s">
        <v>3376</v>
      </c>
      <c r="BJ62" s="203">
        <v>40084</v>
      </c>
      <c r="BK62" s="208">
        <v>1165517</v>
      </c>
      <c r="BL62" s="208">
        <v>1108.9600380589914</v>
      </c>
      <c r="BN62" s="178" t="s">
        <v>3377</v>
      </c>
      <c r="BO62" s="178" t="s">
        <v>1176</v>
      </c>
      <c r="BP62" s="178" t="s">
        <v>1176</v>
      </c>
      <c r="BQ62" s="173">
        <v>0</v>
      </c>
      <c r="BR62" s="208">
        <v>126</v>
      </c>
      <c r="BS62" s="381">
        <v>3.3333333333333298E-2</v>
      </c>
      <c r="BU62" s="349">
        <v>0</v>
      </c>
      <c r="BV62" s="381">
        <v>0</v>
      </c>
      <c r="BW62" s="382">
        <v>18527.288461538461</v>
      </c>
      <c r="BX62" s="383">
        <v>963419</v>
      </c>
      <c r="BY62" s="173">
        <f t="shared" si="2"/>
        <v>0.35299999999999998</v>
      </c>
      <c r="BZ62" s="383">
        <v>16811</v>
      </c>
      <c r="CA62" s="173">
        <f t="shared" si="3"/>
        <v>0.18525</v>
      </c>
      <c r="CB62" s="384">
        <v>1.7759199161638199E-2</v>
      </c>
      <c r="CC62" s="173">
        <f t="shared" si="4"/>
        <v>0.10249999999999999</v>
      </c>
      <c r="CD62" s="165">
        <f t="shared" si="5"/>
        <v>2.5714285714285716</v>
      </c>
      <c r="CE62" s="165">
        <f t="shared" si="11"/>
        <v>6537.6111111111104</v>
      </c>
      <c r="CF62" s="173">
        <f t="shared" si="6"/>
        <v>0.1895</v>
      </c>
      <c r="CG62" s="383">
        <v>123834</v>
      </c>
      <c r="CH62" s="173">
        <f t="shared" si="7"/>
        <v>0.155</v>
      </c>
      <c r="CI62" s="385">
        <f t="shared" si="8"/>
        <v>2.2212499999999999</v>
      </c>
    </row>
    <row r="63" spans="1:87">
      <c r="A63" s="215">
        <v>62</v>
      </c>
      <c r="B63" s="220" t="s">
        <v>231</v>
      </c>
      <c r="C63" s="220" t="s">
        <v>1451</v>
      </c>
      <c r="D63" s="220" t="s">
        <v>1176</v>
      </c>
      <c r="E63" s="180"/>
      <c r="F63" s="180"/>
      <c r="G63" s="180"/>
      <c r="H63" s="180"/>
      <c r="I63" s="181"/>
      <c r="J63" s="180"/>
      <c r="K63" s="180"/>
      <c r="L63" s="180"/>
      <c r="M63" s="180"/>
      <c r="N63" s="180"/>
      <c r="O63" s="180"/>
      <c r="P63" s="180"/>
      <c r="Q63" s="180"/>
      <c r="R63" s="180"/>
      <c r="S63" s="180"/>
      <c r="T63" s="180"/>
      <c r="U63" s="180"/>
      <c r="V63" s="180"/>
      <c r="W63" s="180"/>
      <c r="X63" s="173">
        <f t="shared" si="0"/>
        <v>0</v>
      </c>
      <c r="Y63" s="180"/>
      <c r="Z63" s="180"/>
      <c r="AA63" s="181"/>
      <c r="AB63" s="180"/>
      <c r="AC63" s="173">
        <v>0.5</v>
      </c>
      <c r="AD63" s="242"/>
      <c r="AE63" s="180"/>
      <c r="AF63" s="180"/>
      <c r="AG63" s="173">
        <f t="shared" si="1"/>
        <v>0</v>
      </c>
      <c r="AH63" s="181"/>
      <c r="AI63" s="181"/>
      <c r="AJ63" s="180"/>
      <c r="AK63" s="206">
        <f t="shared" si="9"/>
        <v>0</v>
      </c>
      <c r="AL63" s="180"/>
      <c r="AM63" s="206">
        <f t="shared" si="9"/>
        <v>0</v>
      </c>
      <c r="AN63" s="173">
        <f t="shared" si="10"/>
        <v>0</v>
      </c>
      <c r="AO63" s="180"/>
      <c r="AP63" s="180"/>
      <c r="AQ63" s="180"/>
      <c r="AR63" s="181"/>
      <c r="AS63" s="173">
        <v>0</v>
      </c>
      <c r="AT63" s="180"/>
      <c r="AU63" s="180"/>
      <c r="AV63" s="180"/>
      <c r="AW63" s="180"/>
      <c r="AX63" s="180"/>
      <c r="AY63" s="180"/>
      <c r="AZ63" s="180"/>
      <c r="BA63" s="180"/>
      <c r="BB63" s="180"/>
      <c r="BC63" s="180"/>
      <c r="BD63" s="180"/>
      <c r="BE63" s="180"/>
      <c r="BF63" s="180"/>
      <c r="BG63" s="180"/>
      <c r="BH63" s="181"/>
      <c r="BI63" s="181"/>
      <c r="BJ63" s="180"/>
      <c r="BK63" s="180"/>
      <c r="BL63" s="180"/>
      <c r="BM63" s="180"/>
      <c r="BN63" s="180"/>
      <c r="BO63" s="180"/>
      <c r="BP63" s="180"/>
      <c r="BQ63" s="176">
        <v>0</v>
      </c>
      <c r="BR63" s="180"/>
      <c r="BS63" s="180"/>
      <c r="BT63" s="180"/>
      <c r="BU63" s="395"/>
      <c r="BV63" s="180"/>
      <c r="BW63" s="334"/>
      <c r="BX63" s="396">
        <v>0</v>
      </c>
      <c r="BY63" s="173">
        <f t="shared" si="2"/>
        <v>0</v>
      </c>
      <c r="BZ63" s="396">
        <v>0</v>
      </c>
      <c r="CA63" s="173">
        <f t="shared" si="3"/>
        <v>0</v>
      </c>
      <c r="CB63" s="397"/>
      <c r="CC63" s="173">
        <f t="shared" si="4"/>
        <v>0</v>
      </c>
      <c r="CD63" s="165">
        <f t="shared" si="5"/>
        <v>0</v>
      </c>
      <c r="CE63" s="165">
        <v>0</v>
      </c>
      <c r="CF63" s="173">
        <f t="shared" si="6"/>
        <v>0</v>
      </c>
      <c r="CG63" s="396">
        <v>0</v>
      </c>
      <c r="CH63" s="173">
        <f t="shared" si="7"/>
        <v>0</v>
      </c>
      <c r="CI63" s="385">
        <f t="shared" si="8"/>
        <v>0.5</v>
      </c>
    </row>
    <row r="64" spans="1:87">
      <c r="A64" s="215">
        <v>63</v>
      </c>
      <c r="B64" s="220" t="s">
        <v>234</v>
      </c>
      <c r="C64" s="220" t="s">
        <v>1451</v>
      </c>
      <c r="D64" s="220" t="s">
        <v>1176</v>
      </c>
      <c r="E64" s="180"/>
      <c r="F64" s="180"/>
      <c r="G64" s="180"/>
      <c r="H64" s="180"/>
      <c r="I64" s="181"/>
      <c r="J64" s="180"/>
      <c r="K64" s="180"/>
      <c r="L64" s="180"/>
      <c r="M64" s="180"/>
      <c r="N64" s="180"/>
      <c r="O64" s="180"/>
      <c r="P64" s="180"/>
      <c r="Q64" s="180"/>
      <c r="R64" s="180"/>
      <c r="S64" s="180"/>
      <c r="T64" s="180"/>
      <c r="U64" s="180"/>
      <c r="V64" s="180"/>
      <c r="W64" s="180"/>
      <c r="X64" s="173">
        <f t="shared" si="0"/>
        <v>0</v>
      </c>
      <c r="Y64" s="180"/>
      <c r="Z64" s="180"/>
      <c r="AA64" s="181"/>
      <c r="AB64" s="180"/>
      <c r="AC64" s="173">
        <v>0.5</v>
      </c>
      <c r="AD64" s="242"/>
      <c r="AE64" s="180"/>
      <c r="AF64" s="180"/>
      <c r="AG64" s="173">
        <f t="shared" si="1"/>
        <v>0</v>
      </c>
      <c r="AH64" s="181"/>
      <c r="AI64" s="181"/>
      <c r="AJ64" s="180"/>
      <c r="AK64" s="206">
        <f t="shared" si="9"/>
        <v>0</v>
      </c>
      <c r="AL64" s="180"/>
      <c r="AM64" s="206">
        <f t="shared" si="9"/>
        <v>0</v>
      </c>
      <c r="AN64" s="173">
        <f t="shared" si="10"/>
        <v>0</v>
      </c>
      <c r="AO64" s="180"/>
      <c r="AP64" s="180"/>
      <c r="AQ64" s="180"/>
      <c r="AR64" s="181"/>
      <c r="AS64" s="173">
        <v>0</v>
      </c>
      <c r="AT64" s="180"/>
      <c r="AU64" s="180"/>
      <c r="AV64" s="180"/>
      <c r="AW64" s="180"/>
      <c r="AX64" s="180"/>
      <c r="AY64" s="180"/>
      <c r="AZ64" s="180"/>
      <c r="BA64" s="180"/>
      <c r="BB64" s="180"/>
      <c r="BC64" s="180"/>
      <c r="BD64" s="180"/>
      <c r="BE64" s="180"/>
      <c r="BF64" s="180"/>
      <c r="BG64" s="180"/>
      <c r="BH64" s="181"/>
      <c r="BI64" s="181"/>
      <c r="BJ64" s="180"/>
      <c r="BK64" s="180"/>
      <c r="BL64" s="180"/>
      <c r="BM64" s="180"/>
      <c r="BN64" s="180"/>
      <c r="BO64" s="180"/>
      <c r="BP64" s="180"/>
      <c r="BQ64" s="176">
        <v>0</v>
      </c>
      <c r="BR64" s="180"/>
      <c r="BS64" s="180"/>
      <c r="BT64" s="180"/>
      <c r="BU64" s="395"/>
      <c r="BV64" s="180"/>
      <c r="BW64" s="334"/>
      <c r="BX64" s="396">
        <v>0</v>
      </c>
      <c r="BY64" s="173">
        <f t="shared" si="2"/>
        <v>0</v>
      </c>
      <c r="BZ64" s="396">
        <v>0</v>
      </c>
      <c r="CA64" s="173">
        <f t="shared" si="3"/>
        <v>0</v>
      </c>
      <c r="CB64" s="397"/>
      <c r="CC64" s="173">
        <f t="shared" si="4"/>
        <v>0</v>
      </c>
      <c r="CD64" s="165">
        <f t="shared" si="5"/>
        <v>0</v>
      </c>
      <c r="CE64" s="165">
        <v>0</v>
      </c>
      <c r="CF64" s="173">
        <f t="shared" si="6"/>
        <v>0</v>
      </c>
      <c r="CG64" s="396">
        <v>0</v>
      </c>
      <c r="CH64" s="173">
        <f t="shared" si="7"/>
        <v>0</v>
      </c>
      <c r="CI64" s="385">
        <f t="shared" si="8"/>
        <v>0.5</v>
      </c>
    </row>
    <row r="65" spans="1:87">
      <c r="A65" s="205">
        <v>64</v>
      </c>
      <c r="B65" s="178" t="s">
        <v>236</v>
      </c>
      <c r="C65" s="178" t="s">
        <v>1451</v>
      </c>
      <c r="D65" s="178" t="s">
        <v>1174</v>
      </c>
      <c r="E65" s="178" t="s">
        <v>1452</v>
      </c>
      <c r="F65" s="178"/>
      <c r="G65" s="178"/>
      <c r="H65" s="178"/>
      <c r="I65" s="207"/>
      <c r="J65" s="178"/>
      <c r="K65" s="178"/>
      <c r="L65" s="178"/>
      <c r="M65" s="178"/>
      <c r="N65" s="178"/>
      <c r="O65" s="178"/>
      <c r="P65" s="178"/>
      <c r="Q65" s="178"/>
      <c r="T65" s="208">
        <v>0</v>
      </c>
      <c r="U65" s="208">
        <v>0</v>
      </c>
      <c r="V65" s="208">
        <v>0</v>
      </c>
      <c r="W65" s="208">
        <v>0</v>
      </c>
      <c r="X65" s="173">
        <f t="shared" si="0"/>
        <v>0</v>
      </c>
      <c r="Y65" s="208"/>
      <c r="AB65" s="178" t="s">
        <v>1174</v>
      </c>
      <c r="AC65" s="173">
        <v>0.5</v>
      </c>
      <c r="AD65" s="380" t="s">
        <v>3032</v>
      </c>
      <c r="AE65" s="208">
        <v>19</v>
      </c>
      <c r="AF65" s="208">
        <f t="shared" ref="AF65" si="12">AD65/AE65</f>
        <v>0.57894736842105265</v>
      </c>
      <c r="AG65" s="173">
        <f t="shared" si="1"/>
        <v>0.94499999999999995</v>
      </c>
      <c r="AH65" s="207"/>
      <c r="AI65" s="207"/>
      <c r="AJ65" s="178" t="s">
        <v>1176</v>
      </c>
      <c r="AK65" s="206">
        <f t="shared" si="9"/>
        <v>0</v>
      </c>
      <c r="AL65" s="178" t="s">
        <v>1176</v>
      </c>
      <c r="AM65" s="206">
        <f t="shared" si="9"/>
        <v>0</v>
      </c>
      <c r="AN65" s="173">
        <f t="shared" si="10"/>
        <v>0</v>
      </c>
      <c r="AO65" s="178"/>
      <c r="AP65" s="178"/>
      <c r="AQ65" s="178"/>
      <c r="AR65" s="207"/>
      <c r="AS65" s="173">
        <v>0</v>
      </c>
      <c r="AT65" s="203">
        <v>41099</v>
      </c>
      <c r="AU65" s="208"/>
      <c r="AV65" s="208">
        <v>77</v>
      </c>
      <c r="AW65" s="208">
        <v>76151</v>
      </c>
      <c r="AX65" s="203">
        <v>41129</v>
      </c>
      <c r="AY65" s="208"/>
      <c r="AZ65" s="208">
        <v>77</v>
      </c>
      <c r="BA65" s="178"/>
      <c r="BB65" s="178"/>
      <c r="BC65" s="203"/>
      <c r="BD65" s="208"/>
      <c r="BE65" s="178"/>
      <c r="BF65" s="178"/>
      <c r="BG65" s="178"/>
      <c r="BH65" s="207"/>
      <c r="BI65" s="207"/>
      <c r="BJ65" s="203"/>
      <c r="BK65" s="208"/>
      <c r="BL65" s="208"/>
      <c r="BN65" s="178"/>
      <c r="BO65" s="178"/>
      <c r="BP65" s="178"/>
      <c r="BQ65" s="173">
        <v>0</v>
      </c>
      <c r="BR65" s="208"/>
      <c r="BS65" s="381"/>
      <c r="BU65" s="349"/>
      <c r="BV65" s="381"/>
      <c r="BW65" s="382"/>
      <c r="BX65" s="383">
        <v>78312</v>
      </c>
      <c r="BY65" s="173">
        <f t="shared" si="2"/>
        <v>0.14199999999999999</v>
      </c>
      <c r="BZ65" s="396">
        <v>2161</v>
      </c>
      <c r="CA65" s="173">
        <f t="shared" si="3"/>
        <v>5.8000000000000003E-2</v>
      </c>
      <c r="CB65" s="397">
        <f>(BX65/AW65)-1</f>
        <v>2.8377828262268423E-2</v>
      </c>
      <c r="CC65" s="173">
        <f t="shared" si="4"/>
        <v>0.13075000000000001</v>
      </c>
      <c r="CD65" s="165">
        <f t="shared" si="5"/>
        <v>4.2857142857142856</v>
      </c>
      <c r="CE65" s="165">
        <f t="shared" si="11"/>
        <v>504.23333333333335</v>
      </c>
      <c r="CF65" s="173">
        <f>PERCENTRANK($CE$2:$CE$65,CE65)*0.25</f>
        <v>5.5500000000000001E-2</v>
      </c>
      <c r="CG65" s="396">
        <v>6661</v>
      </c>
      <c r="CH65" s="173">
        <f t="shared" si="7"/>
        <v>4.3499999999999997E-2</v>
      </c>
      <c r="CI65" s="385">
        <f t="shared" si="8"/>
        <v>1.8747499999999999</v>
      </c>
    </row>
    <row r="66" spans="1:87" s="398" customFormat="1">
      <c r="B66" s="398" t="s">
        <v>67</v>
      </c>
      <c r="I66" s="399"/>
      <c r="Q66" s="400">
        <f>COUNTIF(Q2:Q65,"yes")/64</f>
        <v>0.171875</v>
      </c>
      <c r="T66" s="400">
        <f>COUNTIF(T2:T65,"&gt;0")/64</f>
        <v>1.5625E-2</v>
      </c>
      <c r="U66" s="400">
        <f>COUNTIF(U2:U65,"&gt;0")/64</f>
        <v>7.8125E-2</v>
      </c>
      <c r="AA66" s="399"/>
      <c r="AB66" s="400">
        <f>COUNTIF(AB2:AB65,"yes")/64</f>
        <v>0.734375</v>
      </c>
      <c r="AD66" s="401"/>
      <c r="AF66" s="401">
        <f>AVERAGE(AF2:AF65)</f>
        <v>0.23732204177454297</v>
      </c>
      <c r="AH66" s="399"/>
      <c r="AI66" s="399"/>
      <c r="AR66" s="399"/>
      <c r="BH66" s="399"/>
      <c r="BI66" s="399"/>
      <c r="BR66" s="402">
        <f>AVERAGE(BR2:BR65)</f>
        <v>131.43859649122808</v>
      </c>
      <c r="BS66" s="403">
        <f>AVERAGE(BS2:BS65)</f>
        <v>9.2360416883590007E-2</v>
      </c>
      <c r="BU66" s="402">
        <f>AVERAGE(BU2:BU65)</f>
        <v>1.9824561403508771</v>
      </c>
      <c r="BV66" s="403">
        <f>AVERAGE(BV2:BV65)</f>
        <v>2.019095776856623E-2</v>
      </c>
      <c r="BW66" s="404">
        <f>AVERAGE(BW2:BW65)</f>
        <v>27474.316458116136</v>
      </c>
      <c r="BX66" s="405"/>
      <c r="BZ66" s="402">
        <f>AVERAGE(BZ2:BZ65)</f>
        <v>66119.616666666669</v>
      </c>
      <c r="CB66" s="406">
        <f>AVERAGE(CB2:CB65)</f>
        <v>0.10473752668199653</v>
      </c>
      <c r="CD66" s="405"/>
      <c r="CE66" s="402">
        <f>AVERAGE(CE2:CE65)</f>
        <v>24164.067730427505</v>
      </c>
      <c r="CG66" s="402">
        <f>AVERAGE(CG2:CG65)</f>
        <v>622674.51666666672</v>
      </c>
      <c r="CI66" s="407"/>
    </row>
    <row r="70" spans="1:87" ht="42">
      <c r="A70" s="205">
        <v>19</v>
      </c>
      <c r="B70" s="178" t="s">
        <v>123</v>
      </c>
      <c r="C70" s="178" t="s">
        <v>1451</v>
      </c>
      <c r="D70" s="178" t="s">
        <v>1174</v>
      </c>
      <c r="E70" s="178" t="s">
        <v>1452</v>
      </c>
      <c r="F70" s="178" t="s">
        <v>1176</v>
      </c>
      <c r="G70" s="178" t="s">
        <v>1176</v>
      </c>
      <c r="H70" s="178" t="s">
        <v>413</v>
      </c>
      <c r="I70" s="207" t="s">
        <v>3378</v>
      </c>
      <c r="Q70" s="178" t="s">
        <v>1176</v>
      </c>
      <c r="R70" s="178" t="s">
        <v>421</v>
      </c>
      <c r="T70" s="208">
        <v>0</v>
      </c>
      <c r="U70" s="208">
        <v>0</v>
      </c>
      <c r="V70" s="208">
        <v>0</v>
      </c>
      <c r="W70" s="208">
        <v>0</v>
      </c>
      <c r="X70" s="173">
        <f>PERCENTRANK($W$2:$W$64,W70,3)*0.5</f>
        <v>0</v>
      </c>
      <c r="Y70" s="208" t="s">
        <v>2534</v>
      </c>
      <c r="Z70" s="178" t="s">
        <v>1176</v>
      </c>
      <c r="AB70" s="178" t="s">
        <v>1174</v>
      </c>
      <c r="AC70" s="173">
        <v>0.5</v>
      </c>
      <c r="AD70" s="380" t="s">
        <v>1974</v>
      </c>
      <c r="AE70" s="208">
        <v>19</v>
      </c>
      <c r="AF70" s="208">
        <v>0.10526315789473679</v>
      </c>
      <c r="AG70" s="173">
        <f>PERCENTRANK($AF$2:$AF$64,AF70,3)</f>
        <v>0.309</v>
      </c>
      <c r="AH70" s="207" t="s">
        <v>3379</v>
      </c>
      <c r="AI70" s="207" t="s">
        <v>3380</v>
      </c>
      <c r="AJ70" s="178" t="s">
        <v>1174</v>
      </c>
      <c r="AK70" s="206">
        <f>IF(AJ70="Yes",0.25,0)</f>
        <v>0.25</v>
      </c>
      <c r="AL70" s="178" t="s">
        <v>1174</v>
      </c>
      <c r="AM70" s="206">
        <f>IF(AL70="Yes",0.25,0)</f>
        <v>0.25</v>
      </c>
      <c r="AN70" s="173">
        <f>SUM(AM70,AK70)</f>
        <v>0.5</v>
      </c>
      <c r="AO70" s="178" t="s">
        <v>421</v>
      </c>
      <c r="AP70" s="178" t="s">
        <v>1176</v>
      </c>
      <c r="AQ70" s="178" t="s">
        <v>1176</v>
      </c>
      <c r="AR70" s="207" t="s">
        <v>3381</v>
      </c>
      <c r="AS70" s="173">
        <v>0</v>
      </c>
      <c r="AT70" s="203">
        <v>41117</v>
      </c>
      <c r="AU70" s="208">
        <v>201</v>
      </c>
      <c r="AV70" s="208">
        <v>12</v>
      </c>
      <c r="AW70" s="208">
        <v>49887</v>
      </c>
      <c r="AX70" s="203">
        <v>41135</v>
      </c>
      <c r="AY70" s="208">
        <v>215</v>
      </c>
      <c r="AZ70" s="208">
        <v>16</v>
      </c>
      <c r="BA70" s="178" t="s">
        <v>3382</v>
      </c>
      <c r="BB70" s="178" t="s">
        <v>3380</v>
      </c>
      <c r="BC70" s="203">
        <v>40198</v>
      </c>
      <c r="BD70" s="208">
        <v>39.705442902881536</v>
      </c>
      <c r="BE70" s="178" t="s">
        <v>1176</v>
      </c>
      <c r="BF70" s="178" t="s">
        <v>1176</v>
      </c>
      <c r="BG70" s="178" t="s">
        <v>1176</v>
      </c>
      <c r="BH70" s="207" t="s">
        <v>3383</v>
      </c>
      <c r="BI70" s="207" t="s">
        <v>3384</v>
      </c>
      <c r="BJ70" s="203">
        <v>39638</v>
      </c>
      <c r="BK70" s="208">
        <v>54368</v>
      </c>
      <c r="BL70" s="208">
        <v>36.317969271877089</v>
      </c>
      <c r="BN70" s="178" t="s">
        <v>684</v>
      </c>
      <c r="BO70" s="178" t="s">
        <v>1176</v>
      </c>
      <c r="BP70" s="178" t="s">
        <v>1176</v>
      </c>
      <c r="BQ70" s="173">
        <v>0</v>
      </c>
      <c r="BR70" s="208">
        <v>14</v>
      </c>
      <c r="BS70" s="381">
        <v>6.9651741293532299E-2</v>
      </c>
      <c r="BU70" s="349">
        <v>4</v>
      </c>
      <c r="BV70" s="381">
        <v>0.33333333333333331</v>
      </c>
      <c r="BW70" s="382">
        <v>3246.25</v>
      </c>
      <c r="BX70" s="383">
        <v>51940</v>
      </c>
      <c r="BY70" s="173">
        <f>PERCENTRANK($BX$2:$BX$64,BX70)*0.5</f>
        <v>0.12</v>
      </c>
      <c r="BZ70" s="383">
        <v>2053</v>
      </c>
      <c r="CA70" s="173">
        <f>PERCENTRANK($BZ$2:$BZ$64,BZ70)*0.25</f>
        <v>5.525E-2</v>
      </c>
      <c r="CB70" s="384">
        <v>4.1153005793092397E-2</v>
      </c>
      <c r="CC70" s="173">
        <f>PERCENTRANK($CB$2:$CB$64,CB70)*0.25</f>
        <v>0.16925000000000001</v>
      </c>
      <c r="CD70" s="165">
        <f>(AX70-AT70)/7</f>
        <v>2.5714285714285716</v>
      </c>
      <c r="CE70" s="165">
        <f>BZ70/CD70</f>
        <v>798.3888888888888</v>
      </c>
      <c r="CF70" s="173">
        <f>PERCENTRANK($CE$2:$CE$64,CE70)*0.25</f>
        <v>6.7500000000000004E-2</v>
      </c>
      <c r="CG70" s="383">
        <v>37204</v>
      </c>
      <c r="CH70" s="173">
        <f>PERCENTRANK($CG$2:$CG$64,CG70)*0.25</f>
        <v>9.6000000000000002E-2</v>
      </c>
      <c r="CI70" s="385">
        <f>SUM(CH70,CF70,CC70,CA70,BY70,BQ70,AS70,AN70,AG70,AC70,X70)</f>
        <v>1.8169999999999999</v>
      </c>
    </row>
  </sheetData>
  <autoFilter ref="A1:CI66"/>
  <conditionalFormatting sqref="BZ2:BZ65 BZ70 CB2:CB65 CB70 CG2:CG65 CG70 CD2:CE65 CD70:CE70">
    <cfRule type="cellIs" dxfId="9" priority="1" operator="lessThan">
      <formula>0</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workbookViewId="0">
      <selection activeCell="C28" sqref="C28"/>
    </sheetView>
  </sheetViews>
  <sheetFormatPr baseColWidth="10" defaultRowHeight="15" x14ac:dyDescent="0"/>
  <cols>
    <col min="1" max="1" width="20" style="422" bestFit="1" customWidth="1"/>
    <col min="2" max="3" width="18" style="422" bestFit="1" customWidth="1"/>
    <col min="4" max="4" width="14.1640625" style="422" bestFit="1" customWidth="1"/>
    <col min="5" max="6" width="10.83203125" style="422"/>
    <col min="7" max="7" width="20" style="422" bestFit="1" customWidth="1"/>
    <col min="8" max="8" width="11.5" style="422" bestFit="1" customWidth="1"/>
    <col min="9" max="13" width="10.83203125" style="422"/>
    <col min="14" max="14" width="11.5" style="422" bestFit="1" customWidth="1"/>
    <col min="15" max="16384" width="10.83203125" style="422"/>
  </cols>
  <sheetData>
    <row r="1" spans="1:14">
      <c r="A1" s="457" t="s">
        <v>249</v>
      </c>
      <c r="B1" s="457" t="s">
        <v>3505</v>
      </c>
      <c r="C1" s="457" t="s">
        <v>3506</v>
      </c>
      <c r="D1" s="457" t="s">
        <v>3507</v>
      </c>
      <c r="G1" s="457" t="s">
        <v>249</v>
      </c>
      <c r="H1" s="422" t="s">
        <v>3507</v>
      </c>
      <c r="M1" s="457" t="s">
        <v>249</v>
      </c>
      <c r="N1" s="422" t="s">
        <v>3507</v>
      </c>
    </row>
    <row r="2" spans="1:14">
      <c r="A2" s="422" t="s">
        <v>63</v>
      </c>
      <c r="B2" s="458">
        <v>378111</v>
      </c>
      <c r="C2" s="459">
        <v>42224</v>
      </c>
      <c r="D2" s="460">
        <f>B2-C2</f>
        <v>335887</v>
      </c>
      <c r="F2" s="422">
        <v>1</v>
      </c>
      <c r="G2" s="422" t="s">
        <v>106</v>
      </c>
      <c r="H2" s="423">
        <v>52894512</v>
      </c>
      <c r="L2" s="422">
        <v>1</v>
      </c>
      <c r="M2" s="422" t="s">
        <v>106</v>
      </c>
      <c r="N2" s="423">
        <v>52894512</v>
      </c>
    </row>
    <row r="3" spans="1:14">
      <c r="A3" s="422" t="s">
        <v>69</v>
      </c>
      <c r="B3" s="426">
        <v>461655</v>
      </c>
      <c r="C3" s="459">
        <v>52326</v>
      </c>
      <c r="D3" s="460">
        <f t="shared" ref="D3:D37" si="0">B3-C3</f>
        <v>409329</v>
      </c>
      <c r="F3" s="422">
        <v>2</v>
      </c>
      <c r="G3" s="422" t="s">
        <v>134</v>
      </c>
      <c r="H3" s="423">
        <v>20237588</v>
      </c>
      <c r="L3" s="422">
        <v>2</v>
      </c>
      <c r="M3" s="422" t="s">
        <v>134</v>
      </c>
      <c r="N3" s="423">
        <v>20237588</v>
      </c>
    </row>
    <row r="4" spans="1:14">
      <c r="A4" s="422" t="s">
        <v>72</v>
      </c>
      <c r="B4" s="426">
        <v>54930</v>
      </c>
      <c r="C4" s="459">
        <v>40644</v>
      </c>
      <c r="D4" s="460">
        <f t="shared" si="0"/>
        <v>14286</v>
      </c>
      <c r="F4" s="422">
        <v>3</v>
      </c>
      <c r="G4" s="422" t="s">
        <v>93</v>
      </c>
      <c r="H4" s="423">
        <v>8307111</v>
      </c>
      <c r="L4" s="422">
        <v>3</v>
      </c>
      <c r="M4" s="422" t="s">
        <v>93</v>
      </c>
      <c r="N4" s="423">
        <v>8307111</v>
      </c>
    </row>
    <row r="5" spans="1:14">
      <c r="A5" s="422" t="s">
        <v>90</v>
      </c>
      <c r="B5" s="426">
        <v>228472</v>
      </c>
      <c r="C5" s="459">
        <v>105189</v>
      </c>
      <c r="D5" s="460">
        <f t="shared" si="0"/>
        <v>123283</v>
      </c>
      <c r="F5" s="422">
        <v>4</v>
      </c>
      <c r="G5" s="422" t="s">
        <v>120</v>
      </c>
      <c r="H5" s="423">
        <v>6667014</v>
      </c>
      <c r="L5" s="422">
        <v>4</v>
      </c>
      <c r="M5" s="422" t="s">
        <v>120</v>
      </c>
      <c r="N5" s="423">
        <v>6667014</v>
      </c>
    </row>
    <row r="6" spans="1:14">
      <c r="A6" s="422" t="s">
        <v>93</v>
      </c>
      <c r="B6" s="426">
        <v>15006701</v>
      </c>
      <c r="C6" s="459">
        <v>6699590</v>
      </c>
      <c r="D6" s="460">
        <f t="shared" si="0"/>
        <v>8307111</v>
      </c>
      <c r="F6" s="422">
        <v>5</v>
      </c>
      <c r="G6" s="422" t="s">
        <v>163</v>
      </c>
      <c r="H6" s="423">
        <v>5435616</v>
      </c>
      <c r="L6" s="422">
        <v>5</v>
      </c>
      <c r="M6" s="422" t="s">
        <v>163</v>
      </c>
      <c r="N6" s="423">
        <v>5435616</v>
      </c>
    </row>
    <row r="7" spans="1:14">
      <c r="A7" s="422" t="s">
        <v>96</v>
      </c>
      <c r="B7" s="426">
        <v>5377541</v>
      </c>
      <c r="C7" s="459">
        <v>2147289</v>
      </c>
      <c r="D7" s="460">
        <f t="shared" si="0"/>
        <v>3230252</v>
      </c>
      <c r="F7" s="422">
        <v>6</v>
      </c>
      <c r="G7" s="422" t="s">
        <v>102</v>
      </c>
      <c r="H7" s="423">
        <v>5432315</v>
      </c>
      <c r="L7" s="422">
        <v>6</v>
      </c>
      <c r="M7" s="422" t="s">
        <v>102</v>
      </c>
      <c r="N7" s="423">
        <v>5432315</v>
      </c>
    </row>
    <row r="8" spans="1:14">
      <c r="A8" s="422" t="s">
        <v>100</v>
      </c>
      <c r="B8" s="426">
        <v>2819</v>
      </c>
      <c r="C8" s="459">
        <v>1454</v>
      </c>
      <c r="D8" s="460">
        <f t="shared" si="0"/>
        <v>1365</v>
      </c>
      <c r="F8" s="422">
        <v>7</v>
      </c>
      <c r="G8" s="422" t="s">
        <v>145</v>
      </c>
      <c r="H8" s="423">
        <v>5128227</v>
      </c>
      <c r="L8" s="422">
        <v>7</v>
      </c>
      <c r="M8" s="422" t="s">
        <v>145</v>
      </c>
      <c r="N8" s="423">
        <v>5128227</v>
      </c>
    </row>
    <row r="9" spans="1:14">
      <c r="A9" s="422" t="s">
        <v>102</v>
      </c>
      <c r="B9" s="426">
        <v>7712601</v>
      </c>
      <c r="C9" s="459">
        <v>2280286</v>
      </c>
      <c r="D9" s="460">
        <f t="shared" si="0"/>
        <v>5432315</v>
      </c>
      <c r="F9" s="422">
        <v>8</v>
      </c>
      <c r="G9" s="422" t="s">
        <v>136</v>
      </c>
      <c r="H9" s="423">
        <v>4912468</v>
      </c>
      <c r="L9" s="422">
        <v>8</v>
      </c>
      <c r="M9" s="422" t="s">
        <v>136</v>
      </c>
      <c r="N9" s="423">
        <v>4912468</v>
      </c>
    </row>
    <row r="10" spans="1:14">
      <c r="A10" s="422" t="s">
        <v>104</v>
      </c>
      <c r="B10" s="426">
        <v>773424</v>
      </c>
      <c r="C10" s="459">
        <v>363782</v>
      </c>
      <c r="D10" s="460">
        <f t="shared" si="0"/>
        <v>409642</v>
      </c>
      <c r="F10" s="422">
        <v>9</v>
      </c>
      <c r="G10" s="422" t="s">
        <v>190</v>
      </c>
      <c r="H10" s="423">
        <v>4161285</v>
      </c>
      <c r="L10" s="422">
        <v>9</v>
      </c>
      <c r="M10" s="422" t="s">
        <v>190</v>
      </c>
      <c r="N10" s="423">
        <v>4161285</v>
      </c>
    </row>
    <row r="11" spans="1:14">
      <c r="A11" s="422" t="s">
        <v>106</v>
      </c>
      <c r="B11" s="426">
        <v>53930117</v>
      </c>
      <c r="C11" s="459">
        <v>1035605</v>
      </c>
      <c r="D11" s="460">
        <f t="shared" si="0"/>
        <v>52894512</v>
      </c>
      <c r="F11" s="422">
        <v>10</v>
      </c>
      <c r="G11" s="422" t="s">
        <v>96</v>
      </c>
      <c r="H11" s="423">
        <v>3230252</v>
      </c>
      <c r="L11" s="422">
        <v>10</v>
      </c>
      <c r="M11" s="422" t="s">
        <v>96</v>
      </c>
      <c r="N11" s="423">
        <v>3230252</v>
      </c>
    </row>
    <row r="12" spans="1:14">
      <c r="A12" s="422" t="s">
        <v>111</v>
      </c>
      <c r="B12" s="426">
        <v>271489</v>
      </c>
      <c r="C12" s="459">
        <v>151522</v>
      </c>
      <c r="D12" s="460">
        <f t="shared" si="0"/>
        <v>119967</v>
      </c>
      <c r="F12" s="422">
        <v>11</v>
      </c>
      <c r="G12" s="422" t="s">
        <v>165</v>
      </c>
      <c r="H12" s="423">
        <v>3036189</v>
      </c>
      <c r="M12" s="422" t="s">
        <v>3508</v>
      </c>
      <c r="N12" s="423">
        <v>409329</v>
      </c>
    </row>
    <row r="13" spans="1:14">
      <c r="A13" s="422" t="s">
        <v>118</v>
      </c>
      <c r="B13" s="426">
        <v>145184</v>
      </c>
      <c r="C13" s="459">
        <v>78705</v>
      </c>
      <c r="D13" s="460">
        <f t="shared" si="0"/>
        <v>66479</v>
      </c>
      <c r="F13" s="422">
        <v>12</v>
      </c>
      <c r="G13" s="422" t="s">
        <v>187</v>
      </c>
      <c r="H13" s="423">
        <v>1722701</v>
      </c>
    </row>
    <row r="14" spans="1:14">
      <c r="A14" s="422" t="s">
        <v>120</v>
      </c>
      <c r="B14" s="426">
        <v>12979924</v>
      </c>
      <c r="C14" s="459">
        <v>6312910</v>
      </c>
      <c r="D14" s="460">
        <f t="shared" si="0"/>
        <v>6667014</v>
      </c>
      <c r="F14" s="422">
        <v>13</v>
      </c>
      <c r="G14" s="422" t="s">
        <v>143</v>
      </c>
      <c r="H14" s="423">
        <v>884343</v>
      </c>
    </row>
    <row r="15" spans="1:14">
      <c r="A15" s="422" t="s">
        <v>123</v>
      </c>
      <c r="B15" s="426">
        <v>550265</v>
      </c>
      <c r="C15" s="459">
        <v>263681</v>
      </c>
      <c r="D15" s="460">
        <f t="shared" si="0"/>
        <v>286584</v>
      </c>
      <c r="F15" s="422">
        <v>14</v>
      </c>
      <c r="G15" s="422" t="s">
        <v>141</v>
      </c>
      <c r="H15" s="423">
        <v>588656</v>
      </c>
    </row>
    <row r="16" spans="1:14">
      <c r="A16" s="422" t="s">
        <v>127</v>
      </c>
      <c r="B16" s="426">
        <v>536861</v>
      </c>
      <c r="C16" s="427">
        <v>275582</v>
      </c>
      <c r="D16" s="460">
        <f t="shared" si="0"/>
        <v>261279</v>
      </c>
      <c r="F16" s="422">
        <v>15</v>
      </c>
      <c r="G16" s="422" t="s">
        <v>104</v>
      </c>
      <c r="H16" s="423">
        <v>409642</v>
      </c>
    </row>
    <row r="17" spans="1:8">
      <c r="A17" s="422" t="s">
        <v>134</v>
      </c>
      <c r="B17" s="426">
        <v>20422149</v>
      </c>
      <c r="C17" s="459">
        <v>184561</v>
      </c>
      <c r="D17" s="460">
        <f t="shared" si="0"/>
        <v>20237588</v>
      </c>
      <c r="F17" s="422">
        <v>16</v>
      </c>
      <c r="G17" s="422" t="s">
        <v>69</v>
      </c>
      <c r="H17" s="423">
        <v>409329</v>
      </c>
    </row>
    <row r="18" spans="1:8">
      <c r="A18" s="422" t="s">
        <v>136</v>
      </c>
      <c r="B18" s="426">
        <v>9283823</v>
      </c>
      <c r="C18" s="459">
        <v>4371355</v>
      </c>
      <c r="D18" s="460">
        <f t="shared" si="0"/>
        <v>4912468</v>
      </c>
      <c r="F18" s="422">
        <v>17</v>
      </c>
      <c r="G18" s="422" t="s">
        <v>150</v>
      </c>
      <c r="H18" s="423">
        <v>366722</v>
      </c>
    </row>
    <row r="19" spans="1:8">
      <c r="A19" s="422" t="s">
        <v>141</v>
      </c>
      <c r="B19" s="426">
        <v>1191884</v>
      </c>
      <c r="C19" s="459">
        <v>603228</v>
      </c>
      <c r="D19" s="460">
        <f t="shared" si="0"/>
        <v>588656</v>
      </c>
      <c r="F19" s="422">
        <v>18</v>
      </c>
      <c r="G19" s="422" t="s">
        <v>153</v>
      </c>
      <c r="H19" s="423">
        <v>365945</v>
      </c>
    </row>
    <row r="20" spans="1:8">
      <c r="A20" s="422" t="s">
        <v>143</v>
      </c>
      <c r="B20" s="426">
        <v>1137340</v>
      </c>
      <c r="C20" s="459">
        <v>252997</v>
      </c>
      <c r="D20" s="460">
        <f t="shared" si="0"/>
        <v>884343</v>
      </c>
      <c r="F20" s="422">
        <v>19</v>
      </c>
      <c r="G20" s="422" t="s">
        <v>169</v>
      </c>
      <c r="H20" s="423">
        <v>343384</v>
      </c>
    </row>
    <row r="21" spans="1:8">
      <c r="A21" s="422" t="s">
        <v>145</v>
      </c>
      <c r="B21" s="426">
        <v>5138036</v>
      </c>
      <c r="C21" s="459">
        <v>9809</v>
      </c>
      <c r="D21" s="460">
        <f t="shared" si="0"/>
        <v>5128227</v>
      </c>
      <c r="F21" s="422">
        <v>20</v>
      </c>
      <c r="G21" s="422" t="s">
        <v>63</v>
      </c>
      <c r="H21" s="423">
        <v>335887</v>
      </c>
    </row>
    <row r="22" spans="1:8">
      <c r="A22" s="422" t="s">
        <v>148</v>
      </c>
      <c r="B22" s="426">
        <v>202747</v>
      </c>
      <c r="C22" s="459">
        <v>71520</v>
      </c>
      <c r="D22" s="460">
        <f t="shared" si="0"/>
        <v>131227</v>
      </c>
      <c r="F22" s="422">
        <v>21</v>
      </c>
      <c r="G22" s="422" t="s">
        <v>123</v>
      </c>
      <c r="H22" s="423">
        <v>286584</v>
      </c>
    </row>
    <row r="23" spans="1:8">
      <c r="A23" s="422" t="s">
        <v>150</v>
      </c>
      <c r="B23" s="426">
        <v>410662</v>
      </c>
      <c r="C23" s="459">
        <v>43940</v>
      </c>
      <c r="D23" s="460">
        <f t="shared" si="0"/>
        <v>366722</v>
      </c>
      <c r="F23" s="422">
        <v>22</v>
      </c>
      <c r="G23" s="422" t="s">
        <v>127</v>
      </c>
      <c r="H23" s="423">
        <v>261279</v>
      </c>
    </row>
    <row r="24" spans="1:8">
      <c r="A24" s="422" t="s">
        <v>153</v>
      </c>
      <c r="B24" s="426">
        <v>631934</v>
      </c>
      <c r="C24" s="459">
        <v>265989</v>
      </c>
      <c r="D24" s="460">
        <f t="shared" si="0"/>
        <v>365945</v>
      </c>
      <c r="F24" s="422">
        <v>23</v>
      </c>
      <c r="G24" s="422" t="s">
        <v>193</v>
      </c>
      <c r="H24" s="423">
        <v>255025</v>
      </c>
    </row>
    <row r="25" spans="1:8">
      <c r="A25" s="422" t="s">
        <v>163</v>
      </c>
      <c r="B25" s="426">
        <v>5971868</v>
      </c>
      <c r="C25" s="459">
        <v>536252</v>
      </c>
      <c r="D25" s="460">
        <f t="shared" si="0"/>
        <v>5435616</v>
      </c>
      <c r="F25" s="422">
        <v>24</v>
      </c>
      <c r="G25" s="422" t="s">
        <v>174</v>
      </c>
      <c r="H25" s="423">
        <v>250966</v>
      </c>
    </row>
    <row r="26" spans="1:8">
      <c r="A26" s="422" t="s">
        <v>165</v>
      </c>
      <c r="B26" s="426">
        <v>4575724</v>
      </c>
      <c r="C26" s="459">
        <v>1539535</v>
      </c>
      <c r="D26" s="460">
        <f t="shared" si="0"/>
        <v>3036189</v>
      </c>
      <c r="F26" s="422">
        <v>25</v>
      </c>
      <c r="G26" s="422" t="s">
        <v>222</v>
      </c>
      <c r="H26" s="423">
        <v>241557</v>
      </c>
    </row>
    <row r="27" spans="1:8">
      <c r="A27" s="422" t="s">
        <v>169</v>
      </c>
      <c r="B27" s="426">
        <v>538037</v>
      </c>
      <c r="C27" s="459">
        <v>194653</v>
      </c>
      <c r="D27" s="460">
        <f t="shared" si="0"/>
        <v>343384</v>
      </c>
      <c r="F27" s="422">
        <v>26</v>
      </c>
      <c r="G27" s="422" t="s">
        <v>196</v>
      </c>
      <c r="H27" s="423">
        <v>228745</v>
      </c>
    </row>
    <row r="28" spans="1:8">
      <c r="A28" s="422" t="s">
        <v>174</v>
      </c>
      <c r="B28" s="426">
        <v>341834</v>
      </c>
      <c r="C28" s="459">
        <v>90868</v>
      </c>
      <c r="D28" s="460">
        <f t="shared" si="0"/>
        <v>250966</v>
      </c>
      <c r="F28" s="422">
        <v>27</v>
      </c>
      <c r="G28" s="422" t="s">
        <v>220</v>
      </c>
      <c r="H28" s="423">
        <v>200839</v>
      </c>
    </row>
    <row r="29" spans="1:8">
      <c r="A29" s="422" t="s">
        <v>182</v>
      </c>
      <c r="B29" s="426">
        <v>243230</v>
      </c>
      <c r="C29" s="459">
        <v>183592</v>
      </c>
      <c r="D29" s="460">
        <f t="shared" si="0"/>
        <v>59638</v>
      </c>
      <c r="F29" s="422">
        <v>28</v>
      </c>
      <c r="G29" s="422" t="s">
        <v>148</v>
      </c>
      <c r="H29" s="423">
        <v>131227</v>
      </c>
    </row>
    <row r="30" spans="1:8">
      <c r="A30" s="422" t="s">
        <v>185</v>
      </c>
      <c r="B30" s="426">
        <v>47210</v>
      </c>
      <c r="C30" s="459">
        <v>14516</v>
      </c>
      <c r="D30" s="460">
        <f t="shared" si="0"/>
        <v>32694</v>
      </c>
      <c r="F30" s="422">
        <v>29</v>
      </c>
      <c r="G30" s="422" t="s">
        <v>90</v>
      </c>
      <c r="H30" s="423">
        <v>123283</v>
      </c>
    </row>
    <row r="31" spans="1:8">
      <c r="A31" s="422" t="s">
        <v>187</v>
      </c>
      <c r="B31" s="426">
        <v>1895037</v>
      </c>
      <c r="C31" s="459">
        <v>172336</v>
      </c>
      <c r="D31" s="460">
        <f t="shared" si="0"/>
        <v>1722701</v>
      </c>
      <c r="F31" s="422">
        <v>30</v>
      </c>
      <c r="G31" s="422" t="s">
        <v>111</v>
      </c>
      <c r="H31" s="423">
        <v>119967</v>
      </c>
    </row>
    <row r="32" spans="1:8">
      <c r="A32" s="422" t="s">
        <v>190</v>
      </c>
      <c r="B32" s="426">
        <v>5415804</v>
      </c>
      <c r="C32" s="459">
        <v>1254519</v>
      </c>
      <c r="D32" s="460">
        <f t="shared" si="0"/>
        <v>4161285</v>
      </c>
      <c r="F32" s="422">
        <v>31</v>
      </c>
      <c r="G32" s="422" t="s">
        <v>229</v>
      </c>
      <c r="H32" s="423">
        <v>77417</v>
      </c>
    </row>
    <row r="33" spans="1:8">
      <c r="A33" s="422" t="s">
        <v>193</v>
      </c>
      <c r="B33" s="426">
        <v>295594</v>
      </c>
      <c r="C33" s="459">
        <v>40569</v>
      </c>
      <c r="D33" s="460">
        <f t="shared" si="0"/>
        <v>255025</v>
      </c>
      <c r="F33" s="422">
        <v>32</v>
      </c>
      <c r="G33" s="422" t="s">
        <v>118</v>
      </c>
      <c r="H33" s="423">
        <v>66479</v>
      </c>
    </row>
    <row r="34" spans="1:8">
      <c r="A34" s="422" t="s">
        <v>196</v>
      </c>
      <c r="B34" s="426">
        <v>413046</v>
      </c>
      <c r="C34" s="459">
        <v>184301</v>
      </c>
      <c r="D34" s="460">
        <f t="shared" si="0"/>
        <v>228745</v>
      </c>
      <c r="F34" s="422">
        <v>33</v>
      </c>
      <c r="G34" s="422" t="s">
        <v>182</v>
      </c>
      <c r="H34" s="423">
        <v>59638</v>
      </c>
    </row>
    <row r="35" spans="1:8">
      <c r="A35" s="422" t="s">
        <v>220</v>
      </c>
      <c r="B35" s="426">
        <v>308149</v>
      </c>
      <c r="C35" s="459">
        <v>107310</v>
      </c>
      <c r="D35" s="460">
        <f t="shared" si="0"/>
        <v>200839</v>
      </c>
      <c r="F35" s="422">
        <v>34</v>
      </c>
      <c r="G35" s="422" t="s">
        <v>185</v>
      </c>
      <c r="H35" s="423">
        <v>32694</v>
      </c>
    </row>
    <row r="36" spans="1:8">
      <c r="A36" s="422" t="s">
        <v>222</v>
      </c>
      <c r="B36" s="426">
        <v>244734</v>
      </c>
      <c r="C36" s="427">
        <v>3177</v>
      </c>
      <c r="D36" s="460">
        <f t="shared" si="0"/>
        <v>241557</v>
      </c>
      <c r="F36" s="422">
        <v>35</v>
      </c>
      <c r="G36" s="422" t="s">
        <v>72</v>
      </c>
      <c r="H36" s="423">
        <v>14286</v>
      </c>
    </row>
    <row r="37" spans="1:8">
      <c r="A37" s="422" t="s">
        <v>229</v>
      </c>
      <c r="B37" s="459">
        <v>1024025</v>
      </c>
      <c r="C37" s="426">
        <v>946608</v>
      </c>
      <c r="D37" s="460">
        <f t="shared" si="0"/>
        <v>77417</v>
      </c>
      <c r="F37" s="422">
        <v>36</v>
      </c>
      <c r="G37" s="422" t="s">
        <v>100</v>
      </c>
      <c r="H37" s="423">
        <v>1365</v>
      </c>
    </row>
    <row r="38" spans="1:8">
      <c r="A38" s="434"/>
    </row>
    <row r="41" spans="1:8">
      <c r="B41" s="46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34"/>
  <sheetViews>
    <sheetView zoomScale="125" zoomScaleNormal="125" zoomScalePageLayoutView="125" workbookViewId="0">
      <pane xSplit="2" ySplit="1" topLeftCell="T2" activePane="bottomRight" state="frozen"/>
      <selection pane="topRight" activeCell="C1" sqref="C1"/>
      <selection pane="bottomLeft" activeCell="A2" sqref="A2"/>
      <selection pane="bottomRight" activeCell="T10" sqref="T10"/>
    </sheetView>
  </sheetViews>
  <sheetFormatPr baseColWidth="10" defaultColWidth="21.83203125" defaultRowHeight="14" x14ac:dyDescent="0"/>
  <cols>
    <col min="1" max="1" width="17.33203125" style="260" bestFit="1" customWidth="1"/>
    <col min="2" max="2" width="21.83203125" style="260"/>
    <col min="3" max="4" width="21.83203125" style="260" customWidth="1"/>
    <col min="5" max="5" width="47" style="260" customWidth="1"/>
    <col min="6" max="6" width="21.83203125" style="248" customWidth="1"/>
    <col min="7" max="9" width="21.83203125" style="260" customWidth="1"/>
    <col min="10" max="10" width="11.83203125" style="260" customWidth="1"/>
    <col min="11" max="11" width="21.83203125" style="260"/>
    <col min="12" max="17" width="21.83203125" style="260" customWidth="1"/>
    <col min="18" max="30" width="21.83203125" style="260"/>
    <col min="31" max="31" width="21.83203125" style="248"/>
    <col min="32" max="16384" width="21.83203125" style="260"/>
  </cols>
  <sheetData>
    <row r="1" spans="1:34" s="248" customFormat="1" ht="98">
      <c r="A1" s="243" t="s">
        <v>1099</v>
      </c>
      <c r="B1" s="243" t="s">
        <v>1405</v>
      </c>
      <c r="C1" s="243" t="s">
        <v>1100</v>
      </c>
      <c r="D1" s="243" t="s">
        <v>1101</v>
      </c>
      <c r="E1" s="243" t="s">
        <v>1102</v>
      </c>
      <c r="F1" s="243" t="s">
        <v>1722</v>
      </c>
      <c r="G1" s="243" t="s">
        <v>1407</v>
      </c>
      <c r="H1" s="243" t="s">
        <v>1723</v>
      </c>
      <c r="I1" s="243" t="s">
        <v>1724</v>
      </c>
      <c r="J1" s="243" t="s">
        <v>1725</v>
      </c>
      <c r="K1" s="243" t="s">
        <v>1726</v>
      </c>
      <c r="L1" s="243" t="s">
        <v>1727</v>
      </c>
      <c r="M1" s="243" t="s">
        <v>1728</v>
      </c>
      <c r="N1" s="243" t="s">
        <v>1412</v>
      </c>
      <c r="O1" s="243" t="s">
        <v>1729</v>
      </c>
      <c r="P1" s="243" t="s">
        <v>1730</v>
      </c>
      <c r="Q1" s="243" t="s">
        <v>1731</v>
      </c>
      <c r="R1" s="243" t="s">
        <v>1423</v>
      </c>
      <c r="S1" s="243" t="s">
        <v>1732</v>
      </c>
      <c r="T1" s="243" t="s">
        <v>1733</v>
      </c>
      <c r="U1" s="244" t="s">
        <v>1734</v>
      </c>
      <c r="V1" s="243" t="s">
        <v>1735</v>
      </c>
      <c r="W1" s="245" t="s">
        <v>1427</v>
      </c>
      <c r="X1" s="245" t="s">
        <v>1736</v>
      </c>
      <c r="Y1" s="243" t="s">
        <v>1737</v>
      </c>
      <c r="Z1" s="244" t="s">
        <v>1738</v>
      </c>
      <c r="AA1" s="245" t="s">
        <v>1739</v>
      </c>
      <c r="AB1" s="244" t="s">
        <v>1740</v>
      </c>
      <c r="AC1" s="245" t="s">
        <v>1741</v>
      </c>
      <c r="AD1" s="244" t="s">
        <v>1742</v>
      </c>
      <c r="AE1" s="243" t="s">
        <v>1743</v>
      </c>
      <c r="AF1" s="244" t="s">
        <v>1744</v>
      </c>
      <c r="AG1" s="246" t="s">
        <v>1745</v>
      </c>
      <c r="AH1" s="247" t="s">
        <v>1746</v>
      </c>
    </row>
    <row r="2" spans="1:34" ht="28">
      <c r="A2" s="249" t="s">
        <v>1171</v>
      </c>
      <c r="B2" s="249" t="s">
        <v>63</v>
      </c>
      <c r="C2" s="250">
        <v>1</v>
      </c>
      <c r="D2" s="249" t="s">
        <v>413</v>
      </c>
      <c r="E2" s="249" t="s">
        <v>1747</v>
      </c>
      <c r="F2" s="249" t="s">
        <v>63</v>
      </c>
      <c r="G2" s="249" t="s">
        <v>1451</v>
      </c>
      <c r="H2" s="249" t="s">
        <v>1174</v>
      </c>
      <c r="I2" s="249" t="s">
        <v>133</v>
      </c>
      <c r="J2" s="249" t="s">
        <v>133</v>
      </c>
      <c r="K2" s="249" t="s">
        <v>1748</v>
      </c>
      <c r="L2" s="249" t="s">
        <v>1174</v>
      </c>
      <c r="M2" s="249" t="s">
        <v>1176</v>
      </c>
      <c r="N2" s="251">
        <v>41108</v>
      </c>
      <c r="O2" s="250">
        <v>40</v>
      </c>
      <c r="P2" s="250">
        <v>82484</v>
      </c>
      <c r="Q2" s="250">
        <v>0</v>
      </c>
      <c r="R2" s="252">
        <v>41134</v>
      </c>
      <c r="S2" s="205">
        <v>40</v>
      </c>
      <c r="T2" s="204">
        <v>83118</v>
      </c>
      <c r="U2" s="253">
        <f>PERCENTRANK($T$2:$T$66,T2)</f>
        <v>0.84</v>
      </c>
      <c r="V2" s="205">
        <v>0</v>
      </c>
      <c r="W2" s="254">
        <f>R2-N2</f>
        <v>26</v>
      </c>
      <c r="X2" s="254">
        <f>S2-O2</f>
        <v>0</v>
      </c>
      <c r="Y2" s="255">
        <f>X2/W2</f>
        <v>0</v>
      </c>
      <c r="Z2" s="256">
        <f>PERCENTRANK($Y$2:$Y$66,Y2,2)</f>
        <v>0</v>
      </c>
      <c r="AA2" s="254">
        <f>T2-P2</f>
        <v>634</v>
      </c>
      <c r="AB2" s="256">
        <f>PERCENTRANK($AA$2:$AA$66,AA2,2)*0.5</f>
        <v>0.215</v>
      </c>
      <c r="AC2" s="257">
        <f>(T2/P2)-1</f>
        <v>7.6863391688084537E-3</v>
      </c>
      <c r="AD2" s="256">
        <f>PERCENTRANK($AC$2:$AC$66,AC2,2)*0.5</f>
        <v>0.13</v>
      </c>
      <c r="AE2" s="248" t="s">
        <v>1749</v>
      </c>
      <c r="AF2" s="253">
        <v>0</v>
      </c>
      <c r="AG2" s="258">
        <f>SUM(AF2,AD2,AB2,Z2,U2)</f>
        <v>1.1850000000000001</v>
      </c>
      <c r="AH2" s="259">
        <f>AG2*(5/3.5)</f>
        <v>1.6928571428571431</v>
      </c>
    </row>
    <row r="3" spans="1:34">
      <c r="A3" s="249" t="s">
        <v>1171</v>
      </c>
      <c r="B3" s="249" t="s">
        <v>69</v>
      </c>
      <c r="C3" s="250">
        <v>2</v>
      </c>
      <c r="D3" s="249" t="s">
        <v>413</v>
      </c>
      <c r="E3" s="249" t="s">
        <v>1182</v>
      </c>
      <c r="H3" s="249" t="s">
        <v>1176</v>
      </c>
      <c r="S3" s="194"/>
      <c r="T3" s="219">
        <v>0</v>
      </c>
      <c r="U3" s="253">
        <f t="shared" ref="U3:U67" si="0">PERCENTRANK($T$2:$T$66,T3)</f>
        <v>0</v>
      </c>
      <c r="V3" s="194"/>
      <c r="W3" s="254">
        <f t="shared" ref="W3:X66" si="1">R3-N3</f>
        <v>0</v>
      </c>
      <c r="X3" s="254">
        <f t="shared" si="1"/>
        <v>0</v>
      </c>
      <c r="Y3" s="255">
        <v>0</v>
      </c>
      <c r="Z3" s="256">
        <f t="shared" ref="Z3:Z66" si="2">PERCENTRANK($Y$2:$Y$66,Y3,2)</f>
        <v>0</v>
      </c>
      <c r="AA3" s="254">
        <f t="shared" ref="AA3:AA66" si="3">T3-P3</f>
        <v>0</v>
      </c>
      <c r="AB3" s="256">
        <f t="shared" ref="AB3:AB66" si="4">PERCENTRANK($AA$2:$AA$66,AA3,2)*0.5</f>
        <v>0</v>
      </c>
      <c r="AC3" s="257">
        <v>0</v>
      </c>
      <c r="AD3" s="256">
        <f t="shared" ref="AD3:AD66" si="5">PERCENTRANK($AC$2:$AC$66,AC3,2)*0.5</f>
        <v>0</v>
      </c>
      <c r="AF3" s="253">
        <v>0</v>
      </c>
      <c r="AG3" s="258">
        <f t="shared" ref="AG3:AG66" si="6">SUM(AF3,AD3,AB3,Z3,U3)</f>
        <v>0</v>
      </c>
      <c r="AH3" s="259">
        <f t="shared" ref="AH3:AH66" si="7">AG3*(5/3.5)</f>
        <v>0</v>
      </c>
    </row>
    <row r="4" spans="1:34" ht="28">
      <c r="A4" s="249" t="s">
        <v>1171</v>
      </c>
      <c r="B4" s="249" t="s">
        <v>72</v>
      </c>
      <c r="C4" s="250">
        <v>3</v>
      </c>
      <c r="D4" s="249" t="s">
        <v>413</v>
      </c>
      <c r="E4" s="249" t="s">
        <v>1184</v>
      </c>
      <c r="F4" s="249" t="s">
        <v>1750</v>
      </c>
      <c r="G4" s="249" t="s">
        <v>1451</v>
      </c>
      <c r="H4" s="249" t="s">
        <v>1174</v>
      </c>
      <c r="I4" s="249" t="s">
        <v>133</v>
      </c>
      <c r="J4" s="249" t="s">
        <v>133</v>
      </c>
      <c r="K4" s="249" t="s">
        <v>1750</v>
      </c>
      <c r="L4" s="260" t="s">
        <v>1176</v>
      </c>
      <c r="M4" s="260" t="s">
        <v>1176</v>
      </c>
      <c r="N4" s="261">
        <v>41108</v>
      </c>
      <c r="O4" s="260">
        <v>10</v>
      </c>
      <c r="P4" s="260">
        <v>199</v>
      </c>
      <c r="Q4" s="260">
        <v>27</v>
      </c>
      <c r="R4" s="252">
        <v>41134</v>
      </c>
      <c r="S4" s="194">
        <v>17</v>
      </c>
      <c r="T4" s="219">
        <v>272</v>
      </c>
      <c r="U4" s="253">
        <f t="shared" si="0"/>
        <v>0.06</v>
      </c>
      <c r="V4" s="194">
        <v>27</v>
      </c>
      <c r="W4" s="254">
        <f t="shared" si="1"/>
        <v>26</v>
      </c>
      <c r="X4" s="254">
        <f t="shared" si="1"/>
        <v>7</v>
      </c>
      <c r="Y4" s="255">
        <f t="shared" ref="Y4:Y67" si="8">X4/W4</f>
        <v>0.26923076923076922</v>
      </c>
      <c r="Z4" s="256">
        <f t="shared" si="2"/>
        <v>0.68</v>
      </c>
      <c r="AA4" s="254">
        <f t="shared" si="3"/>
        <v>73</v>
      </c>
      <c r="AB4" s="256">
        <f t="shared" si="4"/>
        <v>0.14000000000000001</v>
      </c>
      <c r="AC4" s="257">
        <f>(T4/P4)-1</f>
        <v>0.36683417085427128</v>
      </c>
      <c r="AD4" s="256">
        <f t="shared" si="5"/>
        <v>0.36499999999999999</v>
      </c>
      <c r="AE4" s="248" t="s">
        <v>1751</v>
      </c>
      <c r="AF4" s="253">
        <v>0</v>
      </c>
      <c r="AG4" s="258">
        <f t="shared" si="6"/>
        <v>1.2450000000000001</v>
      </c>
      <c r="AH4" s="259">
        <f t="shared" si="7"/>
        <v>1.7785714285714287</v>
      </c>
    </row>
    <row r="5" spans="1:34">
      <c r="A5" s="249" t="s">
        <v>1171</v>
      </c>
      <c r="B5" s="249" t="s">
        <v>78</v>
      </c>
      <c r="C5" s="250">
        <v>4</v>
      </c>
      <c r="D5" s="249" t="s">
        <v>413</v>
      </c>
      <c r="E5" s="249" t="s">
        <v>1752</v>
      </c>
      <c r="F5" s="249" t="s">
        <v>78</v>
      </c>
      <c r="G5" s="249" t="s">
        <v>1451</v>
      </c>
      <c r="H5" s="249" t="s">
        <v>1174</v>
      </c>
      <c r="I5" s="249" t="s">
        <v>68</v>
      </c>
      <c r="J5" s="249" t="s">
        <v>68</v>
      </c>
      <c r="K5" s="249" t="s">
        <v>1753</v>
      </c>
      <c r="L5" s="260" t="s">
        <v>1174</v>
      </c>
      <c r="M5" s="260" t="s">
        <v>1176</v>
      </c>
      <c r="N5" s="261">
        <v>41108</v>
      </c>
      <c r="O5" s="260">
        <v>63</v>
      </c>
      <c r="P5" s="260">
        <v>2317</v>
      </c>
      <c r="Q5" s="260">
        <v>0</v>
      </c>
      <c r="R5" s="252">
        <v>41134</v>
      </c>
      <c r="S5" s="194">
        <v>63</v>
      </c>
      <c r="T5" s="219">
        <v>3942</v>
      </c>
      <c r="U5" s="253">
        <f t="shared" si="0"/>
        <v>0.32</v>
      </c>
      <c r="V5" s="194">
        <v>0</v>
      </c>
      <c r="W5" s="254">
        <f t="shared" si="1"/>
        <v>26</v>
      </c>
      <c r="X5" s="254">
        <f t="shared" si="1"/>
        <v>0</v>
      </c>
      <c r="Y5" s="255">
        <f t="shared" si="8"/>
        <v>0</v>
      </c>
      <c r="Z5" s="256">
        <f t="shared" si="2"/>
        <v>0</v>
      </c>
      <c r="AA5" s="254">
        <f t="shared" si="3"/>
        <v>1625</v>
      </c>
      <c r="AB5" s="256">
        <f t="shared" si="4"/>
        <v>0.28499999999999998</v>
      </c>
      <c r="AC5" s="257">
        <f>(T5/P5)-1</f>
        <v>0.70133793698748392</v>
      </c>
      <c r="AD5" s="256">
        <f t="shared" si="5"/>
        <v>0.46</v>
      </c>
      <c r="AE5" s="248" t="s">
        <v>1754</v>
      </c>
      <c r="AF5" s="253">
        <v>0</v>
      </c>
      <c r="AG5" s="258">
        <f t="shared" si="6"/>
        <v>1.0649999999999999</v>
      </c>
      <c r="AH5" s="259">
        <f t="shared" si="7"/>
        <v>1.5214285714285714</v>
      </c>
    </row>
    <row r="6" spans="1:34" ht="28">
      <c r="A6" s="249" t="s">
        <v>1171</v>
      </c>
      <c r="B6" s="249" t="s">
        <v>78</v>
      </c>
      <c r="C6" s="250">
        <v>4</v>
      </c>
      <c r="D6" s="249" t="s">
        <v>74</v>
      </c>
      <c r="E6" s="249" t="s">
        <v>1187</v>
      </c>
      <c r="F6" s="249" t="s">
        <v>1755</v>
      </c>
      <c r="G6" s="249" t="s">
        <v>1451</v>
      </c>
      <c r="H6" s="249" t="s">
        <v>1174</v>
      </c>
      <c r="I6" s="249" t="s">
        <v>68</v>
      </c>
      <c r="J6" s="249" t="s">
        <v>68</v>
      </c>
      <c r="K6" s="249" t="s">
        <v>1756</v>
      </c>
      <c r="L6" s="260" t="s">
        <v>1174</v>
      </c>
      <c r="M6" s="249" t="s">
        <v>1176</v>
      </c>
      <c r="N6" s="261">
        <v>41108</v>
      </c>
      <c r="O6" s="260">
        <v>125</v>
      </c>
      <c r="P6" s="260">
        <v>1031</v>
      </c>
      <c r="Q6" s="260">
        <v>1275</v>
      </c>
      <c r="R6" s="261">
        <v>41134</v>
      </c>
      <c r="S6" s="194">
        <v>125</v>
      </c>
      <c r="T6" s="219">
        <v>1144</v>
      </c>
      <c r="U6" s="253">
        <f t="shared" si="0"/>
        <v>0.12</v>
      </c>
      <c r="V6" s="194">
        <v>1275</v>
      </c>
      <c r="W6" s="254">
        <f t="shared" si="1"/>
        <v>26</v>
      </c>
      <c r="X6" s="254">
        <f t="shared" si="1"/>
        <v>0</v>
      </c>
      <c r="Y6" s="255">
        <f t="shared" si="8"/>
        <v>0</v>
      </c>
      <c r="Z6" s="256">
        <f t="shared" si="2"/>
        <v>0</v>
      </c>
      <c r="AA6" s="254">
        <f t="shared" si="3"/>
        <v>113</v>
      </c>
      <c r="AB6" s="256">
        <f t="shared" si="4"/>
        <v>0.14499999999999999</v>
      </c>
      <c r="AC6" s="257">
        <f>(T6/P6)-1</f>
        <v>0.10960232783705148</v>
      </c>
      <c r="AD6" s="256">
        <f t="shared" si="5"/>
        <v>0.155</v>
      </c>
      <c r="AE6" s="248" t="s">
        <v>1757</v>
      </c>
      <c r="AF6" s="253">
        <v>0</v>
      </c>
      <c r="AG6" s="258">
        <f t="shared" si="6"/>
        <v>0.42</v>
      </c>
      <c r="AH6" s="259">
        <f t="shared" si="7"/>
        <v>0.6</v>
      </c>
    </row>
    <row r="7" spans="1:34">
      <c r="A7" s="249" t="s">
        <v>1171</v>
      </c>
      <c r="B7" s="249" t="s">
        <v>82</v>
      </c>
      <c r="C7" s="250">
        <v>5</v>
      </c>
      <c r="D7" s="249" t="s">
        <v>413</v>
      </c>
      <c r="E7" s="249" t="s">
        <v>1758</v>
      </c>
      <c r="H7" s="249" t="s">
        <v>1176</v>
      </c>
      <c r="S7" s="194"/>
      <c r="T7" s="219"/>
      <c r="U7" s="253">
        <f t="shared" si="0"/>
        <v>0</v>
      </c>
      <c r="V7" s="194"/>
      <c r="W7" s="254">
        <f t="shared" si="1"/>
        <v>0</v>
      </c>
      <c r="X7" s="254">
        <f t="shared" si="1"/>
        <v>0</v>
      </c>
      <c r="Y7" s="255">
        <v>0</v>
      </c>
      <c r="Z7" s="256">
        <f t="shared" si="2"/>
        <v>0</v>
      </c>
      <c r="AA7" s="254">
        <f t="shared" si="3"/>
        <v>0</v>
      </c>
      <c r="AB7" s="256">
        <f t="shared" si="4"/>
        <v>0</v>
      </c>
      <c r="AC7" s="257">
        <v>0</v>
      </c>
      <c r="AD7" s="256">
        <f t="shared" si="5"/>
        <v>0</v>
      </c>
      <c r="AF7" s="253">
        <v>0</v>
      </c>
      <c r="AG7" s="258">
        <f t="shared" si="6"/>
        <v>0</v>
      </c>
      <c r="AH7" s="259">
        <f t="shared" si="7"/>
        <v>0</v>
      </c>
    </row>
    <row r="8" spans="1:34" ht="42">
      <c r="A8" s="249" t="s">
        <v>1171</v>
      </c>
      <c r="B8" s="249" t="s">
        <v>87</v>
      </c>
      <c r="C8" s="250">
        <v>6</v>
      </c>
      <c r="D8" s="249" t="s">
        <v>413</v>
      </c>
      <c r="E8" s="249" t="s">
        <v>88</v>
      </c>
      <c r="F8" s="249" t="s">
        <v>1759</v>
      </c>
      <c r="G8" s="249" t="s">
        <v>1451</v>
      </c>
      <c r="H8" s="249" t="s">
        <v>1174</v>
      </c>
      <c r="I8" s="249" t="s">
        <v>133</v>
      </c>
      <c r="J8" s="249" t="s">
        <v>133</v>
      </c>
      <c r="K8" s="249" t="s">
        <v>1759</v>
      </c>
      <c r="L8" s="260" t="s">
        <v>1176</v>
      </c>
      <c r="M8" s="260" t="s">
        <v>1174</v>
      </c>
      <c r="N8" s="261">
        <v>41108</v>
      </c>
      <c r="O8" s="260">
        <v>103</v>
      </c>
      <c r="P8" s="260">
        <v>2244</v>
      </c>
      <c r="Q8" s="260">
        <v>122</v>
      </c>
      <c r="R8" s="252">
        <v>41134</v>
      </c>
      <c r="S8" s="194">
        <v>127</v>
      </c>
      <c r="T8" s="219">
        <v>2843</v>
      </c>
      <c r="U8" s="253">
        <f t="shared" si="0"/>
        <v>0.26</v>
      </c>
      <c r="V8" s="194">
        <v>126</v>
      </c>
      <c r="W8" s="254">
        <f t="shared" si="1"/>
        <v>26</v>
      </c>
      <c r="X8" s="254">
        <f t="shared" si="1"/>
        <v>24</v>
      </c>
      <c r="Y8" s="255">
        <f t="shared" si="8"/>
        <v>0.92307692307692313</v>
      </c>
      <c r="Z8" s="256">
        <f t="shared" si="2"/>
        <v>0.85</v>
      </c>
      <c r="AA8" s="254">
        <f t="shared" si="3"/>
        <v>599</v>
      </c>
      <c r="AB8" s="256">
        <f t="shared" si="4"/>
        <v>0.21</v>
      </c>
      <c r="AC8" s="257">
        <f>(T8/P8)-1</f>
        <v>0.26693404634581097</v>
      </c>
      <c r="AD8" s="256">
        <f t="shared" si="5"/>
        <v>0.31</v>
      </c>
      <c r="AE8" s="248" t="s">
        <v>1760</v>
      </c>
      <c r="AF8" s="253">
        <v>0.5</v>
      </c>
      <c r="AG8" s="258">
        <f t="shared" si="6"/>
        <v>2.13</v>
      </c>
      <c r="AH8" s="259">
        <f t="shared" si="7"/>
        <v>3.0428571428571427</v>
      </c>
    </row>
    <row r="9" spans="1:34">
      <c r="A9" s="249" t="s">
        <v>1171</v>
      </c>
      <c r="B9" s="249" t="s">
        <v>90</v>
      </c>
      <c r="C9" s="250">
        <v>7</v>
      </c>
      <c r="D9" s="249" t="s">
        <v>413</v>
      </c>
      <c r="E9" s="249" t="s">
        <v>1195</v>
      </c>
      <c r="H9" s="249" t="s">
        <v>1176</v>
      </c>
      <c r="S9" s="194"/>
      <c r="T9" s="219"/>
      <c r="U9" s="253">
        <f t="shared" si="0"/>
        <v>0</v>
      </c>
      <c r="V9" s="194"/>
      <c r="W9" s="254">
        <f t="shared" si="1"/>
        <v>0</v>
      </c>
      <c r="X9" s="254">
        <f t="shared" si="1"/>
        <v>0</v>
      </c>
      <c r="Y9" s="255">
        <v>0</v>
      </c>
      <c r="Z9" s="256">
        <f t="shared" si="2"/>
        <v>0</v>
      </c>
      <c r="AA9" s="254">
        <f t="shared" si="3"/>
        <v>0</v>
      </c>
      <c r="AB9" s="256">
        <f t="shared" si="4"/>
        <v>0</v>
      </c>
      <c r="AC9" s="257">
        <v>0</v>
      </c>
      <c r="AD9" s="256">
        <f t="shared" si="5"/>
        <v>0</v>
      </c>
      <c r="AF9" s="253">
        <v>0</v>
      </c>
      <c r="AG9" s="258">
        <f t="shared" si="6"/>
        <v>0</v>
      </c>
      <c r="AH9" s="259">
        <f t="shared" si="7"/>
        <v>0</v>
      </c>
    </row>
    <row r="10" spans="1:34" ht="42">
      <c r="A10" s="249" t="s">
        <v>1171</v>
      </c>
      <c r="B10" s="249" t="s">
        <v>93</v>
      </c>
      <c r="C10" s="250">
        <v>8</v>
      </c>
      <c r="D10" s="249" t="s">
        <v>413</v>
      </c>
      <c r="E10" s="249" t="s">
        <v>1761</v>
      </c>
      <c r="F10" s="249" t="s">
        <v>93</v>
      </c>
      <c r="G10" s="249" t="s">
        <v>1451</v>
      </c>
      <c r="H10" s="249" t="s">
        <v>1174</v>
      </c>
      <c r="I10" s="249" t="s">
        <v>133</v>
      </c>
      <c r="J10" s="249" t="s">
        <v>133</v>
      </c>
      <c r="K10" s="249" t="s">
        <v>1762</v>
      </c>
      <c r="L10" s="260" t="s">
        <v>1174</v>
      </c>
      <c r="M10" s="260" t="s">
        <v>1176</v>
      </c>
      <c r="N10" s="261">
        <v>41108</v>
      </c>
      <c r="O10" s="260">
        <v>607</v>
      </c>
      <c r="P10" s="260">
        <v>431538</v>
      </c>
      <c r="Q10" s="260">
        <v>64</v>
      </c>
      <c r="R10" s="252">
        <v>41134</v>
      </c>
      <c r="S10" s="194">
        <v>642</v>
      </c>
      <c r="T10" s="219">
        <v>469897</v>
      </c>
      <c r="U10" s="253">
        <f t="shared" si="0"/>
        <v>1</v>
      </c>
      <c r="V10" s="194">
        <v>64</v>
      </c>
      <c r="W10" s="254">
        <f t="shared" si="1"/>
        <v>26</v>
      </c>
      <c r="X10" s="254">
        <f t="shared" si="1"/>
        <v>35</v>
      </c>
      <c r="Y10" s="255">
        <f t="shared" si="8"/>
        <v>1.3461538461538463</v>
      </c>
      <c r="Z10" s="256">
        <f t="shared" si="2"/>
        <v>0.89</v>
      </c>
      <c r="AA10" s="254">
        <f t="shared" si="3"/>
        <v>38359</v>
      </c>
      <c r="AB10" s="256">
        <f t="shared" si="4"/>
        <v>0.49</v>
      </c>
      <c r="AC10" s="257">
        <f>(T10/P10)-1</f>
        <v>8.8889043375090848E-2</v>
      </c>
      <c r="AD10" s="256">
        <f t="shared" si="5"/>
        <v>0.14499999999999999</v>
      </c>
      <c r="AE10" s="248" t="s">
        <v>1763</v>
      </c>
      <c r="AF10" s="253">
        <v>0</v>
      </c>
      <c r="AG10" s="258">
        <f t="shared" si="6"/>
        <v>2.5249999999999999</v>
      </c>
      <c r="AH10" s="259">
        <f t="shared" si="7"/>
        <v>3.6071428571428572</v>
      </c>
    </row>
    <row r="11" spans="1:34" ht="42">
      <c r="A11" s="262" t="s">
        <v>1171</v>
      </c>
      <c r="B11" s="262" t="s">
        <v>96</v>
      </c>
      <c r="C11" s="263">
        <v>9</v>
      </c>
      <c r="D11" s="262" t="s">
        <v>413</v>
      </c>
      <c r="E11" s="262" t="s">
        <v>1202</v>
      </c>
      <c r="F11" s="264" t="s">
        <v>1764</v>
      </c>
      <c r="G11" s="265"/>
      <c r="H11" s="262" t="s">
        <v>1174</v>
      </c>
      <c r="I11" s="265"/>
      <c r="J11" s="265"/>
      <c r="K11" s="265"/>
      <c r="L11" s="265"/>
      <c r="M11" s="265"/>
      <c r="N11" s="265"/>
      <c r="O11" s="265">
        <v>10</v>
      </c>
      <c r="P11" s="266">
        <f>T11-AA11</f>
        <v>1080</v>
      </c>
      <c r="Q11" s="265"/>
      <c r="R11" s="265"/>
      <c r="S11" s="180">
        <v>12</v>
      </c>
      <c r="T11" s="241">
        <v>1606</v>
      </c>
      <c r="U11" s="265">
        <f t="shared" si="0"/>
        <v>0.14000000000000001</v>
      </c>
      <c r="V11" s="180">
        <v>1413</v>
      </c>
      <c r="W11" s="263">
        <v>26</v>
      </c>
      <c r="X11" s="263">
        <f t="shared" si="1"/>
        <v>2</v>
      </c>
      <c r="Y11" s="267">
        <f t="shared" si="8"/>
        <v>7.6923076923076927E-2</v>
      </c>
      <c r="Z11" s="267">
        <f t="shared" si="2"/>
        <v>0.51</v>
      </c>
      <c r="AA11" s="268">
        <v>526</v>
      </c>
      <c r="AB11" s="267">
        <f t="shared" si="4"/>
        <v>0.185</v>
      </c>
      <c r="AC11" s="269">
        <f>(T11/P11)-1</f>
        <v>0.48703703703703694</v>
      </c>
      <c r="AD11" s="267">
        <f t="shared" si="5"/>
        <v>0.39500000000000002</v>
      </c>
      <c r="AE11" s="264"/>
      <c r="AF11" s="265">
        <v>0</v>
      </c>
      <c r="AG11" s="267">
        <f t="shared" si="6"/>
        <v>1.23</v>
      </c>
      <c r="AH11" s="270">
        <f t="shared" si="7"/>
        <v>1.7571428571428571</v>
      </c>
    </row>
    <row r="12" spans="1:34" ht="28">
      <c r="A12" s="249" t="s">
        <v>1171</v>
      </c>
      <c r="B12" s="249" t="s">
        <v>100</v>
      </c>
      <c r="C12" s="250">
        <v>10</v>
      </c>
      <c r="D12" s="249" t="s">
        <v>413</v>
      </c>
      <c r="E12" s="249" t="s">
        <v>1204</v>
      </c>
      <c r="F12" s="249" t="s">
        <v>100</v>
      </c>
      <c r="G12" s="249" t="s">
        <v>1451</v>
      </c>
      <c r="H12" s="249" t="s">
        <v>1174</v>
      </c>
      <c r="I12" s="249" t="s">
        <v>133</v>
      </c>
      <c r="J12" s="249" t="s">
        <v>133</v>
      </c>
      <c r="K12" s="249" t="s">
        <v>1765</v>
      </c>
      <c r="L12" s="260" t="s">
        <v>1174</v>
      </c>
      <c r="M12" s="260" t="s">
        <v>1176</v>
      </c>
      <c r="N12" s="261">
        <v>41108</v>
      </c>
      <c r="O12" s="260">
        <v>1</v>
      </c>
      <c r="P12" s="260">
        <v>4</v>
      </c>
      <c r="Q12" s="260">
        <v>0</v>
      </c>
      <c r="R12" s="252">
        <v>41134</v>
      </c>
      <c r="S12" s="194">
        <v>1</v>
      </c>
      <c r="T12" s="219">
        <v>8</v>
      </c>
      <c r="U12" s="253">
        <f t="shared" si="0"/>
        <v>0.02</v>
      </c>
      <c r="V12" s="194">
        <v>0</v>
      </c>
      <c r="W12" s="254">
        <f t="shared" si="1"/>
        <v>26</v>
      </c>
      <c r="X12" s="254">
        <f t="shared" si="1"/>
        <v>0</v>
      </c>
      <c r="Y12" s="255">
        <f t="shared" si="8"/>
        <v>0</v>
      </c>
      <c r="Z12" s="256">
        <f t="shared" si="2"/>
        <v>0</v>
      </c>
      <c r="AA12" s="254">
        <f t="shared" si="3"/>
        <v>4</v>
      </c>
      <c r="AB12" s="256">
        <f t="shared" si="4"/>
        <v>0.125</v>
      </c>
      <c r="AC12" s="257">
        <f>(T12/P12)-1</f>
        <v>1</v>
      </c>
      <c r="AD12" s="256">
        <f t="shared" si="5"/>
        <v>0.47499999999999998</v>
      </c>
      <c r="AE12" s="248" t="s">
        <v>1766</v>
      </c>
      <c r="AF12" s="253">
        <v>0</v>
      </c>
      <c r="AG12" s="258">
        <f t="shared" si="6"/>
        <v>0.62</v>
      </c>
      <c r="AH12" s="259">
        <f t="shared" si="7"/>
        <v>0.88571428571428568</v>
      </c>
    </row>
    <row r="13" spans="1:34" ht="28">
      <c r="A13" s="249" t="s">
        <v>1171</v>
      </c>
      <c r="B13" s="249" t="s">
        <v>102</v>
      </c>
      <c r="C13" s="250">
        <v>11</v>
      </c>
      <c r="D13" s="249" t="s">
        <v>413</v>
      </c>
      <c r="E13" s="249" t="s">
        <v>1207</v>
      </c>
      <c r="F13" s="249" t="s">
        <v>1767</v>
      </c>
      <c r="G13" s="249" t="s">
        <v>1451</v>
      </c>
      <c r="H13" s="249" t="s">
        <v>1174</v>
      </c>
      <c r="I13" s="249" t="s">
        <v>133</v>
      </c>
      <c r="J13" s="249" t="s">
        <v>133</v>
      </c>
      <c r="K13" s="249" t="s">
        <v>1768</v>
      </c>
      <c r="L13" s="260" t="s">
        <v>1176</v>
      </c>
      <c r="M13" s="260" t="s">
        <v>1176</v>
      </c>
      <c r="N13" s="261">
        <v>41108</v>
      </c>
      <c r="O13" s="260">
        <v>65</v>
      </c>
      <c r="P13" s="260">
        <v>37413</v>
      </c>
      <c r="Q13" s="260">
        <v>3</v>
      </c>
      <c r="R13" s="252">
        <v>41134</v>
      </c>
      <c r="S13" s="194">
        <v>65</v>
      </c>
      <c r="T13" s="219">
        <v>69507</v>
      </c>
      <c r="U13" s="253">
        <f t="shared" si="0"/>
        <v>0.78</v>
      </c>
      <c r="V13" s="194">
        <v>3</v>
      </c>
      <c r="W13" s="254">
        <f t="shared" si="1"/>
        <v>26</v>
      </c>
      <c r="X13" s="254">
        <f t="shared" si="1"/>
        <v>0</v>
      </c>
      <c r="Y13" s="255">
        <f t="shared" si="8"/>
        <v>0</v>
      </c>
      <c r="Z13" s="256">
        <f t="shared" si="2"/>
        <v>0</v>
      </c>
      <c r="AA13" s="254">
        <f t="shared" si="3"/>
        <v>32094</v>
      </c>
      <c r="AB13" s="256">
        <f t="shared" si="4"/>
        <v>0.47499999999999998</v>
      </c>
      <c r="AC13" s="257">
        <f>(T13/P13)-1</f>
        <v>0.85783016598508532</v>
      </c>
      <c r="AD13" s="256">
        <f t="shared" si="5"/>
        <v>0.46500000000000002</v>
      </c>
      <c r="AE13" s="248" t="s">
        <v>1769</v>
      </c>
      <c r="AF13" s="253">
        <v>0</v>
      </c>
      <c r="AG13" s="258">
        <f t="shared" si="6"/>
        <v>1.72</v>
      </c>
      <c r="AH13" s="259">
        <f t="shared" si="7"/>
        <v>2.4571428571428573</v>
      </c>
    </row>
    <row r="14" spans="1:34">
      <c r="A14" s="249" t="s">
        <v>1171</v>
      </c>
      <c r="B14" s="249" t="s">
        <v>104</v>
      </c>
      <c r="C14" s="250">
        <v>12</v>
      </c>
      <c r="D14" s="249" t="s">
        <v>413</v>
      </c>
      <c r="E14" s="249" t="s">
        <v>1210</v>
      </c>
      <c r="H14" s="249" t="s">
        <v>1176</v>
      </c>
      <c r="S14" s="194"/>
      <c r="T14" s="219"/>
      <c r="U14" s="253">
        <f t="shared" si="0"/>
        <v>0</v>
      </c>
      <c r="V14" s="194"/>
      <c r="W14" s="254">
        <f t="shared" si="1"/>
        <v>0</v>
      </c>
      <c r="X14" s="254">
        <f t="shared" si="1"/>
        <v>0</v>
      </c>
      <c r="Y14" s="255">
        <v>0</v>
      </c>
      <c r="Z14" s="256">
        <f t="shared" si="2"/>
        <v>0</v>
      </c>
      <c r="AA14" s="254">
        <f t="shared" si="3"/>
        <v>0</v>
      </c>
      <c r="AB14" s="256">
        <f t="shared" si="4"/>
        <v>0</v>
      </c>
      <c r="AC14" s="257">
        <v>0</v>
      </c>
      <c r="AD14" s="256">
        <f t="shared" si="5"/>
        <v>0</v>
      </c>
      <c r="AF14" s="253">
        <v>0</v>
      </c>
      <c r="AG14" s="258">
        <f t="shared" si="6"/>
        <v>0</v>
      </c>
      <c r="AH14" s="259">
        <f t="shared" si="7"/>
        <v>0</v>
      </c>
    </row>
    <row r="15" spans="1:34">
      <c r="A15" s="249" t="s">
        <v>1171</v>
      </c>
      <c r="B15" s="249" t="s">
        <v>106</v>
      </c>
      <c r="C15" s="250">
        <v>13</v>
      </c>
      <c r="D15" s="249" t="s">
        <v>413</v>
      </c>
      <c r="E15" s="249" t="s">
        <v>1770</v>
      </c>
      <c r="H15" s="249" t="s">
        <v>1176</v>
      </c>
      <c r="S15" s="194"/>
      <c r="T15" s="219"/>
      <c r="U15" s="253">
        <f t="shared" si="0"/>
        <v>0</v>
      </c>
      <c r="V15" s="194"/>
      <c r="W15" s="254">
        <f t="shared" si="1"/>
        <v>0</v>
      </c>
      <c r="X15" s="254">
        <f t="shared" si="1"/>
        <v>0</v>
      </c>
      <c r="Y15" s="255">
        <v>0</v>
      </c>
      <c r="Z15" s="256">
        <f t="shared" si="2"/>
        <v>0</v>
      </c>
      <c r="AA15" s="254">
        <f t="shared" si="3"/>
        <v>0</v>
      </c>
      <c r="AB15" s="256">
        <f t="shared" si="4"/>
        <v>0</v>
      </c>
      <c r="AC15" s="257">
        <v>0</v>
      </c>
      <c r="AD15" s="256">
        <f t="shared" si="5"/>
        <v>0</v>
      </c>
      <c r="AF15" s="253">
        <v>0</v>
      </c>
      <c r="AG15" s="258">
        <f t="shared" si="6"/>
        <v>0</v>
      </c>
      <c r="AH15" s="259">
        <f t="shared" si="7"/>
        <v>0</v>
      </c>
    </row>
    <row r="16" spans="1:34">
      <c r="A16" s="249" t="s">
        <v>1171</v>
      </c>
      <c r="B16" s="249" t="s">
        <v>109</v>
      </c>
      <c r="C16" s="250">
        <v>14</v>
      </c>
      <c r="D16" s="249" t="s">
        <v>413</v>
      </c>
      <c r="E16" s="249" t="s">
        <v>1771</v>
      </c>
      <c r="F16" s="249" t="s">
        <v>109</v>
      </c>
      <c r="G16" s="249" t="s">
        <v>1451</v>
      </c>
      <c r="H16" s="249" t="s">
        <v>1174</v>
      </c>
      <c r="I16" s="249" t="s">
        <v>133</v>
      </c>
      <c r="J16" s="249" t="s">
        <v>133</v>
      </c>
      <c r="K16" s="249" t="s">
        <v>1772</v>
      </c>
      <c r="L16" s="260" t="s">
        <v>1174</v>
      </c>
      <c r="M16" s="260" t="s">
        <v>1176</v>
      </c>
      <c r="N16" s="261">
        <v>41108</v>
      </c>
      <c r="O16" s="260">
        <v>274</v>
      </c>
      <c r="P16" s="260">
        <v>301492</v>
      </c>
      <c r="Q16" s="260">
        <v>107</v>
      </c>
      <c r="R16" s="252">
        <v>41134</v>
      </c>
      <c r="S16" s="194">
        <v>336</v>
      </c>
      <c r="T16" s="219">
        <v>387171</v>
      </c>
      <c r="U16" s="253">
        <f t="shared" si="0"/>
        <v>0.98</v>
      </c>
      <c r="V16" s="194">
        <v>113</v>
      </c>
      <c r="W16" s="254">
        <f t="shared" si="1"/>
        <v>26</v>
      </c>
      <c r="X16" s="254">
        <f t="shared" si="1"/>
        <v>62</v>
      </c>
      <c r="Y16" s="255">
        <f t="shared" si="8"/>
        <v>2.3846153846153846</v>
      </c>
      <c r="Z16" s="256">
        <f t="shared" si="2"/>
        <v>0.93</v>
      </c>
      <c r="AA16" s="254">
        <f t="shared" si="3"/>
        <v>85679</v>
      </c>
      <c r="AB16" s="256">
        <f t="shared" si="4"/>
        <v>0.5</v>
      </c>
      <c r="AC16" s="257">
        <f t="shared" ref="AC16:AC21" si="9">(T16/P16)-1</f>
        <v>0.28418332824751569</v>
      </c>
      <c r="AD16" s="256">
        <f t="shared" si="5"/>
        <v>0.32</v>
      </c>
      <c r="AE16" s="248" t="s">
        <v>1773</v>
      </c>
      <c r="AF16" s="253">
        <v>0</v>
      </c>
      <c r="AG16" s="258">
        <f t="shared" si="6"/>
        <v>2.73</v>
      </c>
      <c r="AH16" s="259">
        <f t="shared" si="7"/>
        <v>3.9</v>
      </c>
    </row>
    <row r="17" spans="1:34" ht="28">
      <c r="A17" s="249" t="s">
        <v>1171</v>
      </c>
      <c r="B17" s="249" t="s">
        <v>111</v>
      </c>
      <c r="C17" s="250">
        <v>15</v>
      </c>
      <c r="D17" s="249" t="s">
        <v>413</v>
      </c>
      <c r="E17" s="249" t="s">
        <v>1224</v>
      </c>
      <c r="F17" s="249" t="s">
        <v>1774</v>
      </c>
      <c r="G17" s="249" t="s">
        <v>1451</v>
      </c>
      <c r="H17" s="249" t="s">
        <v>1174</v>
      </c>
      <c r="I17" s="249" t="s">
        <v>133</v>
      </c>
      <c r="J17" s="249" t="s">
        <v>133</v>
      </c>
      <c r="K17" s="249" t="s">
        <v>1774</v>
      </c>
      <c r="L17" s="260" t="s">
        <v>1176</v>
      </c>
      <c r="M17" s="260" t="s">
        <v>1176</v>
      </c>
      <c r="N17" s="261">
        <v>41108</v>
      </c>
      <c r="O17" s="260">
        <v>87</v>
      </c>
      <c r="P17" s="260">
        <v>36944</v>
      </c>
      <c r="Q17" s="260">
        <v>0</v>
      </c>
      <c r="R17" s="252">
        <v>41134</v>
      </c>
      <c r="S17" s="194">
        <v>105</v>
      </c>
      <c r="T17" s="219">
        <v>49700</v>
      </c>
      <c r="U17" s="253">
        <f t="shared" si="0"/>
        <v>0.72</v>
      </c>
      <c r="V17" s="194">
        <v>1</v>
      </c>
      <c r="W17" s="254">
        <f t="shared" si="1"/>
        <v>26</v>
      </c>
      <c r="X17" s="254">
        <f t="shared" si="1"/>
        <v>18</v>
      </c>
      <c r="Y17" s="255">
        <f t="shared" si="8"/>
        <v>0.69230769230769229</v>
      </c>
      <c r="Z17" s="256">
        <f t="shared" si="2"/>
        <v>0.79</v>
      </c>
      <c r="AA17" s="254">
        <f t="shared" si="3"/>
        <v>12756</v>
      </c>
      <c r="AB17" s="256">
        <f t="shared" si="4"/>
        <v>0.41</v>
      </c>
      <c r="AC17" s="257">
        <f t="shared" si="9"/>
        <v>0.34527934170636643</v>
      </c>
      <c r="AD17" s="256">
        <f t="shared" si="5"/>
        <v>0.35</v>
      </c>
      <c r="AE17" s="248" t="s">
        <v>1775</v>
      </c>
      <c r="AF17" s="253">
        <v>0.5</v>
      </c>
      <c r="AG17" s="258">
        <f t="shared" si="6"/>
        <v>2.7699999999999996</v>
      </c>
      <c r="AH17" s="259">
        <f t="shared" si="7"/>
        <v>3.9571428571428564</v>
      </c>
    </row>
    <row r="18" spans="1:34" ht="42">
      <c r="A18" s="249" t="s">
        <v>1171</v>
      </c>
      <c r="B18" s="249" t="s">
        <v>114</v>
      </c>
      <c r="C18" s="250">
        <v>16</v>
      </c>
      <c r="D18" s="249" t="s">
        <v>413</v>
      </c>
      <c r="E18" s="249" t="s">
        <v>1227</v>
      </c>
      <c r="F18" s="249" t="s">
        <v>114</v>
      </c>
      <c r="G18" s="249" t="s">
        <v>1451</v>
      </c>
      <c r="H18" s="249" t="s">
        <v>1174</v>
      </c>
      <c r="I18" s="249" t="s">
        <v>133</v>
      </c>
      <c r="J18" s="249" t="s">
        <v>133</v>
      </c>
      <c r="K18" s="249" t="s">
        <v>1776</v>
      </c>
      <c r="L18" s="260" t="s">
        <v>1174</v>
      </c>
      <c r="M18" s="260" t="s">
        <v>1176</v>
      </c>
      <c r="N18" s="261">
        <v>41108</v>
      </c>
      <c r="O18" s="260">
        <v>136</v>
      </c>
      <c r="P18" s="260">
        <v>4117</v>
      </c>
      <c r="Q18" s="260">
        <v>83</v>
      </c>
      <c r="R18" s="252">
        <v>41134</v>
      </c>
      <c r="S18" s="194">
        <v>139</v>
      </c>
      <c r="T18" s="219">
        <v>5018</v>
      </c>
      <c r="U18" s="253">
        <f t="shared" si="0"/>
        <v>0.38</v>
      </c>
      <c r="V18" s="194">
        <v>83</v>
      </c>
      <c r="W18" s="254">
        <f t="shared" si="1"/>
        <v>26</v>
      </c>
      <c r="X18" s="254">
        <f t="shared" si="1"/>
        <v>3</v>
      </c>
      <c r="Y18" s="255">
        <f t="shared" si="8"/>
        <v>0.11538461538461539</v>
      </c>
      <c r="Z18" s="256">
        <f t="shared" si="2"/>
        <v>0.56000000000000005</v>
      </c>
      <c r="AA18" s="254">
        <f t="shared" si="3"/>
        <v>901</v>
      </c>
      <c r="AB18" s="256">
        <f t="shared" si="4"/>
        <v>0.23</v>
      </c>
      <c r="AC18" s="257">
        <f t="shared" si="9"/>
        <v>0.21884867622054904</v>
      </c>
      <c r="AD18" s="256">
        <f t="shared" si="5"/>
        <v>0.28000000000000003</v>
      </c>
      <c r="AE18" s="248" t="s">
        <v>1777</v>
      </c>
      <c r="AF18" s="253">
        <v>0</v>
      </c>
      <c r="AG18" s="258">
        <f t="shared" si="6"/>
        <v>1.4500000000000002</v>
      </c>
      <c r="AH18" s="259">
        <f t="shared" si="7"/>
        <v>2.0714285714285716</v>
      </c>
    </row>
    <row r="19" spans="1:34" ht="42">
      <c r="A19" s="262" t="s">
        <v>1171</v>
      </c>
      <c r="B19" s="262" t="s">
        <v>117</v>
      </c>
      <c r="C19" s="263">
        <v>17</v>
      </c>
      <c r="D19" s="262" t="s">
        <v>413</v>
      </c>
      <c r="E19" s="262" t="s">
        <v>1230</v>
      </c>
      <c r="F19" s="264" t="s">
        <v>1778</v>
      </c>
      <c r="G19" s="265"/>
      <c r="H19" s="262" t="s">
        <v>1174</v>
      </c>
      <c r="I19" s="265"/>
      <c r="J19" s="265"/>
      <c r="K19" s="265"/>
      <c r="L19" s="265"/>
      <c r="M19" s="265"/>
      <c r="N19" s="265"/>
      <c r="O19" s="265">
        <v>10</v>
      </c>
      <c r="P19" s="265">
        <v>2317</v>
      </c>
      <c r="Q19" s="265"/>
      <c r="R19" s="265"/>
      <c r="S19" s="180">
        <v>18</v>
      </c>
      <c r="T19" s="241">
        <v>3836</v>
      </c>
      <c r="U19" s="253">
        <f t="shared" si="0"/>
        <v>0.28000000000000003</v>
      </c>
      <c r="V19" s="180">
        <v>70</v>
      </c>
      <c r="W19" s="263">
        <v>26</v>
      </c>
      <c r="X19" s="263">
        <f t="shared" si="1"/>
        <v>8</v>
      </c>
      <c r="Y19" s="255">
        <f t="shared" si="8"/>
        <v>0.30769230769230771</v>
      </c>
      <c r="Z19" s="256">
        <f t="shared" si="2"/>
        <v>0.71</v>
      </c>
      <c r="AA19" s="271">
        <f>T19-P19</f>
        <v>1519</v>
      </c>
      <c r="AB19" s="256">
        <f t="shared" si="4"/>
        <v>0.28000000000000003</v>
      </c>
      <c r="AC19" s="257">
        <f t="shared" si="9"/>
        <v>0.65558912386706947</v>
      </c>
      <c r="AD19" s="256">
        <f t="shared" si="5"/>
        <v>0.45</v>
      </c>
      <c r="AE19" s="264"/>
      <c r="AF19" s="253">
        <v>0</v>
      </c>
      <c r="AG19" s="258">
        <f t="shared" si="6"/>
        <v>1.72</v>
      </c>
      <c r="AH19" s="259">
        <f t="shared" si="7"/>
        <v>2.4571428571428573</v>
      </c>
    </row>
    <row r="20" spans="1:34">
      <c r="A20" s="249" t="s">
        <v>1171</v>
      </c>
      <c r="B20" s="249" t="s">
        <v>120</v>
      </c>
      <c r="C20" s="250">
        <v>18</v>
      </c>
      <c r="D20" s="249" t="s">
        <v>413</v>
      </c>
      <c r="E20" s="249" t="s">
        <v>1235</v>
      </c>
      <c r="F20" s="249" t="s">
        <v>1779</v>
      </c>
      <c r="G20" s="249" t="s">
        <v>1451</v>
      </c>
      <c r="H20" s="249" t="s">
        <v>1174</v>
      </c>
      <c r="I20" s="249" t="s">
        <v>133</v>
      </c>
      <c r="J20" s="249" t="s">
        <v>133</v>
      </c>
      <c r="K20" s="249" t="s">
        <v>1779</v>
      </c>
      <c r="L20" s="260" t="s">
        <v>1174</v>
      </c>
      <c r="M20" s="260" t="s">
        <v>1176</v>
      </c>
      <c r="N20" s="261">
        <v>41108</v>
      </c>
      <c r="O20" s="260">
        <v>118</v>
      </c>
      <c r="P20" s="260">
        <v>67435</v>
      </c>
      <c r="Q20" s="260">
        <v>10</v>
      </c>
      <c r="R20" s="252">
        <v>41134</v>
      </c>
      <c r="S20" s="194">
        <v>118</v>
      </c>
      <c r="T20" s="219">
        <v>79105</v>
      </c>
      <c r="U20" s="253">
        <f t="shared" si="0"/>
        <v>0.82</v>
      </c>
      <c r="V20" s="194">
        <v>10</v>
      </c>
      <c r="W20" s="254">
        <f t="shared" si="1"/>
        <v>26</v>
      </c>
      <c r="X20" s="254">
        <f t="shared" si="1"/>
        <v>0</v>
      </c>
      <c r="Y20" s="255">
        <f t="shared" si="8"/>
        <v>0</v>
      </c>
      <c r="Z20" s="256">
        <f t="shared" si="2"/>
        <v>0</v>
      </c>
      <c r="AA20" s="254">
        <f t="shared" si="3"/>
        <v>11670</v>
      </c>
      <c r="AB20" s="256">
        <f t="shared" si="4"/>
        <v>0.40500000000000003</v>
      </c>
      <c r="AC20" s="257">
        <f t="shared" si="9"/>
        <v>0.17305553495959081</v>
      </c>
      <c r="AD20" s="256">
        <f t="shared" si="5"/>
        <v>0.24</v>
      </c>
      <c r="AE20" s="248" t="s">
        <v>1780</v>
      </c>
      <c r="AF20" s="253">
        <v>0</v>
      </c>
      <c r="AG20" s="258">
        <f t="shared" si="6"/>
        <v>1.4649999999999999</v>
      </c>
      <c r="AH20" s="259">
        <f t="shared" si="7"/>
        <v>2.0928571428571425</v>
      </c>
    </row>
    <row r="21" spans="1:34" ht="42">
      <c r="A21" s="262" t="s">
        <v>1171</v>
      </c>
      <c r="B21" s="262" t="s">
        <v>123</v>
      </c>
      <c r="C21" s="263">
        <v>19</v>
      </c>
      <c r="D21" s="262" t="s">
        <v>413</v>
      </c>
      <c r="E21" s="262" t="s">
        <v>124</v>
      </c>
      <c r="F21" s="264" t="s">
        <v>1781</v>
      </c>
      <c r="G21" s="265" t="s">
        <v>1451</v>
      </c>
      <c r="H21" s="262" t="s">
        <v>1174</v>
      </c>
      <c r="I21" s="265"/>
      <c r="J21" s="265"/>
      <c r="K21" s="265"/>
      <c r="L21" s="265"/>
      <c r="M21" s="265"/>
      <c r="N21" s="265"/>
      <c r="O21" s="265">
        <v>152</v>
      </c>
      <c r="P21" s="265">
        <v>36944</v>
      </c>
      <c r="Q21" s="265"/>
      <c r="R21" s="265"/>
      <c r="S21" s="180">
        <v>221</v>
      </c>
      <c r="T21" s="241">
        <v>44702</v>
      </c>
      <c r="U21" s="253">
        <f t="shared" si="0"/>
        <v>0.7</v>
      </c>
      <c r="V21" s="180">
        <v>129</v>
      </c>
      <c r="W21" s="263">
        <v>26</v>
      </c>
      <c r="X21" s="263">
        <f t="shared" si="1"/>
        <v>69</v>
      </c>
      <c r="Y21" s="255">
        <f t="shared" si="8"/>
        <v>2.6538461538461537</v>
      </c>
      <c r="Z21" s="256">
        <f t="shared" si="2"/>
        <v>0.95</v>
      </c>
      <c r="AA21" s="254">
        <f t="shared" si="3"/>
        <v>7758</v>
      </c>
      <c r="AB21" s="256">
        <f t="shared" si="4"/>
        <v>0.38</v>
      </c>
      <c r="AC21" s="257">
        <f t="shared" si="9"/>
        <v>0.20999350368124725</v>
      </c>
      <c r="AD21" s="256">
        <f t="shared" si="5"/>
        <v>0.27</v>
      </c>
      <c r="AE21" s="264"/>
      <c r="AF21" s="253">
        <v>0</v>
      </c>
      <c r="AG21" s="258">
        <f t="shared" si="6"/>
        <v>2.2999999999999998</v>
      </c>
      <c r="AH21" s="259">
        <f t="shared" si="7"/>
        <v>3.2857142857142856</v>
      </c>
    </row>
    <row r="22" spans="1:34">
      <c r="A22" s="249" t="s">
        <v>1171</v>
      </c>
      <c r="B22" s="249" t="s">
        <v>125</v>
      </c>
      <c r="C22" s="250">
        <v>20</v>
      </c>
      <c r="D22" s="249" t="s">
        <v>413</v>
      </c>
      <c r="E22" s="249" t="s">
        <v>126</v>
      </c>
      <c r="H22" s="249" t="s">
        <v>1176</v>
      </c>
      <c r="S22" s="194"/>
      <c r="T22" s="219"/>
      <c r="U22" s="253">
        <f t="shared" si="0"/>
        <v>0</v>
      </c>
      <c r="V22" s="194"/>
      <c r="W22" s="254">
        <f t="shared" si="1"/>
        <v>0</v>
      </c>
      <c r="X22" s="254">
        <f t="shared" si="1"/>
        <v>0</v>
      </c>
      <c r="Y22" s="255">
        <v>0</v>
      </c>
      <c r="Z22" s="256">
        <f t="shared" si="2"/>
        <v>0</v>
      </c>
      <c r="AA22" s="254">
        <f t="shared" si="3"/>
        <v>0</v>
      </c>
      <c r="AB22" s="256">
        <f t="shared" si="4"/>
        <v>0</v>
      </c>
      <c r="AC22" s="257">
        <v>0</v>
      </c>
      <c r="AD22" s="256">
        <f t="shared" si="5"/>
        <v>0</v>
      </c>
      <c r="AF22" s="253">
        <v>0</v>
      </c>
      <c r="AG22" s="258">
        <f t="shared" si="6"/>
        <v>0</v>
      </c>
      <c r="AH22" s="259">
        <f t="shared" si="7"/>
        <v>0</v>
      </c>
    </row>
    <row r="23" spans="1:34" ht="28">
      <c r="A23" s="249" t="s">
        <v>1171</v>
      </c>
      <c r="B23" s="249" t="s">
        <v>127</v>
      </c>
      <c r="C23" s="250">
        <v>21</v>
      </c>
      <c r="D23" s="249" t="s">
        <v>413</v>
      </c>
      <c r="E23" s="249" t="s">
        <v>128</v>
      </c>
      <c r="F23" s="249" t="s">
        <v>1782</v>
      </c>
      <c r="G23" s="249" t="s">
        <v>1451</v>
      </c>
      <c r="H23" s="249" t="s">
        <v>1174</v>
      </c>
      <c r="I23" s="249" t="s">
        <v>133</v>
      </c>
      <c r="J23" s="249" t="s">
        <v>133</v>
      </c>
      <c r="K23" s="249" t="s">
        <v>1783</v>
      </c>
      <c r="L23" s="260" t="s">
        <v>1174</v>
      </c>
      <c r="M23" s="260" t="s">
        <v>1176</v>
      </c>
      <c r="N23" s="261">
        <v>41108</v>
      </c>
      <c r="O23" s="260">
        <v>130</v>
      </c>
      <c r="P23" s="260">
        <v>1738</v>
      </c>
      <c r="Q23" s="260">
        <v>86</v>
      </c>
      <c r="R23" s="252">
        <v>41134</v>
      </c>
      <c r="S23" s="194">
        <v>130</v>
      </c>
      <c r="T23" s="219">
        <v>2035</v>
      </c>
      <c r="U23" s="253">
        <f t="shared" si="0"/>
        <v>0.2</v>
      </c>
      <c r="V23" s="194">
        <v>86</v>
      </c>
      <c r="W23" s="254">
        <f t="shared" si="1"/>
        <v>26</v>
      </c>
      <c r="X23" s="254">
        <f t="shared" si="1"/>
        <v>0</v>
      </c>
      <c r="Y23" s="255">
        <f t="shared" si="8"/>
        <v>0</v>
      </c>
      <c r="Z23" s="256">
        <f t="shared" si="2"/>
        <v>0</v>
      </c>
      <c r="AA23" s="254">
        <f t="shared" si="3"/>
        <v>297</v>
      </c>
      <c r="AB23" s="256">
        <f t="shared" si="4"/>
        <v>0.17</v>
      </c>
      <c r="AC23" s="257">
        <f>(T23/P23)-1</f>
        <v>0.17088607594936711</v>
      </c>
      <c r="AD23" s="256">
        <f t="shared" si="5"/>
        <v>0.23</v>
      </c>
      <c r="AE23" s="248" t="s">
        <v>1784</v>
      </c>
      <c r="AF23" s="253">
        <v>0</v>
      </c>
      <c r="AG23" s="258">
        <f t="shared" si="6"/>
        <v>0.60000000000000009</v>
      </c>
      <c r="AH23" s="259">
        <f t="shared" si="7"/>
        <v>0.85714285714285732</v>
      </c>
    </row>
    <row r="24" spans="1:34">
      <c r="A24" s="249" t="s">
        <v>1171</v>
      </c>
      <c r="B24" s="249" t="s">
        <v>129</v>
      </c>
      <c r="C24" s="250">
        <v>22</v>
      </c>
      <c r="D24" s="249" t="s">
        <v>413</v>
      </c>
      <c r="E24" s="249" t="s">
        <v>132</v>
      </c>
      <c r="H24" s="249" t="s">
        <v>1176</v>
      </c>
      <c r="S24" s="194"/>
      <c r="T24" s="219"/>
      <c r="U24" s="253">
        <f t="shared" si="0"/>
        <v>0</v>
      </c>
      <c r="V24" s="194"/>
      <c r="W24" s="254">
        <f t="shared" si="1"/>
        <v>0</v>
      </c>
      <c r="X24" s="254">
        <f t="shared" si="1"/>
        <v>0</v>
      </c>
      <c r="Y24" s="255">
        <v>0</v>
      </c>
      <c r="Z24" s="256">
        <f t="shared" si="2"/>
        <v>0</v>
      </c>
      <c r="AA24" s="254">
        <f t="shared" si="3"/>
        <v>0</v>
      </c>
      <c r="AB24" s="256">
        <f t="shared" si="4"/>
        <v>0</v>
      </c>
      <c r="AC24" s="257">
        <v>0</v>
      </c>
      <c r="AD24" s="256">
        <f t="shared" si="5"/>
        <v>0</v>
      </c>
      <c r="AF24" s="253">
        <v>0</v>
      </c>
      <c r="AG24" s="258">
        <f t="shared" si="6"/>
        <v>0</v>
      </c>
      <c r="AH24" s="259">
        <f t="shared" si="7"/>
        <v>0</v>
      </c>
    </row>
    <row r="25" spans="1:34" ht="28">
      <c r="A25" s="249" t="s">
        <v>1171</v>
      </c>
      <c r="B25" s="249" t="s">
        <v>134</v>
      </c>
      <c r="C25" s="250">
        <v>23</v>
      </c>
      <c r="D25" s="249" t="s">
        <v>413</v>
      </c>
      <c r="E25" s="249" t="s">
        <v>135</v>
      </c>
      <c r="F25" s="249" t="s">
        <v>1785</v>
      </c>
      <c r="G25" s="249" t="s">
        <v>1451</v>
      </c>
      <c r="H25" s="249" t="s">
        <v>1174</v>
      </c>
      <c r="I25" s="249" t="s">
        <v>133</v>
      </c>
      <c r="J25" s="249" t="s">
        <v>133</v>
      </c>
      <c r="K25" s="249" t="s">
        <v>1786</v>
      </c>
      <c r="L25" s="260" t="s">
        <v>1176</v>
      </c>
      <c r="M25" s="260" t="s">
        <v>1176</v>
      </c>
      <c r="N25" s="261">
        <v>41108</v>
      </c>
      <c r="O25" s="260">
        <v>63</v>
      </c>
      <c r="P25" s="260">
        <v>1766</v>
      </c>
      <c r="Q25" s="260">
        <v>0</v>
      </c>
      <c r="R25" s="252">
        <v>41134</v>
      </c>
      <c r="S25" s="194">
        <v>70</v>
      </c>
      <c r="T25" s="219">
        <v>3908</v>
      </c>
      <c r="U25" s="253">
        <f t="shared" si="0"/>
        <v>0.3</v>
      </c>
      <c r="V25" s="194">
        <v>0</v>
      </c>
      <c r="W25" s="254">
        <f t="shared" si="1"/>
        <v>26</v>
      </c>
      <c r="X25" s="254">
        <f t="shared" si="1"/>
        <v>7</v>
      </c>
      <c r="Y25" s="255">
        <f t="shared" si="8"/>
        <v>0.26923076923076922</v>
      </c>
      <c r="Z25" s="256">
        <f t="shared" si="2"/>
        <v>0.68</v>
      </c>
      <c r="AA25" s="254">
        <f t="shared" si="3"/>
        <v>2142</v>
      </c>
      <c r="AB25" s="256">
        <f t="shared" si="4"/>
        <v>0.31</v>
      </c>
      <c r="AC25" s="257">
        <f t="shared" ref="AC25:AC34" si="10">(T25/P25)-1</f>
        <v>1.2129105322763305</v>
      </c>
      <c r="AD25" s="256">
        <f t="shared" si="5"/>
        <v>0.48</v>
      </c>
      <c r="AE25" s="248" t="s">
        <v>1787</v>
      </c>
      <c r="AF25" s="253">
        <v>0</v>
      </c>
      <c r="AG25" s="258">
        <f t="shared" si="6"/>
        <v>1.7700000000000002</v>
      </c>
      <c r="AH25" s="259">
        <f t="shared" si="7"/>
        <v>2.5285714285714289</v>
      </c>
    </row>
    <row r="26" spans="1:34" ht="28">
      <c r="A26" s="249" t="s">
        <v>1171</v>
      </c>
      <c r="B26" s="249" t="s">
        <v>136</v>
      </c>
      <c r="C26" s="250">
        <v>24</v>
      </c>
      <c r="D26" s="249" t="s">
        <v>413</v>
      </c>
      <c r="E26" s="249" t="s">
        <v>138</v>
      </c>
      <c r="F26" s="249" t="s">
        <v>1788</v>
      </c>
      <c r="G26" s="249" t="s">
        <v>1451</v>
      </c>
      <c r="H26" s="249" t="s">
        <v>1174</v>
      </c>
      <c r="I26" s="249" t="s">
        <v>133</v>
      </c>
      <c r="J26" s="249" t="s">
        <v>133</v>
      </c>
      <c r="K26" s="249" t="s">
        <v>1788</v>
      </c>
      <c r="L26" s="260" t="s">
        <v>1176</v>
      </c>
      <c r="M26" s="260" t="s">
        <v>1176</v>
      </c>
      <c r="N26" s="261">
        <v>41108</v>
      </c>
      <c r="O26" s="260">
        <v>120</v>
      </c>
      <c r="P26" s="260">
        <v>9182</v>
      </c>
      <c r="Q26" s="260">
        <v>39</v>
      </c>
      <c r="R26" s="252">
        <v>41134</v>
      </c>
      <c r="S26" s="194">
        <v>140</v>
      </c>
      <c r="T26" s="219">
        <v>13524</v>
      </c>
      <c r="U26" s="253">
        <f t="shared" si="0"/>
        <v>0.6</v>
      </c>
      <c r="V26" s="194">
        <v>40</v>
      </c>
      <c r="W26" s="254">
        <f t="shared" si="1"/>
        <v>26</v>
      </c>
      <c r="X26" s="254">
        <f t="shared" si="1"/>
        <v>20</v>
      </c>
      <c r="Y26" s="255">
        <f t="shared" si="8"/>
        <v>0.76923076923076927</v>
      </c>
      <c r="Z26" s="256">
        <f t="shared" si="2"/>
        <v>0.82</v>
      </c>
      <c r="AA26" s="254">
        <f t="shared" si="3"/>
        <v>4342</v>
      </c>
      <c r="AB26" s="256">
        <f t="shared" si="4"/>
        <v>0.35</v>
      </c>
      <c r="AC26" s="257">
        <f t="shared" si="10"/>
        <v>0.47288172511435422</v>
      </c>
      <c r="AD26" s="256">
        <f t="shared" si="5"/>
        <v>0.39</v>
      </c>
      <c r="AE26" s="248" t="s">
        <v>1789</v>
      </c>
      <c r="AF26" s="253">
        <v>0.5</v>
      </c>
      <c r="AG26" s="258">
        <f t="shared" si="6"/>
        <v>2.66</v>
      </c>
      <c r="AH26" s="259">
        <f t="shared" si="7"/>
        <v>3.8000000000000003</v>
      </c>
    </row>
    <row r="27" spans="1:34">
      <c r="A27" s="249" t="s">
        <v>1171</v>
      </c>
      <c r="B27" s="249" t="s">
        <v>139</v>
      </c>
      <c r="C27" s="250">
        <v>25</v>
      </c>
      <c r="D27" s="249" t="s">
        <v>413</v>
      </c>
      <c r="E27" s="249" t="s">
        <v>140</v>
      </c>
      <c r="F27" s="249" t="s">
        <v>139</v>
      </c>
      <c r="G27" s="249" t="s">
        <v>1451</v>
      </c>
      <c r="H27" s="249" t="s">
        <v>1174</v>
      </c>
      <c r="I27" s="249" t="s">
        <v>133</v>
      </c>
      <c r="J27" s="249" t="s">
        <v>133</v>
      </c>
      <c r="K27" s="249" t="s">
        <v>1790</v>
      </c>
      <c r="L27" s="260" t="s">
        <v>1174</v>
      </c>
      <c r="M27" s="260" t="s">
        <v>1176</v>
      </c>
      <c r="N27" s="261">
        <v>41108</v>
      </c>
      <c r="O27" s="260">
        <v>40</v>
      </c>
      <c r="P27" s="260">
        <v>2098</v>
      </c>
      <c r="Q27" s="260">
        <v>0</v>
      </c>
      <c r="R27" s="252">
        <v>41134</v>
      </c>
      <c r="S27" s="194">
        <v>84</v>
      </c>
      <c r="T27" s="219">
        <v>11279</v>
      </c>
      <c r="U27" s="253">
        <f t="shared" si="0"/>
        <v>0.52</v>
      </c>
      <c r="V27" s="194">
        <v>0</v>
      </c>
      <c r="W27" s="254">
        <f t="shared" si="1"/>
        <v>26</v>
      </c>
      <c r="X27" s="254">
        <f t="shared" si="1"/>
        <v>44</v>
      </c>
      <c r="Y27" s="255">
        <f t="shared" si="8"/>
        <v>1.6923076923076923</v>
      </c>
      <c r="Z27" s="256">
        <f t="shared" si="2"/>
        <v>0.92</v>
      </c>
      <c r="AA27" s="254">
        <f t="shared" si="3"/>
        <v>9181</v>
      </c>
      <c r="AB27" s="256">
        <f t="shared" si="4"/>
        <v>0.39500000000000002</v>
      </c>
      <c r="AC27" s="257">
        <f t="shared" si="10"/>
        <v>4.3760724499523356</v>
      </c>
      <c r="AD27" s="256">
        <f t="shared" si="5"/>
        <v>0.5</v>
      </c>
      <c r="AE27" s="248" t="s">
        <v>1791</v>
      </c>
      <c r="AF27" s="253">
        <v>0</v>
      </c>
      <c r="AG27" s="258">
        <f t="shared" si="6"/>
        <v>2.335</v>
      </c>
      <c r="AH27" s="259">
        <f t="shared" si="7"/>
        <v>3.3357142857142859</v>
      </c>
    </row>
    <row r="28" spans="1:34" ht="28">
      <c r="A28" s="249" t="s">
        <v>1171</v>
      </c>
      <c r="B28" s="249" t="s">
        <v>141</v>
      </c>
      <c r="C28" s="250">
        <v>26</v>
      </c>
      <c r="D28" s="249" t="s">
        <v>413</v>
      </c>
      <c r="E28" s="249" t="s">
        <v>142</v>
      </c>
      <c r="F28" s="249" t="s">
        <v>141</v>
      </c>
      <c r="G28" s="249" t="s">
        <v>1451</v>
      </c>
      <c r="H28" s="249" t="s">
        <v>1174</v>
      </c>
      <c r="I28" s="249" t="s">
        <v>133</v>
      </c>
      <c r="J28" s="249" t="s">
        <v>133</v>
      </c>
      <c r="K28" s="249" t="s">
        <v>1792</v>
      </c>
      <c r="L28" s="260" t="s">
        <v>1174</v>
      </c>
      <c r="M28" s="260" t="s">
        <v>1176</v>
      </c>
      <c r="N28" s="261">
        <v>41108</v>
      </c>
      <c r="O28" s="260">
        <v>52</v>
      </c>
      <c r="P28" s="260">
        <v>108732</v>
      </c>
      <c r="Q28" s="260">
        <v>23</v>
      </c>
      <c r="R28" s="252">
        <v>41134</v>
      </c>
      <c r="S28" s="194">
        <v>52</v>
      </c>
      <c r="T28" s="219">
        <v>130080</v>
      </c>
      <c r="U28" s="253">
        <f t="shared" si="0"/>
        <v>0.9</v>
      </c>
      <c r="V28" s="194">
        <v>23</v>
      </c>
      <c r="W28" s="254">
        <f t="shared" si="1"/>
        <v>26</v>
      </c>
      <c r="X28" s="254">
        <f t="shared" si="1"/>
        <v>0</v>
      </c>
      <c r="Y28" s="255">
        <f t="shared" si="8"/>
        <v>0</v>
      </c>
      <c r="Z28" s="256">
        <f t="shared" si="2"/>
        <v>0</v>
      </c>
      <c r="AA28" s="254">
        <f t="shared" si="3"/>
        <v>21348</v>
      </c>
      <c r="AB28" s="256">
        <f t="shared" si="4"/>
        <v>0.435</v>
      </c>
      <c r="AC28" s="257">
        <f t="shared" si="10"/>
        <v>0.19633594525990516</v>
      </c>
      <c r="AD28" s="256">
        <f t="shared" si="5"/>
        <v>0.26500000000000001</v>
      </c>
      <c r="AE28" s="248" t="s">
        <v>1793</v>
      </c>
      <c r="AF28" s="253">
        <v>0</v>
      </c>
      <c r="AG28" s="258">
        <f t="shared" si="6"/>
        <v>1.6</v>
      </c>
      <c r="AH28" s="259">
        <f t="shared" si="7"/>
        <v>2.285714285714286</v>
      </c>
    </row>
    <row r="29" spans="1:34" ht="28">
      <c r="A29" s="249" t="s">
        <v>1171</v>
      </c>
      <c r="B29" s="249" t="s">
        <v>143</v>
      </c>
      <c r="C29" s="250">
        <v>27</v>
      </c>
      <c r="D29" s="249" t="s">
        <v>413</v>
      </c>
      <c r="E29" s="249" t="s">
        <v>144</v>
      </c>
      <c r="F29" s="249" t="s">
        <v>1794</v>
      </c>
      <c r="G29" s="249" t="s">
        <v>1451</v>
      </c>
      <c r="H29" s="249" t="s">
        <v>1174</v>
      </c>
      <c r="I29" s="249" t="s">
        <v>133</v>
      </c>
      <c r="J29" s="249" t="s">
        <v>133</v>
      </c>
      <c r="K29" s="249" t="s">
        <v>1795</v>
      </c>
      <c r="L29" s="260" t="s">
        <v>1174</v>
      </c>
      <c r="M29" s="260" t="s">
        <v>1176</v>
      </c>
      <c r="N29" s="261">
        <v>41108</v>
      </c>
      <c r="O29" s="260">
        <v>303</v>
      </c>
      <c r="P29" s="260">
        <v>43122</v>
      </c>
      <c r="Q29" s="260">
        <v>93</v>
      </c>
      <c r="R29" s="252">
        <v>41134</v>
      </c>
      <c r="S29" s="194">
        <v>418</v>
      </c>
      <c r="T29" s="219">
        <v>64561</v>
      </c>
      <c r="U29" s="253">
        <f t="shared" si="0"/>
        <v>0.76</v>
      </c>
      <c r="V29" s="194">
        <v>120</v>
      </c>
      <c r="W29" s="254">
        <f t="shared" si="1"/>
        <v>26</v>
      </c>
      <c r="X29" s="254">
        <f t="shared" si="1"/>
        <v>115</v>
      </c>
      <c r="Y29" s="255">
        <f t="shared" si="8"/>
        <v>4.4230769230769234</v>
      </c>
      <c r="Z29" s="256">
        <f t="shared" si="2"/>
        <v>0.98</v>
      </c>
      <c r="AA29" s="254">
        <f t="shared" si="3"/>
        <v>21439</v>
      </c>
      <c r="AB29" s="256">
        <f t="shared" si="4"/>
        <v>0.44500000000000001</v>
      </c>
      <c r="AC29" s="257">
        <f t="shared" si="10"/>
        <v>0.49717081768007043</v>
      </c>
      <c r="AD29" s="256">
        <f t="shared" si="5"/>
        <v>0.40500000000000003</v>
      </c>
      <c r="AE29" s="248" t="s">
        <v>1796</v>
      </c>
      <c r="AF29" s="253">
        <v>0</v>
      </c>
      <c r="AG29" s="258">
        <f t="shared" si="6"/>
        <v>2.59</v>
      </c>
      <c r="AH29" s="259">
        <f t="shared" si="7"/>
        <v>3.6999999999999997</v>
      </c>
    </row>
    <row r="30" spans="1:34" ht="28">
      <c r="A30" s="249" t="s">
        <v>1171</v>
      </c>
      <c r="B30" s="249" t="s">
        <v>145</v>
      </c>
      <c r="C30" s="250">
        <v>28</v>
      </c>
      <c r="D30" s="249" t="s">
        <v>413</v>
      </c>
      <c r="E30" s="249" t="s">
        <v>1797</v>
      </c>
      <c r="F30" s="249" t="s">
        <v>1542</v>
      </c>
      <c r="G30" s="249" t="s">
        <v>1451</v>
      </c>
      <c r="H30" s="249" t="s">
        <v>1174</v>
      </c>
      <c r="I30" s="249" t="s">
        <v>133</v>
      </c>
      <c r="J30" s="249" t="s">
        <v>133</v>
      </c>
      <c r="K30" s="249" t="s">
        <v>1798</v>
      </c>
      <c r="L30" s="260" t="s">
        <v>1174</v>
      </c>
      <c r="M30" s="260" t="s">
        <v>1176</v>
      </c>
      <c r="N30" s="261">
        <v>41108</v>
      </c>
      <c r="O30" s="260">
        <v>224</v>
      </c>
      <c r="P30" s="260">
        <v>5547</v>
      </c>
      <c r="Q30" s="260">
        <v>36</v>
      </c>
      <c r="R30" s="252">
        <v>41134</v>
      </c>
      <c r="S30" s="194">
        <v>230</v>
      </c>
      <c r="T30" s="219">
        <v>6804</v>
      </c>
      <c r="U30" s="253">
        <f t="shared" si="0"/>
        <v>0.46</v>
      </c>
      <c r="V30" s="194">
        <v>40</v>
      </c>
      <c r="W30" s="254">
        <f t="shared" si="1"/>
        <v>26</v>
      </c>
      <c r="X30" s="254">
        <f t="shared" si="1"/>
        <v>6</v>
      </c>
      <c r="Y30" s="255">
        <f t="shared" si="8"/>
        <v>0.23076923076923078</v>
      </c>
      <c r="Z30" s="256">
        <f t="shared" si="2"/>
        <v>0.65</v>
      </c>
      <c r="AA30" s="254">
        <f t="shared" si="3"/>
        <v>1257</v>
      </c>
      <c r="AB30" s="256">
        <f t="shared" si="4"/>
        <v>0.255</v>
      </c>
      <c r="AC30" s="257">
        <f t="shared" si="10"/>
        <v>0.22660897782585177</v>
      </c>
      <c r="AD30" s="256">
        <f t="shared" si="5"/>
        <v>0.28499999999999998</v>
      </c>
      <c r="AE30" s="248" t="s">
        <v>1799</v>
      </c>
      <c r="AF30" s="253">
        <v>0.5</v>
      </c>
      <c r="AG30" s="258">
        <f t="shared" si="6"/>
        <v>2.15</v>
      </c>
      <c r="AH30" s="259">
        <f t="shared" si="7"/>
        <v>3.0714285714285712</v>
      </c>
    </row>
    <row r="31" spans="1:34" ht="28">
      <c r="A31" s="249" t="s">
        <v>1171</v>
      </c>
      <c r="B31" s="249" t="s">
        <v>148</v>
      </c>
      <c r="C31" s="250">
        <v>29</v>
      </c>
      <c r="D31" s="249" t="s">
        <v>413</v>
      </c>
      <c r="E31" s="249" t="s">
        <v>149</v>
      </c>
      <c r="F31" s="249" t="s">
        <v>148</v>
      </c>
      <c r="G31" s="249" t="s">
        <v>1451</v>
      </c>
      <c r="H31" s="249" t="s">
        <v>1174</v>
      </c>
      <c r="I31" s="249" t="s">
        <v>133</v>
      </c>
      <c r="J31" s="249" t="s">
        <v>133</v>
      </c>
      <c r="K31" s="249" t="s">
        <v>1800</v>
      </c>
      <c r="L31" s="260" t="s">
        <v>1174</v>
      </c>
      <c r="M31" s="260" t="s">
        <v>1176</v>
      </c>
      <c r="N31" s="261">
        <v>41108</v>
      </c>
      <c r="O31" s="260">
        <v>97</v>
      </c>
      <c r="P31" s="260">
        <v>20347</v>
      </c>
      <c r="Q31" s="260">
        <v>241</v>
      </c>
      <c r="R31" s="252">
        <v>41134</v>
      </c>
      <c r="S31" s="194">
        <v>102</v>
      </c>
      <c r="T31" s="219">
        <v>26232</v>
      </c>
      <c r="U31" s="253">
        <f t="shared" si="0"/>
        <v>0.66</v>
      </c>
      <c r="V31" s="194">
        <v>241</v>
      </c>
      <c r="W31" s="254">
        <f t="shared" si="1"/>
        <v>26</v>
      </c>
      <c r="X31" s="254">
        <f t="shared" si="1"/>
        <v>5</v>
      </c>
      <c r="Y31" s="255">
        <f t="shared" si="8"/>
        <v>0.19230769230769232</v>
      </c>
      <c r="Z31" s="256">
        <f t="shared" si="2"/>
        <v>0.6</v>
      </c>
      <c r="AA31" s="254">
        <f t="shared" si="3"/>
        <v>5885</v>
      </c>
      <c r="AB31" s="256">
        <f t="shared" si="4"/>
        <v>0.375</v>
      </c>
      <c r="AC31" s="257">
        <f t="shared" si="10"/>
        <v>0.28923182778788026</v>
      </c>
      <c r="AD31" s="256">
        <f t="shared" si="5"/>
        <v>0.32500000000000001</v>
      </c>
      <c r="AE31" s="248" t="s">
        <v>1801</v>
      </c>
      <c r="AF31" s="253">
        <v>0</v>
      </c>
      <c r="AG31" s="258">
        <f t="shared" si="6"/>
        <v>1.96</v>
      </c>
      <c r="AH31" s="259">
        <f t="shared" si="7"/>
        <v>2.8</v>
      </c>
    </row>
    <row r="32" spans="1:34" ht="42">
      <c r="A32" s="262" t="s">
        <v>1171</v>
      </c>
      <c r="B32" s="262" t="s">
        <v>150</v>
      </c>
      <c r="C32" s="263">
        <v>30</v>
      </c>
      <c r="D32" s="262" t="s">
        <v>413</v>
      </c>
      <c r="E32" s="262" t="s">
        <v>152</v>
      </c>
      <c r="F32" s="264" t="s">
        <v>1802</v>
      </c>
      <c r="G32" s="265"/>
      <c r="H32" s="262" t="s">
        <v>1174</v>
      </c>
      <c r="I32" s="265"/>
      <c r="J32" s="265"/>
      <c r="K32" s="265"/>
      <c r="L32" s="265"/>
      <c r="M32" s="265"/>
      <c r="N32" s="265"/>
      <c r="O32" s="272">
        <f>O25/(S25/S32)</f>
        <v>25.2</v>
      </c>
      <c r="P32" s="273">
        <f>P25/(T25/T32)</f>
        <v>755.11412487205735</v>
      </c>
      <c r="Q32" s="265"/>
      <c r="R32" s="265"/>
      <c r="S32" s="180">
        <v>28</v>
      </c>
      <c r="T32" s="241">
        <v>1671</v>
      </c>
      <c r="U32" s="253">
        <f t="shared" si="0"/>
        <v>0.16</v>
      </c>
      <c r="V32" s="180">
        <v>0</v>
      </c>
      <c r="W32" s="263">
        <v>26</v>
      </c>
      <c r="X32" s="263">
        <f t="shared" si="1"/>
        <v>2.8000000000000007</v>
      </c>
      <c r="Y32" s="255">
        <f t="shared" si="8"/>
        <v>0.10769230769230773</v>
      </c>
      <c r="Z32" s="256">
        <f t="shared" si="2"/>
        <v>0.54</v>
      </c>
      <c r="AA32" s="274">
        <f t="shared" si="3"/>
        <v>915.88587512794265</v>
      </c>
      <c r="AB32" s="256">
        <f t="shared" si="4"/>
        <v>0.24</v>
      </c>
      <c r="AC32" s="257">
        <f t="shared" si="10"/>
        <v>1.2129105322763305</v>
      </c>
      <c r="AD32" s="256">
        <f t="shared" si="5"/>
        <v>0.48</v>
      </c>
      <c r="AE32" s="264"/>
      <c r="AF32" s="253">
        <v>0</v>
      </c>
      <c r="AG32" s="258">
        <f t="shared" si="6"/>
        <v>1.42</v>
      </c>
      <c r="AH32" s="259">
        <f t="shared" si="7"/>
        <v>2.0285714285714285</v>
      </c>
    </row>
    <row r="33" spans="1:34" ht="42">
      <c r="A33" s="262" t="s">
        <v>1171</v>
      </c>
      <c r="B33" s="262" t="s">
        <v>153</v>
      </c>
      <c r="C33" s="263">
        <v>31</v>
      </c>
      <c r="D33" s="262" t="s">
        <v>413</v>
      </c>
      <c r="E33" s="262" t="s">
        <v>1277</v>
      </c>
      <c r="F33" s="264" t="s">
        <v>1803</v>
      </c>
      <c r="G33" s="265"/>
      <c r="H33" s="262" t="s">
        <v>1174</v>
      </c>
      <c r="I33" s="265"/>
      <c r="J33" s="265"/>
      <c r="K33" s="265"/>
      <c r="L33" s="265"/>
      <c r="M33" s="265"/>
      <c r="N33" s="265"/>
      <c r="O33" s="272">
        <f>O10*(S33/S10)</f>
        <v>1375.6775700934579</v>
      </c>
      <c r="P33" s="273">
        <f>P40/(T40/T33)</f>
        <v>236442.33208045512</v>
      </c>
      <c r="Q33" s="265"/>
      <c r="R33" s="265"/>
      <c r="S33" s="180">
        <v>1455</v>
      </c>
      <c r="T33" s="241">
        <v>263995</v>
      </c>
      <c r="U33" s="253">
        <f t="shared" si="0"/>
        <v>0.94</v>
      </c>
      <c r="V33" s="180">
        <v>305</v>
      </c>
      <c r="W33" s="263">
        <v>26</v>
      </c>
      <c r="X33" s="275">
        <f t="shared" si="1"/>
        <v>79.322429906542084</v>
      </c>
      <c r="Y33" s="255">
        <f t="shared" si="8"/>
        <v>3.0508626887131571</v>
      </c>
      <c r="Z33" s="256">
        <f t="shared" si="2"/>
        <v>0.96</v>
      </c>
      <c r="AA33" s="274">
        <f t="shared" si="3"/>
        <v>27552.667919544881</v>
      </c>
      <c r="AB33" s="256">
        <f t="shared" si="4"/>
        <v>0.46</v>
      </c>
      <c r="AC33" s="257">
        <f t="shared" si="10"/>
        <v>0.11653018170269713</v>
      </c>
      <c r="AD33" s="256">
        <f t="shared" si="5"/>
        <v>0.16</v>
      </c>
      <c r="AE33" s="264"/>
      <c r="AF33" s="253">
        <v>0.5</v>
      </c>
      <c r="AG33" s="258">
        <f t="shared" si="6"/>
        <v>3.02</v>
      </c>
      <c r="AH33" s="259">
        <f t="shared" si="7"/>
        <v>4.3142857142857141</v>
      </c>
    </row>
    <row r="34" spans="1:34" ht="42">
      <c r="A34" s="262" t="s">
        <v>1171</v>
      </c>
      <c r="B34" s="262" t="s">
        <v>156</v>
      </c>
      <c r="C34" s="263">
        <v>32</v>
      </c>
      <c r="D34" s="262" t="s">
        <v>413</v>
      </c>
      <c r="E34" s="262" t="s">
        <v>157</v>
      </c>
      <c r="F34" s="264" t="s">
        <v>1804</v>
      </c>
      <c r="G34" s="265"/>
      <c r="H34" s="262" t="s">
        <v>1174</v>
      </c>
      <c r="I34" s="265"/>
      <c r="J34" s="265"/>
      <c r="K34" s="265"/>
      <c r="L34" s="265"/>
      <c r="M34" s="265"/>
      <c r="N34" s="265"/>
      <c r="O34" s="272">
        <f>O36/(S36/S34)</f>
        <v>8.1818181818181817</v>
      </c>
      <c r="P34" s="272">
        <f>P36/(T36/T34)</f>
        <v>7559.4879084224085</v>
      </c>
      <c r="Q34" s="265"/>
      <c r="R34" s="265"/>
      <c r="S34" s="180">
        <v>10</v>
      </c>
      <c r="T34" s="241">
        <v>12355</v>
      </c>
      <c r="U34" s="253">
        <f t="shared" si="0"/>
        <v>0.56000000000000005</v>
      </c>
      <c r="V34" s="180">
        <v>0</v>
      </c>
      <c r="W34" s="263">
        <v>26</v>
      </c>
      <c r="X34" s="275">
        <f t="shared" si="1"/>
        <v>1.8181818181818183</v>
      </c>
      <c r="Y34" s="255">
        <f t="shared" si="8"/>
        <v>6.9930069930069935E-2</v>
      </c>
      <c r="Z34" s="256">
        <f t="shared" si="2"/>
        <v>0.5</v>
      </c>
      <c r="AA34" s="274">
        <f t="shared" si="3"/>
        <v>4795.5120915775915</v>
      </c>
      <c r="AB34" s="256">
        <f t="shared" si="4"/>
        <v>0.35499999999999998</v>
      </c>
      <c r="AC34" s="257">
        <f t="shared" si="10"/>
        <v>0.63436996654689648</v>
      </c>
      <c r="AD34" s="256">
        <f t="shared" si="5"/>
        <v>0.435</v>
      </c>
      <c r="AE34" s="264"/>
      <c r="AF34" s="253">
        <v>0</v>
      </c>
      <c r="AG34" s="258">
        <f t="shared" si="6"/>
        <v>1.85</v>
      </c>
      <c r="AH34" s="259">
        <f t="shared" si="7"/>
        <v>2.6428571428571432</v>
      </c>
    </row>
    <row r="35" spans="1:34">
      <c r="A35" s="249" t="s">
        <v>1171</v>
      </c>
      <c r="B35" s="249" t="s">
        <v>158</v>
      </c>
      <c r="C35" s="250">
        <v>33</v>
      </c>
      <c r="D35" s="249" t="s">
        <v>413</v>
      </c>
      <c r="E35" s="249" t="s">
        <v>160</v>
      </c>
      <c r="H35" s="249" t="s">
        <v>1176</v>
      </c>
      <c r="S35" s="194"/>
      <c r="T35" s="219"/>
      <c r="U35" s="253">
        <f t="shared" si="0"/>
        <v>0</v>
      </c>
      <c r="V35" s="194"/>
      <c r="W35" s="254">
        <f t="shared" si="1"/>
        <v>0</v>
      </c>
      <c r="X35" s="254">
        <f t="shared" si="1"/>
        <v>0</v>
      </c>
      <c r="Y35" s="255">
        <v>0</v>
      </c>
      <c r="Z35" s="256">
        <f t="shared" si="2"/>
        <v>0</v>
      </c>
      <c r="AA35" s="254">
        <f t="shared" si="3"/>
        <v>0</v>
      </c>
      <c r="AB35" s="256">
        <f t="shared" si="4"/>
        <v>0</v>
      </c>
      <c r="AC35" s="257">
        <v>0</v>
      </c>
      <c r="AD35" s="256">
        <f t="shared" si="5"/>
        <v>0</v>
      </c>
      <c r="AF35" s="253">
        <v>0</v>
      </c>
      <c r="AG35" s="258">
        <f t="shared" si="6"/>
        <v>0</v>
      </c>
      <c r="AH35" s="259">
        <f t="shared" si="7"/>
        <v>0</v>
      </c>
    </row>
    <row r="36" spans="1:34" ht="28">
      <c r="A36" s="249" t="s">
        <v>1171</v>
      </c>
      <c r="B36" s="249" t="s">
        <v>161</v>
      </c>
      <c r="C36" s="250">
        <v>34</v>
      </c>
      <c r="D36" s="249" t="s">
        <v>413</v>
      </c>
      <c r="E36" s="249" t="s">
        <v>162</v>
      </c>
      <c r="F36" s="249" t="s">
        <v>1563</v>
      </c>
      <c r="G36" s="249" t="s">
        <v>1451</v>
      </c>
      <c r="H36" s="249" t="s">
        <v>1174</v>
      </c>
      <c r="I36" s="249" t="s">
        <v>133</v>
      </c>
      <c r="J36" s="249" t="s">
        <v>133</v>
      </c>
      <c r="K36" s="249" t="s">
        <v>1805</v>
      </c>
      <c r="L36" s="260" t="s">
        <v>1174</v>
      </c>
      <c r="M36" s="260" t="s">
        <v>1176</v>
      </c>
      <c r="N36" s="261">
        <v>41108</v>
      </c>
      <c r="O36" s="260">
        <v>18</v>
      </c>
      <c r="P36" s="260">
        <v>8071</v>
      </c>
      <c r="Q36" s="260">
        <v>60</v>
      </c>
      <c r="R36" s="252">
        <v>41134</v>
      </c>
      <c r="S36" s="194">
        <v>22</v>
      </c>
      <c r="T36" s="219">
        <v>13191</v>
      </c>
      <c r="U36" s="253">
        <f t="shared" si="0"/>
        <v>0.57999999999999996</v>
      </c>
      <c r="V36" s="194">
        <v>73</v>
      </c>
      <c r="W36" s="254">
        <f t="shared" si="1"/>
        <v>26</v>
      </c>
      <c r="X36" s="254">
        <f t="shared" si="1"/>
        <v>4</v>
      </c>
      <c r="Y36" s="255">
        <f t="shared" si="8"/>
        <v>0.15384615384615385</v>
      </c>
      <c r="Z36" s="256">
        <f t="shared" si="2"/>
        <v>0.59</v>
      </c>
      <c r="AA36" s="254">
        <f t="shared" si="3"/>
        <v>5120</v>
      </c>
      <c r="AB36" s="256">
        <f t="shared" si="4"/>
        <v>0.36499999999999999</v>
      </c>
      <c r="AC36" s="257">
        <f>(T36/P36)-1</f>
        <v>0.63436996654689626</v>
      </c>
      <c r="AD36" s="256">
        <f t="shared" si="5"/>
        <v>0.42499999999999999</v>
      </c>
      <c r="AE36" s="248" t="s">
        <v>1806</v>
      </c>
      <c r="AF36" s="253">
        <v>0</v>
      </c>
      <c r="AG36" s="258">
        <f t="shared" si="6"/>
        <v>1.96</v>
      </c>
      <c r="AH36" s="259">
        <f t="shared" si="7"/>
        <v>2.8</v>
      </c>
    </row>
    <row r="37" spans="1:34" ht="42">
      <c r="A37" s="262" t="s">
        <v>1171</v>
      </c>
      <c r="B37" s="262" t="s">
        <v>163</v>
      </c>
      <c r="C37" s="263">
        <v>35</v>
      </c>
      <c r="D37" s="262" t="s">
        <v>413</v>
      </c>
      <c r="E37" s="262" t="s">
        <v>164</v>
      </c>
      <c r="F37" s="264" t="s">
        <v>1807</v>
      </c>
      <c r="G37" s="265"/>
      <c r="H37" s="262" t="s">
        <v>1174</v>
      </c>
      <c r="I37" s="265"/>
      <c r="J37" s="265"/>
      <c r="K37" s="265"/>
      <c r="L37" s="265"/>
      <c r="M37" s="265"/>
      <c r="N37" s="265"/>
      <c r="O37" s="272">
        <f>O31*(S37/S31)</f>
        <v>100.80392156862746</v>
      </c>
      <c r="P37" s="272">
        <f>P4*(T37/T4)</f>
        <v>339.47058823529409</v>
      </c>
      <c r="Q37" s="265"/>
      <c r="R37" s="265"/>
      <c r="S37" s="180">
        <v>106</v>
      </c>
      <c r="T37" s="241">
        <v>464</v>
      </c>
      <c r="U37" s="253">
        <f t="shared" si="0"/>
        <v>0.08</v>
      </c>
      <c r="V37" s="180">
        <v>4</v>
      </c>
      <c r="W37" s="263">
        <v>26</v>
      </c>
      <c r="X37" s="275">
        <f t="shared" si="1"/>
        <v>5.1960784313725412</v>
      </c>
      <c r="Y37" s="255">
        <f t="shared" si="8"/>
        <v>0.19984917043740544</v>
      </c>
      <c r="Z37" s="256">
        <f t="shared" si="2"/>
        <v>0.64</v>
      </c>
      <c r="AA37" s="274">
        <f t="shared" si="3"/>
        <v>124.52941176470591</v>
      </c>
      <c r="AB37" s="256">
        <f t="shared" si="4"/>
        <v>0.155</v>
      </c>
      <c r="AC37" s="257">
        <f>(T37/P37)-1</f>
        <v>0.3668341708542715</v>
      </c>
      <c r="AD37" s="256">
        <f t="shared" si="5"/>
        <v>0.375</v>
      </c>
      <c r="AE37" s="264"/>
      <c r="AF37" s="253">
        <v>0</v>
      </c>
      <c r="AG37" s="258">
        <f t="shared" si="6"/>
        <v>1.25</v>
      </c>
      <c r="AH37" s="259">
        <f t="shared" si="7"/>
        <v>1.7857142857142858</v>
      </c>
    </row>
    <row r="38" spans="1:34">
      <c r="A38" s="249" t="s">
        <v>1171</v>
      </c>
      <c r="B38" s="249" t="s">
        <v>165</v>
      </c>
      <c r="C38" s="250">
        <v>36</v>
      </c>
      <c r="D38" s="249" t="s">
        <v>413</v>
      </c>
      <c r="E38" s="249" t="s">
        <v>166</v>
      </c>
      <c r="F38" s="249" t="s">
        <v>165</v>
      </c>
      <c r="G38" s="249" t="s">
        <v>1451</v>
      </c>
      <c r="H38" s="249" t="s">
        <v>1174</v>
      </c>
      <c r="I38" s="249" t="s">
        <v>133</v>
      </c>
      <c r="J38" s="249" t="s">
        <v>133</v>
      </c>
      <c r="K38" s="249" t="s">
        <v>1808</v>
      </c>
      <c r="L38" s="260" t="s">
        <v>1174</v>
      </c>
      <c r="M38" s="260" t="s">
        <v>1176</v>
      </c>
      <c r="N38" s="261">
        <v>41108</v>
      </c>
      <c r="O38" s="260">
        <v>1</v>
      </c>
      <c r="P38" s="260">
        <v>1704</v>
      </c>
      <c r="Q38" s="260">
        <v>0</v>
      </c>
      <c r="R38" s="252">
        <v>41134</v>
      </c>
      <c r="S38" s="194">
        <v>1</v>
      </c>
      <c r="T38" s="219">
        <v>2230</v>
      </c>
      <c r="U38" s="253">
        <f t="shared" si="0"/>
        <v>0.22</v>
      </c>
      <c r="V38" s="194">
        <v>0</v>
      </c>
      <c r="W38" s="254">
        <f t="shared" si="1"/>
        <v>26</v>
      </c>
      <c r="X38" s="254">
        <f t="shared" si="1"/>
        <v>0</v>
      </c>
      <c r="Y38" s="255">
        <f t="shared" si="8"/>
        <v>0</v>
      </c>
      <c r="Z38" s="256">
        <f t="shared" si="2"/>
        <v>0</v>
      </c>
      <c r="AA38" s="254">
        <f t="shared" si="3"/>
        <v>526</v>
      </c>
      <c r="AB38" s="256">
        <f t="shared" si="4"/>
        <v>0.185</v>
      </c>
      <c r="AC38" s="257">
        <f>(T38/P38)-1</f>
        <v>0.30868544600938974</v>
      </c>
      <c r="AD38" s="256">
        <f t="shared" si="5"/>
        <v>0.33500000000000002</v>
      </c>
      <c r="AE38" s="248" t="s">
        <v>1809</v>
      </c>
      <c r="AF38" s="253">
        <v>0</v>
      </c>
      <c r="AG38" s="258">
        <f t="shared" si="6"/>
        <v>0.74</v>
      </c>
      <c r="AH38" s="259">
        <f t="shared" si="7"/>
        <v>1.0571428571428572</v>
      </c>
    </row>
    <row r="39" spans="1:34">
      <c r="A39" s="249" t="s">
        <v>1171</v>
      </c>
      <c r="B39" s="249" t="s">
        <v>167</v>
      </c>
      <c r="C39" s="250">
        <v>37</v>
      </c>
      <c r="D39" s="249" t="s">
        <v>413</v>
      </c>
      <c r="E39" s="249" t="s">
        <v>168</v>
      </c>
      <c r="F39" s="249" t="s">
        <v>1573</v>
      </c>
      <c r="G39" s="249" t="s">
        <v>1451</v>
      </c>
      <c r="H39" s="249" t="s">
        <v>1174</v>
      </c>
      <c r="I39" s="249" t="s">
        <v>133</v>
      </c>
      <c r="J39" s="249" t="s">
        <v>133</v>
      </c>
      <c r="K39" s="249" t="s">
        <v>1810</v>
      </c>
      <c r="L39" s="249" t="s">
        <v>1176</v>
      </c>
      <c r="M39" s="249" t="s">
        <v>1176</v>
      </c>
      <c r="N39" s="261">
        <v>41124</v>
      </c>
      <c r="O39" s="260">
        <v>2</v>
      </c>
      <c r="P39" s="260">
        <v>30</v>
      </c>
      <c r="Q39" s="260">
        <v>2</v>
      </c>
      <c r="R39" s="252">
        <v>41134</v>
      </c>
      <c r="S39" s="194">
        <v>2</v>
      </c>
      <c r="T39" s="219">
        <v>35</v>
      </c>
      <c r="U39" s="253">
        <f t="shared" si="0"/>
        <v>0.04</v>
      </c>
      <c r="V39" s="194">
        <v>2</v>
      </c>
      <c r="W39" s="254">
        <f t="shared" si="1"/>
        <v>10</v>
      </c>
      <c r="X39" s="254">
        <f t="shared" si="1"/>
        <v>0</v>
      </c>
      <c r="Y39" s="255">
        <f t="shared" si="8"/>
        <v>0</v>
      </c>
      <c r="Z39" s="256">
        <f t="shared" si="2"/>
        <v>0</v>
      </c>
      <c r="AA39" s="254">
        <f t="shared" si="3"/>
        <v>5</v>
      </c>
      <c r="AB39" s="256">
        <f t="shared" si="4"/>
        <v>0.13</v>
      </c>
      <c r="AC39" s="257">
        <f>(T39/P39)-1</f>
        <v>0.16666666666666674</v>
      </c>
      <c r="AD39" s="256">
        <f t="shared" si="5"/>
        <v>0.22500000000000001</v>
      </c>
      <c r="AF39" s="253">
        <v>0</v>
      </c>
      <c r="AG39" s="258">
        <f t="shared" si="6"/>
        <v>0.39499999999999996</v>
      </c>
      <c r="AH39" s="259">
        <f t="shared" si="7"/>
        <v>0.56428571428571428</v>
      </c>
    </row>
    <row r="40" spans="1:34">
      <c r="A40" s="249" t="s">
        <v>1171</v>
      </c>
      <c r="B40" s="249" t="s">
        <v>169</v>
      </c>
      <c r="C40" s="250">
        <v>38</v>
      </c>
      <c r="D40" s="249" t="s">
        <v>413</v>
      </c>
      <c r="E40" s="249" t="s">
        <v>170</v>
      </c>
      <c r="F40" s="249" t="s">
        <v>1578</v>
      </c>
      <c r="G40" s="249" t="s">
        <v>1451</v>
      </c>
      <c r="H40" s="249" t="s">
        <v>1174</v>
      </c>
      <c r="I40" s="249" t="s">
        <v>133</v>
      </c>
      <c r="J40" s="249" t="s">
        <v>133</v>
      </c>
      <c r="K40" s="249" t="s">
        <v>1811</v>
      </c>
      <c r="L40" s="260" t="s">
        <v>1174</v>
      </c>
      <c r="M40" s="260" t="s">
        <v>1176</v>
      </c>
      <c r="N40" s="261">
        <v>41108</v>
      </c>
      <c r="O40" s="260">
        <v>238</v>
      </c>
      <c r="P40" s="260">
        <v>264498</v>
      </c>
      <c r="Q40" s="260">
        <v>221</v>
      </c>
      <c r="R40" s="252">
        <v>41134</v>
      </c>
      <c r="S40" s="194">
        <v>258</v>
      </c>
      <c r="T40" s="219">
        <v>295320</v>
      </c>
      <c r="U40" s="253">
        <f t="shared" si="0"/>
        <v>0.96</v>
      </c>
      <c r="V40" s="194">
        <v>231</v>
      </c>
      <c r="W40" s="254">
        <f t="shared" si="1"/>
        <v>26</v>
      </c>
      <c r="X40" s="254">
        <f t="shared" si="1"/>
        <v>20</v>
      </c>
      <c r="Y40" s="255">
        <f t="shared" si="8"/>
        <v>0.76923076923076927</v>
      </c>
      <c r="Z40" s="256">
        <f t="shared" si="2"/>
        <v>0.82</v>
      </c>
      <c r="AA40" s="254">
        <f t="shared" si="3"/>
        <v>30822</v>
      </c>
      <c r="AB40" s="256">
        <f t="shared" si="4"/>
        <v>0.46500000000000002</v>
      </c>
      <c r="AC40" s="257">
        <f>(T40/P40)-1</f>
        <v>0.11653018170269713</v>
      </c>
      <c r="AD40" s="256">
        <f t="shared" si="5"/>
        <v>0.16</v>
      </c>
      <c r="AE40" s="248" t="s">
        <v>1791</v>
      </c>
      <c r="AF40" s="253">
        <v>0</v>
      </c>
      <c r="AG40" s="258">
        <f t="shared" si="6"/>
        <v>2.4049999999999998</v>
      </c>
      <c r="AH40" s="259">
        <f t="shared" si="7"/>
        <v>3.4357142857142855</v>
      </c>
    </row>
    <row r="41" spans="1:34">
      <c r="A41" s="249" t="s">
        <v>1171</v>
      </c>
      <c r="B41" s="249" t="s">
        <v>171</v>
      </c>
      <c r="C41" s="250">
        <v>39</v>
      </c>
      <c r="D41" s="249" t="s">
        <v>413</v>
      </c>
      <c r="E41" s="249" t="s">
        <v>173</v>
      </c>
      <c r="H41" s="249" t="s">
        <v>1176</v>
      </c>
      <c r="S41" s="194"/>
      <c r="T41" s="219"/>
      <c r="U41" s="253">
        <f t="shared" si="0"/>
        <v>0</v>
      </c>
      <c r="V41" s="194"/>
      <c r="W41" s="254">
        <f t="shared" si="1"/>
        <v>0</v>
      </c>
      <c r="X41" s="254">
        <f t="shared" si="1"/>
        <v>0</v>
      </c>
      <c r="Y41" s="255">
        <v>0</v>
      </c>
      <c r="Z41" s="256">
        <f t="shared" si="2"/>
        <v>0</v>
      </c>
      <c r="AA41" s="254">
        <f t="shared" si="3"/>
        <v>0</v>
      </c>
      <c r="AB41" s="256">
        <f t="shared" si="4"/>
        <v>0</v>
      </c>
      <c r="AC41" s="257">
        <v>0</v>
      </c>
      <c r="AD41" s="256">
        <f t="shared" si="5"/>
        <v>0</v>
      </c>
      <c r="AF41" s="253">
        <v>0</v>
      </c>
      <c r="AG41" s="258">
        <f t="shared" si="6"/>
        <v>0</v>
      </c>
      <c r="AH41" s="259">
        <f t="shared" si="7"/>
        <v>0</v>
      </c>
    </row>
    <row r="42" spans="1:34">
      <c r="A42" s="249" t="s">
        <v>1171</v>
      </c>
      <c r="B42" s="249" t="s">
        <v>174</v>
      </c>
      <c r="C42" s="250">
        <v>40</v>
      </c>
      <c r="D42" s="249" t="s">
        <v>413</v>
      </c>
      <c r="E42" s="249" t="s">
        <v>176</v>
      </c>
      <c r="F42" s="249" t="s">
        <v>174</v>
      </c>
      <c r="G42" s="249" t="s">
        <v>1451</v>
      </c>
      <c r="H42" s="249" t="s">
        <v>1174</v>
      </c>
      <c r="I42" s="249" t="s">
        <v>133</v>
      </c>
      <c r="J42" s="249" t="s">
        <v>133</v>
      </c>
      <c r="K42" s="249" t="s">
        <v>1812</v>
      </c>
      <c r="L42" s="260" t="s">
        <v>1174</v>
      </c>
      <c r="M42" s="260" t="s">
        <v>1176</v>
      </c>
      <c r="N42" s="261">
        <v>41108</v>
      </c>
      <c r="O42" s="260">
        <v>169</v>
      </c>
      <c r="P42" s="260">
        <v>99467</v>
      </c>
      <c r="Q42" s="260">
        <v>73</v>
      </c>
      <c r="R42" s="252">
        <v>41134</v>
      </c>
      <c r="S42" s="194">
        <v>194</v>
      </c>
      <c r="T42" s="219">
        <v>134578</v>
      </c>
      <c r="U42" s="253">
        <f t="shared" si="0"/>
        <v>0.92</v>
      </c>
      <c r="V42" s="194">
        <v>73</v>
      </c>
      <c r="W42" s="254">
        <f t="shared" si="1"/>
        <v>26</v>
      </c>
      <c r="X42" s="254">
        <f t="shared" si="1"/>
        <v>25</v>
      </c>
      <c r="Y42" s="255">
        <f t="shared" si="8"/>
        <v>0.96153846153846156</v>
      </c>
      <c r="Z42" s="256">
        <f t="shared" si="2"/>
        <v>0.87</v>
      </c>
      <c r="AA42" s="254">
        <f t="shared" si="3"/>
        <v>35111</v>
      </c>
      <c r="AB42" s="256">
        <f t="shared" si="4"/>
        <v>0.48</v>
      </c>
      <c r="AC42" s="257">
        <f>(T42/P42)-1</f>
        <v>0.35299144439864483</v>
      </c>
      <c r="AD42" s="256">
        <f t="shared" si="5"/>
        <v>0.35499999999999998</v>
      </c>
      <c r="AE42" s="248" t="s">
        <v>1791</v>
      </c>
      <c r="AF42" s="253">
        <v>0</v>
      </c>
      <c r="AG42" s="258">
        <f t="shared" si="6"/>
        <v>2.625</v>
      </c>
      <c r="AH42" s="259">
        <f t="shared" si="7"/>
        <v>3.75</v>
      </c>
    </row>
    <row r="43" spans="1:34">
      <c r="A43" s="249" t="s">
        <v>1171</v>
      </c>
      <c r="B43" s="249" t="s">
        <v>177</v>
      </c>
      <c r="C43" s="250">
        <v>41</v>
      </c>
      <c r="D43" s="249" t="s">
        <v>413</v>
      </c>
      <c r="E43" s="249" t="s">
        <v>179</v>
      </c>
      <c r="F43" s="249" t="s">
        <v>1813</v>
      </c>
      <c r="G43" s="249" t="s">
        <v>1451</v>
      </c>
      <c r="H43" s="249" t="s">
        <v>1174</v>
      </c>
      <c r="I43" s="249" t="s">
        <v>133</v>
      </c>
      <c r="J43" s="249" t="s">
        <v>133</v>
      </c>
      <c r="K43" s="249" t="s">
        <v>1814</v>
      </c>
      <c r="L43" s="260" t="s">
        <v>1174</v>
      </c>
      <c r="M43" s="260" t="s">
        <v>1176</v>
      </c>
      <c r="N43" s="261">
        <v>41108</v>
      </c>
      <c r="O43" s="260">
        <v>42</v>
      </c>
      <c r="P43" s="260">
        <v>0</v>
      </c>
      <c r="Q43" s="260">
        <v>1</v>
      </c>
      <c r="R43" s="252">
        <v>41134</v>
      </c>
      <c r="S43" s="194">
        <v>60</v>
      </c>
      <c r="T43" s="219">
        <v>1802</v>
      </c>
      <c r="U43" s="253">
        <f t="shared" si="0"/>
        <v>0.18</v>
      </c>
      <c r="V43" s="194">
        <v>0</v>
      </c>
      <c r="W43" s="254">
        <f t="shared" si="1"/>
        <v>26</v>
      </c>
      <c r="X43" s="254">
        <f t="shared" si="1"/>
        <v>18</v>
      </c>
      <c r="Y43" s="255">
        <f t="shared" si="8"/>
        <v>0.69230769230769229</v>
      </c>
      <c r="Z43" s="256">
        <f t="shared" si="2"/>
        <v>0.79</v>
      </c>
      <c r="AA43" s="254">
        <f t="shared" si="3"/>
        <v>1802</v>
      </c>
      <c r="AB43" s="256">
        <f t="shared" si="4"/>
        <v>0.3</v>
      </c>
      <c r="AC43" s="257">
        <v>0</v>
      </c>
      <c r="AD43" s="256">
        <f t="shared" si="5"/>
        <v>0</v>
      </c>
      <c r="AE43" s="248" t="s">
        <v>1791</v>
      </c>
      <c r="AF43" s="253">
        <v>0</v>
      </c>
      <c r="AG43" s="258">
        <f t="shared" si="6"/>
        <v>1.27</v>
      </c>
      <c r="AH43" s="259">
        <f t="shared" si="7"/>
        <v>1.8142857142857143</v>
      </c>
    </row>
    <row r="44" spans="1:34" ht="28">
      <c r="A44" s="249" t="s">
        <v>1171</v>
      </c>
      <c r="B44" s="249" t="s">
        <v>180</v>
      </c>
      <c r="C44" s="250">
        <v>42</v>
      </c>
      <c r="D44" s="249" t="s">
        <v>413</v>
      </c>
      <c r="E44" s="249" t="s">
        <v>181</v>
      </c>
      <c r="F44" s="249" t="s">
        <v>1815</v>
      </c>
      <c r="G44" s="249" t="s">
        <v>1451</v>
      </c>
      <c r="H44" s="249" t="s">
        <v>1174</v>
      </c>
      <c r="I44" s="249" t="s">
        <v>133</v>
      </c>
      <c r="J44" s="249" t="s">
        <v>133</v>
      </c>
      <c r="K44" s="249" t="s">
        <v>1815</v>
      </c>
      <c r="L44" s="260" t="s">
        <v>1174</v>
      </c>
      <c r="M44" s="260" t="s">
        <v>1176</v>
      </c>
      <c r="N44" s="261">
        <v>41108</v>
      </c>
      <c r="O44" s="260">
        <v>7</v>
      </c>
      <c r="P44" s="260">
        <v>6684</v>
      </c>
      <c r="Q44" s="260">
        <v>6</v>
      </c>
      <c r="R44" s="252">
        <v>41134</v>
      </c>
      <c r="S44" s="194">
        <v>7</v>
      </c>
      <c r="T44" s="219">
        <v>7497</v>
      </c>
      <c r="U44" s="253">
        <f t="shared" si="0"/>
        <v>0.48</v>
      </c>
      <c r="V44" s="194">
        <v>6</v>
      </c>
      <c r="W44" s="254">
        <f t="shared" si="1"/>
        <v>26</v>
      </c>
      <c r="X44" s="254">
        <f t="shared" si="1"/>
        <v>0</v>
      </c>
      <c r="Y44" s="255">
        <f t="shared" si="8"/>
        <v>0</v>
      </c>
      <c r="Z44" s="256">
        <f t="shared" si="2"/>
        <v>0</v>
      </c>
      <c r="AA44" s="254">
        <f t="shared" si="3"/>
        <v>813</v>
      </c>
      <c r="AB44" s="256">
        <f t="shared" si="4"/>
        <v>0.22500000000000001</v>
      </c>
      <c r="AC44" s="257">
        <f>(T44/P44)-1</f>
        <v>0.12163375224416506</v>
      </c>
      <c r="AD44" s="256">
        <f t="shared" si="5"/>
        <v>0.17499999999999999</v>
      </c>
      <c r="AE44" s="248" t="s">
        <v>1816</v>
      </c>
      <c r="AF44" s="253">
        <v>0</v>
      </c>
      <c r="AG44" s="258">
        <f t="shared" si="6"/>
        <v>0.88</v>
      </c>
      <c r="AH44" s="259">
        <f t="shared" si="7"/>
        <v>1.2571428571428571</v>
      </c>
    </row>
    <row r="45" spans="1:34" ht="42">
      <c r="A45" s="262" t="s">
        <v>1171</v>
      </c>
      <c r="B45" s="262" t="s">
        <v>182</v>
      </c>
      <c r="C45" s="263">
        <v>43</v>
      </c>
      <c r="D45" s="262" t="s">
        <v>413</v>
      </c>
      <c r="E45" s="262" t="s">
        <v>184</v>
      </c>
      <c r="F45" s="264" t="s">
        <v>1817</v>
      </c>
      <c r="G45" s="265"/>
      <c r="H45" s="262" t="s">
        <v>1174</v>
      </c>
      <c r="I45" s="265"/>
      <c r="J45" s="265"/>
      <c r="K45" s="265"/>
      <c r="L45" s="265"/>
      <c r="M45" s="265"/>
      <c r="N45" s="265"/>
      <c r="O45" s="272">
        <f>O29*(S45/S29)</f>
        <v>313.87320574162675</v>
      </c>
      <c r="P45" s="273">
        <f>P29*(T45/T29)</f>
        <v>48595.657316336488</v>
      </c>
      <c r="Q45" s="265"/>
      <c r="R45" s="265"/>
      <c r="S45" s="180">
        <v>433</v>
      </c>
      <c r="T45" s="241">
        <v>72756</v>
      </c>
      <c r="U45" s="265">
        <f t="shared" si="0"/>
        <v>0.8</v>
      </c>
      <c r="V45" s="180">
        <v>132</v>
      </c>
      <c r="W45" s="263">
        <v>26</v>
      </c>
      <c r="X45" s="275">
        <f t="shared" si="1"/>
        <v>119.12679425837325</v>
      </c>
      <c r="Y45" s="255">
        <f t="shared" si="8"/>
        <v>4.5817997791682021</v>
      </c>
      <c r="Z45" s="256">
        <f t="shared" si="2"/>
        <v>1</v>
      </c>
      <c r="AA45" s="274">
        <f t="shared" si="3"/>
        <v>24160.342683663512</v>
      </c>
      <c r="AB45" s="256">
        <f t="shared" si="4"/>
        <v>0.45</v>
      </c>
      <c r="AC45" s="257">
        <f>(T45/P45)-1</f>
        <v>0.49717081768007043</v>
      </c>
      <c r="AD45" s="256">
        <f t="shared" si="5"/>
        <v>0.40500000000000003</v>
      </c>
      <c r="AE45" s="264"/>
      <c r="AF45" s="253">
        <v>0</v>
      </c>
      <c r="AG45" s="258">
        <f t="shared" si="6"/>
        <v>2.6550000000000002</v>
      </c>
      <c r="AH45" s="259">
        <f t="shared" si="7"/>
        <v>3.7928571428571431</v>
      </c>
    </row>
    <row r="46" spans="1:34" ht="28">
      <c r="A46" s="249" t="s">
        <v>1171</v>
      </c>
      <c r="B46" s="249" t="s">
        <v>185</v>
      </c>
      <c r="C46" s="250">
        <v>44</v>
      </c>
      <c r="D46" s="249" t="s">
        <v>413</v>
      </c>
      <c r="E46" s="249" t="s">
        <v>186</v>
      </c>
      <c r="F46" s="249" t="s">
        <v>185</v>
      </c>
      <c r="G46" s="249" t="s">
        <v>1451</v>
      </c>
      <c r="H46" s="249" t="s">
        <v>1174</v>
      </c>
      <c r="I46" s="249" t="s">
        <v>133</v>
      </c>
      <c r="J46" s="249" t="s">
        <v>133</v>
      </c>
      <c r="K46" s="249" t="s">
        <v>1818</v>
      </c>
      <c r="L46" s="260" t="s">
        <v>1174</v>
      </c>
      <c r="M46" s="260" t="s">
        <v>1176</v>
      </c>
      <c r="N46" s="261">
        <v>41108</v>
      </c>
      <c r="O46" s="260">
        <v>190</v>
      </c>
      <c r="P46" s="260">
        <v>12197</v>
      </c>
      <c r="Q46" s="260">
        <v>30</v>
      </c>
      <c r="R46" s="252">
        <v>41134</v>
      </c>
      <c r="S46" s="194">
        <v>196</v>
      </c>
      <c r="T46" s="219">
        <v>13851</v>
      </c>
      <c r="U46" s="253">
        <f t="shared" si="0"/>
        <v>0.62</v>
      </c>
      <c r="V46" s="194">
        <v>30</v>
      </c>
      <c r="W46" s="254">
        <f t="shared" si="1"/>
        <v>26</v>
      </c>
      <c r="X46" s="254">
        <f t="shared" si="1"/>
        <v>6</v>
      </c>
      <c r="Y46" s="255">
        <f t="shared" si="8"/>
        <v>0.23076923076923078</v>
      </c>
      <c r="Z46" s="256">
        <f t="shared" si="2"/>
        <v>0.65</v>
      </c>
      <c r="AA46" s="254">
        <f t="shared" si="3"/>
        <v>1654</v>
      </c>
      <c r="AB46" s="256">
        <f t="shared" si="4"/>
        <v>0.29499999999999998</v>
      </c>
      <c r="AC46" s="257">
        <f>(T46/P46)-1</f>
        <v>0.13560711650405843</v>
      </c>
      <c r="AD46" s="256">
        <f t="shared" si="5"/>
        <v>0.2</v>
      </c>
      <c r="AE46" s="248" t="s">
        <v>1819</v>
      </c>
      <c r="AF46" s="253">
        <v>0</v>
      </c>
      <c r="AG46" s="258">
        <f t="shared" si="6"/>
        <v>1.7650000000000001</v>
      </c>
      <c r="AH46" s="259">
        <f t="shared" si="7"/>
        <v>2.5214285714285718</v>
      </c>
    </row>
    <row r="47" spans="1:34">
      <c r="A47" s="249" t="s">
        <v>1171</v>
      </c>
      <c r="B47" s="249" t="s">
        <v>187</v>
      </c>
      <c r="C47" s="250">
        <v>45</v>
      </c>
      <c r="D47" s="249" t="s">
        <v>413</v>
      </c>
      <c r="E47" s="249" t="s">
        <v>189</v>
      </c>
      <c r="H47" s="249" t="s">
        <v>1176</v>
      </c>
      <c r="S47" s="194"/>
      <c r="T47" s="219"/>
      <c r="U47" s="253">
        <f t="shared" si="0"/>
        <v>0</v>
      </c>
      <c r="V47" s="194"/>
      <c r="W47" s="254">
        <f t="shared" si="1"/>
        <v>0</v>
      </c>
      <c r="X47" s="254">
        <f t="shared" si="1"/>
        <v>0</v>
      </c>
      <c r="Y47" s="255">
        <v>0</v>
      </c>
      <c r="Z47" s="256">
        <f t="shared" si="2"/>
        <v>0</v>
      </c>
      <c r="AA47" s="254">
        <f t="shared" si="3"/>
        <v>0</v>
      </c>
      <c r="AB47" s="256">
        <f t="shared" si="4"/>
        <v>0</v>
      </c>
      <c r="AC47" s="257">
        <v>0</v>
      </c>
      <c r="AD47" s="256">
        <f t="shared" si="5"/>
        <v>0</v>
      </c>
      <c r="AF47" s="253">
        <v>0</v>
      </c>
      <c r="AG47" s="258">
        <f t="shared" si="6"/>
        <v>0</v>
      </c>
      <c r="AH47" s="259">
        <f t="shared" si="7"/>
        <v>0</v>
      </c>
    </row>
    <row r="48" spans="1:34">
      <c r="A48" s="249" t="s">
        <v>1171</v>
      </c>
      <c r="B48" s="249" t="s">
        <v>190</v>
      </c>
      <c r="C48" s="250">
        <v>46</v>
      </c>
      <c r="D48" s="249" t="s">
        <v>413</v>
      </c>
      <c r="E48" s="249" t="s">
        <v>1322</v>
      </c>
      <c r="F48" s="249" t="s">
        <v>190</v>
      </c>
      <c r="G48" s="249" t="s">
        <v>1451</v>
      </c>
      <c r="H48" s="249" t="s">
        <v>1174</v>
      </c>
      <c r="I48" s="249" t="s">
        <v>133</v>
      </c>
      <c r="J48" s="249" t="s">
        <v>133</v>
      </c>
      <c r="K48" s="249" t="s">
        <v>1820</v>
      </c>
      <c r="L48" s="249" t="s">
        <v>1174</v>
      </c>
      <c r="M48" s="249" t="s">
        <v>1176</v>
      </c>
      <c r="N48" s="261">
        <v>41124</v>
      </c>
      <c r="O48" s="260">
        <v>24</v>
      </c>
      <c r="P48" s="260">
        <v>3965</v>
      </c>
      <c r="Q48" s="260">
        <v>3556</v>
      </c>
      <c r="R48" s="252">
        <v>41134</v>
      </c>
      <c r="S48" s="194">
        <v>24</v>
      </c>
      <c r="T48" s="219">
        <v>4500</v>
      </c>
      <c r="U48" s="253">
        <f t="shared" si="0"/>
        <v>0.36</v>
      </c>
      <c r="V48" s="194">
        <v>3126</v>
      </c>
      <c r="W48" s="254">
        <f t="shared" si="1"/>
        <v>10</v>
      </c>
      <c r="X48" s="254">
        <f t="shared" si="1"/>
        <v>0</v>
      </c>
      <c r="Y48" s="255">
        <f t="shared" si="8"/>
        <v>0</v>
      </c>
      <c r="Z48" s="256">
        <f t="shared" si="2"/>
        <v>0</v>
      </c>
      <c r="AA48" s="254">
        <f t="shared" si="3"/>
        <v>535</v>
      </c>
      <c r="AB48" s="256">
        <f t="shared" si="4"/>
        <v>0.2</v>
      </c>
      <c r="AC48" s="257">
        <f>(T48/P48)-1</f>
        <v>0.13493064312736447</v>
      </c>
      <c r="AD48" s="256">
        <f t="shared" si="5"/>
        <v>0.19500000000000001</v>
      </c>
      <c r="AE48" s="248" t="s">
        <v>1821</v>
      </c>
      <c r="AF48" s="253">
        <v>0</v>
      </c>
      <c r="AG48" s="258">
        <f t="shared" si="6"/>
        <v>0.755</v>
      </c>
      <c r="AH48" s="259">
        <f t="shared" si="7"/>
        <v>1.0785714285714285</v>
      </c>
    </row>
    <row r="49" spans="1:34">
      <c r="A49" s="249" t="s">
        <v>1171</v>
      </c>
      <c r="B49" s="249" t="s">
        <v>193</v>
      </c>
      <c r="C49" s="250">
        <v>47</v>
      </c>
      <c r="D49" s="249" t="s">
        <v>413</v>
      </c>
      <c r="E49" s="249" t="s">
        <v>195</v>
      </c>
      <c r="H49" s="249" t="s">
        <v>1176</v>
      </c>
      <c r="S49" s="194"/>
      <c r="T49" s="219"/>
      <c r="U49" s="253">
        <f t="shared" si="0"/>
        <v>0</v>
      </c>
      <c r="V49" s="194"/>
      <c r="W49" s="254">
        <f t="shared" si="1"/>
        <v>0</v>
      </c>
      <c r="X49" s="254">
        <f t="shared" si="1"/>
        <v>0</v>
      </c>
      <c r="Y49" s="255">
        <v>0</v>
      </c>
      <c r="Z49" s="256">
        <f t="shared" si="2"/>
        <v>0</v>
      </c>
      <c r="AA49" s="254">
        <f t="shared" si="3"/>
        <v>0</v>
      </c>
      <c r="AB49" s="256">
        <f t="shared" si="4"/>
        <v>0</v>
      </c>
      <c r="AC49" s="257">
        <v>0</v>
      </c>
      <c r="AD49" s="256">
        <f t="shared" si="5"/>
        <v>0</v>
      </c>
      <c r="AF49" s="253">
        <v>0</v>
      </c>
      <c r="AG49" s="258">
        <f t="shared" si="6"/>
        <v>0</v>
      </c>
      <c r="AH49" s="259">
        <f t="shared" si="7"/>
        <v>0</v>
      </c>
    </row>
    <row r="50" spans="1:34" ht="42">
      <c r="A50" s="249" t="s">
        <v>1171</v>
      </c>
      <c r="B50" s="249" t="s">
        <v>196</v>
      </c>
      <c r="C50" s="250">
        <v>48</v>
      </c>
      <c r="D50" s="249" t="s">
        <v>413</v>
      </c>
      <c r="E50" s="249" t="s">
        <v>198</v>
      </c>
      <c r="F50" s="249" t="s">
        <v>1822</v>
      </c>
      <c r="G50" s="249" t="s">
        <v>1451</v>
      </c>
      <c r="H50" s="249" t="s">
        <v>1174</v>
      </c>
      <c r="I50" s="249" t="s">
        <v>133</v>
      </c>
      <c r="J50" s="249" t="s">
        <v>133</v>
      </c>
      <c r="K50" s="249" t="s">
        <v>1823</v>
      </c>
      <c r="L50" s="249" t="s">
        <v>1174</v>
      </c>
      <c r="M50" s="249" t="s">
        <v>1176</v>
      </c>
      <c r="N50" s="261">
        <v>41124</v>
      </c>
      <c r="O50" s="260">
        <v>89</v>
      </c>
      <c r="P50" s="260">
        <v>2523</v>
      </c>
      <c r="Q50" s="260">
        <v>0</v>
      </c>
      <c r="R50" s="252">
        <v>41134</v>
      </c>
      <c r="S50" s="194">
        <v>89</v>
      </c>
      <c r="T50" s="219">
        <v>2523</v>
      </c>
      <c r="U50" s="253">
        <f t="shared" si="0"/>
        <v>0.24</v>
      </c>
      <c r="V50" s="194">
        <v>0</v>
      </c>
      <c r="W50" s="254">
        <f t="shared" si="1"/>
        <v>10</v>
      </c>
      <c r="X50" s="254">
        <f t="shared" si="1"/>
        <v>0</v>
      </c>
      <c r="Y50" s="255">
        <f t="shared" si="8"/>
        <v>0</v>
      </c>
      <c r="Z50" s="256">
        <f t="shared" si="2"/>
        <v>0</v>
      </c>
      <c r="AA50" s="254">
        <f t="shared" si="3"/>
        <v>0</v>
      </c>
      <c r="AB50" s="256">
        <f t="shared" si="4"/>
        <v>0</v>
      </c>
      <c r="AC50" s="257">
        <f>(T50/P50)-1</f>
        <v>0</v>
      </c>
      <c r="AD50" s="256">
        <f t="shared" si="5"/>
        <v>0</v>
      </c>
      <c r="AE50" s="248" t="s">
        <v>1824</v>
      </c>
      <c r="AF50" s="253">
        <v>0</v>
      </c>
      <c r="AG50" s="258">
        <f t="shared" si="6"/>
        <v>0.24</v>
      </c>
      <c r="AH50" s="259">
        <f t="shared" si="7"/>
        <v>0.34285714285714286</v>
      </c>
    </row>
    <row r="51" spans="1:34">
      <c r="A51" s="249" t="s">
        <v>1171</v>
      </c>
      <c r="B51" s="249" t="s">
        <v>199</v>
      </c>
      <c r="C51" s="250">
        <v>49</v>
      </c>
      <c r="D51" s="249" t="s">
        <v>413</v>
      </c>
      <c r="E51" s="249" t="s">
        <v>200</v>
      </c>
      <c r="H51" s="249" t="s">
        <v>1176</v>
      </c>
      <c r="S51" s="194"/>
      <c r="T51" s="219"/>
      <c r="U51" s="253">
        <f t="shared" si="0"/>
        <v>0</v>
      </c>
      <c r="V51" s="194"/>
      <c r="W51" s="254">
        <f t="shared" si="1"/>
        <v>0</v>
      </c>
      <c r="X51" s="254">
        <f t="shared" si="1"/>
        <v>0</v>
      </c>
      <c r="Y51" s="255">
        <v>0</v>
      </c>
      <c r="Z51" s="256">
        <f t="shared" si="2"/>
        <v>0</v>
      </c>
      <c r="AA51" s="254">
        <f t="shared" si="3"/>
        <v>0</v>
      </c>
      <c r="AB51" s="256">
        <f t="shared" si="4"/>
        <v>0</v>
      </c>
      <c r="AC51" s="257">
        <v>0</v>
      </c>
      <c r="AD51" s="256">
        <f t="shared" si="5"/>
        <v>0</v>
      </c>
      <c r="AF51" s="253">
        <v>0</v>
      </c>
      <c r="AG51" s="258">
        <f t="shared" si="6"/>
        <v>0</v>
      </c>
      <c r="AH51" s="259">
        <f t="shared" si="7"/>
        <v>0</v>
      </c>
    </row>
    <row r="52" spans="1:34">
      <c r="A52" s="249" t="s">
        <v>1171</v>
      </c>
      <c r="B52" s="249" t="s">
        <v>201</v>
      </c>
      <c r="C52" s="250">
        <v>50</v>
      </c>
      <c r="D52" s="249" t="s">
        <v>413</v>
      </c>
      <c r="E52" s="249" t="s">
        <v>202</v>
      </c>
      <c r="F52" s="249" t="s">
        <v>1825</v>
      </c>
      <c r="G52" s="249" t="s">
        <v>1451</v>
      </c>
      <c r="H52" s="249" t="s">
        <v>1174</v>
      </c>
      <c r="I52" s="249" t="s">
        <v>133</v>
      </c>
      <c r="J52" s="249" t="s">
        <v>133</v>
      </c>
      <c r="K52" s="249" t="s">
        <v>1825</v>
      </c>
      <c r="L52" s="260" t="s">
        <v>1174</v>
      </c>
      <c r="M52" s="260" t="s">
        <v>1176</v>
      </c>
      <c r="N52" s="261">
        <v>41108</v>
      </c>
      <c r="O52" s="260">
        <v>114</v>
      </c>
      <c r="P52" s="260">
        <v>78643</v>
      </c>
      <c r="Q52" s="260">
        <v>57</v>
      </c>
      <c r="R52" s="252">
        <v>41134</v>
      </c>
      <c r="S52" s="194">
        <v>150</v>
      </c>
      <c r="T52" s="219">
        <v>97838</v>
      </c>
      <c r="U52" s="253">
        <f t="shared" si="0"/>
        <v>0.86</v>
      </c>
      <c r="V52" s="194">
        <v>69</v>
      </c>
      <c r="W52" s="254">
        <f t="shared" si="1"/>
        <v>26</v>
      </c>
      <c r="X52" s="254">
        <f t="shared" si="1"/>
        <v>36</v>
      </c>
      <c r="Y52" s="255">
        <f t="shared" si="8"/>
        <v>1.3846153846153846</v>
      </c>
      <c r="Z52" s="256">
        <f t="shared" si="2"/>
        <v>0.9</v>
      </c>
      <c r="AA52" s="254">
        <f t="shared" si="3"/>
        <v>19195</v>
      </c>
      <c r="AB52" s="256">
        <f t="shared" si="4"/>
        <v>0.42499999999999999</v>
      </c>
      <c r="AC52" s="257">
        <f>(T52/P52)-1</f>
        <v>0.24407766743384651</v>
      </c>
      <c r="AD52" s="256">
        <f t="shared" si="5"/>
        <v>0.3</v>
      </c>
      <c r="AE52" s="248" t="s">
        <v>1826</v>
      </c>
      <c r="AF52" s="253">
        <v>0</v>
      </c>
      <c r="AG52" s="258">
        <f t="shared" si="6"/>
        <v>2.4849999999999999</v>
      </c>
      <c r="AH52" s="259">
        <f t="shared" si="7"/>
        <v>3.55</v>
      </c>
    </row>
    <row r="53" spans="1:34">
      <c r="A53" s="249" t="s">
        <v>1171</v>
      </c>
      <c r="B53" s="249" t="s">
        <v>203</v>
      </c>
      <c r="C53" s="250">
        <v>51</v>
      </c>
      <c r="D53" s="249" t="s">
        <v>413</v>
      </c>
      <c r="E53" s="249" t="s">
        <v>1827</v>
      </c>
      <c r="F53" s="249" t="s">
        <v>1828</v>
      </c>
      <c r="G53" s="249" t="s">
        <v>1451</v>
      </c>
      <c r="H53" s="249" t="s">
        <v>1174</v>
      </c>
      <c r="I53" s="249" t="s">
        <v>133</v>
      </c>
      <c r="J53" s="249" t="s">
        <v>133</v>
      </c>
      <c r="K53" s="249" t="s">
        <v>1828</v>
      </c>
      <c r="L53" s="260" t="s">
        <v>1174</v>
      </c>
      <c r="M53" s="260" t="s">
        <v>1176</v>
      </c>
      <c r="N53" s="261">
        <v>41108</v>
      </c>
      <c r="O53" s="260">
        <v>14</v>
      </c>
      <c r="P53" s="260">
        <v>592</v>
      </c>
      <c r="Q53" s="260">
        <v>50</v>
      </c>
      <c r="R53" s="252">
        <v>41134</v>
      </c>
      <c r="S53" s="194">
        <v>22</v>
      </c>
      <c r="T53" s="219">
        <v>970</v>
      </c>
      <c r="U53" s="253">
        <f t="shared" si="0"/>
        <v>0.1</v>
      </c>
      <c r="V53" s="194">
        <v>50</v>
      </c>
      <c r="W53" s="254">
        <f t="shared" si="1"/>
        <v>26</v>
      </c>
      <c r="X53" s="254">
        <f t="shared" si="1"/>
        <v>8</v>
      </c>
      <c r="Y53" s="255">
        <f t="shared" si="8"/>
        <v>0.30769230769230771</v>
      </c>
      <c r="Z53" s="256">
        <f t="shared" si="2"/>
        <v>0.71</v>
      </c>
      <c r="AA53" s="254">
        <f t="shared" si="3"/>
        <v>378</v>
      </c>
      <c r="AB53" s="256">
        <f t="shared" si="4"/>
        <v>0.17499999999999999</v>
      </c>
      <c r="AC53" s="257">
        <f>(T53/P53)-1</f>
        <v>0.6385135135135136</v>
      </c>
      <c r="AD53" s="256">
        <f t="shared" si="5"/>
        <v>0.44500000000000001</v>
      </c>
      <c r="AE53" s="248" t="s">
        <v>1829</v>
      </c>
      <c r="AF53" s="253">
        <v>0</v>
      </c>
      <c r="AG53" s="258">
        <f t="shared" si="6"/>
        <v>1.4300000000000002</v>
      </c>
      <c r="AH53" s="259">
        <f t="shared" si="7"/>
        <v>2.0428571428571431</v>
      </c>
    </row>
    <row r="54" spans="1:34">
      <c r="A54" s="249" t="s">
        <v>1171</v>
      </c>
      <c r="B54" s="249" t="s">
        <v>206</v>
      </c>
      <c r="C54" s="250">
        <v>52</v>
      </c>
      <c r="D54" s="249" t="s">
        <v>413</v>
      </c>
      <c r="E54" s="249" t="s">
        <v>208</v>
      </c>
      <c r="H54" s="249" t="s">
        <v>1176</v>
      </c>
      <c r="S54" s="194"/>
      <c r="T54" s="219"/>
      <c r="U54" s="253">
        <f t="shared" si="0"/>
        <v>0</v>
      </c>
      <c r="V54" s="194"/>
      <c r="W54" s="254">
        <f t="shared" si="1"/>
        <v>0</v>
      </c>
      <c r="X54" s="254">
        <f t="shared" si="1"/>
        <v>0</v>
      </c>
      <c r="Y54" s="255">
        <v>0</v>
      </c>
      <c r="Z54" s="256">
        <f t="shared" si="2"/>
        <v>0</v>
      </c>
      <c r="AA54" s="254">
        <f t="shared" si="3"/>
        <v>0</v>
      </c>
      <c r="AB54" s="256">
        <f t="shared" si="4"/>
        <v>0</v>
      </c>
      <c r="AC54" s="257">
        <v>0</v>
      </c>
      <c r="AD54" s="256">
        <f t="shared" si="5"/>
        <v>0</v>
      </c>
      <c r="AF54" s="253">
        <v>0</v>
      </c>
      <c r="AG54" s="258">
        <f t="shared" si="6"/>
        <v>0</v>
      </c>
      <c r="AH54" s="259">
        <f t="shared" si="7"/>
        <v>0</v>
      </c>
    </row>
    <row r="55" spans="1:34">
      <c r="A55" s="249" t="s">
        <v>1171</v>
      </c>
      <c r="B55" s="249" t="s">
        <v>209</v>
      </c>
      <c r="C55" s="250">
        <v>53</v>
      </c>
      <c r="D55" s="249" t="s">
        <v>413</v>
      </c>
      <c r="E55" s="249" t="s">
        <v>212</v>
      </c>
      <c r="F55" s="249" t="s">
        <v>1830</v>
      </c>
      <c r="G55" s="249" t="s">
        <v>1451</v>
      </c>
      <c r="H55" s="249" t="s">
        <v>1174</v>
      </c>
      <c r="I55" s="249" t="s">
        <v>133</v>
      </c>
      <c r="J55" s="249" t="s">
        <v>133</v>
      </c>
      <c r="K55" s="249" t="s">
        <v>1831</v>
      </c>
      <c r="L55" s="260" t="s">
        <v>1174</v>
      </c>
      <c r="M55" s="260" t="s">
        <v>1176</v>
      </c>
      <c r="N55" s="261">
        <v>41108</v>
      </c>
      <c r="O55" s="260">
        <v>183</v>
      </c>
      <c r="P55" s="260">
        <v>5200</v>
      </c>
      <c r="Q55" s="260">
        <v>134</v>
      </c>
      <c r="R55" s="252">
        <v>41134</v>
      </c>
      <c r="S55" s="194">
        <v>194</v>
      </c>
      <c r="T55" s="219">
        <v>6382</v>
      </c>
      <c r="U55" s="253">
        <f t="shared" si="0"/>
        <v>0.44</v>
      </c>
      <c r="V55" s="194">
        <v>135</v>
      </c>
      <c r="W55" s="254">
        <f t="shared" si="1"/>
        <v>26</v>
      </c>
      <c r="X55" s="254">
        <f t="shared" si="1"/>
        <v>11</v>
      </c>
      <c r="Y55" s="255">
        <f t="shared" si="8"/>
        <v>0.42307692307692307</v>
      </c>
      <c r="Z55" s="256">
        <f t="shared" si="2"/>
        <v>0.76</v>
      </c>
      <c r="AA55" s="254">
        <f t="shared" si="3"/>
        <v>1182</v>
      </c>
      <c r="AB55" s="256">
        <f t="shared" si="4"/>
        <v>0.25</v>
      </c>
      <c r="AC55" s="257">
        <f>(T55/P55)-1</f>
        <v>0.22730769230769221</v>
      </c>
      <c r="AD55" s="256">
        <f t="shared" si="5"/>
        <v>0.29499999999999998</v>
      </c>
      <c r="AE55" s="248" t="s">
        <v>1832</v>
      </c>
      <c r="AF55" s="253">
        <v>0</v>
      </c>
      <c r="AG55" s="258">
        <f t="shared" si="6"/>
        <v>1.7449999999999999</v>
      </c>
      <c r="AH55" s="259">
        <f t="shared" si="7"/>
        <v>2.4928571428571429</v>
      </c>
    </row>
    <row r="56" spans="1:34">
      <c r="A56" s="249" t="s">
        <v>1171</v>
      </c>
      <c r="B56" s="249" t="s">
        <v>213</v>
      </c>
      <c r="C56" s="250">
        <v>54</v>
      </c>
      <c r="D56" s="249" t="s">
        <v>413</v>
      </c>
      <c r="E56" s="249" t="s">
        <v>214</v>
      </c>
      <c r="H56" s="249" t="s">
        <v>1176</v>
      </c>
      <c r="S56" s="194"/>
      <c r="T56" s="219"/>
      <c r="U56" s="253">
        <f t="shared" si="0"/>
        <v>0</v>
      </c>
      <c r="V56" s="194"/>
      <c r="W56" s="254">
        <f t="shared" si="1"/>
        <v>0</v>
      </c>
      <c r="X56" s="254">
        <f t="shared" si="1"/>
        <v>0</v>
      </c>
      <c r="Y56" s="255">
        <v>0</v>
      </c>
      <c r="Z56" s="256">
        <f t="shared" si="2"/>
        <v>0</v>
      </c>
      <c r="AA56" s="254">
        <f t="shared" si="3"/>
        <v>0</v>
      </c>
      <c r="AB56" s="256">
        <f t="shared" si="4"/>
        <v>0</v>
      </c>
      <c r="AC56" s="257">
        <v>0</v>
      </c>
      <c r="AD56" s="256">
        <f t="shared" si="5"/>
        <v>0</v>
      </c>
      <c r="AF56" s="253">
        <v>0</v>
      </c>
      <c r="AG56" s="258">
        <f t="shared" si="6"/>
        <v>0</v>
      </c>
      <c r="AH56" s="259">
        <f t="shared" si="7"/>
        <v>0</v>
      </c>
    </row>
    <row r="57" spans="1:34">
      <c r="A57" s="249" t="s">
        <v>1171</v>
      </c>
      <c r="B57" s="249" t="s">
        <v>215</v>
      </c>
      <c r="C57" s="250">
        <v>55</v>
      </c>
      <c r="D57" s="249" t="s">
        <v>413</v>
      </c>
      <c r="E57" s="249" t="s">
        <v>217</v>
      </c>
      <c r="H57" s="249" t="s">
        <v>1176</v>
      </c>
      <c r="S57" s="194"/>
      <c r="T57" s="219"/>
      <c r="U57" s="253">
        <f t="shared" si="0"/>
        <v>0</v>
      </c>
      <c r="V57" s="194"/>
      <c r="W57" s="254">
        <f t="shared" si="1"/>
        <v>0</v>
      </c>
      <c r="X57" s="254">
        <f t="shared" si="1"/>
        <v>0</v>
      </c>
      <c r="Y57" s="255">
        <v>0</v>
      </c>
      <c r="Z57" s="256">
        <f t="shared" si="2"/>
        <v>0</v>
      </c>
      <c r="AA57" s="254">
        <f t="shared" si="3"/>
        <v>0</v>
      </c>
      <c r="AB57" s="256">
        <f t="shared" si="4"/>
        <v>0</v>
      </c>
      <c r="AC57" s="257">
        <v>0</v>
      </c>
      <c r="AD57" s="256">
        <f t="shared" si="5"/>
        <v>0</v>
      </c>
      <c r="AF57" s="253">
        <v>0</v>
      </c>
      <c r="AG57" s="258">
        <f t="shared" si="6"/>
        <v>0</v>
      </c>
      <c r="AH57" s="259">
        <f t="shared" si="7"/>
        <v>0</v>
      </c>
    </row>
    <row r="58" spans="1:34">
      <c r="A58" s="249" t="s">
        <v>1171</v>
      </c>
      <c r="B58" s="249" t="s">
        <v>218</v>
      </c>
      <c r="C58" s="250">
        <v>56</v>
      </c>
      <c r="D58" s="249" t="s">
        <v>413</v>
      </c>
      <c r="E58" s="249" t="s">
        <v>1833</v>
      </c>
      <c r="F58" s="249" t="s">
        <v>218</v>
      </c>
      <c r="G58" s="249" t="s">
        <v>1451</v>
      </c>
      <c r="H58" s="249" t="s">
        <v>1174</v>
      </c>
      <c r="I58" s="249" t="s">
        <v>133</v>
      </c>
      <c r="J58" s="249" t="s">
        <v>133</v>
      </c>
      <c r="K58" s="249" t="s">
        <v>1834</v>
      </c>
      <c r="L58" s="260" t="s">
        <v>1174</v>
      </c>
      <c r="M58" s="260" t="s">
        <v>1176</v>
      </c>
      <c r="N58" s="261">
        <v>41108</v>
      </c>
      <c r="O58" s="260">
        <v>60</v>
      </c>
      <c r="P58" s="260">
        <v>10549</v>
      </c>
      <c r="Q58" s="260">
        <v>59</v>
      </c>
      <c r="R58" s="252">
        <v>41134</v>
      </c>
      <c r="S58" s="194">
        <v>63</v>
      </c>
      <c r="T58" s="219">
        <v>12036</v>
      </c>
      <c r="U58" s="253">
        <f t="shared" si="0"/>
        <v>0.54</v>
      </c>
      <c r="V58" s="194">
        <v>74</v>
      </c>
      <c r="W58" s="254">
        <f t="shared" si="1"/>
        <v>26</v>
      </c>
      <c r="X58" s="254">
        <f t="shared" si="1"/>
        <v>3</v>
      </c>
      <c r="Y58" s="255">
        <f t="shared" si="8"/>
        <v>0.11538461538461539</v>
      </c>
      <c r="Z58" s="256">
        <f t="shared" si="2"/>
        <v>0.56000000000000005</v>
      </c>
      <c r="AA58" s="254">
        <f t="shared" si="3"/>
        <v>1487</v>
      </c>
      <c r="AB58" s="256">
        <f t="shared" si="4"/>
        <v>0.27</v>
      </c>
      <c r="AC58" s="257">
        <f>(T58/P58)-1</f>
        <v>0.14096122855246951</v>
      </c>
      <c r="AD58" s="256">
        <f t="shared" si="5"/>
        <v>0.21</v>
      </c>
      <c r="AE58" s="248" t="s">
        <v>1835</v>
      </c>
      <c r="AF58" s="253">
        <v>0</v>
      </c>
      <c r="AG58" s="258">
        <f t="shared" si="6"/>
        <v>1.58</v>
      </c>
      <c r="AH58" s="259">
        <f t="shared" si="7"/>
        <v>2.2571428571428571</v>
      </c>
    </row>
    <row r="59" spans="1:34" ht="28">
      <c r="A59" s="249" t="s">
        <v>1171</v>
      </c>
      <c r="B59" s="249" t="s">
        <v>220</v>
      </c>
      <c r="C59" s="250">
        <v>57</v>
      </c>
      <c r="D59" s="249" t="s">
        <v>413</v>
      </c>
      <c r="E59" s="249" t="s">
        <v>221</v>
      </c>
      <c r="F59" s="249" t="s">
        <v>220</v>
      </c>
      <c r="G59" s="249" t="s">
        <v>1451</v>
      </c>
      <c r="H59" s="249" t="s">
        <v>1174</v>
      </c>
      <c r="I59" s="249" t="s">
        <v>133</v>
      </c>
      <c r="J59" s="249" t="s">
        <v>133</v>
      </c>
      <c r="K59" s="249" t="s">
        <v>1836</v>
      </c>
      <c r="L59" s="260" t="s">
        <v>1174</v>
      </c>
      <c r="M59" s="260" t="s">
        <v>1176</v>
      </c>
      <c r="N59" s="261">
        <v>41108</v>
      </c>
      <c r="O59" s="260">
        <v>41</v>
      </c>
      <c r="P59" s="260">
        <v>88639</v>
      </c>
      <c r="Q59" s="260">
        <v>60</v>
      </c>
      <c r="R59" s="252">
        <v>41134</v>
      </c>
      <c r="S59" s="194">
        <v>49</v>
      </c>
      <c r="T59" s="219">
        <v>104116</v>
      </c>
      <c r="U59" s="253">
        <f t="shared" si="0"/>
        <v>0.88</v>
      </c>
      <c r="V59" s="194">
        <v>52</v>
      </c>
      <c r="W59" s="254">
        <f t="shared" si="1"/>
        <v>26</v>
      </c>
      <c r="X59" s="254">
        <f t="shared" si="1"/>
        <v>8</v>
      </c>
      <c r="Y59" s="255">
        <f t="shared" si="8"/>
        <v>0.30769230769230771</v>
      </c>
      <c r="Z59" s="256">
        <f t="shared" si="2"/>
        <v>0.71</v>
      </c>
      <c r="AA59" s="254">
        <f t="shared" si="3"/>
        <v>15477</v>
      </c>
      <c r="AB59" s="256">
        <f t="shared" si="4"/>
        <v>0.42</v>
      </c>
      <c r="AC59" s="257">
        <f>(T59/P59)-1</f>
        <v>0.17460711424993502</v>
      </c>
      <c r="AD59" s="256">
        <f t="shared" si="5"/>
        <v>0.255</v>
      </c>
      <c r="AE59" s="248" t="s">
        <v>1837</v>
      </c>
      <c r="AF59" s="253">
        <v>0</v>
      </c>
      <c r="AG59" s="258">
        <f t="shared" si="6"/>
        <v>2.2650000000000001</v>
      </c>
      <c r="AH59" s="259">
        <f t="shared" si="7"/>
        <v>3.2357142857142858</v>
      </c>
    </row>
    <row r="60" spans="1:34" ht="42">
      <c r="A60" s="262" t="s">
        <v>1171</v>
      </c>
      <c r="B60" s="262" t="s">
        <v>222</v>
      </c>
      <c r="C60" s="263">
        <v>58</v>
      </c>
      <c r="D60" s="262" t="s">
        <v>413</v>
      </c>
      <c r="E60" s="262" t="s">
        <v>224</v>
      </c>
      <c r="F60" s="264" t="s">
        <v>1838</v>
      </c>
      <c r="G60" s="265"/>
      <c r="H60" s="262" t="s">
        <v>1174</v>
      </c>
      <c r="I60" s="265"/>
      <c r="J60" s="265"/>
      <c r="K60" s="265"/>
      <c r="L60" s="265"/>
      <c r="M60" s="265"/>
      <c r="N60" s="265"/>
      <c r="O60" s="272">
        <f>O58/(S58/S60)</f>
        <v>49.523809523809526</v>
      </c>
      <c r="P60" s="272">
        <f>P58*(T60/T58)</f>
        <v>16050.501578597541</v>
      </c>
      <c r="Q60" s="265"/>
      <c r="R60" s="265"/>
      <c r="S60" s="180">
        <v>52</v>
      </c>
      <c r="T60" s="241">
        <v>18313</v>
      </c>
      <c r="U60" s="253">
        <f t="shared" si="0"/>
        <v>0.64</v>
      </c>
      <c r="V60" s="180">
        <v>118</v>
      </c>
      <c r="W60" s="263">
        <v>26</v>
      </c>
      <c r="X60" s="275">
        <f t="shared" si="1"/>
        <v>2.4761904761904745</v>
      </c>
      <c r="Y60" s="255">
        <f t="shared" si="8"/>
        <v>9.5238095238095177E-2</v>
      </c>
      <c r="Z60" s="256">
        <f t="shared" si="2"/>
        <v>0.53</v>
      </c>
      <c r="AA60" s="274">
        <f t="shared" si="3"/>
        <v>2262.4984214024589</v>
      </c>
      <c r="AB60" s="256">
        <f t="shared" si="4"/>
        <v>0.33500000000000002</v>
      </c>
      <c r="AC60" s="257">
        <f t="shared" ref="AC60:AC67" si="11">(T60/P60)-1</f>
        <v>0.14096122855246951</v>
      </c>
      <c r="AD60" s="256">
        <f t="shared" si="5"/>
        <v>0.21</v>
      </c>
      <c r="AE60" s="264"/>
      <c r="AF60" s="253">
        <v>0.5</v>
      </c>
      <c r="AG60" s="258">
        <f t="shared" si="6"/>
        <v>2.2149999999999999</v>
      </c>
      <c r="AH60" s="259">
        <f t="shared" si="7"/>
        <v>3.1642857142857141</v>
      </c>
    </row>
    <row r="61" spans="1:34" ht="28">
      <c r="A61" s="249" t="s">
        <v>1171</v>
      </c>
      <c r="B61" s="249" t="s">
        <v>225</v>
      </c>
      <c r="C61" s="250">
        <v>59</v>
      </c>
      <c r="D61" s="249" t="s">
        <v>413</v>
      </c>
      <c r="E61" s="249" t="s">
        <v>227</v>
      </c>
      <c r="F61" s="249" t="s">
        <v>1839</v>
      </c>
      <c r="G61" s="249" t="s">
        <v>1451</v>
      </c>
      <c r="H61" s="249" t="s">
        <v>1174</v>
      </c>
      <c r="I61" s="249" t="s">
        <v>133</v>
      </c>
      <c r="J61" s="249" t="s">
        <v>133</v>
      </c>
      <c r="K61" s="249" t="s">
        <v>1839</v>
      </c>
      <c r="L61" s="260" t="s">
        <v>1176</v>
      </c>
      <c r="M61" s="260" t="s">
        <v>1176</v>
      </c>
      <c r="N61" s="261">
        <v>41108</v>
      </c>
      <c r="O61" s="260">
        <v>103</v>
      </c>
      <c r="P61" s="260">
        <v>45713</v>
      </c>
      <c r="Q61" s="260">
        <v>47</v>
      </c>
      <c r="R61" s="252">
        <v>41134</v>
      </c>
      <c r="S61" s="194">
        <v>103</v>
      </c>
      <c r="T61" s="219">
        <v>53642</v>
      </c>
      <c r="U61" s="253">
        <f t="shared" si="0"/>
        <v>0.74</v>
      </c>
      <c r="V61" s="194">
        <v>47</v>
      </c>
      <c r="W61" s="254">
        <f t="shared" si="1"/>
        <v>26</v>
      </c>
      <c r="X61" s="254">
        <f t="shared" si="1"/>
        <v>0</v>
      </c>
      <c r="Y61" s="255">
        <f t="shared" si="8"/>
        <v>0</v>
      </c>
      <c r="Z61" s="256">
        <f t="shared" si="2"/>
        <v>0</v>
      </c>
      <c r="AA61" s="254">
        <f t="shared" si="3"/>
        <v>7929</v>
      </c>
      <c r="AB61" s="256">
        <f t="shared" si="4"/>
        <v>0.39</v>
      </c>
      <c r="AC61" s="257">
        <f t="shared" si="11"/>
        <v>0.1734517533305624</v>
      </c>
      <c r="AD61" s="256">
        <f t="shared" si="5"/>
        <v>0.25</v>
      </c>
      <c r="AE61" s="248" t="s">
        <v>1840</v>
      </c>
      <c r="AF61" s="253">
        <v>0</v>
      </c>
      <c r="AG61" s="258">
        <f t="shared" si="6"/>
        <v>1.38</v>
      </c>
      <c r="AH61" s="259">
        <f t="shared" si="7"/>
        <v>1.9714285714285713</v>
      </c>
    </row>
    <row r="62" spans="1:34" ht="28">
      <c r="A62" s="249" t="s">
        <v>1171</v>
      </c>
      <c r="B62" s="249" t="s">
        <v>228</v>
      </c>
      <c r="C62" s="250">
        <v>60</v>
      </c>
      <c r="D62" s="249" t="s">
        <v>413</v>
      </c>
      <c r="E62" s="249" t="s">
        <v>1378</v>
      </c>
      <c r="F62" s="260"/>
      <c r="H62" s="249" t="s">
        <v>1174</v>
      </c>
      <c r="K62" s="249" t="s">
        <v>1841</v>
      </c>
      <c r="L62" s="260" t="s">
        <v>1174</v>
      </c>
      <c r="M62" s="260" t="s">
        <v>1176</v>
      </c>
      <c r="N62" s="261">
        <v>41108</v>
      </c>
      <c r="O62" s="260">
        <v>19</v>
      </c>
      <c r="P62" s="260">
        <v>4038</v>
      </c>
      <c r="Q62" s="260">
        <v>0</v>
      </c>
      <c r="R62" s="252">
        <v>41134</v>
      </c>
      <c r="S62" s="194">
        <v>24</v>
      </c>
      <c r="T62" s="219">
        <v>5388</v>
      </c>
      <c r="U62" s="253">
        <f t="shared" si="0"/>
        <v>0.4</v>
      </c>
      <c r="V62" s="194">
        <v>0</v>
      </c>
      <c r="W62" s="254">
        <f t="shared" si="1"/>
        <v>26</v>
      </c>
      <c r="X62" s="254">
        <f t="shared" si="1"/>
        <v>5</v>
      </c>
      <c r="Y62" s="255">
        <f t="shared" si="8"/>
        <v>0.19230769230769232</v>
      </c>
      <c r="Z62" s="256">
        <f t="shared" si="2"/>
        <v>0.6</v>
      </c>
      <c r="AA62" s="254">
        <f t="shared" si="3"/>
        <v>1350</v>
      </c>
      <c r="AB62" s="256">
        <f t="shared" si="4"/>
        <v>0.26500000000000001</v>
      </c>
      <c r="AC62" s="257">
        <f t="shared" si="11"/>
        <v>0.33432392273402667</v>
      </c>
      <c r="AD62" s="256">
        <f t="shared" si="5"/>
        <v>0.34</v>
      </c>
      <c r="AE62" s="248" t="s">
        <v>1842</v>
      </c>
      <c r="AF62" s="253">
        <v>0</v>
      </c>
      <c r="AG62" s="258">
        <f t="shared" si="6"/>
        <v>1.605</v>
      </c>
      <c r="AH62" s="259">
        <f t="shared" si="7"/>
        <v>2.2928571428571427</v>
      </c>
    </row>
    <row r="63" spans="1:34">
      <c r="A63" s="249" t="s">
        <v>1171</v>
      </c>
      <c r="B63" s="249" t="s">
        <v>228</v>
      </c>
      <c r="C63" s="250">
        <v>60</v>
      </c>
      <c r="D63" s="249" t="s">
        <v>74</v>
      </c>
      <c r="F63" s="260"/>
      <c r="H63" s="249" t="s">
        <v>1174</v>
      </c>
      <c r="K63" s="249" t="s">
        <v>1843</v>
      </c>
      <c r="L63" s="260" t="s">
        <v>1174</v>
      </c>
      <c r="M63" s="260" t="s">
        <v>1176</v>
      </c>
      <c r="N63" s="261">
        <v>41108</v>
      </c>
      <c r="O63" s="260">
        <v>55</v>
      </c>
      <c r="P63" s="260">
        <v>5420</v>
      </c>
      <c r="Q63" s="260">
        <v>866</v>
      </c>
      <c r="R63" s="252">
        <v>41134</v>
      </c>
      <c r="S63" s="194">
        <v>55</v>
      </c>
      <c r="T63" s="219">
        <v>7587</v>
      </c>
      <c r="U63" s="253">
        <f t="shared" si="0"/>
        <v>0.5</v>
      </c>
      <c r="V63" s="194">
        <v>867</v>
      </c>
      <c r="W63" s="254">
        <f t="shared" si="1"/>
        <v>26</v>
      </c>
      <c r="X63" s="254">
        <f t="shared" si="1"/>
        <v>0</v>
      </c>
      <c r="Y63" s="255">
        <f t="shared" si="8"/>
        <v>0</v>
      </c>
      <c r="Z63" s="256">
        <f t="shared" si="2"/>
        <v>0</v>
      </c>
      <c r="AA63" s="254">
        <f t="shared" si="3"/>
        <v>2167</v>
      </c>
      <c r="AB63" s="256">
        <f t="shared" si="4"/>
        <v>0.32</v>
      </c>
      <c r="AC63" s="257">
        <f t="shared" si="11"/>
        <v>0.39981549815498152</v>
      </c>
      <c r="AD63" s="256">
        <f t="shared" si="5"/>
        <v>0.38</v>
      </c>
      <c r="AE63" s="248" t="s">
        <v>1844</v>
      </c>
      <c r="AF63" s="253">
        <v>0</v>
      </c>
      <c r="AG63" s="258">
        <f t="shared" si="6"/>
        <v>1.2</v>
      </c>
      <c r="AH63" s="259">
        <f t="shared" si="7"/>
        <v>1.7142857142857142</v>
      </c>
    </row>
    <row r="64" spans="1:34" ht="28">
      <c r="A64" s="249" t="s">
        <v>1171</v>
      </c>
      <c r="B64" s="249" t="s">
        <v>229</v>
      </c>
      <c r="C64" s="250">
        <v>61</v>
      </c>
      <c r="D64" s="249" t="s">
        <v>413</v>
      </c>
      <c r="E64" s="249" t="s">
        <v>230</v>
      </c>
      <c r="F64" s="249" t="s">
        <v>1845</v>
      </c>
      <c r="G64" s="249" t="s">
        <v>1451</v>
      </c>
      <c r="H64" s="249" t="s">
        <v>1174</v>
      </c>
      <c r="I64" s="249" t="s">
        <v>133</v>
      </c>
      <c r="J64" s="249" t="s">
        <v>133</v>
      </c>
      <c r="K64" s="249" t="s">
        <v>1846</v>
      </c>
      <c r="L64" s="260" t="s">
        <v>1176</v>
      </c>
      <c r="M64" s="260" t="s">
        <v>1176</v>
      </c>
      <c r="N64" s="261">
        <v>41108</v>
      </c>
      <c r="O64" s="260">
        <v>9</v>
      </c>
      <c r="P64" s="260">
        <v>3695</v>
      </c>
      <c r="Q64" s="260">
        <v>2</v>
      </c>
      <c r="R64" s="252">
        <v>41134</v>
      </c>
      <c r="S64" s="194">
        <v>9</v>
      </c>
      <c r="T64" s="219">
        <v>5877</v>
      </c>
      <c r="U64" s="253">
        <f t="shared" si="0"/>
        <v>0.42</v>
      </c>
      <c r="V64" s="194">
        <v>2</v>
      </c>
      <c r="W64" s="254">
        <f t="shared" si="1"/>
        <v>26</v>
      </c>
      <c r="X64" s="254">
        <f t="shared" si="1"/>
        <v>0</v>
      </c>
      <c r="Y64" s="255">
        <f t="shared" si="8"/>
        <v>0</v>
      </c>
      <c r="Z64" s="256">
        <f t="shared" si="2"/>
        <v>0</v>
      </c>
      <c r="AA64" s="254">
        <f t="shared" si="3"/>
        <v>2182</v>
      </c>
      <c r="AB64" s="256">
        <f t="shared" si="4"/>
        <v>0.32500000000000001</v>
      </c>
      <c r="AC64" s="257">
        <f t="shared" si="11"/>
        <v>0.59052774018944509</v>
      </c>
      <c r="AD64" s="256">
        <f t="shared" si="5"/>
        <v>0.42</v>
      </c>
      <c r="AE64" s="248" t="s">
        <v>1847</v>
      </c>
      <c r="AF64" s="253">
        <v>0</v>
      </c>
      <c r="AG64" s="258">
        <f t="shared" si="6"/>
        <v>1.165</v>
      </c>
      <c r="AH64" s="259">
        <f t="shared" si="7"/>
        <v>1.6642857142857144</v>
      </c>
    </row>
    <row r="65" spans="1:34" ht="42">
      <c r="A65" s="262" t="s">
        <v>1171</v>
      </c>
      <c r="B65" s="262" t="s">
        <v>231</v>
      </c>
      <c r="C65" s="263">
        <v>62</v>
      </c>
      <c r="D65" s="262" t="s">
        <v>413</v>
      </c>
      <c r="E65" s="262" t="s">
        <v>1384</v>
      </c>
      <c r="F65" s="264" t="s">
        <v>1848</v>
      </c>
      <c r="G65" s="265"/>
      <c r="H65" s="262" t="s">
        <v>1174</v>
      </c>
      <c r="I65" s="265"/>
      <c r="J65" s="265"/>
      <c r="K65" s="265"/>
      <c r="L65" s="265"/>
      <c r="M65" s="265"/>
      <c r="N65" s="265"/>
      <c r="O65" s="265">
        <v>317</v>
      </c>
      <c r="P65" s="272">
        <v>33546</v>
      </c>
      <c r="Q65" s="265"/>
      <c r="R65" s="265"/>
      <c r="S65" s="180">
        <v>329</v>
      </c>
      <c r="T65" s="241">
        <v>37775</v>
      </c>
      <c r="U65" s="253">
        <f t="shared" si="0"/>
        <v>0.68</v>
      </c>
      <c r="V65" s="180">
        <v>70</v>
      </c>
      <c r="W65" s="263">
        <v>26</v>
      </c>
      <c r="X65" s="263">
        <f t="shared" si="1"/>
        <v>12</v>
      </c>
      <c r="Y65" s="255">
        <f t="shared" si="8"/>
        <v>0.46153846153846156</v>
      </c>
      <c r="Z65" s="256">
        <f t="shared" si="2"/>
        <v>0.78</v>
      </c>
      <c r="AA65" s="274">
        <f t="shared" si="3"/>
        <v>4229</v>
      </c>
      <c r="AB65" s="256">
        <f t="shared" si="4"/>
        <v>0.34</v>
      </c>
      <c r="AC65" s="257">
        <f t="shared" si="11"/>
        <v>0.12606570082871271</v>
      </c>
      <c r="AD65" s="256">
        <f t="shared" si="5"/>
        <v>0.185</v>
      </c>
      <c r="AE65" s="264"/>
      <c r="AF65" s="253">
        <v>0</v>
      </c>
      <c r="AG65" s="258">
        <f t="shared" si="6"/>
        <v>1.9850000000000003</v>
      </c>
      <c r="AH65" s="259">
        <f t="shared" si="7"/>
        <v>2.8357142857142863</v>
      </c>
    </row>
    <row r="66" spans="1:34" ht="28">
      <c r="A66" s="249" t="s">
        <v>1171</v>
      </c>
      <c r="B66" s="249" t="s">
        <v>234</v>
      </c>
      <c r="C66" s="250">
        <v>63</v>
      </c>
      <c r="D66" s="249" t="s">
        <v>413</v>
      </c>
      <c r="E66" s="249" t="s">
        <v>235</v>
      </c>
      <c r="F66" s="249" t="s">
        <v>1849</v>
      </c>
      <c r="G66" s="249" t="s">
        <v>1451</v>
      </c>
      <c r="H66" s="249" t="s">
        <v>1174</v>
      </c>
      <c r="I66" s="249" t="s">
        <v>133</v>
      </c>
      <c r="J66" s="249" t="s">
        <v>133</v>
      </c>
      <c r="K66" s="249" t="s">
        <v>1849</v>
      </c>
      <c r="L66" s="249" t="s">
        <v>1174</v>
      </c>
      <c r="M66" s="249" t="s">
        <v>1176</v>
      </c>
      <c r="N66" s="261">
        <v>41124</v>
      </c>
      <c r="O66" s="260">
        <v>21</v>
      </c>
      <c r="P66" s="260">
        <v>3905</v>
      </c>
      <c r="Q66" s="260">
        <v>49</v>
      </c>
      <c r="R66" s="252">
        <v>41134</v>
      </c>
      <c r="S66" s="194">
        <v>21</v>
      </c>
      <c r="T66" s="219">
        <v>4134</v>
      </c>
      <c r="U66" s="253">
        <f t="shared" si="0"/>
        <v>0.34</v>
      </c>
      <c r="V66" s="194">
        <v>49</v>
      </c>
      <c r="W66" s="254">
        <f t="shared" si="1"/>
        <v>10</v>
      </c>
      <c r="X66" s="254">
        <f t="shared" si="1"/>
        <v>0</v>
      </c>
      <c r="Y66" s="255">
        <f t="shared" si="8"/>
        <v>0</v>
      </c>
      <c r="Z66" s="256">
        <f t="shared" si="2"/>
        <v>0</v>
      </c>
      <c r="AA66" s="254">
        <f t="shared" si="3"/>
        <v>229</v>
      </c>
      <c r="AB66" s="256">
        <f t="shared" si="4"/>
        <v>0.16</v>
      </c>
      <c r="AC66" s="257">
        <f t="shared" si="11"/>
        <v>5.8642765685019249E-2</v>
      </c>
      <c r="AD66" s="256">
        <f t="shared" si="5"/>
        <v>0.14000000000000001</v>
      </c>
      <c r="AE66" s="248" t="s">
        <v>1850</v>
      </c>
      <c r="AF66" s="253">
        <v>0</v>
      </c>
      <c r="AG66" s="258">
        <f t="shared" si="6"/>
        <v>0.64000000000000012</v>
      </c>
      <c r="AH66" s="259">
        <f t="shared" si="7"/>
        <v>0.91428571428571448</v>
      </c>
    </row>
    <row r="67" spans="1:34">
      <c r="B67" s="260" t="s">
        <v>236</v>
      </c>
      <c r="C67" s="260">
        <v>64</v>
      </c>
      <c r="F67" s="178" t="s">
        <v>1851</v>
      </c>
      <c r="N67" s="203">
        <v>41081</v>
      </c>
      <c r="O67" s="205">
        <v>47</v>
      </c>
      <c r="P67" s="205">
        <v>10420</v>
      </c>
      <c r="Q67" s="205">
        <v>23</v>
      </c>
      <c r="R67" s="203">
        <v>41113</v>
      </c>
      <c r="S67" s="205">
        <v>48</v>
      </c>
      <c r="T67" s="205">
        <v>12318</v>
      </c>
      <c r="U67" s="253">
        <f t="shared" si="0"/>
        <v>0.55700000000000005</v>
      </c>
      <c r="W67" s="254">
        <f t="shared" ref="W67:X67" si="12">R67-N67</f>
        <v>32</v>
      </c>
      <c r="X67" s="254">
        <f t="shared" si="12"/>
        <v>1</v>
      </c>
      <c r="Y67" s="255">
        <f t="shared" si="8"/>
        <v>3.125E-2</v>
      </c>
      <c r="Z67" s="256">
        <f t="shared" ref="Z67" si="13">PERCENTRANK($Y$2:$Y$66,Y67,2)</f>
        <v>0.49</v>
      </c>
      <c r="AA67" s="254">
        <f t="shared" ref="AA67" si="14">T67-P67</f>
        <v>1898</v>
      </c>
      <c r="AB67" s="256">
        <f t="shared" ref="AB67" si="15">PERCENTRANK($AA$2:$AA$66,AA67,2)*0.5</f>
        <v>0.30499999999999999</v>
      </c>
      <c r="AC67" s="257">
        <f t="shared" si="11"/>
        <v>0.18214971209213049</v>
      </c>
      <c r="AD67" s="256">
        <f t="shared" ref="AD67" si="16">PERCENTRANK($AC$2:$AC$66,AC67,2)*0.5</f>
        <v>0.26</v>
      </c>
      <c r="AF67" s="253">
        <v>0</v>
      </c>
      <c r="AG67" s="258">
        <f t="shared" ref="AG67" si="17">SUM(AF67,AD67,AB67,Z67,U67)</f>
        <v>1.6120000000000001</v>
      </c>
      <c r="AH67" s="259">
        <f t="shared" ref="AH67" si="18">AG67*(5/3.5)</f>
        <v>2.3028571428571429</v>
      </c>
    </row>
    <row r="68" spans="1:34" s="276" customFormat="1">
      <c r="F68" s="277"/>
      <c r="O68" s="278">
        <f>AVERAGE(O2:O67)</f>
        <v>126.7894181393988</v>
      </c>
      <c r="P68" s="278">
        <f>AVERAGE(P2:P67)</f>
        <v>43124.167913665071</v>
      </c>
      <c r="Q68" s="278">
        <f>AVERAGE(Q2:Q67)</f>
        <v>183.04878048780489</v>
      </c>
      <c r="Y68" s="278">
        <f>AVERAGE(Y2:Y67)</f>
        <v>0.46186024177777396</v>
      </c>
      <c r="AA68" s="278">
        <f>AVERAGE(AA2:AA67)</f>
        <v>6880.3550970163806</v>
      </c>
      <c r="AC68" s="278">
        <f>AVERAGE(AC2:AC67)</f>
        <v>0.32493689927278813</v>
      </c>
      <c r="AE68" s="277"/>
    </row>
    <row r="71" spans="1:34">
      <c r="AH71" s="260">
        <v>1.6928571428571431</v>
      </c>
    </row>
    <row r="72" spans="1:34">
      <c r="AH72" s="260">
        <v>0</v>
      </c>
    </row>
    <row r="73" spans="1:34">
      <c r="AH73" s="260">
        <v>1.7785714285714287</v>
      </c>
    </row>
    <row r="74" spans="1:34">
      <c r="AH74" s="260">
        <v>1.5214285714285714</v>
      </c>
    </row>
    <row r="75" spans="1:34">
      <c r="AH75" s="260">
        <v>0</v>
      </c>
    </row>
    <row r="76" spans="1:34">
      <c r="AH76" s="260">
        <v>3.0428571428571427</v>
      </c>
    </row>
    <row r="77" spans="1:34">
      <c r="AH77" s="260">
        <v>0</v>
      </c>
    </row>
    <row r="78" spans="1:34">
      <c r="AH78" s="260">
        <v>3.6071428571428572</v>
      </c>
    </row>
    <row r="79" spans="1:34">
      <c r="AH79" s="260">
        <v>1.7571428571428571</v>
      </c>
    </row>
    <row r="80" spans="1:34">
      <c r="AH80" s="260">
        <v>0.88571428571428568</v>
      </c>
    </row>
    <row r="81" spans="34:34">
      <c r="AH81" s="260">
        <v>2.4571428571428573</v>
      </c>
    </row>
    <row r="82" spans="34:34">
      <c r="AH82" s="260">
        <v>0</v>
      </c>
    </row>
    <row r="83" spans="34:34">
      <c r="AH83" s="260">
        <v>0</v>
      </c>
    </row>
    <row r="84" spans="34:34">
      <c r="AH84" s="260">
        <v>3.9</v>
      </c>
    </row>
    <row r="85" spans="34:34">
      <c r="AH85" s="260">
        <v>3.9571428571428564</v>
      </c>
    </row>
    <row r="86" spans="34:34">
      <c r="AH86" s="260">
        <v>2.0714285714285716</v>
      </c>
    </row>
    <row r="87" spans="34:34">
      <c r="AH87" s="260">
        <v>2.4571428571428573</v>
      </c>
    </row>
    <row r="88" spans="34:34">
      <c r="AH88" s="260">
        <v>2.0928571428571425</v>
      </c>
    </row>
    <row r="89" spans="34:34">
      <c r="AH89" s="260">
        <v>3.2857142857142856</v>
      </c>
    </row>
    <row r="90" spans="34:34">
      <c r="AH90" s="260">
        <v>0</v>
      </c>
    </row>
    <row r="91" spans="34:34">
      <c r="AH91" s="260">
        <v>0.85714285714285732</v>
      </c>
    </row>
    <row r="92" spans="34:34">
      <c r="AH92" s="260">
        <v>0</v>
      </c>
    </row>
    <row r="93" spans="34:34">
      <c r="AH93" s="260">
        <v>2.5285714285714289</v>
      </c>
    </row>
    <row r="94" spans="34:34">
      <c r="AH94" s="260">
        <v>3.8000000000000003</v>
      </c>
    </row>
    <row r="95" spans="34:34">
      <c r="AH95" s="260">
        <v>3.3357142857142859</v>
      </c>
    </row>
    <row r="96" spans="34:34">
      <c r="AH96" s="260">
        <v>2.285714285714286</v>
      </c>
    </row>
    <row r="97" spans="34:34">
      <c r="AH97" s="260">
        <v>3.6999999999999997</v>
      </c>
    </row>
    <row r="98" spans="34:34">
      <c r="AH98" s="260">
        <v>3.0714285714285712</v>
      </c>
    </row>
    <row r="99" spans="34:34">
      <c r="AH99" s="260">
        <v>2.8</v>
      </c>
    </row>
    <row r="100" spans="34:34">
      <c r="AH100" s="260">
        <v>2.0285714285714285</v>
      </c>
    </row>
    <row r="101" spans="34:34">
      <c r="AH101" s="260">
        <v>4.3142857142857141</v>
      </c>
    </row>
    <row r="102" spans="34:34">
      <c r="AH102" s="260">
        <v>2.6428571428571432</v>
      </c>
    </row>
    <row r="103" spans="34:34">
      <c r="AH103" s="260">
        <v>0</v>
      </c>
    </row>
    <row r="104" spans="34:34">
      <c r="AH104" s="260">
        <v>2.8</v>
      </c>
    </row>
    <row r="105" spans="34:34">
      <c r="AH105" s="260">
        <v>1.7857142857142858</v>
      </c>
    </row>
    <row r="106" spans="34:34">
      <c r="AH106" s="260">
        <v>1.0571428571428572</v>
      </c>
    </row>
    <row r="107" spans="34:34">
      <c r="AH107" s="260">
        <v>0.56428571428571428</v>
      </c>
    </row>
    <row r="108" spans="34:34">
      <c r="AH108" s="260">
        <v>3.4357142857142855</v>
      </c>
    </row>
    <row r="109" spans="34:34">
      <c r="AH109" s="260">
        <v>0</v>
      </c>
    </row>
    <row r="110" spans="34:34">
      <c r="AH110" s="260">
        <v>3.75</v>
      </c>
    </row>
    <row r="111" spans="34:34">
      <c r="AH111" s="260">
        <v>1.8142857142857143</v>
      </c>
    </row>
    <row r="112" spans="34:34">
      <c r="AH112" s="260">
        <v>1.2571428571428571</v>
      </c>
    </row>
    <row r="113" spans="34:34">
      <c r="AH113" s="260">
        <v>3.7928571428571431</v>
      </c>
    </row>
    <row r="114" spans="34:34">
      <c r="AH114" s="260">
        <v>2.5214285714285718</v>
      </c>
    </row>
    <row r="115" spans="34:34">
      <c r="AH115" s="260">
        <v>0</v>
      </c>
    </row>
    <row r="116" spans="34:34">
      <c r="AH116" s="260">
        <v>1.0785714285714285</v>
      </c>
    </row>
    <row r="117" spans="34:34">
      <c r="AH117" s="260">
        <v>0</v>
      </c>
    </row>
    <row r="118" spans="34:34">
      <c r="AH118" s="260">
        <v>0.34285714285714286</v>
      </c>
    </row>
    <row r="119" spans="34:34">
      <c r="AH119" s="260">
        <v>0</v>
      </c>
    </row>
    <row r="120" spans="34:34">
      <c r="AH120" s="260">
        <v>3.55</v>
      </c>
    </row>
    <row r="121" spans="34:34">
      <c r="AH121" s="260">
        <v>2.0428571428571431</v>
      </c>
    </row>
    <row r="122" spans="34:34">
      <c r="AH122" s="260">
        <v>0</v>
      </c>
    </row>
    <row r="123" spans="34:34">
      <c r="AH123" s="260">
        <v>2.4928571428571429</v>
      </c>
    </row>
    <row r="124" spans="34:34">
      <c r="AH124" s="260">
        <v>0</v>
      </c>
    </row>
    <row r="125" spans="34:34">
      <c r="AH125" s="260">
        <v>0</v>
      </c>
    </row>
    <row r="126" spans="34:34">
      <c r="AH126" s="260">
        <v>2.2571428571428571</v>
      </c>
    </row>
    <row r="127" spans="34:34">
      <c r="AH127" s="260">
        <v>3.2357142857142858</v>
      </c>
    </row>
    <row r="128" spans="34:34">
      <c r="AH128" s="260">
        <v>3.1642857142857141</v>
      </c>
    </row>
    <row r="129" spans="34:34">
      <c r="AH129" s="260">
        <v>1.9714285714285713</v>
      </c>
    </row>
    <row r="130" spans="34:34">
      <c r="AH130" s="260">
        <v>2.2928571428571427</v>
      </c>
    </row>
    <row r="131" spans="34:34">
      <c r="AH131" s="260">
        <v>1.6642857142857144</v>
      </c>
    </row>
    <row r="132" spans="34:34">
      <c r="AH132" s="260">
        <v>2.8357142857142863</v>
      </c>
    </row>
    <row r="133" spans="34:34">
      <c r="AH133" s="260">
        <v>0.91428571428571448</v>
      </c>
    </row>
    <row r="134" spans="34:34">
      <c r="AH134" s="260">
        <v>2.3028571428571429</v>
      </c>
    </row>
  </sheetData>
  <autoFilter ref="A1:AH68"/>
  <conditionalFormatting sqref="X1:X1048576">
    <cfRule type="cellIs" dxfId="8" priority="4" operator="lessThan">
      <formula>0</formula>
    </cfRule>
  </conditionalFormatting>
  <conditionalFormatting sqref="Y1:Y67 Y69:Y1048576">
    <cfRule type="cellIs" dxfId="7" priority="3" operator="lessThan">
      <formula>0</formula>
    </cfRule>
  </conditionalFormatting>
  <conditionalFormatting sqref="AA1:AA10 AA12:AA67 AA69:AA1048576">
    <cfRule type="cellIs" dxfId="6" priority="2" operator="lessThan">
      <formula>0</formula>
    </cfRule>
  </conditionalFormatting>
  <conditionalFormatting sqref="AC1:AC67 AC69:AC1048576">
    <cfRule type="cellIs" dxfId="5" priority="1" operator="lessThan">
      <formula>0</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topLeftCell="A21" workbookViewId="0">
      <selection activeCell="D53" sqref="D53"/>
    </sheetView>
  </sheetViews>
  <sheetFormatPr baseColWidth="10" defaultRowHeight="14" x14ac:dyDescent="0"/>
  <cols>
    <col min="1" max="1" width="16.83203125" style="194" bestFit="1" customWidth="1"/>
    <col min="2" max="16384" width="10.83203125" style="194"/>
  </cols>
  <sheetData>
    <row r="1" spans="1:2" ht="28">
      <c r="A1" s="243" t="s">
        <v>1405</v>
      </c>
      <c r="B1" s="243" t="s">
        <v>1733</v>
      </c>
    </row>
    <row r="2" spans="1:2">
      <c r="A2" s="249" t="s">
        <v>93</v>
      </c>
      <c r="B2" s="219">
        <v>469897</v>
      </c>
    </row>
    <row r="3" spans="1:2">
      <c r="A3" s="249" t="s">
        <v>109</v>
      </c>
      <c r="B3" s="219">
        <v>387171</v>
      </c>
    </row>
    <row r="4" spans="1:2">
      <c r="A4" s="249" t="s">
        <v>169</v>
      </c>
      <c r="B4" s="219">
        <v>295320</v>
      </c>
    </row>
    <row r="5" spans="1:2">
      <c r="A5" s="262" t="s">
        <v>153</v>
      </c>
      <c r="B5" s="241">
        <v>263995</v>
      </c>
    </row>
    <row r="6" spans="1:2">
      <c r="A6" s="249" t="s">
        <v>174</v>
      </c>
      <c r="B6" s="219">
        <v>134578</v>
      </c>
    </row>
    <row r="7" spans="1:2">
      <c r="A7" s="249" t="s">
        <v>141</v>
      </c>
      <c r="B7" s="219">
        <v>130080</v>
      </c>
    </row>
    <row r="8" spans="1:2">
      <c r="A8" s="249" t="s">
        <v>220</v>
      </c>
      <c r="B8" s="219">
        <v>104116</v>
      </c>
    </row>
    <row r="9" spans="1:2">
      <c r="A9" s="249" t="s">
        <v>201</v>
      </c>
      <c r="B9" s="219">
        <v>97838</v>
      </c>
    </row>
    <row r="10" spans="1:2">
      <c r="A10" s="249" t="s">
        <v>63</v>
      </c>
      <c r="B10" s="204">
        <v>83118</v>
      </c>
    </row>
    <row r="11" spans="1:2">
      <c r="A11" s="249" t="s">
        <v>120</v>
      </c>
      <c r="B11" s="219">
        <v>79105</v>
      </c>
    </row>
    <row r="12" spans="1:2">
      <c r="A12" s="262" t="s">
        <v>182</v>
      </c>
      <c r="B12" s="241">
        <v>72756</v>
      </c>
    </row>
    <row r="13" spans="1:2">
      <c r="A13" s="249" t="s">
        <v>102</v>
      </c>
      <c r="B13" s="219">
        <v>69507</v>
      </c>
    </row>
    <row r="14" spans="1:2">
      <c r="A14" s="249" t="s">
        <v>143</v>
      </c>
      <c r="B14" s="219">
        <v>64561</v>
      </c>
    </row>
    <row r="15" spans="1:2">
      <c r="A15" s="249" t="s">
        <v>225</v>
      </c>
      <c r="B15" s="219">
        <v>53642</v>
      </c>
    </row>
    <row r="16" spans="1:2">
      <c r="A16" s="249" t="s">
        <v>111</v>
      </c>
      <c r="B16" s="219">
        <v>49700</v>
      </c>
    </row>
    <row r="17" spans="1:2">
      <c r="A17" s="262" t="s">
        <v>123</v>
      </c>
      <c r="B17" s="241">
        <v>44702</v>
      </c>
    </row>
    <row r="18" spans="1:2">
      <c r="A18" s="262" t="s">
        <v>231</v>
      </c>
      <c r="B18" s="241">
        <v>37775</v>
      </c>
    </row>
    <row r="19" spans="1:2">
      <c r="A19" s="249" t="s">
        <v>148</v>
      </c>
      <c r="B19" s="219">
        <v>26232</v>
      </c>
    </row>
    <row r="20" spans="1:2">
      <c r="A20" s="262" t="s">
        <v>222</v>
      </c>
      <c r="B20" s="241">
        <v>18313</v>
      </c>
    </row>
    <row r="21" spans="1:2">
      <c r="A21" s="249" t="s">
        <v>185</v>
      </c>
      <c r="B21" s="219">
        <v>13851</v>
      </c>
    </row>
    <row r="22" spans="1:2">
      <c r="A22" s="249" t="s">
        <v>136</v>
      </c>
      <c r="B22" s="219">
        <v>13524</v>
      </c>
    </row>
    <row r="23" spans="1:2">
      <c r="A23" s="249" t="s">
        <v>161</v>
      </c>
      <c r="B23" s="219">
        <v>13191</v>
      </c>
    </row>
    <row r="24" spans="1:2">
      <c r="A24" s="262" t="s">
        <v>156</v>
      </c>
      <c r="B24" s="241">
        <v>12355</v>
      </c>
    </row>
    <row r="25" spans="1:2">
      <c r="A25" s="260" t="s">
        <v>236</v>
      </c>
      <c r="B25" s="205">
        <v>12318</v>
      </c>
    </row>
    <row r="26" spans="1:2">
      <c r="A26" s="249" t="s">
        <v>218</v>
      </c>
      <c r="B26" s="219">
        <v>12036</v>
      </c>
    </row>
    <row r="27" spans="1:2">
      <c r="A27" s="249" t="s">
        <v>139</v>
      </c>
      <c r="B27" s="219">
        <v>11279</v>
      </c>
    </row>
    <row r="28" spans="1:2">
      <c r="A28" s="249" t="s">
        <v>228</v>
      </c>
      <c r="B28" s="219">
        <v>7587</v>
      </c>
    </row>
    <row r="29" spans="1:2">
      <c r="A29" s="249" t="s">
        <v>180</v>
      </c>
      <c r="B29" s="219">
        <v>7497</v>
      </c>
    </row>
    <row r="30" spans="1:2">
      <c r="A30" s="249" t="s">
        <v>145</v>
      </c>
      <c r="B30" s="219">
        <v>6804</v>
      </c>
    </row>
    <row r="31" spans="1:2">
      <c r="A31" s="249" t="s">
        <v>209</v>
      </c>
      <c r="B31" s="219">
        <v>6382</v>
      </c>
    </row>
    <row r="32" spans="1:2">
      <c r="A32" s="249" t="s">
        <v>229</v>
      </c>
      <c r="B32" s="219">
        <v>5877</v>
      </c>
    </row>
    <row r="33" spans="1:2">
      <c r="A33" s="249" t="s">
        <v>228</v>
      </c>
      <c r="B33" s="219">
        <v>5388</v>
      </c>
    </row>
    <row r="34" spans="1:2">
      <c r="A34" s="249" t="s">
        <v>114</v>
      </c>
      <c r="B34" s="219">
        <v>5018</v>
      </c>
    </row>
    <row r="35" spans="1:2">
      <c r="A35" s="249" t="s">
        <v>190</v>
      </c>
      <c r="B35" s="219">
        <v>4500</v>
      </c>
    </row>
    <row r="36" spans="1:2">
      <c r="A36" s="249" t="s">
        <v>234</v>
      </c>
      <c r="B36" s="219">
        <v>4134</v>
      </c>
    </row>
    <row r="37" spans="1:2">
      <c r="A37" s="249" t="s">
        <v>78</v>
      </c>
      <c r="B37" s="219">
        <v>3942</v>
      </c>
    </row>
    <row r="38" spans="1:2">
      <c r="A38" s="249" t="s">
        <v>134</v>
      </c>
      <c r="B38" s="219">
        <v>3908</v>
      </c>
    </row>
    <row r="39" spans="1:2">
      <c r="A39" s="262" t="s">
        <v>117</v>
      </c>
      <c r="B39" s="241">
        <v>3836</v>
      </c>
    </row>
    <row r="40" spans="1:2">
      <c r="A40" s="249" t="s">
        <v>87</v>
      </c>
      <c r="B40" s="219">
        <v>2843</v>
      </c>
    </row>
    <row r="41" spans="1:2">
      <c r="A41" s="249" t="s">
        <v>196</v>
      </c>
      <c r="B41" s="219">
        <v>2523</v>
      </c>
    </row>
    <row r="42" spans="1:2">
      <c r="A42" s="249" t="s">
        <v>165</v>
      </c>
      <c r="B42" s="219">
        <v>2230</v>
      </c>
    </row>
    <row r="43" spans="1:2">
      <c r="A43" s="249" t="s">
        <v>127</v>
      </c>
      <c r="B43" s="219">
        <v>2035</v>
      </c>
    </row>
    <row r="44" spans="1:2">
      <c r="A44" s="249" t="s">
        <v>177</v>
      </c>
      <c r="B44" s="219">
        <v>1802</v>
      </c>
    </row>
    <row r="45" spans="1:2">
      <c r="A45" s="262" t="s">
        <v>150</v>
      </c>
      <c r="B45" s="241">
        <v>1671</v>
      </c>
    </row>
    <row r="46" spans="1:2">
      <c r="A46" s="262" t="s">
        <v>96</v>
      </c>
      <c r="B46" s="241">
        <v>1606</v>
      </c>
    </row>
    <row r="47" spans="1:2">
      <c r="A47" s="249" t="s">
        <v>78</v>
      </c>
      <c r="B47" s="219">
        <v>1144</v>
      </c>
    </row>
    <row r="48" spans="1:2">
      <c r="A48" s="249" t="s">
        <v>203</v>
      </c>
      <c r="B48" s="219">
        <v>970</v>
      </c>
    </row>
    <row r="49" spans="1:4">
      <c r="A49" s="262" t="s">
        <v>163</v>
      </c>
      <c r="B49" s="241">
        <v>464</v>
      </c>
    </row>
    <row r="50" spans="1:4">
      <c r="A50" s="249" t="s">
        <v>72</v>
      </c>
      <c r="B50" s="219">
        <v>272</v>
      </c>
    </row>
    <row r="51" spans="1:4">
      <c r="A51" s="249" t="s">
        <v>167</v>
      </c>
      <c r="B51" s="219">
        <v>35</v>
      </c>
    </row>
    <row r="52" spans="1:4">
      <c r="A52" s="249" t="s">
        <v>100</v>
      </c>
      <c r="B52" s="219">
        <v>8</v>
      </c>
      <c r="D52" s="462">
        <f>AVERAGE(B2:B52)</f>
        <v>52028.156862745098</v>
      </c>
    </row>
    <row r="53" spans="1:4">
      <c r="A53" s="249" t="s">
        <v>69</v>
      </c>
      <c r="B53" s="219">
        <v>0</v>
      </c>
    </row>
    <row r="54" spans="1:4">
      <c r="A54" s="249" t="s">
        <v>82</v>
      </c>
      <c r="B54" s="219"/>
    </row>
    <row r="55" spans="1:4">
      <c r="A55" s="249" t="s">
        <v>90</v>
      </c>
      <c r="B55" s="219"/>
    </row>
    <row r="56" spans="1:4">
      <c r="A56" s="249" t="s">
        <v>104</v>
      </c>
      <c r="B56" s="219"/>
    </row>
    <row r="57" spans="1:4">
      <c r="A57" s="249" t="s">
        <v>106</v>
      </c>
      <c r="B57" s="219"/>
    </row>
    <row r="58" spans="1:4">
      <c r="A58" s="249" t="s">
        <v>125</v>
      </c>
      <c r="B58" s="219"/>
    </row>
    <row r="59" spans="1:4">
      <c r="A59" s="249" t="s">
        <v>129</v>
      </c>
      <c r="B59" s="219"/>
    </row>
    <row r="60" spans="1:4">
      <c r="A60" s="249" t="s">
        <v>158</v>
      </c>
      <c r="B60" s="219"/>
    </row>
    <row r="61" spans="1:4">
      <c r="A61" s="249" t="s">
        <v>171</v>
      </c>
      <c r="B61" s="219"/>
    </row>
    <row r="62" spans="1:4">
      <c r="A62" s="249" t="s">
        <v>187</v>
      </c>
      <c r="B62" s="219"/>
    </row>
    <row r="63" spans="1:4">
      <c r="A63" s="249" t="s">
        <v>193</v>
      </c>
      <c r="B63" s="219"/>
    </row>
    <row r="64" spans="1:4">
      <c r="A64" s="249" t="s">
        <v>199</v>
      </c>
      <c r="B64" s="219"/>
    </row>
    <row r="65" spans="1:2">
      <c r="A65" s="249" t="s">
        <v>206</v>
      </c>
      <c r="B65" s="219"/>
    </row>
    <row r="66" spans="1:2">
      <c r="A66" s="249" t="s">
        <v>213</v>
      </c>
      <c r="B66" s="219"/>
    </row>
    <row r="67" spans="1:2">
      <c r="A67" s="249" t="s">
        <v>215</v>
      </c>
      <c r="B67" s="21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6"/>
  <sheetViews>
    <sheetView zoomScale="125" zoomScaleNormal="125" zoomScalePageLayoutView="125" workbookViewId="0">
      <pane xSplit="2" ySplit="1" topLeftCell="V2" activePane="bottomRight" state="frozen"/>
      <selection activeCell="B24" sqref="B24"/>
      <selection pane="topRight" activeCell="B24" sqref="B24"/>
      <selection pane="bottomLeft" activeCell="B24" sqref="B24"/>
      <selection pane="bottomRight" activeCell="B24" sqref="B24"/>
    </sheetView>
  </sheetViews>
  <sheetFormatPr baseColWidth="10" defaultColWidth="21.83203125" defaultRowHeight="14" x14ac:dyDescent="0"/>
  <cols>
    <col min="1" max="16384" width="21.83203125" style="194"/>
  </cols>
  <sheetData>
    <row r="1" spans="1:41">
      <c r="A1" s="234" t="s">
        <v>1099</v>
      </c>
      <c r="B1" s="234" t="s">
        <v>1405</v>
      </c>
      <c r="C1" s="234" t="s">
        <v>1100</v>
      </c>
      <c r="D1" s="234" t="s">
        <v>1101</v>
      </c>
      <c r="E1" s="234" t="s">
        <v>1102</v>
      </c>
      <c r="F1" s="234" t="s">
        <v>2250</v>
      </c>
      <c r="G1" s="234" t="s">
        <v>1722</v>
      </c>
      <c r="H1" s="234" t="s">
        <v>1407</v>
      </c>
      <c r="I1" s="234" t="s">
        <v>1723</v>
      </c>
      <c r="J1" s="234" t="s">
        <v>1724</v>
      </c>
      <c r="K1" s="234" t="s">
        <v>1725</v>
      </c>
      <c r="L1" s="234" t="s">
        <v>2251</v>
      </c>
      <c r="M1" s="234" t="s">
        <v>2252</v>
      </c>
      <c r="N1" s="234" t="s">
        <v>1412</v>
      </c>
      <c r="O1" s="234" t="s">
        <v>2253</v>
      </c>
      <c r="P1" s="234" t="s">
        <v>2254</v>
      </c>
      <c r="Q1" s="234" t="s">
        <v>2255</v>
      </c>
      <c r="R1" s="234" t="s">
        <v>2256</v>
      </c>
      <c r="S1" s="234" t="s">
        <v>2257</v>
      </c>
      <c r="T1" s="234" t="s">
        <v>1423</v>
      </c>
      <c r="U1" s="234" t="s">
        <v>1735</v>
      </c>
      <c r="V1" s="234" t="s">
        <v>2258</v>
      </c>
      <c r="W1" s="234" t="s">
        <v>2259</v>
      </c>
      <c r="X1" s="234" t="s">
        <v>2260</v>
      </c>
      <c r="Y1" s="236" t="s">
        <v>2261</v>
      </c>
      <c r="Z1" s="235" t="s">
        <v>2262</v>
      </c>
      <c r="AA1" s="236" t="s">
        <v>2263</v>
      </c>
      <c r="AB1" s="235" t="s">
        <v>2264</v>
      </c>
      <c r="AC1" s="236" t="s">
        <v>2265</v>
      </c>
      <c r="AD1" s="235" t="s">
        <v>2266</v>
      </c>
      <c r="AE1" s="236" t="s">
        <v>2267</v>
      </c>
      <c r="AF1" s="235" t="s">
        <v>2268</v>
      </c>
      <c r="AG1" s="235" t="s">
        <v>2269</v>
      </c>
      <c r="AH1" s="235" t="s">
        <v>2270</v>
      </c>
      <c r="AI1" s="236" t="s">
        <v>2271</v>
      </c>
      <c r="AJ1" s="235" t="s">
        <v>2272</v>
      </c>
      <c r="AK1" s="236" t="s">
        <v>2273</v>
      </c>
      <c r="AL1" s="235" t="s">
        <v>2274</v>
      </c>
      <c r="AM1" s="236" t="s">
        <v>2275</v>
      </c>
      <c r="AN1" s="322" t="s">
        <v>2276</v>
      </c>
      <c r="AO1" s="323" t="s">
        <v>2277</v>
      </c>
    </row>
    <row r="2" spans="1:41">
      <c r="A2" s="178" t="s">
        <v>1171</v>
      </c>
      <c r="B2" s="178" t="s">
        <v>63</v>
      </c>
      <c r="C2" s="205">
        <v>1</v>
      </c>
      <c r="D2" s="178" t="s">
        <v>413</v>
      </c>
      <c r="E2" s="178" t="s">
        <v>1747</v>
      </c>
      <c r="H2" s="178" t="s">
        <v>1451</v>
      </c>
      <c r="I2" s="178" t="s">
        <v>1176</v>
      </c>
      <c r="N2" s="203">
        <v>41106</v>
      </c>
      <c r="O2" s="194">
        <v>0</v>
      </c>
      <c r="T2" s="203">
        <v>41134</v>
      </c>
      <c r="X2" s="194">
        <v>0</v>
      </c>
      <c r="Y2" s="324">
        <f t="shared" ref="Y2:Y65" si="0">PERCENTRANK($X$2:$X$64,X2)</f>
        <v>0</v>
      </c>
      <c r="Z2" s="177">
        <f t="shared" ref="Z2:Z65" si="1">X2-O2</f>
        <v>0</v>
      </c>
      <c r="AA2" s="324">
        <f t="shared" ref="AA2:AA65" si="2">PERCENTRANK($Z$2:$Z$64,Z2)*0.5</f>
        <v>0</v>
      </c>
      <c r="AB2" s="325">
        <v>0</v>
      </c>
      <c r="AC2" s="324">
        <f t="shared" ref="AC2:AC65" si="3">PERCENTRANK($AB$2:$AB$64,AB2,2)*0.5</f>
        <v>0</v>
      </c>
      <c r="AD2" s="206">
        <v>0</v>
      </c>
      <c r="AE2" s="324">
        <f>PERCENTRANK($AD$2:$AD$64,AD2,2)*0.5</f>
        <v>0</v>
      </c>
      <c r="AF2" s="326">
        <f>T2-N2</f>
        <v>28</v>
      </c>
      <c r="AG2" s="327">
        <f>AD2-R2</f>
        <v>0</v>
      </c>
      <c r="AH2" s="328">
        <f>AG2/AF2</f>
        <v>0</v>
      </c>
      <c r="AI2" s="324">
        <f>PERCENTRANK($X$2:$X$64,AH2,2)</f>
        <v>0</v>
      </c>
      <c r="AJ2" s="328"/>
      <c r="AK2" s="324">
        <f>IF(AJ2="yes",0.25,0)</f>
        <v>0</v>
      </c>
      <c r="AL2" s="328"/>
      <c r="AM2" s="324">
        <f>IF(AL2="yes",0.25,0)</f>
        <v>0</v>
      </c>
      <c r="AN2" s="329">
        <f>SUM(AI2,AE2,AC2,AA2,Y2,AK2,AM2)</f>
        <v>0</v>
      </c>
      <c r="AO2" s="330">
        <f>AN2*(5/4)</f>
        <v>0</v>
      </c>
    </row>
    <row r="3" spans="1:41">
      <c r="A3" s="178"/>
      <c r="B3" s="178" t="s">
        <v>69</v>
      </c>
      <c r="C3" s="205">
        <v>2</v>
      </c>
      <c r="D3" s="178"/>
      <c r="E3" s="178"/>
      <c r="H3" s="178" t="s">
        <v>1451</v>
      </c>
      <c r="I3" s="178" t="s">
        <v>1176</v>
      </c>
      <c r="N3" s="203">
        <v>41106</v>
      </c>
      <c r="O3" s="194">
        <v>0</v>
      </c>
      <c r="T3" s="203">
        <v>41134</v>
      </c>
      <c r="X3" s="194">
        <v>0</v>
      </c>
      <c r="Y3" s="324">
        <f t="shared" si="0"/>
        <v>0</v>
      </c>
      <c r="Z3" s="177">
        <f t="shared" si="1"/>
        <v>0</v>
      </c>
      <c r="AA3" s="324">
        <f t="shared" si="2"/>
        <v>0</v>
      </c>
      <c r="AB3" s="325">
        <v>0</v>
      </c>
      <c r="AC3" s="324">
        <f t="shared" si="3"/>
        <v>0</v>
      </c>
      <c r="AD3" s="206">
        <v>0</v>
      </c>
      <c r="AE3" s="324">
        <f t="shared" ref="AE3:AE65" si="4">PERCENTRANK($AD$2:$AD$64,AD3,2)*0.5</f>
        <v>0</v>
      </c>
      <c r="AF3" s="326">
        <f t="shared" ref="AF3:AF65" si="5">T3-N3</f>
        <v>28</v>
      </c>
      <c r="AG3" s="327">
        <f t="shared" ref="AG3:AG65" si="6">AD3-R3</f>
        <v>0</v>
      </c>
      <c r="AH3" s="328">
        <f t="shared" ref="AH3:AH65" si="7">AG3/AF3</f>
        <v>0</v>
      </c>
      <c r="AI3" s="324">
        <f t="shared" ref="AI3:AI65" si="8">PERCENTRANK($X$2:$X$64,AH3,2)</f>
        <v>0</v>
      </c>
      <c r="AJ3" s="328"/>
      <c r="AK3" s="324">
        <f t="shared" ref="AK3:AM65" si="9">IF(AJ3="yes",0.25,0)</f>
        <v>0</v>
      </c>
      <c r="AL3" s="328"/>
      <c r="AM3" s="324">
        <f t="shared" si="9"/>
        <v>0</v>
      </c>
      <c r="AN3" s="329">
        <f t="shared" ref="AN3:AN65" si="10">SUM(AI3,AE3,AC3,AA3,Y3,AK3,AM3)</f>
        <v>0</v>
      </c>
      <c r="AO3" s="330">
        <f t="shared" ref="AO3:AO65" si="11">AN3*(5/4)</f>
        <v>0</v>
      </c>
    </row>
    <row r="4" spans="1:41">
      <c r="A4" s="178" t="s">
        <v>1171</v>
      </c>
      <c r="B4" s="178" t="s">
        <v>72</v>
      </c>
      <c r="C4" s="205">
        <v>3</v>
      </c>
      <c r="D4" s="178" t="s">
        <v>413</v>
      </c>
      <c r="E4" s="178" t="s">
        <v>1184</v>
      </c>
      <c r="F4" s="178" t="s">
        <v>2278</v>
      </c>
      <c r="G4" s="178" t="s">
        <v>72</v>
      </c>
      <c r="H4" s="178" t="s">
        <v>1451</v>
      </c>
      <c r="I4" s="178" t="s">
        <v>1174</v>
      </c>
      <c r="J4" s="178" t="s">
        <v>1176</v>
      </c>
      <c r="K4" s="178" t="s">
        <v>1176</v>
      </c>
      <c r="L4" s="178" t="s">
        <v>1176</v>
      </c>
      <c r="M4" s="178" t="s">
        <v>1174</v>
      </c>
      <c r="N4" s="203">
        <v>41106</v>
      </c>
      <c r="O4" s="205">
        <v>612</v>
      </c>
      <c r="P4" s="205">
        <v>2</v>
      </c>
      <c r="Q4" s="205">
        <v>12</v>
      </c>
      <c r="R4" s="205">
        <v>229</v>
      </c>
      <c r="S4" s="205">
        <v>0</v>
      </c>
      <c r="T4" s="203">
        <v>41134</v>
      </c>
      <c r="U4" s="205">
        <v>2</v>
      </c>
      <c r="V4" s="205">
        <v>12</v>
      </c>
      <c r="W4" s="205">
        <v>0</v>
      </c>
      <c r="X4" s="205">
        <v>900</v>
      </c>
      <c r="Y4" s="324">
        <f t="shared" si="0"/>
        <v>0.61199999999999999</v>
      </c>
      <c r="Z4" s="177">
        <f t="shared" si="1"/>
        <v>288</v>
      </c>
      <c r="AA4" s="324">
        <f t="shared" si="2"/>
        <v>0.35449999999999998</v>
      </c>
      <c r="AB4" s="325">
        <f>(X4/O4)-1</f>
        <v>0.47058823529411775</v>
      </c>
      <c r="AC4" s="324">
        <f t="shared" si="3"/>
        <v>0.39500000000000002</v>
      </c>
      <c r="AD4" s="206">
        <v>242</v>
      </c>
      <c r="AE4" s="324">
        <f t="shared" si="4"/>
        <v>0.27</v>
      </c>
      <c r="AF4" s="326">
        <f t="shared" si="5"/>
        <v>28</v>
      </c>
      <c r="AG4" s="327">
        <f t="shared" si="6"/>
        <v>13</v>
      </c>
      <c r="AH4" s="328">
        <f t="shared" si="7"/>
        <v>0.4642857142857143</v>
      </c>
      <c r="AI4" s="324">
        <f t="shared" si="8"/>
        <v>0.22</v>
      </c>
      <c r="AJ4" s="328" t="s">
        <v>1176</v>
      </c>
      <c r="AK4" s="324">
        <f t="shared" si="9"/>
        <v>0</v>
      </c>
      <c r="AL4" s="328" t="s">
        <v>1176</v>
      </c>
      <c r="AM4" s="324">
        <f t="shared" si="9"/>
        <v>0</v>
      </c>
      <c r="AN4" s="329">
        <f t="shared" si="10"/>
        <v>1.8515000000000001</v>
      </c>
      <c r="AO4" s="330">
        <f t="shared" si="11"/>
        <v>2.3143750000000001</v>
      </c>
    </row>
    <row r="5" spans="1:41">
      <c r="A5" s="178" t="s">
        <v>1171</v>
      </c>
      <c r="B5" s="178" t="s">
        <v>78</v>
      </c>
      <c r="C5" s="205">
        <v>4</v>
      </c>
      <c r="D5" s="178" t="s">
        <v>413</v>
      </c>
      <c r="E5" s="178" t="s">
        <v>1752</v>
      </c>
      <c r="F5" s="178" t="s">
        <v>2279</v>
      </c>
      <c r="G5" s="178" t="s">
        <v>2280</v>
      </c>
      <c r="H5" s="178" t="s">
        <v>1451</v>
      </c>
      <c r="I5" s="178" t="s">
        <v>1174</v>
      </c>
      <c r="J5" s="178" t="s">
        <v>1176</v>
      </c>
      <c r="K5" s="178" t="s">
        <v>1176</v>
      </c>
      <c r="L5" s="178" t="s">
        <v>1174</v>
      </c>
      <c r="M5" s="178" t="s">
        <v>1174</v>
      </c>
      <c r="N5" s="203">
        <v>41106</v>
      </c>
      <c r="O5" s="205">
        <v>306</v>
      </c>
      <c r="P5" s="205">
        <v>0</v>
      </c>
      <c r="Q5" s="205">
        <v>9</v>
      </c>
      <c r="R5" s="205">
        <v>147</v>
      </c>
      <c r="S5" s="205">
        <v>0</v>
      </c>
      <c r="T5" s="203">
        <v>41134</v>
      </c>
      <c r="U5" s="205">
        <v>0</v>
      </c>
      <c r="V5" s="205">
        <v>9</v>
      </c>
      <c r="W5" s="205">
        <v>0</v>
      </c>
      <c r="X5" s="205">
        <v>505</v>
      </c>
      <c r="Y5" s="324">
        <f t="shared" si="0"/>
        <v>0.53200000000000003</v>
      </c>
      <c r="Z5" s="177">
        <f t="shared" si="1"/>
        <v>199</v>
      </c>
      <c r="AA5" s="324">
        <f t="shared" si="2"/>
        <v>0.30599999999999999</v>
      </c>
      <c r="AB5" s="325">
        <f>(X5/O5)-1</f>
        <v>0.65032679738562083</v>
      </c>
      <c r="AC5" s="324">
        <f t="shared" si="3"/>
        <v>0.42499999999999999</v>
      </c>
      <c r="AD5" s="206">
        <v>169</v>
      </c>
      <c r="AE5" s="324">
        <f t="shared" si="4"/>
        <v>0.22500000000000001</v>
      </c>
      <c r="AF5" s="326">
        <f t="shared" si="5"/>
        <v>28</v>
      </c>
      <c r="AG5" s="327">
        <f t="shared" si="6"/>
        <v>22</v>
      </c>
      <c r="AH5" s="328">
        <f t="shared" si="7"/>
        <v>0.7857142857142857</v>
      </c>
      <c r="AI5" s="324">
        <f t="shared" si="8"/>
        <v>0.22</v>
      </c>
      <c r="AJ5" s="328" t="s">
        <v>1176</v>
      </c>
      <c r="AK5" s="324">
        <f t="shared" si="9"/>
        <v>0</v>
      </c>
      <c r="AL5" s="328" t="s">
        <v>1176</v>
      </c>
      <c r="AM5" s="324">
        <f t="shared" si="9"/>
        <v>0</v>
      </c>
      <c r="AN5" s="329">
        <f t="shared" si="10"/>
        <v>1.708</v>
      </c>
      <c r="AO5" s="330">
        <f t="shared" si="11"/>
        <v>2.1349999999999998</v>
      </c>
    </row>
    <row r="6" spans="1:41">
      <c r="A6" s="178" t="s">
        <v>1171</v>
      </c>
      <c r="B6" s="178" t="s">
        <v>82</v>
      </c>
      <c r="C6" s="205">
        <v>5</v>
      </c>
      <c r="D6" s="178" t="s">
        <v>413</v>
      </c>
      <c r="E6" s="178" t="s">
        <v>1758</v>
      </c>
      <c r="F6" s="178" t="s">
        <v>2281</v>
      </c>
      <c r="G6" s="178" t="s">
        <v>2282</v>
      </c>
      <c r="H6" s="178" t="s">
        <v>1451</v>
      </c>
      <c r="I6" s="178" t="s">
        <v>1174</v>
      </c>
      <c r="J6" s="178" t="s">
        <v>1176</v>
      </c>
      <c r="K6" s="178" t="s">
        <v>1176</v>
      </c>
      <c r="L6" s="178" t="s">
        <v>1174</v>
      </c>
      <c r="M6" s="178" t="s">
        <v>1174</v>
      </c>
      <c r="N6" s="203">
        <v>41106</v>
      </c>
      <c r="O6" s="205">
        <v>236</v>
      </c>
      <c r="P6" s="205">
        <v>49</v>
      </c>
      <c r="Q6" s="205">
        <v>20</v>
      </c>
      <c r="R6" s="205">
        <v>360</v>
      </c>
      <c r="S6" s="205">
        <v>29</v>
      </c>
      <c r="T6" s="203">
        <v>41134</v>
      </c>
      <c r="U6" s="205">
        <v>166</v>
      </c>
      <c r="V6" s="205">
        <v>22</v>
      </c>
      <c r="W6" s="205">
        <v>31</v>
      </c>
      <c r="X6" s="205">
        <v>964</v>
      </c>
      <c r="Y6" s="324">
        <f t="shared" si="0"/>
        <v>0.66100000000000003</v>
      </c>
      <c r="Z6" s="177">
        <f t="shared" si="1"/>
        <v>728</v>
      </c>
      <c r="AA6" s="324">
        <f t="shared" si="2"/>
        <v>0.42699999999999999</v>
      </c>
      <c r="AB6" s="325">
        <f>(X6/O6)-1</f>
        <v>3.0847457627118642</v>
      </c>
      <c r="AC6" s="324">
        <f t="shared" si="3"/>
        <v>0.5</v>
      </c>
      <c r="AD6" s="206">
        <v>376</v>
      </c>
      <c r="AE6" s="324">
        <f t="shared" si="4"/>
        <v>0.39500000000000002</v>
      </c>
      <c r="AF6" s="326">
        <f t="shared" si="5"/>
        <v>28</v>
      </c>
      <c r="AG6" s="327">
        <f t="shared" si="6"/>
        <v>16</v>
      </c>
      <c r="AH6" s="328">
        <f t="shared" si="7"/>
        <v>0.5714285714285714</v>
      </c>
      <c r="AI6" s="324">
        <f t="shared" si="8"/>
        <v>0.22</v>
      </c>
      <c r="AJ6" s="328" t="s">
        <v>1176</v>
      </c>
      <c r="AK6" s="324">
        <f t="shared" si="9"/>
        <v>0</v>
      </c>
      <c r="AL6" s="328" t="s">
        <v>1176</v>
      </c>
      <c r="AM6" s="324">
        <f t="shared" si="9"/>
        <v>0</v>
      </c>
      <c r="AN6" s="329">
        <f t="shared" si="10"/>
        <v>2.2030000000000003</v>
      </c>
      <c r="AO6" s="330">
        <f t="shared" si="11"/>
        <v>2.7537500000000001</v>
      </c>
    </row>
    <row r="7" spans="1:41">
      <c r="A7" s="178" t="s">
        <v>1171</v>
      </c>
      <c r="B7" s="178" t="s">
        <v>87</v>
      </c>
      <c r="C7" s="205">
        <v>6</v>
      </c>
      <c r="D7" s="178" t="s">
        <v>413</v>
      </c>
      <c r="E7" s="178" t="s">
        <v>88</v>
      </c>
      <c r="H7" s="178" t="s">
        <v>1451</v>
      </c>
      <c r="I7" s="178" t="s">
        <v>1176</v>
      </c>
      <c r="N7" s="203">
        <v>41106</v>
      </c>
      <c r="O7" s="205">
        <v>0</v>
      </c>
      <c r="T7" s="203">
        <v>41134</v>
      </c>
      <c r="X7" s="205">
        <v>0</v>
      </c>
      <c r="Y7" s="324">
        <f t="shared" si="0"/>
        <v>0</v>
      </c>
      <c r="Z7" s="177">
        <f t="shared" si="1"/>
        <v>0</v>
      </c>
      <c r="AA7" s="324">
        <f t="shared" si="2"/>
        <v>0</v>
      </c>
      <c r="AB7" s="325">
        <v>0</v>
      </c>
      <c r="AC7" s="324">
        <f t="shared" si="3"/>
        <v>0</v>
      </c>
      <c r="AD7" s="206">
        <v>0</v>
      </c>
      <c r="AE7" s="324">
        <f t="shared" si="4"/>
        <v>0</v>
      </c>
      <c r="AF7" s="326">
        <f t="shared" si="5"/>
        <v>28</v>
      </c>
      <c r="AG7" s="327">
        <f t="shared" si="6"/>
        <v>0</v>
      </c>
      <c r="AH7" s="328">
        <f t="shared" si="7"/>
        <v>0</v>
      </c>
      <c r="AI7" s="324">
        <f t="shared" si="8"/>
        <v>0</v>
      </c>
      <c r="AJ7" s="328"/>
      <c r="AK7" s="324">
        <f t="shared" si="9"/>
        <v>0</v>
      </c>
      <c r="AL7" s="328"/>
      <c r="AM7" s="324">
        <f t="shared" si="9"/>
        <v>0</v>
      </c>
      <c r="AN7" s="329">
        <f t="shared" si="10"/>
        <v>0</v>
      </c>
      <c r="AO7" s="330">
        <f t="shared" si="11"/>
        <v>0</v>
      </c>
    </row>
    <row r="8" spans="1:41">
      <c r="A8" s="178" t="s">
        <v>1171</v>
      </c>
      <c r="B8" s="178" t="s">
        <v>90</v>
      </c>
      <c r="C8" s="205">
        <v>7</v>
      </c>
      <c r="D8" s="178" t="s">
        <v>413</v>
      </c>
      <c r="E8" s="178" t="s">
        <v>1195</v>
      </c>
      <c r="H8" s="178" t="s">
        <v>1451</v>
      </c>
      <c r="I8" s="178" t="s">
        <v>1176</v>
      </c>
      <c r="N8" s="203">
        <v>41106</v>
      </c>
      <c r="O8" s="205">
        <v>0</v>
      </c>
      <c r="T8" s="203">
        <v>41134</v>
      </c>
      <c r="X8" s="205">
        <v>0</v>
      </c>
      <c r="Y8" s="324">
        <f t="shared" si="0"/>
        <v>0</v>
      </c>
      <c r="Z8" s="177">
        <f t="shared" si="1"/>
        <v>0</v>
      </c>
      <c r="AA8" s="324">
        <f t="shared" si="2"/>
        <v>0</v>
      </c>
      <c r="AB8" s="325">
        <v>0</v>
      </c>
      <c r="AC8" s="324">
        <f t="shared" si="3"/>
        <v>0</v>
      </c>
      <c r="AD8" s="206">
        <v>0</v>
      </c>
      <c r="AE8" s="324">
        <f t="shared" si="4"/>
        <v>0</v>
      </c>
      <c r="AF8" s="326">
        <f t="shared" si="5"/>
        <v>28</v>
      </c>
      <c r="AG8" s="327">
        <f t="shared" si="6"/>
        <v>0</v>
      </c>
      <c r="AH8" s="328">
        <f t="shared" si="7"/>
        <v>0</v>
      </c>
      <c r="AI8" s="324">
        <f t="shared" si="8"/>
        <v>0</v>
      </c>
      <c r="AJ8" s="328"/>
      <c r="AK8" s="324">
        <f t="shared" si="9"/>
        <v>0</v>
      </c>
      <c r="AL8" s="328"/>
      <c r="AM8" s="324">
        <f t="shared" si="9"/>
        <v>0</v>
      </c>
      <c r="AN8" s="329">
        <f t="shared" si="10"/>
        <v>0</v>
      </c>
      <c r="AO8" s="330">
        <f t="shared" si="11"/>
        <v>0</v>
      </c>
    </row>
    <row r="9" spans="1:41">
      <c r="A9" s="178" t="s">
        <v>1171</v>
      </c>
      <c r="B9" s="178" t="s">
        <v>93</v>
      </c>
      <c r="C9" s="205">
        <v>8</v>
      </c>
      <c r="D9" s="178" t="s">
        <v>413</v>
      </c>
      <c r="E9" s="178" t="s">
        <v>1761</v>
      </c>
      <c r="F9" s="178" t="s">
        <v>2283</v>
      </c>
      <c r="G9" s="178" t="s">
        <v>93</v>
      </c>
      <c r="H9" s="178" t="s">
        <v>1451</v>
      </c>
      <c r="I9" s="178" t="s">
        <v>1174</v>
      </c>
      <c r="J9" s="178" t="s">
        <v>1176</v>
      </c>
      <c r="K9" s="178" t="s">
        <v>1176</v>
      </c>
      <c r="L9" s="178" t="s">
        <v>1174</v>
      </c>
      <c r="M9" s="178" t="s">
        <v>1174</v>
      </c>
      <c r="N9" s="203">
        <v>41106</v>
      </c>
      <c r="O9" s="205">
        <v>6918</v>
      </c>
      <c r="P9" s="205">
        <v>20</v>
      </c>
      <c r="Q9" s="205">
        <v>17</v>
      </c>
      <c r="R9" s="205">
        <v>894</v>
      </c>
      <c r="S9" s="205">
        <v>0</v>
      </c>
      <c r="T9" s="203">
        <v>41134</v>
      </c>
      <c r="U9" s="205">
        <v>19</v>
      </c>
      <c r="V9" s="205">
        <v>17</v>
      </c>
      <c r="W9" s="205">
        <v>0</v>
      </c>
      <c r="X9" s="205">
        <v>8810</v>
      </c>
      <c r="Y9" s="324">
        <f t="shared" si="0"/>
        <v>0.93500000000000005</v>
      </c>
      <c r="Z9" s="177">
        <f t="shared" si="1"/>
        <v>1892</v>
      </c>
      <c r="AA9" s="324">
        <f t="shared" si="2"/>
        <v>0.46750000000000003</v>
      </c>
      <c r="AB9" s="325">
        <f>(X9/O9)-1</f>
        <v>0.27348944781728823</v>
      </c>
      <c r="AC9" s="324">
        <f t="shared" si="3"/>
        <v>0.28000000000000003</v>
      </c>
      <c r="AD9" s="206">
        <v>997</v>
      </c>
      <c r="AE9" s="324">
        <f t="shared" si="4"/>
        <v>0.46500000000000002</v>
      </c>
      <c r="AF9" s="326">
        <f t="shared" si="5"/>
        <v>28</v>
      </c>
      <c r="AG9" s="327">
        <f t="shared" si="6"/>
        <v>103</v>
      </c>
      <c r="AH9" s="328">
        <f t="shared" si="7"/>
        <v>3.6785714285714284</v>
      </c>
      <c r="AI9" s="324">
        <f t="shared" si="8"/>
        <v>0.22</v>
      </c>
      <c r="AJ9" s="328" t="s">
        <v>1176</v>
      </c>
      <c r="AK9" s="324">
        <f t="shared" si="9"/>
        <v>0</v>
      </c>
      <c r="AL9" s="328" t="s">
        <v>1176</v>
      </c>
      <c r="AM9" s="324">
        <f t="shared" si="9"/>
        <v>0</v>
      </c>
      <c r="AN9" s="329">
        <f t="shared" si="10"/>
        <v>2.3675000000000002</v>
      </c>
      <c r="AO9" s="330">
        <f t="shared" si="11"/>
        <v>2.9593750000000001</v>
      </c>
    </row>
    <row r="10" spans="1:41">
      <c r="A10" s="178" t="s">
        <v>1171</v>
      </c>
      <c r="B10" s="178" t="s">
        <v>96</v>
      </c>
      <c r="C10" s="205">
        <v>9</v>
      </c>
      <c r="D10" s="178" t="s">
        <v>413</v>
      </c>
      <c r="E10" s="178" t="s">
        <v>1202</v>
      </c>
      <c r="H10" s="178" t="s">
        <v>1451</v>
      </c>
      <c r="I10" s="178" t="s">
        <v>1176</v>
      </c>
      <c r="N10" s="203">
        <v>41106</v>
      </c>
      <c r="O10" s="205">
        <v>0</v>
      </c>
      <c r="T10" s="203">
        <v>41134</v>
      </c>
      <c r="X10" s="205">
        <v>0</v>
      </c>
      <c r="Y10" s="324">
        <f t="shared" si="0"/>
        <v>0</v>
      </c>
      <c r="Z10" s="177">
        <f t="shared" si="1"/>
        <v>0</v>
      </c>
      <c r="AA10" s="324">
        <f t="shared" si="2"/>
        <v>0</v>
      </c>
      <c r="AB10" s="325">
        <v>0</v>
      </c>
      <c r="AC10" s="324">
        <f t="shared" si="3"/>
        <v>0</v>
      </c>
      <c r="AD10" s="206">
        <v>0</v>
      </c>
      <c r="AE10" s="324">
        <f t="shared" si="4"/>
        <v>0</v>
      </c>
      <c r="AF10" s="326">
        <f t="shared" si="5"/>
        <v>28</v>
      </c>
      <c r="AG10" s="327">
        <f t="shared" si="6"/>
        <v>0</v>
      </c>
      <c r="AH10" s="328">
        <f t="shared" si="7"/>
        <v>0</v>
      </c>
      <c r="AI10" s="324">
        <f t="shared" si="8"/>
        <v>0</v>
      </c>
      <c r="AJ10" s="328"/>
      <c r="AK10" s="324">
        <f t="shared" si="9"/>
        <v>0</v>
      </c>
      <c r="AL10" s="328"/>
      <c r="AM10" s="324">
        <f t="shared" si="9"/>
        <v>0</v>
      </c>
      <c r="AN10" s="329">
        <f t="shared" si="10"/>
        <v>0</v>
      </c>
      <c r="AO10" s="330">
        <f t="shared" si="11"/>
        <v>0</v>
      </c>
    </row>
    <row r="11" spans="1:41">
      <c r="A11" s="178" t="s">
        <v>1171</v>
      </c>
      <c r="B11" s="178" t="s">
        <v>100</v>
      </c>
      <c r="C11" s="205">
        <v>10</v>
      </c>
      <c r="D11" s="178" t="s">
        <v>413</v>
      </c>
      <c r="E11" s="178" t="s">
        <v>1204</v>
      </c>
      <c r="F11" s="178" t="s">
        <v>2284</v>
      </c>
      <c r="G11" s="178" t="s">
        <v>100</v>
      </c>
      <c r="H11" s="178" t="s">
        <v>1451</v>
      </c>
      <c r="I11" s="178" t="s">
        <v>1174</v>
      </c>
      <c r="J11" s="178" t="s">
        <v>1176</v>
      </c>
      <c r="K11" s="178" t="s">
        <v>1176</v>
      </c>
      <c r="L11" s="178" t="s">
        <v>1174</v>
      </c>
      <c r="M11" s="178" t="s">
        <v>1174</v>
      </c>
      <c r="N11" s="203">
        <v>41106</v>
      </c>
      <c r="O11" s="205">
        <v>8</v>
      </c>
      <c r="P11" s="205">
        <v>0</v>
      </c>
      <c r="Q11" s="205">
        <v>15</v>
      </c>
      <c r="R11" s="205">
        <v>723</v>
      </c>
      <c r="S11" s="205">
        <v>0</v>
      </c>
      <c r="T11" s="203">
        <v>41134</v>
      </c>
      <c r="U11" s="205">
        <v>0</v>
      </c>
      <c r="V11" s="205">
        <v>15</v>
      </c>
      <c r="W11" s="205">
        <v>0</v>
      </c>
      <c r="X11" s="205">
        <v>15</v>
      </c>
      <c r="Y11" s="324">
        <f t="shared" si="0"/>
        <v>0.24099999999999999</v>
      </c>
      <c r="Z11" s="177">
        <f t="shared" si="1"/>
        <v>7</v>
      </c>
      <c r="AA11" s="324">
        <f t="shared" si="2"/>
        <v>0.13700000000000001</v>
      </c>
      <c r="AB11" s="325">
        <f>(X11/O11)-1</f>
        <v>0.875</v>
      </c>
      <c r="AC11" s="324">
        <f t="shared" si="3"/>
        <v>0.45</v>
      </c>
      <c r="AD11" s="206">
        <v>723</v>
      </c>
      <c r="AE11" s="324">
        <f t="shared" si="4"/>
        <v>0.44</v>
      </c>
      <c r="AF11" s="326">
        <f t="shared" si="5"/>
        <v>28</v>
      </c>
      <c r="AG11" s="327">
        <f t="shared" si="6"/>
        <v>0</v>
      </c>
      <c r="AH11" s="328">
        <f t="shared" si="7"/>
        <v>0</v>
      </c>
      <c r="AI11" s="324">
        <f t="shared" si="8"/>
        <v>0</v>
      </c>
      <c r="AJ11" s="328" t="s">
        <v>1176</v>
      </c>
      <c r="AK11" s="324">
        <f t="shared" si="9"/>
        <v>0</v>
      </c>
      <c r="AL11" s="328" t="s">
        <v>1176</v>
      </c>
      <c r="AM11" s="324">
        <f t="shared" si="9"/>
        <v>0</v>
      </c>
      <c r="AN11" s="329">
        <f t="shared" si="10"/>
        <v>1.2680000000000002</v>
      </c>
      <c r="AO11" s="330">
        <f t="shared" si="11"/>
        <v>1.5850000000000004</v>
      </c>
    </row>
    <row r="12" spans="1:41">
      <c r="A12" s="178" t="s">
        <v>1171</v>
      </c>
      <c r="B12" s="178" t="s">
        <v>102</v>
      </c>
      <c r="C12" s="205">
        <v>11</v>
      </c>
      <c r="D12" s="178" t="s">
        <v>413</v>
      </c>
      <c r="E12" s="178" t="s">
        <v>1207</v>
      </c>
      <c r="H12" s="178" t="s">
        <v>1451</v>
      </c>
      <c r="I12" s="178" t="s">
        <v>1176</v>
      </c>
      <c r="N12" s="203">
        <v>41106</v>
      </c>
      <c r="O12" s="205">
        <v>0</v>
      </c>
      <c r="T12" s="203">
        <v>41134</v>
      </c>
      <c r="X12" s="205">
        <v>0</v>
      </c>
      <c r="Y12" s="324">
        <f t="shared" si="0"/>
        <v>0</v>
      </c>
      <c r="Z12" s="177">
        <f t="shared" si="1"/>
        <v>0</v>
      </c>
      <c r="AA12" s="324">
        <f t="shared" si="2"/>
        <v>0</v>
      </c>
      <c r="AB12" s="325">
        <v>0</v>
      </c>
      <c r="AC12" s="324">
        <f t="shared" si="3"/>
        <v>0</v>
      </c>
      <c r="AD12" s="206">
        <v>0</v>
      </c>
      <c r="AE12" s="324">
        <f t="shared" si="4"/>
        <v>0</v>
      </c>
      <c r="AF12" s="326">
        <f t="shared" si="5"/>
        <v>28</v>
      </c>
      <c r="AG12" s="327">
        <f t="shared" si="6"/>
        <v>0</v>
      </c>
      <c r="AH12" s="328">
        <f t="shared" si="7"/>
        <v>0</v>
      </c>
      <c r="AI12" s="324">
        <f t="shared" si="8"/>
        <v>0</v>
      </c>
      <c r="AJ12" s="328"/>
      <c r="AK12" s="324">
        <f t="shared" si="9"/>
        <v>0</v>
      </c>
      <c r="AL12" s="328"/>
      <c r="AM12" s="324">
        <f t="shared" si="9"/>
        <v>0</v>
      </c>
      <c r="AN12" s="329">
        <f t="shared" si="10"/>
        <v>0</v>
      </c>
      <c r="AO12" s="330">
        <f t="shared" si="11"/>
        <v>0</v>
      </c>
    </row>
    <row r="13" spans="1:41">
      <c r="A13" s="178" t="s">
        <v>1171</v>
      </c>
      <c r="B13" s="178" t="s">
        <v>104</v>
      </c>
      <c r="C13" s="205">
        <v>12</v>
      </c>
      <c r="D13" s="178" t="s">
        <v>413</v>
      </c>
      <c r="E13" s="178" t="s">
        <v>1210</v>
      </c>
      <c r="H13" s="178" t="s">
        <v>1451</v>
      </c>
      <c r="I13" s="178" t="s">
        <v>1176</v>
      </c>
      <c r="N13" s="203">
        <v>41106</v>
      </c>
      <c r="O13" s="205">
        <v>0</v>
      </c>
      <c r="T13" s="203">
        <v>41134</v>
      </c>
      <c r="X13" s="205">
        <v>0</v>
      </c>
      <c r="Y13" s="324">
        <f t="shared" si="0"/>
        <v>0</v>
      </c>
      <c r="Z13" s="177">
        <f t="shared" si="1"/>
        <v>0</v>
      </c>
      <c r="AA13" s="324">
        <f t="shared" si="2"/>
        <v>0</v>
      </c>
      <c r="AB13" s="325">
        <v>0</v>
      </c>
      <c r="AC13" s="324">
        <f t="shared" si="3"/>
        <v>0</v>
      </c>
      <c r="AD13" s="206">
        <v>0</v>
      </c>
      <c r="AE13" s="324">
        <f t="shared" si="4"/>
        <v>0</v>
      </c>
      <c r="AF13" s="326">
        <f t="shared" si="5"/>
        <v>28</v>
      </c>
      <c r="AG13" s="327">
        <f t="shared" si="6"/>
        <v>0</v>
      </c>
      <c r="AH13" s="328">
        <f t="shared" si="7"/>
        <v>0</v>
      </c>
      <c r="AI13" s="324">
        <f t="shared" si="8"/>
        <v>0</v>
      </c>
      <c r="AJ13" s="328"/>
      <c r="AK13" s="324">
        <f t="shared" si="9"/>
        <v>0</v>
      </c>
      <c r="AL13" s="328"/>
      <c r="AM13" s="324">
        <f t="shared" si="9"/>
        <v>0</v>
      </c>
      <c r="AN13" s="329">
        <f t="shared" si="10"/>
        <v>0</v>
      </c>
      <c r="AO13" s="330">
        <f t="shared" si="11"/>
        <v>0</v>
      </c>
    </row>
    <row r="14" spans="1:41">
      <c r="A14" s="178" t="s">
        <v>1171</v>
      </c>
      <c r="B14" s="178" t="s">
        <v>106</v>
      </c>
      <c r="C14" s="205">
        <v>13</v>
      </c>
      <c r="D14" s="178" t="s">
        <v>413</v>
      </c>
      <c r="E14" s="178" t="s">
        <v>1770</v>
      </c>
      <c r="F14" s="178" t="s">
        <v>2285</v>
      </c>
      <c r="G14" s="178" t="s">
        <v>1494</v>
      </c>
      <c r="H14" s="178" t="s">
        <v>1451</v>
      </c>
      <c r="I14" s="178" t="s">
        <v>1174</v>
      </c>
      <c r="J14" s="178" t="s">
        <v>1176</v>
      </c>
      <c r="K14" s="178" t="s">
        <v>1176</v>
      </c>
      <c r="L14" s="178" t="s">
        <v>1174</v>
      </c>
      <c r="M14" s="178" t="s">
        <v>1174</v>
      </c>
      <c r="N14" s="203">
        <v>41106</v>
      </c>
      <c r="O14" s="205">
        <v>3404</v>
      </c>
      <c r="P14" s="205">
        <v>0</v>
      </c>
      <c r="Q14" s="205">
        <v>10</v>
      </c>
      <c r="R14" s="205">
        <v>620</v>
      </c>
      <c r="S14" s="205">
        <v>0</v>
      </c>
      <c r="T14" s="203">
        <v>41134</v>
      </c>
      <c r="U14" s="205">
        <v>43</v>
      </c>
      <c r="V14" s="205">
        <v>10</v>
      </c>
      <c r="W14" s="205">
        <v>0</v>
      </c>
      <c r="X14" s="205">
        <v>5281</v>
      </c>
      <c r="Y14" s="324">
        <f t="shared" si="0"/>
        <v>0.90300000000000002</v>
      </c>
      <c r="Z14" s="177">
        <f t="shared" si="1"/>
        <v>1877</v>
      </c>
      <c r="AA14" s="324">
        <f t="shared" si="2"/>
        <v>0.45950000000000002</v>
      </c>
      <c r="AB14" s="325">
        <f t="shared" ref="AB14:AB27" si="12">(X14/O14)-1</f>
        <v>0.55141010575793192</v>
      </c>
      <c r="AC14" s="324">
        <f t="shared" si="3"/>
        <v>0.4</v>
      </c>
      <c r="AD14" s="206">
        <v>634</v>
      </c>
      <c r="AE14" s="324">
        <f t="shared" si="4"/>
        <v>0.42499999999999999</v>
      </c>
      <c r="AF14" s="326">
        <f t="shared" si="5"/>
        <v>28</v>
      </c>
      <c r="AG14" s="327">
        <f t="shared" si="6"/>
        <v>14</v>
      </c>
      <c r="AH14" s="328">
        <f t="shared" si="7"/>
        <v>0.5</v>
      </c>
      <c r="AI14" s="324">
        <f t="shared" si="8"/>
        <v>0.22</v>
      </c>
      <c r="AJ14" s="328" t="s">
        <v>1176</v>
      </c>
      <c r="AK14" s="324">
        <f t="shared" si="9"/>
        <v>0</v>
      </c>
      <c r="AL14" s="328" t="s">
        <v>1176</v>
      </c>
      <c r="AM14" s="324">
        <f t="shared" si="9"/>
        <v>0</v>
      </c>
      <c r="AN14" s="329">
        <f t="shared" si="10"/>
        <v>2.4074999999999998</v>
      </c>
      <c r="AO14" s="330">
        <f t="shared" si="11"/>
        <v>3.0093749999999995</v>
      </c>
    </row>
    <row r="15" spans="1:41">
      <c r="A15" s="178" t="s">
        <v>1171</v>
      </c>
      <c r="B15" s="178" t="s">
        <v>109</v>
      </c>
      <c r="C15" s="205">
        <v>14</v>
      </c>
      <c r="D15" s="178" t="s">
        <v>413</v>
      </c>
      <c r="E15" s="178" t="s">
        <v>1771</v>
      </c>
      <c r="F15" s="178" t="s">
        <v>2286</v>
      </c>
      <c r="G15" s="178" t="s">
        <v>109</v>
      </c>
      <c r="H15" s="178" t="s">
        <v>1451</v>
      </c>
      <c r="I15" s="178" t="s">
        <v>1174</v>
      </c>
      <c r="J15" s="178" t="s">
        <v>1176</v>
      </c>
      <c r="K15" s="178" t="s">
        <v>1176</v>
      </c>
      <c r="L15" s="178" t="s">
        <v>1174</v>
      </c>
      <c r="M15" s="178" t="s">
        <v>1176</v>
      </c>
      <c r="N15" s="203">
        <v>41106</v>
      </c>
      <c r="O15" s="205">
        <v>2424</v>
      </c>
      <c r="P15" s="205">
        <v>69</v>
      </c>
      <c r="Q15" s="205">
        <v>14</v>
      </c>
      <c r="R15" s="205">
        <v>245</v>
      </c>
      <c r="S15" s="205">
        <v>6</v>
      </c>
      <c r="T15" s="203">
        <v>41134</v>
      </c>
      <c r="U15" s="205">
        <v>69</v>
      </c>
      <c r="V15" s="205">
        <v>14</v>
      </c>
      <c r="W15" s="205">
        <v>6</v>
      </c>
      <c r="X15" s="205">
        <v>3133</v>
      </c>
      <c r="Y15" s="324">
        <f t="shared" si="0"/>
        <v>0.82199999999999995</v>
      </c>
      <c r="Z15" s="177">
        <f t="shared" si="1"/>
        <v>709</v>
      </c>
      <c r="AA15" s="324">
        <f t="shared" si="2"/>
        <v>0.41899999999999998</v>
      </c>
      <c r="AB15" s="325">
        <f t="shared" si="12"/>
        <v>0.29249174917491749</v>
      </c>
      <c r="AC15" s="324">
        <f t="shared" si="3"/>
        <v>0.29499999999999998</v>
      </c>
      <c r="AD15" s="206">
        <v>245</v>
      </c>
      <c r="AE15" s="324">
        <f t="shared" si="4"/>
        <v>0.28000000000000003</v>
      </c>
      <c r="AF15" s="326">
        <f t="shared" si="5"/>
        <v>28</v>
      </c>
      <c r="AG15" s="327">
        <f t="shared" si="6"/>
        <v>0</v>
      </c>
      <c r="AH15" s="328">
        <f t="shared" si="7"/>
        <v>0</v>
      </c>
      <c r="AI15" s="324">
        <f t="shared" si="8"/>
        <v>0</v>
      </c>
      <c r="AJ15" s="328" t="s">
        <v>1174</v>
      </c>
      <c r="AK15" s="324">
        <f t="shared" si="9"/>
        <v>0.25</v>
      </c>
      <c r="AL15" s="328" t="s">
        <v>1174</v>
      </c>
      <c r="AM15" s="324">
        <f t="shared" si="9"/>
        <v>0.25</v>
      </c>
      <c r="AN15" s="329">
        <f t="shared" si="10"/>
        <v>2.3159999999999998</v>
      </c>
      <c r="AO15" s="330">
        <f t="shared" si="11"/>
        <v>2.8949999999999996</v>
      </c>
    </row>
    <row r="16" spans="1:41">
      <c r="A16" s="178" t="s">
        <v>1171</v>
      </c>
      <c r="B16" s="178" t="s">
        <v>111</v>
      </c>
      <c r="C16" s="205">
        <v>15</v>
      </c>
      <c r="D16" s="178" t="s">
        <v>413</v>
      </c>
      <c r="E16" s="178" t="s">
        <v>1224</v>
      </c>
      <c r="F16" s="178" t="s">
        <v>2287</v>
      </c>
      <c r="G16" s="178" t="s">
        <v>112</v>
      </c>
      <c r="H16" s="178" t="s">
        <v>1451</v>
      </c>
      <c r="I16" s="178" t="s">
        <v>1174</v>
      </c>
      <c r="J16" s="178" t="s">
        <v>1176</v>
      </c>
      <c r="K16" s="178" t="s">
        <v>1176</v>
      </c>
      <c r="L16" s="178" t="s">
        <v>1174</v>
      </c>
      <c r="M16" s="178" t="s">
        <v>1174</v>
      </c>
      <c r="N16" s="203">
        <v>41106</v>
      </c>
      <c r="O16" s="205">
        <v>3887</v>
      </c>
      <c r="P16" s="205">
        <v>0</v>
      </c>
      <c r="Q16" s="205">
        <v>6</v>
      </c>
      <c r="R16" s="205">
        <v>188</v>
      </c>
      <c r="S16" s="205">
        <v>0</v>
      </c>
      <c r="T16" s="203">
        <v>41134</v>
      </c>
      <c r="U16" s="205">
        <v>3</v>
      </c>
      <c r="V16" s="205">
        <v>14</v>
      </c>
      <c r="W16" s="205">
        <v>0</v>
      </c>
      <c r="X16" s="205">
        <v>4726</v>
      </c>
      <c r="Y16" s="324">
        <f t="shared" si="0"/>
        <v>0.87</v>
      </c>
      <c r="Z16" s="177">
        <f t="shared" si="1"/>
        <v>839</v>
      </c>
      <c r="AA16" s="324">
        <f t="shared" si="2"/>
        <v>0.435</v>
      </c>
      <c r="AB16" s="325">
        <f t="shared" si="12"/>
        <v>0.21584769745304855</v>
      </c>
      <c r="AC16" s="324">
        <f t="shared" si="3"/>
        <v>0.215</v>
      </c>
      <c r="AD16" s="206">
        <v>437</v>
      </c>
      <c r="AE16" s="324">
        <f t="shared" si="4"/>
        <v>0.4</v>
      </c>
      <c r="AF16" s="326">
        <f t="shared" si="5"/>
        <v>28</v>
      </c>
      <c r="AG16" s="327">
        <f t="shared" si="6"/>
        <v>249</v>
      </c>
      <c r="AH16" s="328">
        <f t="shared" si="7"/>
        <v>8.8928571428571423</v>
      </c>
      <c r="AI16" s="324">
        <f t="shared" si="8"/>
        <v>0.23</v>
      </c>
      <c r="AJ16" s="328" t="s">
        <v>1176</v>
      </c>
      <c r="AK16" s="324">
        <f t="shared" si="9"/>
        <v>0</v>
      </c>
      <c r="AL16" s="328" t="s">
        <v>1176</v>
      </c>
      <c r="AM16" s="324">
        <f t="shared" si="9"/>
        <v>0</v>
      </c>
      <c r="AN16" s="329">
        <f t="shared" si="10"/>
        <v>2.15</v>
      </c>
      <c r="AO16" s="330">
        <f t="shared" si="11"/>
        <v>2.6875</v>
      </c>
    </row>
    <row r="17" spans="1:41">
      <c r="A17" s="178" t="s">
        <v>1171</v>
      </c>
      <c r="B17" s="178" t="s">
        <v>114</v>
      </c>
      <c r="C17" s="205">
        <v>16</v>
      </c>
      <c r="D17" s="178" t="s">
        <v>413</v>
      </c>
      <c r="E17" s="178" t="s">
        <v>1227</v>
      </c>
      <c r="F17" s="178" t="s">
        <v>2288</v>
      </c>
      <c r="G17" s="178" t="s">
        <v>114</v>
      </c>
      <c r="H17" s="178" t="s">
        <v>1451</v>
      </c>
      <c r="I17" s="178" t="s">
        <v>1174</v>
      </c>
      <c r="J17" s="178" t="s">
        <v>1176</v>
      </c>
      <c r="K17" s="178" t="s">
        <v>1176</v>
      </c>
      <c r="L17" s="178" t="s">
        <v>1174</v>
      </c>
      <c r="M17" s="178" t="s">
        <v>1174</v>
      </c>
      <c r="N17" s="203">
        <v>41106</v>
      </c>
      <c r="O17" s="205">
        <v>418</v>
      </c>
      <c r="P17" s="205">
        <v>11</v>
      </c>
      <c r="Q17" s="205">
        <v>4</v>
      </c>
      <c r="R17" s="205">
        <v>72</v>
      </c>
      <c r="S17" s="205">
        <v>68</v>
      </c>
      <c r="T17" s="203">
        <v>41134</v>
      </c>
      <c r="U17" s="205">
        <v>11</v>
      </c>
      <c r="V17" s="205">
        <v>4</v>
      </c>
      <c r="W17" s="205">
        <v>68</v>
      </c>
      <c r="X17" s="205">
        <v>474</v>
      </c>
      <c r="Y17" s="324">
        <f t="shared" si="0"/>
        <v>0.51600000000000001</v>
      </c>
      <c r="Z17" s="177">
        <f t="shared" si="1"/>
        <v>56</v>
      </c>
      <c r="AA17" s="324">
        <f t="shared" si="2"/>
        <v>0.20949999999999999</v>
      </c>
      <c r="AB17" s="325">
        <f t="shared" si="12"/>
        <v>0.13397129186602874</v>
      </c>
      <c r="AC17" s="324">
        <f t="shared" si="3"/>
        <v>0.16500000000000001</v>
      </c>
      <c r="AD17" s="206">
        <v>72</v>
      </c>
      <c r="AE17" s="324">
        <f t="shared" si="4"/>
        <v>0.185</v>
      </c>
      <c r="AF17" s="326">
        <f t="shared" si="5"/>
        <v>28</v>
      </c>
      <c r="AG17" s="327">
        <f t="shared" si="6"/>
        <v>0</v>
      </c>
      <c r="AH17" s="328">
        <f t="shared" si="7"/>
        <v>0</v>
      </c>
      <c r="AI17" s="324">
        <f t="shared" si="8"/>
        <v>0</v>
      </c>
      <c r="AJ17" s="328" t="s">
        <v>1176</v>
      </c>
      <c r="AK17" s="324">
        <f t="shared" si="9"/>
        <v>0</v>
      </c>
      <c r="AL17" s="328" t="s">
        <v>1176</v>
      </c>
      <c r="AM17" s="324">
        <f t="shared" si="9"/>
        <v>0</v>
      </c>
      <c r="AN17" s="329">
        <f t="shared" si="10"/>
        <v>1.0754999999999999</v>
      </c>
      <c r="AO17" s="330">
        <f t="shared" si="11"/>
        <v>1.3443749999999999</v>
      </c>
    </row>
    <row r="18" spans="1:41">
      <c r="A18" s="178" t="s">
        <v>1171</v>
      </c>
      <c r="B18" s="178" t="s">
        <v>117</v>
      </c>
      <c r="C18" s="205">
        <v>17</v>
      </c>
      <c r="D18" s="178" t="s">
        <v>413</v>
      </c>
      <c r="E18" s="178" t="s">
        <v>1230</v>
      </c>
      <c r="F18" s="178" t="s">
        <v>2289</v>
      </c>
      <c r="G18" s="178" t="s">
        <v>2290</v>
      </c>
      <c r="H18" s="178" t="s">
        <v>1451</v>
      </c>
      <c r="I18" s="178" t="s">
        <v>1174</v>
      </c>
      <c r="L18" s="178" t="s">
        <v>1174</v>
      </c>
      <c r="M18" s="178" t="s">
        <v>1176</v>
      </c>
      <c r="N18" s="203">
        <v>41106</v>
      </c>
      <c r="O18" s="205">
        <v>1798</v>
      </c>
      <c r="P18" s="205">
        <v>47</v>
      </c>
      <c r="Q18" s="205">
        <v>4</v>
      </c>
      <c r="R18" s="205">
        <v>523</v>
      </c>
      <c r="S18" s="205">
        <v>0</v>
      </c>
      <c r="T18" s="203">
        <v>41134</v>
      </c>
      <c r="U18" s="205">
        <v>72</v>
      </c>
      <c r="V18" s="205">
        <v>8</v>
      </c>
      <c r="W18" s="205">
        <v>0</v>
      </c>
      <c r="X18" s="205">
        <v>2492</v>
      </c>
      <c r="Y18" s="324">
        <f t="shared" si="0"/>
        <v>0.79</v>
      </c>
      <c r="Z18" s="177">
        <f t="shared" si="1"/>
        <v>694</v>
      </c>
      <c r="AA18" s="324">
        <f t="shared" si="2"/>
        <v>0.39500000000000002</v>
      </c>
      <c r="AB18" s="325">
        <f t="shared" si="12"/>
        <v>0.38598442714126802</v>
      </c>
      <c r="AC18" s="324">
        <f t="shared" si="3"/>
        <v>0.37</v>
      </c>
      <c r="AD18" s="206">
        <v>685</v>
      </c>
      <c r="AE18" s="324">
        <f t="shared" si="4"/>
        <v>0.435</v>
      </c>
      <c r="AF18" s="326">
        <f t="shared" si="5"/>
        <v>28</v>
      </c>
      <c r="AG18" s="327">
        <f t="shared" si="6"/>
        <v>162</v>
      </c>
      <c r="AH18" s="328">
        <f t="shared" si="7"/>
        <v>5.7857142857142856</v>
      </c>
      <c r="AI18" s="324">
        <f t="shared" si="8"/>
        <v>0.23</v>
      </c>
      <c r="AJ18" s="328" t="s">
        <v>1176</v>
      </c>
      <c r="AK18" s="324">
        <f t="shared" si="9"/>
        <v>0</v>
      </c>
      <c r="AL18" s="328" t="s">
        <v>1176</v>
      </c>
      <c r="AM18" s="324">
        <f t="shared" si="9"/>
        <v>0</v>
      </c>
      <c r="AN18" s="329">
        <f t="shared" si="10"/>
        <v>2.2200000000000002</v>
      </c>
      <c r="AO18" s="330">
        <f t="shared" si="11"/>
        <v>2.7750000000000004</v>
      </c>
    </row>
    <row r="19" spans="1:41">
      <c r="A19" s="178" t="s">
        <v>1171</v>
      </c>
      <c r="B19" s="178" t="s">
        <v>120</v>
      </c>
      <c r="C19" s="205">
        <v>18</v>
      </c>
      <c r="D19" s="178" t="s">
        <v>413</v>
      </c>
      <c r="E19" s="178" t="s">
        <v>1235</v>
      </c>
      <c r="F19" s="178" t="s">
        <v>2291</v>
      </c>
      <c r="G19" s="178" t="s">
        <v>120</v>
      </c>
      <c r="H19" s="178" t="s">
        <v>1451</v>
      </c>
      <c r="I19" s="178" t="s">
        <v>1174</v>
      </c>
      <c r="J19" s="178" t="s">
        <v>1176</v>
      </c>
      <c r="K19" s="178" t="s">
        <v>1176</v>
      </c>
      <c r="L19" s="178" t="s">
        <v>1174</v>
      </c>
      <c r="M19" s="178" t="s">
        <v>1174</v>
      </c>
      <c r="N19" s="203">
        <v>41106</v>
      </c>
      <c r="O19" s="205">
        <v>1967</v>
      </c>
      <c r="P19" s="205">
        <v>6</v>
      </c>
      <c r="Q19" s="205">
        <v>17</v>
      </c>
      <c r="R19" s="205">
        <v>352</v>
      </c>
      <c r="S19" s="205">
        <v>0</v>
      </c>
      <c r="T19" s="203">
        <v>41134</v>
      </c>
      <c r="U19" s="205">
        <v>6</v>
      </c>
      <c r="V19" s="205">
        <v>19</v>
      </c>
      <c r="W19" s="205">
        <v>0</v>
      </c>
      <c r="X19" s="205">
        <v>2645</v>
      </c>
      <c r="Y19" s="324">
        <f t="shared" si="0"/>
        <v>0.80600000000000005</v>
      </c>
      <c r="Z19" s="177">
        <f t="shared" si="1"/>
        <v>678</v>
      </c>
      <c r="AA19" s="324">
        <f t="shared" si="2"/>
        <v>0.38700000000000001</v>
      </c>
      <c r="AB19" s="325">
        <f t="shared" si="12"/>
        <v>0.3446873411286222</v>
      </c>
      <c r="AC19" s="324">
        <f t="shared" si="3"/>
        <v>0.34499999999999997</v>
      </c>
      <c r="AD19" s="206">
        <v>373</v>
      </c>
      <c r="AE19" s="324">
        <f t="shared" si="4"/>
        <v>0.38500000000000001</v>
      </c>
      <c r="AF19" s="326">
        <f t="shared" si="5"/>
        <v>28</v>
      </c>
      <c r="AG19" s="327">
        <f t="shared" si="6"/>
        <v>21</v>
      </c>
      <c r="AH19" s="328">
        <f t="shared" si="7"/>
        <v>0.75</v>
      </c>
      <c r="AI19" s="324">
        <f t="shared" si="8"/>
        <v>0.22</v>
      </c>
      <c r="AJ19" s="328" t="s">
        <v>1176</v>
      </c>
      <c r="AK19" s="324">
        <f t="shared" si="9"/>
        <v>0</v>
      </c>
      <c r="AL19" s="328" t="s">
        <v>1174</v>
      </c>
      <c r="AM19" s="324">
        <f t="shared" si="9"/>
        <v>0.25</v>
      </c>
      <c r="AN19" s="329">
        <f t="shared" si="10"/>
        <v>2.3929999999999998</v>
      </c>
      <c r="AO19" s="330">
        <f t="shared" si="11"/>
        <v>2.99125</v>
      </c>
    </row>
    <row r="20" spans="1:41">
      <c r="A20" s="178" t="s">
        <v>1171</v>
      </c>
      <c r="B20" s="178" t="s">
        <v>123</v>
      </c>
      <c r="C20" s="205">
        <v>19</v>
      </c>
      <c r="D20" s="178" t="s">
        <v>413</v>
      </c>
      <c r="E20" s="178" t="s">
        <v>124</v>
      </c>
      <c r="F20" s="178" t="s">
        <v>2292</v>
      </c>
      <c r="G20" s="178" t="s">
        <v>2293</v>
      </c>
      <c r="H20" s="178" t="s">
        <v>1451</v>
      </c>
      <c r="I20" s="178" t="s">
        <v>1174</v>
      </c>
      <c r="J20" s="178" t="s">
        <v>1176</v>
      </c>
      <c r="K20" s="178" t="s">
        <v>1176</v>
      </c>
      <c r="L20" s="178" t="s">
        <v>1174</v>
      </c>
      <c r="M20" s="178" t="s">
        <v>1174</v>
      </c>
      <c r="N20" s="203">
        <v>41127</v>
      </c>
      <c r="O20" s="205">
        <v>4850</v>
      </c>
      <c r="P20" s="205">
        <v>5</v>
      </c>
      <c r="Q20" s="205">
        <v>30</v>
      </c>
      <c r="R20" s="205">
        <v>347</v>
      </c>
      <c r="S20" s="205">
        <v>0</v>
      </c>
      <c r="T20" s="203">
        <v>41134</v>
      </c>
      <c r="U20" s="205">
        <v>5</v>
      </c>
      <c r="V20" s="205">
        <v>32</v>
      </c>
      <c r="W20" s="205">
        <v>0</v>
      </c>
      <c r="X20" s="205">
        <v>5025</v>
      </c>
      <c r="Y20" s="324">
        <f t="shared" si="0"/>
        <v>0.88700000000000001</v>
      </c>
      <c r="Z20" s="177">
        <f t="shared" si="1"/>
        <v>175</v>
      </c>
      <c r="AA20" s="324">
        <f t="shared" si="2"/>
        <v>0.28999999999999998</v>
      </c>
      <c r="AB20" s="325">
        <f t="shared" si="12"/>
        <v>3.6082474226804218E-2</v>
      </c>
      <c r="AC20" s="324">
        <f t="shared" si="3"/>
        <v>0.125</v>
      </c>
      <c r="AD20" s="206">
        <v>358</v>
      </c>
      <c r="AE20" s="324">
        <f t="shared" si="4"/>
        <v>0.37</v>
      </c>
      <c r="AF20" s="326">
        <f t="shared" si="5"/>
        <v>7</v>
      </c>
      <c r="AG20" s="327">
        <f t="shared" si="6"/>
        <v>11</v>
      </c>
      <c r="AH20" s="328">
        <f t="shared" si="7"/>
        <v>1.5714285714285714</v>
      </c>
      <c r="AI20" s="324">
        <f t="shared" si="8"/>
        <v>0.22</v>
      </c>
      <c r="AJ20" s="328" t="s">
        <v>1176</v>
      </c>
      <c r="AK20" s="324">
        <f t="shared" si="9"/>
        <v>0</v>
      </c>
      <c r="AL20" s="328" t="s">
        <v>1176</v>
      </c>
      <c r="AM20" s="324">
        <f t="shared" si="9"/>
        <v>0</v>
      </c>
      <c r="AN20" s="329">
        <f t="shared" si="10"/>
        <v>1.8919999999999999</v>
      </c>
      <c r="AO20" s="330">
        <f t="shared" si="11"/>
        <v>2.3649999999999998</v>
      </c>
    </row>
    <row r="21" spans="1:41">
      <c r="A21" s="178" t="s">
        <v>1171</v>
      </c>
      <c r="B21" s="178" t="s">
        <v>125</v>
      </c>
      <c r="C21" s="205">
        <v>20</v>
      </c>
      <c r="D21" s="178" t="s">
        <v>413</v>
      </c>
      <c r="E21" s="178" t="s">
        <v>126</v>
      </c>
      <c r="F21" s="178" t="s">
        <v>2294</v>
      </c>
      <c r="G21" s="178" t="s">
        <v>125</v>
      </c>
      <c r="H21" s="178" t="s">
        <v>1451</v>
      </c>
      <c r="I21" s="178" t="s">
        <v>1174</v>
      </c>
      <c r="J21" s="178" t="s">
        <v>1176</v>
      </c>
      <c r="K21" s="178" t="s">
        <v>1176</v>
      </c>
      <c r="L21" s="178" t="s">
        <v>1176</v>
      </c>
      <c r="M21" s="178" t="s">
        <v>1174</v>
      </c>
      <c r="N21" s="203">
        <v>41106</v>
      </c>
      <c r="O21" s="205">
        <v>362</v>
      </c>
      <c r="P21" s="205">
        <v>295</v>
      </c>
      <c r="Q21" s="205">
        <v>1</v>
      </c>
      <c r="R21" s="205">
        <v>0</v>
      </c>
      <c r="S21" s="205">
        <v>0</v>
      </c>
      <c r="T21" s="203">
        <v>41134</v>
      </c>
      <c r="U21" s="205">
        <v>296</v>
      </c>
      <c r="V21" s="205">
        <v>1</v>
      </c>
      <c r="W21" s="205">
        <v>0</v>
      </c>
      <c r="X21" s="205">
        <v>401</v>
      </c>
      <c r="Y21" s="324">
        <f t="shared" si="0"/>
        <v>0.46700000000000003</v>
      </c>
      <c r="Z21" s="177">
        <f t="shared" si="1"/>
        <v>39</v>
      </c>
      <c r="AA21" s="324">
        <f t="shared" si="2"/>
        <v>0.16900000000000001</v>
      </c>
      <c r="AB21" s="325">
        <f t="shared" si="12"/>
        <v>0.10773480662983426</v>
      </c>
      <c r="AC21" s="324">
        <f t="shared" si="3"/>
        <v>0.15</v>
      </c>
      <c r="AD21" s="206">
        <v>0</v>
      </c>
      <c r="AE21" s="324">
        <f t="shared" si="4"/>
        <v>0</v>
      </c>
      <c r="AF21" s="326">
        <f t="shared" si="5"/>
        <v>28</v>
      </c>
      <c r="AG21" s="327">
        <f t="shared" si="6"/>
        <v>0</v>
      </c>
      <c r="AH21" s="328">
        <f t="shared" si="7"/>
        <v>0</v>
      </c>
      <c r="AI21" s="324">
        <f t="shared" si="8"/>
        <v>0</v>
      </c>
      <c r="AJ21" s="328" t="s">
        <v>1176</v>
      </c>
      <c r="AK21" s="324">
        <f t="shared" si="9"/>
        <v>0</v>
      </c>
      <c r="AL21" s="328" t="s">
        <v>1176</v>
      </c>
      <c r="AM21" s="324">
        <f t="shared" si="9"/>
        <v>0</v>
      </c>
      <c r="AN21" s="329">
        <f t="shared" si="10"/>
        <v>0.78600000000000003</v>
      </c>
      <c r="AO21" s="330">
        <f t="shared" si="11"/>
        <v>0.98250000000000004</v>
      </c>
    </row>
    <row r="22" spans="1:41">
      <c r="A22" s="178" t="s">
        <v>1171</v>
      </c>
      <c r="B22" s="178" t="s">
        <v>127</v>
      </c>
      <c r="C22" s="205">
        <v>21</v>
      </c>
      <c r="D22" s="178" t="s">
        <v>413</v>
      </c>
      <c r="E22" s="178" t="s">
        <v>128</v>
      </c>
      <c r="F22" s="178" t="s">
        <v>2295</v>
      </c>
      <c r="G22" s="178" t="s">
        <v>127</v>
      </c>
      <c r="H22" s="178" t="s">
        <v>1451</v>
      </c>
      <c r="I22" s="178" t="s">
        <v>1174</v>
      </c>
      <c r="J22" s="178" t="s">
        <v>1176</v>
      </c>
      <c r="K22" s="178" t="s">
        <v>1176</v>
      </c>
      <c r="L22" s="178" t="s">
        <v>1174</v>
      </c>
      <c r="M22" s="178" t="s">
        <v>1174</v>
      </c>
      <c r="N22" s="203">
        <v>41106</v>
      </c>
      <c r="O22" s="205">
        <v>206</v>
      </c>
      <c r="P22" s="205">
        <v>14</v>
      </c>
      <c r="Q22" s="205">
        <v>20</v>
      </c>
      <c r="R22" s="205">
        <v>292</v>
      </c>
      <c r="S22" s="205">
        <v>31</v>
      </c>
      <c r="T22" s="203">
        <v>41134</v>
      </c>
      <c r="U22" s="205">
        <v>15</v>
      </c>
      <c r="V22" s="205">
        <v>21</v>
      </c>
      <c r="W22" s="205">
        <v>31</v>
      </c>
      <c r="X22" s="205">
        <v>238</v>
      </c>
      <c r="Y22" s="324">
        <f t="shared" si="0"/>
        <v>0.37</v>
      </c>
      <c r="Z22" s="177">
        <f t="shared" si="1"/>
        <v>32</v>
      </c>
      <c r="AA22" s="324">
        <f t="shared" si="2"/>
        <v>0.161</v>
      </c>
      <c r="AB22" s="325">
        <f t="shared" si="12"/>
        <v>0.15533980582524265</v>
      </c>
      <c r="AC22" s="324">
        <f t="shared" si="3"/>
        <v>0.19</v>
      </c>
      <c r="AD22" s="206">
        <v>303</v>
      </c>
      <c r="AE22" s="324">
        <f t="shared" si="4"/>
        <v>0.34499999999999997</v>
      </c>
      <c r="AF22" s="326">
        <f t="shared" si="5"/>
        <v>28</v>
      </c>
      <c r="AG22" s="327">
        <f t="shared" si="6"/>
        <v>11</v>
      </c>
      <c r="AH22" s="328">
        <f t="shared" si="7"/>
        <v>0.39285714285714285</v>
      </c>
      <c r="AI22" s="324">
        <f t="shared" si="8"/>
        <v>0.22</v>
      </c>
      <c r="AJ22" s="328" t="s">
        <v>1176</v>
      </c>
      <c r="AK22" s="324">
        <f t="shared" si="9"/>
        <v>0</v>
      </c>
      <c r="AL22" s="328" t="s">
        <v>1176</v>
      </c>
      <c r="AM22" s="324">
        <f t="shared" si="9"/>
        <v>0</v>
      </c>
      <c r="AN22" s="329">
        <f t="shared" si="10"/>
        <v>1.286</v>
      </c>
      <c r="AO22" s="330">
        <f t="shared" si="11"/>
        <v>1.6074999999999999</v>
      </c>
    </row>
    <row r="23" spans="1:41">
      <c r="A23" s="178" t="s">
        <v>1171</v>
      </c>
      <c r="B23" s="178" t="s">
        <v>129</v>
      </c>
      <c r="C23" s="205">
        <v>22</v>
      </c>
      <c r="D23" s="178" t="s">
        <v>413</v>
      </c>
      <c r="E23" s="178" t="s">
        <v>132</v>
      </c>
      <c r="F23" s="178" t="s">
        <v>2296</v>
      </c>
      <c r="G23" s="178" t="s">
        <v>129</v>
      </c>
      <c r="H23" s="178" t="s">
        <v>1451</v>
      </c>
      <c r="I23" s="178" t="s">
        <v>1174</v>
      </c>
      <c r="J23" s="178" t="s">
        <v>1176</v>
      </c>
      <c r="K23" s="178" t="s">
        <v>1176</v>
      </c>
      <c r="L23" s="178" t="s">
        <v>1174</v>
      </c>
      <c r="M23" s="178" t="s">
        <v>1174</v>
      </c>
      <c r="N23" s="203">
        <v>41106</v>
      </c>
      <c r="O23" s="205">
        <v>22</v>
      </c>
      <c r="P23" s="205">
        <v>10</v>
      </c>
      <c r="Q23" s="205">
        <v>8</v>
      </c>
      <c r="R23" s="205">
        <v>45</v>
      </c>
      <c r="S23" s="205">
        <v>0</v>
      </c>
      <c r="T23" s="203">
        <v>41134</v>
      </c>
      <c r="U23" s="205">
        <v>10</v>
      </c>
      <c r="V23" s="205">
        <v>10</v>
      </c>
      <c r="W23" s="205">
        <v>0</v>
      </c>
      <c r="X23" s="205">
        <v>27</v>
      </c>
      <c r="Y23" s="324">
        <f t="shared" si="0"/>
        <v>0.27400000000000002</v>
      </c>
      <c r="Z23" s="177">
        <f t="shared" si="1"/>
        <v>5</v>
      </c>
      <c r="AA23" s="324">
        <f t="shared" si="2"/>
        <v>0.129</v>
      </c>
      <c r="AB23" s="325">
        <f t="shared" si="12"/>
        <v>0.22727272727272729</v>
      </c>
      <c r="AC23" s="324">
        <f t="shared" si="3"/>
        <v>0.22500000000000001</v>
      </c>
      <c r="AD23" s="206">
        <v>52</v>
      </c>
      <c r="AE23" s="324">
        <f t="shared" si="4"/>
        <v>0.16500000000000001</v>
      </c>
      <c r="AF23" s="326">
        <f t="shared" si="5"/>
        <v>28</v>
      </c>
      <c r="AG23" s="327">
        <f t="shared" si="6"/>
        <v>7</v>
      </c>
      <c r="AH23" s="328">
        <f t="shared" si="7"/>
        <v>0.25</v>
      </c>
      <c r="AI23" s="324">
        <f t="shared" si="8"/>
        <v>0.22</v>
      </c>
      <c r="AJ23" s="328" t="s">
        <v>1176</v>
      </c>
      <c r="AK23" s="324">
        <f t="shared" si="9"/>
        <v>0</v>
      </c>
      <c r="AL23" s="328" t="s">
        <v>1176</v>
      </c>
      <c r="AM23" s="324">
        <f t="shared" si="9"/>
        <v>0</v>
      </c>
      <c r="AN23" s="329">
        <f t="shared" si="10"/>
        <v>1.0129999999999999</v>
      </c>
      <c r="AO23" s="330">
        <f t="shared" si="11"/>
        <v>1.2662499999999999</v>
      </c>
    </row>
    <row r="24" spans="1:41">
      <c r="A24" s="178" t="s">
        <v>1171</v>
      </c>
      <c r="B24" s="178" t="s">
        <v>134</v>
      </c>
      <c r="C24" s="205">
        <v>23</v>
      </c>
      <c r="D24" s="178" t="s">
        <v>413</v>
      </c>
      <c r="E24" s="178" t="s">
        <v>135</v>
      </c>
      <c r="F24" s="178" t="s">
        <v>2297</v>
      </c>
      <c r="G24" s="178" t="s">
        <v>134</v>
      </c>
      <c r="H24" s="178" t="s">
        <v>1451</v>
      </c>
      <c r="I24" s="178" t="s">
        <v>1174</v>
      </c>
      <c r="J24" s="178" t="s">
        <v>1176</v>
      </c>
      <c r="K24" s="178" t="s">
        <v>1176</v>
      </c>
      <c r="L24" s="178" t="s">
        <v>1176</v>
      </c>
      <c r="M24" s="178" t="s">
        <v>1174</v>
      </c>
      <c r="N24" s="203">
        <v>41106</v>
      </c>
      <c r="O24" s="205">
        <v>230</v>
      </c>
      <c r="P24" s="205">
        <v>1</v>
      </c>
      <c r="Q24" s="205">
        <v>6</v>
      </c>
      <c r="R24" s="205">
        <v>212</v>
      </c>
      <c r="S24" s="205">
        <v>7</v>
      </c>
      <c r="T24" s="203">
        <v>41134</v>
      </c>
      <c r="U24" s="205">
        <v>1</v>
      </c>
      <c r="V24" s="205">
        <v>6</v>
      </c>
      <c r="W24" s="205">
        <v>7</v>
      </c>
      <c r="X24" s="205">
        <v>302</v>
      </c>
      <c r="Y24" s="324">
        <f t="shared" si="0"/>
        <v>0.435</v>
      </c>
      <c r="Z24" s="177">
        <f t="shared" si="1"/>
        <v>72</v>
      </c>
      <c r="AA24" s="324">
        <f t="shared" si="2"/>
        <v>0.23350000000000001</v>
      </c>
      <c r="AB24" s="325">
        <f t="shared" si="12"/>
        <v>0.31304347826086953</v>
      </c>
      <c r="AC24" s="324">
        <f t="shared" si="3"/>
        <v>0.31</v>
      </c>
      <c r="AD24" s="206">
        <v>232</v>
      </c>
      <c r="AE24" s="324">
        <f t="shared" si="4"/>
        <v>0.26500000000000001</v>
      </c>
      <c r="AF24" s="326">
        <f t="shared" si="5"/>
        <v>28</v>
      </c>
      <c r="AG24" s="327">
        <f t="shared" si="6"/>
        <v>20</v>
      </c>
      <c r="AH24" s="328">
        <f t="shared" si="7"/>
        <v>0.7142857142857143</v>
      </c>
      <c r="AI24" s="324">
        <f t="shared" si="8"/>
        <v>0.22</v>
      </c>
      <c r="AJ24" s="328" t="s">
        <v>1176</v>
      </c>
      <c r="AK24" s="324">
        <f t="shared" si="9"/>
        <v>0</v>
      </c>
      <c r="AL24" s="328" t="s">
        <v>1176</v>
      </c>
      <c r="AM24" s="324">
        <f t="shared" si="9"/>
        <v>0</v>
      </c>
      <c r="AN24" s="329">
        <f t="shared" si="10"/>
        <v>1.4635</v>
      </c>
      <c r="AO24" s="330">
        <f t="shared" si="11"/>
        <v>1.829375</v>
      </c>
    </row>
    <row r="25" spans="1:41">
      <c r="A25" s="178" t="s">
        <v>1171</v>
      </c>
      <c r="B25" s="178" t="s">
        <v>136</v>
      </c>
      <c r="C25" s="205">
        <v>24</v>
      </c>
      <c r="D25" s="178" t="s">
        <v>413</v>
      </c>
      <c r="E25" s="178" t="s">
        <v>138</v>
      </c>
      <c r="F25" s="178" t="s">
        <v>2298</v>
      </c>
      <c r="G25" s="178" t="s">
        <v>2299</v>
      </c>
      <c r="H25" s="178" t="s">
        <v>1451</v>
      </c>
      <c r="I25" s="178" t="s">
        <v>1174</v>
      </c>
      <c r="J25" s="178" t="s">
        <v>1176</v>
      </c>
      <c r="K25" s="178" t="s">
        <v>1176</v>
      </c>
      <c r="L25" s="178" t="s">
        <v>1174</v>
      </c>
      <c r="M25" s="178" t="s">
        <v>1174</v>
      </c>
      <c r="N25" s="203">
        <v>41106</v>
      </c>
      <c r="O25" s="205">
        <v>746</v>
      </c>
      <c r="P25" s="205">
        <v>15</v>
      </c>
      <c r="Q25" s="205">
        <v>15</v>
      </c>
      <c r="R25" s="205">
        <v>279</v>
      </c>
      <c r="S25" s="205">
        <v>20</v>
      </c>
      <c r="T25" s="203">
        <v>41134</v>
      </c>
      <c r="U25" s="205">
        <v>15</v>
      </c>
      <c r="V25" s="205">
        <v>17</v>
      </c>
      <c r="W25" s="205">
        <v>20</v>
      </c>
      <c r="X25" s="205">
        <v>1020</v>
      </c>
      <c r="Y25" s="324">
        <f t="shared" si="0"/>
        <v>0.69299999999999995</v>
      </c>
      <c r="Z25" s="177">
        <f t="shared" si="1"/>
        <v>274</v>
      </c>
      <c r="AA25" s="324">
        <f t="shared" si="2"/>
        <v>0.34649999999999997</v>
      </c>
      <c r="AB25" s="325">
        <f t="shared" si="12"/>
        <v>0.36729222520107241</v>
      </c>
      <c r="AC25" s="324">
        <f t="shared" si="3"/>
        <v>0.36</v>
      </c>
      <c r="AD25" s="206">
        <v>351</v>
      </c>
      <c r="AE25" s="324">
        <f t="shared" si="4"/>
        <v>0.36</v>
      </c>
      <c r="AF25" s="326">
        <f t="shared" si="5"/>
        <v>28</v>
      </c>
      <c r="AG25" s="327">
        <f t="shared" si="6"/>
        <v>72</v>
      </c>
      <c r="AH25" s="328">
        <f t="shared" si="7"/>
        <v>2.5714285714285716</v>
      </c>
      <c r="AI25" s="324">
        <f t="shared" si="8"/>
        <v>0.22</v>
      </c>
      <c r="AJ25" s="328" t="s">
        <v>1176</v>
      </c>
      <c r="AK25" s="324">
        <f t="shared" si="9"/>
        <v>0</v>
      </c>
      <c r="AL25" s="328" t="s">
        <v>1176</v>
      </c>
      <c r="AM25" s="324">
        <f t="shared" si="9"/>
        <v>0</v>
      </c>
      <c r="AN25" s="329">
        <f t="shared" si="10"/>
        <v>1.9794999999999998</v>
      </c>
      <c r="AO25" s="330">
        <f t="shared" si="11"/>
        <v>2.4743749999999998</v>
      </c>
    </row>
    <row r="26" spans="1:41">
      <c r="A26" s="178" t="s">
        <v>1171</v>
      </c>
      <c r="B26" s="178" t="s">
        <v>139</v>
      </c>
      <c r="C26" s="205">
        <v>25</v>
      </c>
      <c r="D26" s="178" t="s">
        <v>413</v>
      </c>
      <c r="E26" s="178" t="s">
        <v>140</v>
      </c>
      <c r="F26" s="178" t="s">
        <v>2300</v>
      </c>
      <c r="G26" s="178" t="s">
        <v>139</v>
      </c>
      <c r="H26" s="178" t="s">
        <v>1451</v>
      </c>
      <c r="I26" s="178" t="s">
        <v>1174</v>
      </c>
      <c r="J26" s="178" t="s">
        <v>1176</v>
      </c>
      <c r="K26" s="178" t="s">
        <v>1176</v>
      </c>
      <c r="L26" s="178" t="s">
        <v>1174</v>
      </c>
      <c r="M26" s="178" t="s">
        <v>1176</v>
      </c>
      <c r="N26" s="203">
        <v>41106</v>
      </c>
      <c r="O26" s="205">
        <v>88</v>
      </c>
      <c r="P26" s="205">
        <v>0</v>
      </c>
      <c r="Q26" s="205">
        <v>1</v>
      </c>
      <c r="R26" s="205">
        <v>0</v>
      </c>
      <c r="S26" s="205">
        <v>0</v>
      </c>
      <c r="T26" s="203">
        <v>41134</v>
      </c>
      <c r="U26" s="205">
        <v>0</v>
      </c>
      <c r="V26" s="205">
        <v>1</v>
      </c>
      <c r="W26" s="205">
        <v>0</v>
      </c>
      <c r="X26" s="205">
        <v>116</v>
      </c>
      <c r="Y26" s="324">
        <f t="shared" si="0"/>
        <v>0.33800000000000002</v>
      </c>
      <c r="Z26" s="177">
        <f t="shared" si="1"/>
        <v>28</v>
      </c>
      <c r="AA26" s="324">
        <f t="shared" si="2"/>
        <v>0.153</v>
      </c>
      <c r="AB26" s="325">
        <f t="shared" si="12"/>
        <v>0.31818181818181812</v>
      </c>
      <c r="AC26" s="324">
        <f t="shared" si="3"/>
        <v>0.33</v>
      </c>
      <c r="AD26" s="206">
        <v>0</v>
      </c>
      <c r="AE26" s="324">
        <f t="shared" si="4"/>
        <v>0</v>
      </c>
      <c r="AF26" s="326">
        <f t="shared" si="5"/>
        <v>28</v>
      </c>
      <c r="AG26" s="327">
        <f t="shared" si="6"/>
        <v>0</v>
      </c>
      <c r="AH26" s="328">
        <f t="shared" si="7"/>
        <v>0</v>
      </c>
      <c r="AI26" s="324">
        <f t="shared" si="8"/>
        <v>0</v>
      </c>
      <c r="AJ26" s="328" t="s">
        <v>1176</v>
      </c>
      <c r="AK26" s="324">
        <f t="shared" si="9"/>
        <v>0</v>
      </c>
      <c r="AL26" s="328" t="s">
        <v>1176</v>
      </c>
      <c r="AM26" s="324">
        <f t="shared" si="9"/>
        <v>0</v>
      </c>
      <c r="AN26" s="329">
        <f t="shared" si="10"/>
        <v>0.82099999999999995</v>
      </c>
      <c r="AO26" s="330">
        <f t="shared" si="11"/>
        <v>1.0262499999999999</v>
      </c>
    </row>
    <row r="27" spans="1:41">
      <c r="A27" s="178" t="s">
        <v>1171</v>
      </c>
      <c r="B27" s="178" t="s">
        <v>141</v>
      </c>
      <c r="C27" s="205">
        <v>26</v>
      </c>
      <c r="D27" s="178" t="s">
        <v>413</v>
      </c>
      <c r="E27" s="178" t="s">
        <v>142</v>
      </c>
      <c r="F27" s="178" t="s">
        <v>2301</v>
      </c>
      <c r="G27" s="178" t="s">
        <v>1792</v>
      </c>
      <c r="H27" s="178" t="s">
        <v>1451</v>
      </c>
      <c r="I27" s="178" t="s">
        <v>1174</v>
      </c>
      <c r="J27" s="178" t="s">
        <v>1176</v>
      </c>
      <c r="K27" s="178" t="s">
        <v>1176</v>
      </c>
      <c r="L27" s="178" t="s">
        <v>1174</v>
      </c>
      <c r="M27" s="178" t="s">
        <v>1174</v>
      </c>
      <c r="N27" s="203">
        <v>41106</v>
      </c>
      <c r="O27" s="205">
        <v>805</v>
      </c>
      <c r="P27" s="205">
        <v>11</v>
      </c>
      <c r="Q27" s="205">
        <v>10</v>
      </c>
      <c r="R27" s="205">
        <v>222</v>
      </c>
      <c r="S27" s="205">
        <v>0</v>
      </c>
      <c r="T27" s="203">
        <v>41134</v>
      </c>
      <c r="U27" s="205">
        <v>11</v>
      </c>
      <c r="V27" s="205">
        <v>10</v>
      </c>
      <c r="W27" s="205">
        <v>0</v>
      </c>
      <c r="X27" s="205">
        <v>1358</v>
      </c>
      <c r="Y27" s="324">
        <f t="shared" si="0"/>
        <v>0.77400000000000002</v>
      </c>
      <c r="Z27" s="177">
        <f t="shared" si="1"/>
        <v>553</v>
      </c>
      <c r="AA27" s="324">
        <f t="shared" si="2"/>
        <v>0.379</v>
      </c>
      <c r="AB27" s="325">
        <f t="shared" si="12"/>
        <v>0.68695652173913047</v>
      </c>
      <c r="AC27" s="324">
        <f t="shared" si="3"/>
        <v>0.435</v>
      </c>
      <c r="AD27" s="206">
        <v>251</v>
      </c>
      <c r="AE27" s="324">
        <f t="shared" si="4"/>
        <v>0.28999999999999998</v>
      </c>
      <c r="AF27" s="326">
        <f t="shared" si="5"/>
        <v>28</v>
      </c>
      <c r="AG27" s="327">
        <f t="shared" si="6"/>
        <v>29</v>
      </c>
      <c r="AH27" s="328">
        <f t="shared" si="7"/>
        <v>1.0357142857142858</v>
      </c>
      <c r="AI27" s="324">
        <f t="shared" si="8"/>
        <v>0.22</v>
      </c>
      <c r="AJ27" s="328" t="s">
        <v>1176</v>
      </c>
      <c r="AK27" s="324">
        <f t="shared" si="9"/>
        <v>0</v>
      </c>
      <c r="AL27" s="328" t="s">
        <v>1176</v>
      </c>
      <c r="AM27" s="324">
        <f t="shared" si="9"/>
        <v>0</v>
      </c>
      <c r="AN27" s="329">
        <f t="shared" si="10"/>
        <v>2.0979999999999999</v>
      </c>
      <c r="AO27" s="330">
        <f t="shared" si="11"/>
        <v>2.6224999999999996</v>
      </c>
    </row>
    <row r="28" spans="1:41">
      <c r="A28" s="178" t="s">
        <v>1171</v>
      </c>
      <c r="B28" s="178" t="s">
        <v>143</v>
      </c>
      <c r="C28" s="205">
        <v>27</v>
      </c>
      <c r="D28" s="178" t="s">
        <v>413</v>
      </c>
      <c r="E28" s="178" t="s">
        <v>144</v>
      </c>
      <c r="H28" s="178" t="s">
        <v>1451</v>
      </c>
      <c r="I28" s="178" t="s">
        <v>1176</v>
      </c>
      <c r="N28" s="203">
        <v>41106</v>
      </c>
      <c r="O28" s="205">
        <v>0</v>
      </c>
      <c r="T28" s="203">
        <v>41134</v>
      </c>
      <c r="X28" s="205">
        <v>0</v>
      </c>
      <c r="Y28" s="324">
        <f t="shared" si="0"/>
        <v>0</v>
      </c>
      <c r="Z28" s="177">
        <f t="shared" si="1"/>
        <v>0</v>
      </c>
      <c r="AA28" s="324">
        <f t="shared" si="2"/>
        <v>0</v>
      </c>
      <c r="AB28" s="325">
        <v>0</v>
      </c>
      <c r="AC28" s="324">
        <f t="shared" si="3"/>
        <v>0</v>
      </c>
      <c r="AD28" s="206">
        <v>0</v>
      </c>
      <c r="AE28" s="324">
        <f t="shared" si="4"/>
        <v>0</v>
      </c>
      <c r="AF28" s="326">
        <f t="shared" si="5"/>
        <v>28</v>
      </c>
      <c r="AG28" s="327">
        <f t="shared" si="6"/>
        <v>0</v>
      </c>
      <c r="AH28" s="328">
        <f t="shared" si="7"/>
        <v>0</v>
      </c>
      <c r="AI28" s="324">
        <f t="shared" si="8"/>
        <v>0</v>
      </c>
      <c r="AJ28" s="328"/>
      <c r="AK28" s="324">
        <f t="shared" si="9"/>
        <v>0</v>
      </c>
      <c r="AL28" s="328"/>
      <c r="AM28" s="324">
        <f t="shared" si="9"/>
        <v>0</v>
      </c>
      <c r="AN28" s="329">
        <f t="shared" si="10"/>
        <v>0</v>
      </c>
      <c r="AO28" s="330">
        <f t="shared" si="11"/>
        <v>0</v>
      </c>
    </row>
    <row r="29" spans="1:41">
      <c r="A29" s="178" t="s">
        <v>1171</v>
      </c>
      <c r="B29" s="178" t="s">
        <v>145</v>
      </c>
      <c r="C29" s="205">
        <v>28</v>
      </c>
      <c r="D29" s="178" t="s">
        <v>413</v>
      </c>
      <c r="E29" s="178" t="s">
        <v>1797</v>
      </c>
      <c r="F29" s="178" t="s">
        <v>2302</v>
      </c>
      <c r="G29" s="178" t="s">
        <v>145</v>
      </c>
      <c r="H29" s="178" t="s">
        <v>1451</v>
      </c>
      <c r="I29" s="178" t="s">
        <v>1174</v>
      </c>
      <c r="J29" s="178" t="s">
        <v>1176</v>
      </c>
      <c r="K29" s="178" t="s">
        <v>1176</v>
      </c>
      <c r="L29" s="178" t="s">
        <v>1174</v>
      </c>
      <c r="M29" s="178" t="s">
        <v>1174</v>
      </c>
      <c r="N29" s="203">
        <v>41106</v>
      </c>
      <c r="O29" s="205">
        <v>873</v>
      </c>
      <c r="P29" s="205">
        <v>17</v>
      </c>
      <c r="Q29" s="205">
        <v>9</v>
      </c>
      <c r="R29" s="205">
        <v>244</v>
      </c>
      <c r="S29" s="205">
        <v>0</v>
      </c>
      <c r="T29" s="203">
        <v>41134</v>
      </c>
      <c r="U29" s="205">
        <v>17</v>
      </c>
      <c r="V29" s="205">
        <v>10</v>
      </c>
      <c r="W29" s="205">
        <v>0</v>
      </c>
      <c r="X29" s="205">
        <v>1190</v>
      </c>
      <c r="Y29" s="324">
        <f t="shared" si="0"/>
        <v>0.74099999999999999</v>
      </c>
      <c r="Z29" s="177">
        <f t="shared" si="1"/>
        <v>317</v>
      </c>
      <c r="AA29" s="324">
        <f t="shared" si="2"/>
        <v>0.36249999999999999</v>
      </c>
      <c r="AB29" s="325">
        <f>(X29/O29)-1</f>
        <v>0.36311569301260027</v>
      </c>
      <c r="AC29" s="324">
        <f t="shared" si="3"/>
        <v>0.35</v>
      </c>
      <c r="AD29" s="206">
        <v>297</v>
      </c>
      <c r="AE29" s="324">
        <f t="shared" si="4"/>
        <v>0.33500000000000002</v>
      </c>
      <c r="AF29" s="326">
        <f t="shared" si="5"/>
        <v>28</v>
      </c>
      <c r="AG29" s="327">
        <f t="shared" si="6"/>
        <v>53</v>
      </c>
      <c r="AH29" s="328">
        <f t="shared" si="7"/>
        <v>1.8928571428571428</v>
      </c>
      <c r="AI29" s="324">
        <f t="shared" si="8"/>
        <v>0.22</v>
      </c>
      <c r="AJ29" s="328" t="s">
        <v>1176</v>
      </c>
      <c r="AK29" s="324">
        <f t="shared" si="9"/>
        <v>0</v>
      </c>
      <c r="AL29" s="328" t="s">
        <v>1176</v>
      </c>
      <c r="AM29" s="324">
        <f t="shared" si="9"/>
        <v>0</v>
      </c>
      <c r="AN29" s="329">
        <f t="shared" si="10"/>
        <v>2.0085000000000002</v>
      </c>
      <c r="AO29" s="330">
        <f t="shared" si="11"/>
        <v>2.5106250000000001</v>
      </c>
    </row>
    <row r="30" spans="1:41">
      <c r="A30" s="178" t="s">
        <v>1171</v>
      </c>
      <c r="B30" s="178" t="s">
        <v>148</v>
      </c>
      <c r="C30" s="205">
        <v>29</v>
      </c>
      <c r="D30" s="178" t="s">
        <v>413</v>
      </c>
      <c r="E30" s="178" t="s">
        <v>149</v>
      </c>
      <c r="F30" s="178" t="s">
        <v>2303</v>
      </c>
      <c r="G30" s="178" t="s">
        <v>148</v>
      </c>
      <c r="H30" s="178" t="s">
        <v>1451</v>
      </c>
      <c r="I30" s="178" t="s">
        <v>1174</v>
      </c>
      <c r="J30" s="178" t="s">
        <v>1176</v>
      </c>
      <c r="K30" s="178" t="s">
        <v>1176</v>
      </c>
      <c r="L30" s="178" t="s">
        <v>1174</v>
      </c>
      <c r="M30" s="178" t="s">
        <v>1174</v>
      </c>
      <c r="N30" s="203">
        <v>41106</v>
      </c>
      <c r="O30" s="205">
        <v>2761</v>
      </c>
      <c r="P30" s="205">
        <v>67</v>
      </c>
      <c r="Q30" s="205">
        <v>22</v>
      </c>
      <c r="R30" s="205">
        <v>892</v>
      </c>
      <c r="S30" s="205">
        <v>3</v>
      </c>
      <c r="T30" s="203">
        <v>41134</v>
      </c>
      <c r="U30" s="205">
        <v>67</v>
      </c>
      <c r="V30" s="205">
        <v>23</v>
      </c>
      <c r="W30" s="205">
        <v>3</v>
      </c>
      <c r="X30" s="205">
        <v>3463</v>
      </c>
      <c r="Y30" s="324">
        <f t="shared" si="0"/>
        <v>0.83799999999999997</v>
      </c>
      <c r="Z30" s="177">
        <f t="shared" si="1"/>
        <v>702</v>
      </c>
      <c r="AA30" s="324">
        <f t="shared" si="2"/>
        <v>0.40300000000000002</v>
      </c>
      <c r="AB30" s="325">
        <f>(X30/O30)-1</f>
        <v>0.25425570445490764</v>
      </c>
      <c r="AC30" s="324">
        <f t="shared" si="3"/>
        <v>0.26500000000000001</v>
      </c>
      <c r="AD30" s="206">
        <v>952</v>
      </c>
      <c r="AE30" s="324">
        <f t="shared" si="4"/>
        <v>0.45500000000000002</v>
      </c>
      <c r="AF30" s="326">
        <f t="shared" si="5"/>
        <v>28</v>
      </c>
      <c r="AG30" s="327">
        <f t="shared" si="6"/>
        <v>60</v>
      </c>
      <c r="AH30" s="328">
        <f t="shared" si="7"/>
        <v>2.1428571428571428</v>
      </c>
      <c r="AI30" s="324">
        <f t="shared" si="8"/>
        <v>0.22</v>
      </c>
      <c r="AJ30" s="328" t="s">
        <v>1176</v>
      </c>
      <c r="AK30" s="324">
        <f t="shared" si="9"/>
        <v>0</v>
      </c>
      <c r="AL30" s="328" t="s">
        <v>1174</v>
      </c>
      <c r="AM30" s="324">
        <f t="shared" si="9"/>
        <v>0.25</v>
      </c>
      <c r="AN30" s="329">
        <f t="shared" si="10"/>
        <v>2.431</v>
      </c>
      <c r="AO30" s="330">
        <f t="shared" si="11"/>
        <v>3.0387500000000003</v>
      </c>
    </row>
    <row r="31" spans="1:41">
      <c r="A31" s="178" t="s">
        <v>1171</v>
      </c>
      <c r="B31" s="178" t="s">
        <v>150</v>
      </c>
      <c r="C31" s="205">
        <v>30</v>
      </c>
      <c r="D31" s="178" t="s">
        <v>413</v>
      </c>
      <c r="E31" s="178" t="s">
        <v>152</v>
      </c>
      <c r="F31" s="178" t="s">
        <v>2304</v>
      </c>
      <c r="G31" s="178" t="s">
        <v>150</v>
      </c>
      <c r="H31" s="178" t="s">
        <v>1451</v>
      </c>
      <c r="I31" s="178" t="s">
        <v>1174</v>
      </c>
      <c r="J31" s="178" t="s">
        <v>1176</v>
      </c>
      <c r="K31" s="178" t="s">
        <v>1176</v>
      </c>
      <c r="L31" s="178" t="s">
        <v>1174</v>
      </c>
      <c r="M31" s="178" t="s">
        <v>1174</v>
      </c>
      <c r="N31" s="203">
        <v>41106</v>
      </c>
      <c r="O31" s="205">
        <v>198</v>
      </c>
      <c r="P31" s="205">
        <v>8</v>
      </c>
      <c r="Q31" s="205">
        <v>11</v>
      </c>
      <c r="R31" s="205">
        <v>178</v>
      </c>
      <c r="S31" s="205">
        <v>0</v>
      </c>
      <c r="T31" s="203">
        <v>41134</v>
      </c>
      <c r="U31" s="205">
        <v>8</v>
      </c>
      <c r="V31" s="205">
        <v>11</v>
      </c>
      <c r="W31" s="205">
        <v>0</v>
      </c>
      <c r="X31" s="205">
        <v>262</v>
      </c>
      <c r="Y31" s="324">
        <f t="shared" si="0"/>
        <v>0.40300000000000002</v>
      </c>
      <c r="Z31" s="177">
        <f t="shared" si="1"/>
        <v>64</v>
      </c>
      <c r="AA31" s="324">
        <f t="shared" si="2"/>
        <v>0.2175</v>
      </c>
      <c r="AB31" s="325">
        <f>(X31/O31)-1</f>
        <v>0.32323232323232332</v>
      </c>
      <c r="AC31" s="324">
        <f t="shared" si="3"/>
        <v>0.33500000000000002</v>
      </c>
      <c r="AD31" s="206">
        <v>182</v>
      </c>
      <c r="AE31" s="324">
        <f t="shared" si="4"/>
        <v>0.23</v>
      </c>
      <c r="AF31" s="326">
        <f t="shared" si="5"/>
        <v>28</v>
      </c>
      <c r="AG31" s="327">
        <f t="shared" si="6"/>
        <v>4</v>
      </c>
      <c r="AH31" s="328">
        <f t="shared" si="7"/>
        <v>0.14285714285714285</v>
      </c>
      <c r="AI31" s="324">
        <f t="shared" si="8"/>
        <v>0.22</v>
      </c>
      <c r="AJ31" s="328" t="s">
        <v>1176</v>
      </c>
      <c r="AK31" s="324">
        <f t="shared" si="9"/>
        <v>0</v>
      </c>
      <c r="AL31" s="328" t="s">
        <v>1176</v>
      </c>
      <c r="AM31" s="324">
        <f t="shared" si="9"/>
        <v>0</v>
      </c>
      <c r="AN31" s="329">
        <f t="shared" si="10"/>
        <v>1.4055</v>
      </c>
      <c r="AO31" s="330">
        <f t="shared" si="11"/>
        <v>1.756875</v>
      </c>
    </row>
    <row r="32" spans="1:41">
      <c r="A32" s="178" t="s">
        <v>1171</v>
      </c>
      <c r="B32" s="178" t="s">
        <v>153</v>
      </c>
      <c r="C32" s="205">
        <v>31</v>
      </c>
      <c r="D32" s="178" t="s">
        <v>413</v>
      </c>
      <c r="E32" s="178" t="s">
        <v>1277</v>
      </c>
      <c r="F32" s="178" t="s">
        <v>2305</v>
      </c>
      <c r="G32" s="178" t="s">
        <v>2306</v>
      </c>
      <c r="H32" s="178" t="s">
        <v>1451</v>
      </c>
      <c r="I32" s="178" t="s">
        <v>1174</v>
      </c>
      <c r="J32" s="178" t="s">
        <v>1176</v>
      </c>
      <c r="K32" s="178" t="s">
        <v>1176</v>
      </c>
      <c r="L32" s="178" t="s">
        <v>1174</v>
      </c>
      <c r="M32" s="178" t="s">
        <v>1174</v>
      </c>
      <c r="N32" s="203">
        <v>41106</v>
      </c>
      <c r="O32" s="205">
        <v>70078</v>
      </c>
      <c r="P32" s="205">
        <v>69</v>
      </c>
      <c r="Q32" s="205">
        <v>9</v>
      </c>
      <c r="R32" s="205">
        <v>2141</v>
      </c>
      <c r="S32" s="205">
        <v>3</v>
      </c>
      <c r="T32" s="203">
        <v>41134</v>
      </c>
      <c r="U32" s="205">
        <v>137</v>
      </c>
      <c r="V32" s="205">
        <v>9</v>
      </c>
      <c r="W32" s="205">
        <v>3</v>
      </c>
      <c r="X32" s="205">
        <v>77664</v>
      </c>
      <c r="Y32" s="324">
        <f t="shared" si="0"/>
        <v>1</v>
      </c>
      <c r="Z32" s="177">
        <f t="shared" si="1"/>
        <v>7586</v>
      </c>
      <c r="AA32" s="324">
        <f t="shared" si="2"/>
        <v>0.5</v>
      </c>
      <c r="AB32" s="325">
        <f>(X32/O32)-1</f>
        <v>0.10825080624447048</v>
      </c>
      <c r="AC32" s="324">
        <f t="shared" si="3"/>
        <v>0.16</v>
      </c>
      <c r="AD32" s="206">
        <v>2172</v>
      </c>
      <c r="AE32" s="324">
        <f t="shared" si="4"/>
        <v>0.5</v>
      </c>
      <c r="AF32" s="326">
        <f t="shared" si="5"/>
        <v>28</v>
      </c>
      <c r="AG32" s="327">
        <f t="shared" si="6"/>
        <v>31</v>
      </c>
      <c r="AH32" s="328">
        <f t="shared" si="7"/>
        <v>1.1071428571428572</v>
      </c>
      <c r="AI32" s="324">
        <f t="shared" si="8"/>
        <v>0.22</v>
      </c>
      <c r="AJ32" s="328" t="s">
        <v>1176</v>
      </c>
      <c r="AK32" s="324">
        <f t="shared" si="9"/>
        <v>0</v>
      </c>
      <c r="AL32" s="328" t="s">
        <v>1176</v>
      </c>
      <c r="AM32" s="324">
        <f t="shared" si="9"/>
        <v>0</v>
      </c>
      <c r="AN32" s="329">
        <f t="shared" si="10"/>
        <v>2.38</v>
      </c>
      <c r="AO32" s="330">
        <f t="shared" si="11"/>
        <v>2.9749999999999996</v>
      </c>
    </row>
    <row r="33" spans="1:41">
      <c r="A33" s="178" t="s">
        <v>1171</v>
      </c>
      <c r="B33" s="178" t="s">
        <v>156</v>
      </c>
      <c r="C33" s="205">
        <v>32</v>
      </c>
      <c r="D33" s="178" t="s">
        <v>413</v>
      </c>
      <c r="E33" s="178" t="s">
        <v>157</v>
      </c>
      <c r="F33" s="178" t="s">
        <v>2307</v>
      </c>
      <c r="G33" s="178" t="s">
        <v>156</v>
      </c>
      <c r="H33" s="178" t="s">
        <v>1451</v>
      </c>
      <c r="I33" s="178" t="s">
        <v>1174</v>
      </c>
      <c r="J33" s="178" t="s">
        <v>1176</v>
      </c>
      <c r="K33" s="178" t="s">
        <v>1176</v>
      </c>
      <c r="L33" s="178" t="s">
        <v>1174</v>
      </c>
      <c r="M33" s="178" t="s">
        <v>1174</v>
      </c>
      <c r="N33" s="203">
        <v>41106</v>
      </c>
      <c r="O33" s="205">
        <v>941</v>
      </c>
      <c r="P33" s="205">
        <v>0</v>
      </c>
      <c r="Q33" s="205">
        <v>12</v>
      </c>
      <c r="R33" s="205">
        <v>430</v>
      </c>
      <c r="S33" s="205">
        <v>0</v>
      </c>
      <c r="T33" s="203">
        <v>41134</v>
      </c>
      <c r="U33" s="205">
        <v>0</v>
      </c>
      <c r="V33" s="205">
        <v>14</v>
      </c>
      <c r="W33" s="205">
        <v>0</v>
      </c>
      <c r="X33" s="205">
        <v>1155</v>
      </c>
      <c r="Y33" s="324">
        <f t="shared" si="0"/>
        <v>0.72499999999999998</v>
      </c>
      <c r="Z33" s="177">
        <f t="shared" si="1"/>
        <v>214</v>
      </c>
      <c r="AA33" s="324">
        <f t="shared" si="2"/>
        <v>0.32250000000000001</v>
      </c>
      <c r="AB33" s="325">
        <f>(X33/O33)-1</f>
        <v>0.22741764080765137</v>
      </c>
      <c r="AC33" s="324">
        <f t="shared" si="3"/>
        <v>0.23</v>
      </c>
      <c r="AD33" s="206">
        <v>498</v>
      </c>
      <c r="AE33" s="324">
        <f t="shared" si="4"/>
        <v>0.41499999999999998</v>
      </c>
      <c r="AF33" s="326">
        <f t="shared" si="5"/>
        <v>28</v>
      </c>
      <c r="AG33" s="327">
        <f t="shared" si="6"/>
        <v>68</v>
      </c>
      <c r="AH33" s="328">
        <f t="shared" si="7"/>
        <v>2.4285714285714284</v>
      </c>
      <c r="AI33" s="324">
        <f t="shared" si="8"/>
        <v>0.22</v>
      </c>
      <c r="AJ33" s="328" t="s">
        <v>1176</v>
      </c>
      <c r="AK33" s="324">
        <f t="shared" si="9"/>
        <v>0</v>
      </c>
      <c r="AL33" s="328" t="s">
        <v>1176</v>
      </c>
      <c r="AM33" s="324">
        <f t="shared" si="9"/>
        <v>0</v>
      </c>
      <c r="AN33" s="329">
        <f t="shared" si="10"/>
        <v>1.9125000000000001</v>
      </c>
      <c r="AO33" s="330">
        <f t="shared" si="11"/>
        <v>2.390625</v>
      </c>
    </row>
    <row r="34" spans="1:41">
      <c r="A34" s="178" t="s">
        <v>1171</v>
      </c>
      <c r="B34" s="178" t="s">
        <v>158</v>
      </c>
      <c r="C34" s="205">
        <v>33</v>
      </c>
      <c r="D34" s="178" t="s">
        <v>413</v>
      </c>
      <c r="E34" s="178" t="s">
        <v>160</v>
      </c>
      <c r="H34" s="178" t="s">
        <v>1451</v>
      </c>
      <c r="I34" s="178" t="s">
        <v>1176</v>
      </c>
      <c r="N34" s="203">
        <v>41106</v>
      </c>
      <c r="O34" s="205">
        <v>0</v>
      </c>
      <c r="T34" s="203">
        <v>41134</v>
      </c>
      <c r="X34" s="205">
        <v>0</v>
      </c>
      <c r="Y34" s="324">
        <f t="shared" si="0"/>
        <v>0</v>
      </c>
      <c r="Z34" s="177">
        <f t="shared" si="1"/>
        <v>0</v>
      </c>
      <c r="AA34" s="324">
        <f t="shared" si="2"/>
        <v>0</v>
      </c>
      <c r="AB34" s="325">
        <v>0</v>
      </c>
      <c r="AC34" s="324">
        <f t="shared" si="3"/>
        <v>0</v>
      </c>
      <c r="AD34" s="206">
        <v>0</v>
      </c>
      <c r="AE34" s="324">
        <f t="shared" si="4"/>
        <v>0</v>
      </c>
      <c r="AF34" s="326">
        <f t="shared" si="5"/>
        <v>28</v>
      </c>
      <c r="AG34" s="327">
        <f t="shared" si="6"/>
        <v>0</v>
      </c>
      <c r="AH34" s="328">
        <f t="shared" si="7"/>
        <v>0</v>
      </c>
      <c r="AI34" s="324">
        <f t="shared" si="8"/>
        <v>0</v>
      </c>
      <c r="AJ34" s="328"/>
      <c r="AK34" s="324">
        <f t="shared" si="9"/>
        <v>0</v>
      </c>
      <c r="AL34" s="328"/>
      <c r="AM34" s="324">
        <f t="shared" si="9"/>
        <v>0</v>
      </c>
      <c r="AN34" s="329">
        <f t="shared" si="10"/>
        <v>0</v>
      </c>
      <c r="AO34" s="330">
        <f t="shared" si="11"/>
        <v>0</v>
      </c>
    </row>
    <row r="35" spans="1:41">
      <c r="A35" s="178" t="s">
        <v>1171</v>
      </c>
      <c r="B35" s="178" t="s">
        <v>161</v>
      </c>
      <c r="C35" s="205">
        <v>34</v>
      </c>
      <c r="D35" s="178" t="s">
        <v>413</v>
      </c>
      <c r="E35" s="178" t="s">
        <v>162</v>
      </c>
      <c r="F35" s="178" t="s">
        <v>2308</v>
      </c>
      <c r="G35" s="178" t="s">
        <v>2309</v>
      </c>
      <c r="H35" s="178" t="s">
        <v>1451</v>
      </c>
      <c r="I35" s="178" t="s">
        <v>1174</v>
      </c>
      <c r="J35" s="178" t="s">
        <v>1176</v>
      </c>
      <c r="K35" s="178" t="s">
        <v>1176</v>
      </c>
      <c r="L35" s="178" t="s">
        <v>1174</v>
      </c>
      <c r="M35" s="178" t="s">
        <v>1176</v>
      </c>
      <c r="N35" s="203">
        <v>41106</v>
      </c>
      <c r="O35" s="205">
        <v>176</v>
      </c>
      <c r="P35" s="205">
        <v>8</v>
      </c>
      <c r="Q35" s="205">
        <v>5</v>
      </c>
      <c r="R35" s="205">
        <v>64</v>
      </c>
      <c r="S35" s="205">
        <v>0</v>
      </c>
      <c r="T35" s="203">
        <v>41134</v>
      </c>
      <c r="U35" s="205">
        <v>8</v>
      </c>
      <c r="V35" s="205">
        <v>8</v>
      </c>
      <c r="W35" s="205">
        <v>0</v>
      </c>
      <c r="X35" s="205">
        <v>318</v>
      </c>
      <c r="Y35" s="324">
        <f t="shared" si="0"/>
        <v>0.45100000000000001</v>
      </c>
      <c r="Z35" s="177">
        <f t="shared" si="1"/>
        <v>142</v>
      </c>
      <c r="AA35" s="324">
        <f t="shared" si="2"/>
        <v>0.25800000000000001</v>
      </c>
      <c r="AB35" s="325">
        <f>(X35/O35)-1</f>
        <v>0.80681818181818188</v>
      </c>
      <c r="AC35" s="324">
        <f t="shared" si="3"/>
        <v>0.44</v>
      </c>
      <c r="AD35" s="206">
        <v>68</v>
      </c>
      <c r="AE35" s="324">
        <f t="shared" si="4"/>
        <v>0.17499999999999999</v>
      </c>
      <c r="AF35" s="326">
        <f t="shared" si="5"/>
        <v>28</v>
      </c>
      <c r="AG35" s="327">
        <f t="shared" si="6"/>
        <v>4</v>
      </c>
      <c r="AH35" s="328">
        <f t="shared" si="7"/>
        <v>0.14285714285714285</v>
      </c>
      <c r="AI35" s="324">
        <f t="shared" si="8"/>
        <v>0.22</v>
      </c>
      <c r="AJ35" s="328" t="s">
        <v>1176</v>
      </c>
      <c r="AK35" s="324">
        <f t="shared" si="9"/>
        <v>0</v>
      </c>
      <c r="AL35" s="328" t="s">
        <v>1176</v>
      </c>
      <c r="AM35" s="324">
        <f t="shared" si="9"/>
        <v>0</v>
      </c>
      <c r="AN35" s="329">
        <f t="shared" si="10"/>
        <v>1.544</v>
      </c>
      <c r="AO35" s="330">
        <f t="shared" si="11"/>
        <v>1.9300000000000002</v>
      </c>
    </row>
    <row r="36" spans="1:41">
      <c r="A36" s="178" t="s">
        <v>1171</v>
      </c>
      <c r="B36" s="178" t="s">
        <v>163</v>
      </c>
      <c r="C36" s="205">
        <v>35</v>
      </c>
      <c r="D36" s="178" t="s">
        <v>413</v>
      </c>
      <c r="E36" s="178" t="s">
        <v>164</v>
      </c>
      <c r="F36" s="178" t="s">
        <v>2310</v>
      </c>
      <c r="G36" s="178" t="s">
        <v>163</v>
      </c>
      <c r="H36" s="178" t="s">
        <v>1451</v>
      </c>
      <c r="I36" s="178" t="s">
        <v>1174</v>
      </c>
      <c r="J36" s="178" t="s">
        <v>1176</v>
      </c>
      <c r="K36" s="178" t="s">
        <v>1176</v>
      </c>
      <c r="L36" s="178" t="s">
        <v>1174</v>
      </c>
      <c r="M36" s="178" t="s">
        <v>1176</v>
      </c>
      <c r="N36" s="203">
        <v>41106</v>
      </c>
      <c r="O36" s="205">
        <v>25</v>
      </c>
      <c r="P36" s="205">
        <v>0</v>
      </c>
      <c r="Q36" s="205">
        <v>0</v>
      </c>
      <c r="R36" s="205">
        <v>0</v>
      </c>
      <c r="S36" s="205">
        <v>0</v>
      </c>
      <c r="T36" s="203">
        <v>41134</v>
      </c>
      <c r="U36" s="205">
        <v>0</v>
      </c>
      <c r="V36" s="205">
        <v>0</v>
      </c>
      <c r="W36" s="205">
        <v>0</v>
      </c>
      <c r="X36" s="205">
        <v>36</v>
      </c>
      <c r="Y36" s="324">
        <f t="shared" si="0"/>
        <v>0.28999999999999998</v>
      </c>
      <c r="Z36" s="177">
        <f t="shared" si="1"/>
        <v>11</v>
      </c>
      <c r="AA36" s="324">
        <f t="shared" si="2"/>
        <v>0.14499999999999999</v>
      </c>
      <c r="AB36" s="325">
        <f>(X36/O36)-1</f>
        <v>0.43999999999999995</v>
      </c>
      <c r="AC36" s="324">
        <f t="shared" si="3"/>
        <v>0.38500000000000001</v>
      </c>
      <c r="AD36" s="206">
        <v>0</v>
      </c>
      <c r="AE36" s="324">
        <f t="shared" si="4"/>
        <v>0</v>
      </c>
      <c r="AF36" s="326">
        <f t="shared" si="5"/>
        <v>28</v>
      </c>
      <c r="AG36" s="327">
        <f t="shared" si="6"/>
        <v>0</v>
      </c>
      <c r="AH36" s="328">
        <f t="shared" si="7"/>
        <v>0</v>
      </c>
      <c r="AI36" s="324">
        <f t="shared" si="8"/>
        <v>0</v>
      </c>
      <c r="AJ36" s="328" t="s">
        <v>1176</v>
      </c>
      <c r="AK36" s="324">
        <f t="shared" si="9"/>
        <v>0</v>
      </c>
      <c r="AL36" s="328" t="s">
        <v>1176</v>
      </c>
      <c r="AM36" s="324">
        <f t="shared" si="9"/>
        <v>0</v>
      </c>
      <c r="AN36" s="329">
        <f t="shared" si="10"/>
        <v>0.82000000000000006</v>
      </c>
      <c r="AO36" s="330">
        <f t="shared" si="11"/>
        <v>1.0250000000000001</v>
      </c>
    </row>
    <row r="37" spans="1:41">
      <c r="A37" s="178" t="s">
        <v>1171</v>
      </c>
      <c r="B37" s="178" t="s">
        <v>165</v>
      </c>
      <c r="C37" s="205">
        <v>36</v>
      </c>
      <c r="D37" s="178" t="s">
        <v>413</v>
      </c>
      <c r="E37" s="178" t="s">
        <v>166</v>
      </c>
      <c r="F37" s="178" t="s">
        <v>2311</v>
      </c>
      <c r="G37" s="178" t="s">
        <v>165</v>
      </c>
      <c r="H37" s="178" t="s">
        <v>1451</v>
      </c>
      <c r="I37" s="178" t="s">
        <v>1174</v>
      </c>
      <c r="J37" s="178" t="s">
        <v>1176</v>
      </c>
      <c r="K37" s="178" t="s">
        <v>1176</v>
      </c>
      <c r="L37" s="178" t="s">
        <v>1174</v>
      </c>
      <c r="M37" s="178" t="s">
        <v>1176</v>
      </c>
      <c r="N37" s="203">
        <v>41106</v>
      </c>
      <c r="O37" s="205">
        <v>1000</v>
      </c>
      <c r="P37" s="205">
        <v>0</v>
      </c>
      <c r="Q37" s="205">
        <v>5</v>
      </c>
      <c r="R37" s="205">
        <v>23</v>
      </c>
      <c r="S37" s="205">
        <v>0</v>
      </c>
      <c r="T37" s="203">
        <v>41134</v>
      </c>
      <c r="U37" s="205">
        <v>0</v>
      </c>
      <c r="V37" s="205">
        <v>7</v>
      </c>
      <c r="W37" s="205">
        <v>0</v>
      </c>
      <c r="X37" s="205">
        <v>3660</v>
      </c>
      <c r="Y37" s="324">
        <f t="shared" si="0"/>
        <v>0.85399999999999998</v>
      </c>
      <c r="Z37" s="177">
        <f t="shared" si="1"/>
        <v>2660</v>
      </c>
      <c r="AA37" s="324">
        <f t="shared" si="2"/>
        <v>0.47549999999999998</v>
      </c>
      <c r="AB37" s="325">
        <f>(X37/O37)-1</f>
        <v>2.66</v>
      </c>
      <c r="AC37" s="324">
        <f t="shared" si="3"/>
        <v>0.49</v>
      </c>
      <c r="AD37" s="206">
        <v>50</v>
      </c>
      <c r="AE37" s="324">
        <f t="shared" si="4"/>
        <v>0.16</v>
      </c>
      <c r="AF37" s="326">
        <f t="shared" si="5"/>
        <v>28</v>
      </c>
      <c r="AG37" s="327">
        <f t="shared" si="6"/>
        <v>27</v>
      </c>
      <c r="AH37" s="328">
        <f t="shared" si="7"/>
        <v>0.9642857142857143</v>
      </c>
      <c r="AI37" s="324">
        <f t="shared" si="8"/>
        <v>0.22</v>
      </c>
      <c r="AJ37" s="328" t="s">
        <v>1176</v>
      </c>
      <c r="AK37" s="324">
        <f t="shared" si="9"/>
        <v>0</v>
      </c>
      <c r="AL37" s="328" t="s">
        <v>1176</v>
      </c>
      <c r="AM37" s="324">
        <f t="shared" si="9"/>
        <v>0</v>
      </c>
      <c r="AN37" s="329">
        <f t="shared" si="10"/>
        <v>2.1995</v>
      </c>
      <c r="AO37" s="330">
        <f t="shared" si="11"/>
        <v>2.7493750000000001</v>
      </c>
    </row>
    <row r="38" spans="1:41">
      <c r="A38" s="178" t="s">
        <v>1171</v>
      </c>
      <c r="B38" s="178" t="s">
        <v>167</v>
      </c>
      <c r="C38" s="205">
        <v>37</v>
      </c>
      <c r="D38" s="178" t="s">
        <v>413</v>
      </c>
      <c r="E38" s="178" t="s">
        <v>168</v>
      </c>
      <c r="H38" s="178" t="s">
        <v>1451</v>
      </c>
      <c r="I38" s="178" t="s">
        <v>1176</v>
      </c>
      <c r="N38" s="203">
        <v>41106</v>
      </c>
      <c r="O38" s="205">
        <v>0</v>
      </c>
      <c r="T38" s="203">
        <v>41134</v>
      </c>
      <c r="X38" s="205">
        <v>0</v>
      </c>
      <c r="Y38" s="324">
        <f t="shared" si="0"/>
        <v>0</v>
      </c>
      <c r="Z38" s="177">
        <f t="shared" si="1"/>
        <v>0</v>
      </c>
      <c r="AA38" s="324">
        <f t="shared" si="2"/>
        <v>0</v>
      </c>
      <c r="AB38" s="325">
        <v>0</v>
      </c>
      <c r="AC38" s="324">
        <f t="shared" si="3"/>
        <v>0</v>
      </c>
      <c r="AD38" s="206">
        <v>0</v>
      </c>
      <c r="AE38" s="324">
        <f t="shared" si="4"/>
        <v>0</v>
      </c>
      <c r="AF38" s="326">
        <f t="shared" si="5"/>
        <v>28</v>
      </c>
      <c r="AG38" s="327">
        <f t="shared" si="6"/>
        <v>0</v>
      </c>
      <c r="AH38" s="328">
        <f t="shared" si="7"/>
        <v>0</v>
      </c>
      <c r="AI38" s="324">
        <f t="shared" si="8"/>
        <v>0</v>
      </c>
      <c r="AJ38" s="328"/>
      <c r="AK38" s="324">
        <f t="shared" si="9"/>
        <v>0</v>
      </c>
      <c r="AL38" s="328"/>
      <c r="AM38" s="324">
        <f t="shared" si="9"/>
        <v>0</v>
      </c>
      <c r="AN38" s="329">
        <f t="shared" si="10"/>
        <v>0</v>
      </c>
      <c r="AO38" s="330">
        <f t="shared" si="11"/>
        <v>0</v>
      </c>
    </row>
    <row r="39" spans="1:41">
      <c r="A39" s="178" t="s">
        <v>1171</v>
      </c>
      <c r="B39" s="178" t="s">
        <v>169</v>
      </c>
      <c r="C39" s="205">
        <v>38</v>
      </c>
      <c r="D39" s="178" t="s">
        <v>413</v>
      </c>
      <c r="E39" s="178" t="s">
        <v>170</v>
      </c>
      <c r="F39" s="178" t="s">
        <v>2312</v>
      </c>
      <c r="G39" s="178" t="s">
        <v>1578</v>
      </c>
      <c r="H39" s="178" t="s">
        <v>1451</v>
      </c>
      <c r="I39" s="178" t="s">
        <v>1174</v>
      </c>
      <c r="J39" s="178" t="s">
        <v>1176</v>
      </c>
      <c r="K39" s="178" t="s">
        <v>1176</v>
      </c>
      <c r="L39" s="178" t="s">
        <v>1174</v>
      </c>
      <c r="M39" s="178" t="s">
        <v>1176</v>
      </c>
      <c r="N39" s="203">
        <v>41106</v>
      </c>
      <c r="O39" s="205">
        <v>5586</v>
      </c>
      <c r="P39" s="205">
        <v>65</v>
      </c>
      <c r="Q39" s="205">
        <v>16</v>
      </c>
      <c r="R39" s="205">
        <v>1443</v>
      </c>
      <c r="S39" s="205">
        <v>1946</v>
      </c>
      <c r="T39" s="203">
        <v>41134</v>
      </c>
      <c r="U39" s="205">
        <v>86</v>
      </c>
      <c r="V39" s="205">
        <v>16</v>
      </c>
      <c r="W39" s="205">
        <v>2139</v>
      </c>
      <c r="X39" s="205">
        <v>6901</v>
      </c>
      <c r="Y39" s="324">
        <f t="shared" si="0"/>
        <v>0.91900000000000004</v>
      </c>
      <c r="Z39" s="177">
        <f t="shared" si="1"/>
        <v>1315</v>
      </c>
      <c r="AA39" s="324">
        <f t="shared" si="2"/>
        <v>0.44350000000000001</v>
      </c>
      <c r="AB39" s="325">
        <f>(X39/O39)-1</f>
        <v>0.23540995345506621</v>
      </c>
      <c r="AC39" s="324">
        <f t="shared" si="3"/>
        <v>0.24</v>
      </c>
      <c r="AD39" s="206">
        <v>1505</v>
      </c>
      <c r="AE39" s="324">
        <f t="shared" si="4"/>
        <v>0.48</v>
      </c>
      <c r="AF39" s="326">
        <f t="shared" si="5"/>
        <v>28</v>
      </c>
      <c r="AG39" s="327">
        <f t="shared" si="6"/>
        <v>62</v>
      </c>
      <c r="AH39" s="328">
        <f t="shared" si="7"/>
        <v>2.2142857142857144</v>
      </c>
      <c r="AI39" s="324">
        <f t="shared" si="8"/>
        <v>0.22</v>
      </c>
      <c r="AJ39" s="328" t="s">
        <v>1174</v>
      </c>
      <c r="AK39" s="324">
        <f t="shared" si="9"/>
        <v>0.25</v>
      </c>
      <c r="AL39" s="328" t="s">
        <v>1176</v>
      </c>
      <c r="AM39" s="324">
        <f t="shared" si="9"/>
        <v>0</v>
      </c>
      <c r="AN39" s="329">
        <f t="shared" si="10"/>
        <v>2.5525000000000002</v>
      </c>
      <c r="AO39" s="330">
        <f t="shared" si="11"/>
        <v>3.1906250000000003</v>
      </c>
    </row>
    <row r="40" spans="1:41">
      <c r="A40" s="178" t="s">
        <v>1171</v>
      </c>
      <c r="B40" s="178" t="s">
        <v>171</v>
      </c>
      <c r="C40" s="205">
        <v>39</v>
      </c>
      <c r="D40" s="178" t="s">
        <v>413</v>
      </c>
      <c r="E40" s="178" t="s">
        <v>173</v>
      </c>
      <c r="H40" s="178" t="s">
        <v>1451</v>
      </c>
      <c r="I40" s="178" t="s">
        <v>1176</v>
      </c>
      <c r="N40" s="203">
        <v>41106</v>
      </c>
      <c r="O40" s="205">
        <v>0</v>
      </c>
      <c r="T40" s="203">
        <v>41134</v>
      </c>
      <c r="X40" s="205">
        <v>0</v>
      </c>
      <c r="Y40" s="324">
        <f t="shared" si="0"/>
        <v>0</v>
      </c>
      <c r="Z40" s="177">
        <f t="shared" si="1"/>
        <v>0</v>
      </c>
      <c r="AA40" s="324">
        <f t="shared" si="2"/>
        <v>0</v>
      </c>
      <c r="AB40" s="325">
        <v>0</v>
      </c>
      <c r="AC40" s="324">
        <f t="shared" si="3"/>
        <v>0</v>
      </c>
      <c r="AD40" s="206">
        <v>0</v>
      </c>
      <c r="AE40" s="324">
        <f t="shared" si="4"/>
        <v>0</v>
      </c>
      <c r="AF40" s="326">
        <f t="shared" si="5"/>
        <v>28</v>
      </c>
      <c r="AG40" s="327">
        <f t="shared" si="6"/>
        <v>0</v>
      </c>
      <c r="AH40" s="328">
        <f t="shared" si="7"/>
        <v>0</v>
      </c>
      <c r="AI40" s="324">
        <f t="shared" si="8"/>
        <v>0</v>
      </c>
      <c r="AJ40" s="328"/>
      <c r="AK40" s="324">
        <f t="shared" si="9"/>
        <v>0</v>
      </c>
      <c r="AL40" s="328"/>
      <c r="AM40" s="324">
        <f t="shared" si="9"/>
        <v>0</v>
      </c>
      <c r="AN40" s="329">
        <f t="shared" si="10"/>
        <v>0</v>
      </c>
      <c r="AO40" s="330">
        <f t="shared" si="11"/>
        <v>0</v>
      </c>
    </row>
    <row r="41" spans="1:41">
      <c r="A41" s="178" t="s">
        <v>1171</v>
      </c>
      <c r="B41" s="178" t="s">
        <v>174</v>
      </c>
      <c r="C41" s="205">
        <v>40</v>
      </c>
      <c r="D41" s="178" t="s">
        <v>74</v>
      </c>
      <c r="E41" s="178" t="s">
        <v>176</v>
      </c>
      <c r="F41" s="178" t="s">
        <v>2313</v>
      </c>
      <c r="G41" s="178" t="s">
        <v>174</v>
      </c>
      <c r="H41" s="178" t="s">
        <v>1451</v>
      </c>
      <c r="I41" s="178" t="s">
        <v>1174</v>
      </c>
      <c r="J41" s="178" t="s">
        <v>1176</v>
      </c>
      <c r="K41" s="178" t="s">
        <v>1176</v>
      </c>
      <c r="L41" s="178" t="s">
        <v>1174</v>
      </c>
      <c r="M41" s="178" t="s">
        <v>1174</v>
      </c>
      <c r="N41" s="203">
        <v>41106</v>
      </c>
      <c r="O41" s="205">
        <v>37263</v>
      </c>
      <c r="P41" s="205">
        <v>47</v>
      </c>
      <c r="Q41" s="205">
        <v>25</v>
      </c>
      <c r="R41" s="205">
        <v>792</v>
      </c>
      <c r="S41" s="205">
        <v>57</v>
      </c>
      <c r="T41" s="203">
        <v>41134</v>
      </c>
      <c r="U41" s="205">
        <v>46</v>
      </c>
      <c r="V41" s="205">
        <v>27</v>
      </c>
      <c r="W41" s="205">
        <v>57</v>
      </c>
      <c r="X41" s="205">
        <v>42598</v>
      </c>
      <c r="Y41" s="324">
        <f t="shared" si="0"/>
        <v>0.98299999999999998</v>
      </c>
      <c r="Z41" s="177">
        <f t="shared" si="1"/>
        <v>5335</v>
      </c>
      <c r="AA41" s="324">
        <f t="shared" si="2"/>
        <v>0.48349999999999999</v>
      </c>
      <c r="AB41" s="325">
        <f>(X41/O41)-1</f>
        <v>0.14317151061374545</v>
      </c>
      <c r="AC41" s="324">
        <f t="shared" si="3"/>
        <v>0.185</v>
      </c>
      <c r="AD41" s="206">
        <v>926</v>
      </c>
      <c r="AE41" s="324">
        <f t="shared" si="4"/>
        <v>0.45</v>
      </c>
      <c r="AF41" s="326">
        <f t="shared" si="5"/>
        <v>28</v>
      </c>
      <c r="AG41" s="327">
        <f t="shared" si="6"/>
        <v>134</v>
      </c>
      <c r="AH41" s="328">
        <f t="shared" si="7"/>
        <v>4.7857142857142856</v>
      </c>
      <c r="AI41" s="324">
        <f t="shared" si="8"/>
        <v>0.23</v>
      </c>
      <c r="AJ41" s="328" t="s">
        <v>1176</v>
      </c>
      <c r="AK41" s="324">
        <f t="shared" si="9"/>
        <v>0</v>
      </c>
      <c r="AL41" s="328" t="s">
        <v>1176</v>
      </c>
      <c r="AM41" s="324">
        <f t="shared" si="9"/>
        <v>0</v>
      </c>
      <c r="AN41" s="329">
        <f t="shared" si="10"/>
        <v>2.3315000000000001</v>
      </c>
      <c r="AO41" s="330">
        <f t="shared" si="11"/>
        <v>2.9143750000000002</v>
      </c>
    </row>
    <row r="42" spans="1:41">
      <c r="A42" s="178" t="s">
        <v>1171</v>
      </c>
      <c r="B42" s="178" t="s">
        <v>177</v>
      </c>
      <c r="C42" s="205">
        <v>41</v>
      </c>
      <c r="D42" s="178" t="s">
        <v>413</v>
      </c>
      <c r="E42" s="178" t="s">
        <v>179</v>
      </c>
      <c r="F42" s="178" t="s">
        <v>2314</v>
      </c>
      <c r="G42" s="178" t="s">
        <v>2315</v>
      </c>
      <c r="H42" s="178" t="s">
        <v>1451</v>
      </c>
      <c r="I42" s="178" t="s">
        <v>1174</v>
      </c>
      <c r="J42" s="178" t="s">
        <v>1176</v>
      </c>
      <c r="K42" s="178" t="s">
        <v>1176</v>
      </c>
      <c r="L42" s="178" t="s">
        <v>1176</v>
      </c>
      <c r="M42" s="178" t="s">
        <v>1176</v>
      </c>
      <c r="N42" s="203">
        <v>41106</v>
      </c>
      <c r="O42" s="205">
        <v>40</v>
      </c>
      <c r="P42" s="205">
        <v>0</v>
      </c>
      <c r="Q42" s="205">
        <v>11</v>
      </c>
      <c r="R42" s="205">
        <v>135</v>
      </c>
      <c r="S42" s="205">
        <v>1</v>
      </c>
      <c r="T42" s="203">
        <v>41134</v>
      </c>
      <c r="U42" s="205">
        <v>0</v>
      </c>
      <c r="V42" s="205">
        <v>15</v>
      </c>
      <c r="W42" s="205">
        <v>1</v>
      </c>
      <c r="X42" s="205">
        <v>105</v>
      </c>
      <c r="Y42" s="324">
        <f t="shared" si="0"/>
        <v>0.32200000000000001</v>
      </c>
      <c r="Z42" s="177">
        <f t="shared" si="1"/>
        <v>65</v>
      </c>
      <c r="AA42" s="324">
        <f t="shared" si="2"/>
        <v>0.22550000000000001</v>
      </c>
      <c r="AB42" s="325">
        <f>(X42/O42)-1</f>
        <v>1.625</v>
      </c>
      <c r="AC42" s="324">
        <f t="shared" si="3"/>
        <v>0.47499999999999998</v>
      </c>
      <c r="AD42" s="206">
        <v>208</v>
      </c>
      <c r="AE42" s="324">
        <f t="shared" si="4"/>
        <v>0.255</v>
      </c>
      <c r="AF42" s="326">
        <f t="shared" si="5"/>
        <v>28</v>
      </c>
      <c r="AG42" s="327">
        <f t="shared" si="6"/>
        <v>73</v>
      </c>
      <c r="AH42" s="328">
        <f t="shared" si="7"/>
        <v>2.6071428571428572</v>
      </c>
      <c r="AI42" s="324">
        <f t="shared" si="8"/>
        <v>0.22</v>
      </c>
      <c r="AJ42" s="328" t="s">
        <v>1176</v>
      </c>
      <c r="AK42" s="324">
        <f t="shared" si="9"/>
        <v>0</v>
      </c>
      <c r="AL42" s="328" t="s">
        <v>1176</v>
      </c>
      <c r="AM42" s="324">
        <f t="shared" si="9"/>
        <v>0</v>
      </c>
      <c r="AN42" s="329">
        <f t="shared" si="10"/>
        <v>1.4975000000000001</v>
      </c>
      <c r="AO42" s="330">
        <f t="shared" si="11"/>
        <v>1.8718750000000002</v>
      </c>
    </row>
    <row r="43" spans="1:41">
      <c r="A43" s="178" t="s">
        <v>1171</v>
      </c>
      <c r="B43" s="178" t="s">
        <v>180</v>
      </c>
      <c r="C43" s="205">
        <v>42</v>
      </c>
      <c r="D43" s="178" t="s">
        <v>413</v>
      </c>
      <c r="E43" s="178" t="s">
        <v>181</v>
      </c>
      <c r="F43" s="178" t="s">
        <v>2316</v>
      </c>
      <c r="G43" s="178" t="s">
        <v>180</v>
      </c>
      <c r="H43" s="178" t="s">
        <v>1451</v>
      </c>
      <c r="I43" s="178" t="s">
        <v>1174</v>
      </c>
      <c r="J43" s="178" t="s">
        <v>1176</v>
      </c>
      <c r="K43" s="178" t="s">
        <v>1176</v>
      </c>
      <c r="L43" s="178" t="s">
        <v>1174</v>
      </c>
      <c r="M43" s="178" t="s">
        <v>1176</v>
      </c>
      <c r="N43" s="203">
        <v>41106</v>
      </c>
      <c r="O43" s="205">
        <v>892</v>
      </c>
      <c r="P43" s="205">
        <v>14</v>
      </c>
      <c r="Q43" s="205">
        <v>9</v>
      </c>
      <c r="R43" s="205">
        <v>273</v>
      </c>
      <c r="S43" s="205">
        <v>0</v>
      </c>
      <c r="T43" s="203">
        <v>41134</v>
      </c>
      <c r="U43" s="205">
        <v>15</v>
      </c>
      <c r="V43" s="205">
        <v>9</v>
      </c>
      <c r="W43" s="205">
        <v>0</v>
      </c>
      <c r="X43" s="205">
        <v>1014</v>
      </c>
      <c r="Y43" s="324">
        <f t="shared" si="0"/>
        <v>0.67700000000000005</v>
      </c>
      <c r="Z43" s="177">
        <f t="shared" si="1"/>
        <v>122</v>
      </c>
      <c r="AA43" s="324">
        <f t="shared" si="2"/>
        <v>0.24149999999999999</v>
      </c>
      <c r="AB43" s="325">
        <f>(X43/O43)-1</f>
        <v>0.13677130044843056</v>
      </c>
      <c r="AC43" s="324">
        <f t="shared" si="3"/>
        <v>0.17499999999999999</v>
      </c>
      <c r="AD43" s="206">
        <v>304</v>
      </c>
      <c r="AE43" s="324">
        <f t="shared" si="4"/>
        <v>0.35</v>
      </c>
      <c r="AF43" s="326">
        <f t="shared" si="5"/>
        <v>28</v>
      </c>
      <c r="AG43" s="327">
        <f t="shared" si="6"/>
        <v>31</v>
      </c>
      <c r="AH43" s="328">
        <f t="shared" si="7"/>
        <v>1.1071428571428572</v>
      </c>
      <c r="AI43" s="324">
        <f t="shared" si="8"/>
        <v>0.22</v>
      </c>
      <c r="AJ43" s="328" t="s">
        <v>1176</v>
      </c>
      <c r="AK43" s="324">
        <f t="shared" si="9"/>
        <v>0</v>
      </c>
      <c r="AL43" s="328" t="s">
        <v>1174</v>
      </c>
      <c r="AM43" s="324">
        <f t="shared" si="9"/>
        <v>0.25</v>
      </c>
      <c r="AN43" s="329">
        <f t="shared" si="10"/>
        <v>1.9135</v>
      </c>
      <c r="AO43" s="330">
        <f t="shared" si="11"/>
        <v>2.3918749999999998</v>
      </c>
    </row>
    <row r="44" spans="1:41">
      <c r="A44" s="178" t="s">
        <v>1171</v>
      </c>
      <c r="B44" s="178" t="s">
        <v>182</v>
      </c>
      <c r="C44" s="205">
        <v>43</v>
      </c>
      <c r="D44" s="178" t="s">
        <v>413</v>
      </c>
      <c r="E44" s="178" t="s">
        <v>184</v>
      </c>
      <c r="F44" s="178" t="s">
        <v>2317</v>
      </c>
      <c r="G44" s="178" t="s">
        <v>2318</v>
      </c>
      <c r="H44" s="178" t="s">
        <v>1451</v>
      </c>
      <c r="I44" s="178" t="s">
        <v>1174</v>
      </c>
      <c r="J44" s="178" t="s">
        <v>1176</v>
      </c>
      <c r="K44" s="178" t="s">
        <v>1176</v>
      </c>
      <c r="L44" s="178" t="s">
        <v>1174</v>
      </c>
      <c r="M44" s="178" t="s">
        <v>1174</v>
      </c>
      <c r="N44" s="203">
        <v>41127</v>
      </c>
      <c r="O44" s="205">
        <v>28451</v>
      </c>
      <c r="P44" s="205">
        <v>104</v>
      </c>
      <c r="Q44" s="205">
        <v>9</v>
      </c>
      <c r="R44" s="205">
        <v>1790</v>
      </c>
      <c r="S44" s="205">
        <v>1</v>
      </c>
      <c r="T44" s="203">
        <v>41134</v>
      </c>
      <c r="U44" s="205">
        <v>116</v>
      </c>
      <c r="V44" s="205">
        <v>9</v>
      </c>
      <c r="W44" s="205">
        <v>1</v>
      </c>
      <c r="X44" s="205">
        <v>29883</v>
      </c>
      <c r="Y44" s="324">
        <f t="shared" si="0"/>
        <v>0.96699999999999997</v>
      </c>
      <c r="Z44" s="177">
        <f t="shared" si="1"/>
        <v>1432</v>
      </c>
      <c r="AA44" s="324">
        <f t="shared" si="2"/>
        <v>0.45150000000000001</v>
      </c>
      <c r="AB44" s="325">
        <f>(X44/O44)-1</f>
        <v>5.0332150012301957E-2</v>
      </c>
      <c r="AC44" s="324">
        <f t="shared" si="3"/>
        <v>0.13500000000000001</v>
      </c>
      <c r="AD44" s="206">
        <v>1799</v>
      </c>
      <c r="AE44" s="324">
        <f t="shared" si="4"/>
        <v>0.49</v>
      </c>
      <c r="AF44" s="326">
        <f t="shared" si="5"/>
        <v>7</v>
      </c>
      <c r="AG44" s="327">
        <f t="shared" si="6"/>
        <v>9</v>
      </c>
      <c r="AH44" s="328">
        <f t="shared" si="7"/>
        <v>1.2857142857142858</v>
      </c>
      <c r="AI44" s="324">
        <f t="shared" si="8"/>
        <v>0.22</v>
      </c>
      <c r="AJ44" s="328" t="s">
        <v>1176</v>
      </c>
      <c r="AK44" s="324">
        <f t="shared" si="9"/>
        <v>0</v>
      </c>
      <c r="AL44" s="328" t="s">
        <v>1176</v>
      </c>
      <c r="AM44" s="324">
        <f t="shared" si="9"/>
        <v>0</v>
      </c>
      <c r="AN44" s="329">
        <f t="shared" si="10"/>
        <v>2.2635000000000001</v>
      </c>
      <c r="AO44" s="330">
        <f t="shared" si="11"/>
        <v>2.8293750000000002</v>
      </c>
    </row>
    <row r="45" spans="1:41">
      <c r="A45" s="178" t="s">
        <v>1171</v>
      </c>
      <c r="B45" s="178" t="s">
        <v>185</v>
      </c>
      <c r="C45" s="205">
        <v>44</v>
      </c>
      <c r="D45" s="178" t="s">
        <v>413</v>
      </c>
      <c r="E45" s="178" t="s">
        <v>186</v>
      </c>
      <c r="F45" s="178" t="s">
        <v>2319</v>
      </c>
      <c r="G45" s="178" t="s">
        <v>2320</v>
      </c>
      <c r="H45" s="178" t="s">
        <v>1451</v>
      </c>
      <c r="I45" s="178" t="s">
        <v>1174</v>
      </c>
      <c r="J45" s="178" t="s">
        <v>1176</v>
      </c>
      <c r="K45" s="178" t="s">
        <v>1176</v>
      </c>
      <c r="L45" s="178" t="s">
        <v>1174</v>
      </c>
      <c r="M45" s="178" t="s">
        <v>1176</v>
      </c>
      <c r="N45" s="203">
        <v>41106</v>
      </c>
      <c r="O45" s="205">
        <v>649</v>
      </c>
      <c r="P45" s="205">
        <v>21</v>
      </c>
      <c r="Q45" s="205">
        <v>14</v>
      </c>
      <c r="R45" s="205">
        <v>279</v>
      </c>
      <c r="S45" s="205">
        <v>0</v>
      </c>
      <c r="T45" s="203">
        <v>41134</v>
      </c>
      <c r="U45" s="205">
        <v>21</v>
      </c>
      <c r="V45" s="205">
        <v>14</v>
      </c>
      <c r="W45" s="205">
        <v>0</v>
      </c>
      <c r="X45" s="205">
        <v>696</v>
      </c>
      <c r="Y45" s="324">
        <f t="shared" si="0"/>
        <v>0.59599999999999997</v>
      </c>
      <c r="Z45" s="177">
        <f t="shared" si="1"/>
        <v>47</v>
      </c>
      <c r="AA45" s="324">
        <f t="shared" si="2"/>
        <v>0.185</v>
      </c>
      <c r="AB45" s="325">
        <f>(X45/O45)-1</f>
        <v>7.241910631741133E-2</v>
      </c>
      <c r="AC45" s="324">
        <f t="shared" si="3"/>
        <v>0.14499999999999999</v>
      </c>
      <c r="AD45" s="206">
        <v>279</v>
      </c>
      <c r="AE45" s="324">
        <f t="shared" si="4"/>
        <v>0.31</v>
      </c>
      <c r="AF45" s="326">
        <f t="shared" si="5"/>
        <v>28</v>
      </c>
      <c r="AG45" s="327">
        <f t="shared" si="6"/>
        <v>0</v>
      </c>
      <c r="AH45" s="328">
        <f t="shared" si="7"/>
        <v>0</v>
      </c>
      <c r="AI45" s="324">
        <f t="shared" si="8"/>
        <v>0</v>
      </c>
      <c r="AJ45" s="328" t="s">
        <v>1176</v>
      </c>
      <c r="AK45" s="324">
        <f t="shared" si="9"/>
        <v>0</v>
      </c>
      <c r="AL45" s="328" t="s">
        <v>1176</v>
      </c>
      <c r="AM45" s="324">
        <f t="shared" si="9"/>
        <v>0</v>
      </c>
      <c r="AN45" s="329">
        <f t="shared" si="10"/>
        <v>1.2359999999999998</v>
      </c>
      <c r="AO45" s="330">
        <f t="shared" si="11"/>
        <v>1.5449999999999997</v>
      </c>
    </row>
    <row r="46" spans="1:41">
      <c r="A46" s="178" t="s">
        <v>1171</v>
      </c>
      <c r="B46" s="178" t="s">
        <v>187</v>
      </c>
      <c r="C46" s="205">
        <v>45</v>
      </c>
      <c r="D46" s="178" t="s">
        <v>413</v>
      </c>
      <c r="E46" s="178" t="s">
        <v>189</v>
      </c>
      <c r="H46" s="178" t="s">
        <v>1451</v>
      </c>
      <c r="I46" s="178" t="s">
        <v>1176</v>
      </c>
      <c r="N46" s="203">
        <v>41106</v>
      </c>
      <c r="O46" s="205">
        <v>0</v>
      </c>
      <c r="T46" s="203">
        <v>41134</v>
      </c>
      <c r="X46" s="205">
        <v>0</v>
      </c>
      <c r="Y46" s="324">
        <f t="shared" si="0"/>
        <v>0</v>
      </c>
      <c r="Z46" s="177">
        <f t="shared" si="1"/>
        <v>0</v>
      </c>
      <c r="AA46" s="324">
        <f t="shared" si="2"/>
        <v>0</v>
      </c>
      <c r="AB46" s="325">
        <v>0</v>
      </c>
      <c r="AC46" s="324">
        <f t="shared" si="3"/>
        <v>0</v>
      </c>
      <c r="AD46" s="206">
        <v>0</v>
      </c>
      <c r="AE46" s="324">
        <f t="shared" si="4"/>
        <v>0</v>
      </c>
      <c r="AF46" s="326">
        <f t="shared" si="5"/>
        <v>28</v>
      </c>
      <c r="AG46" s="327">
        <f t="shared" si="6"/>
        <v>0</v>
      </c>
      <c r="AH46" s="328">
        <f t="shared" si="7"/>
        <v>0</v>
      </c>
      <c r="AI46" s="324">
        <f t="shared" si="8"/>
        <v>0</v>
      </c>
      <c r="AJ46" s="328"/>
      <c r="AK46" s="324">
        <f t="shared" si="9"/>
        <v>0</v>
      </c>
      <c r="AL46" s="328"/>
      <c r="AM46" s="324">
        <f t="shared" si="9"/>
        <v>0</v>
      </c>
      <c r="AN46" s="329">
        <f t="shared" si="10"/>
        <v>0</v>
      </c>
      <c r="AO46" s="330">
        <f t="shared" si="11"/>
        <v>0</v>
      </c>
    </row>
    <row r="47" spans="1:41">
      <c r="A47" s="178" t="s">
        <v>1171</v>
      </c>
      <c r="B47" s="178" t="s">
        <v>190</v>
      </c>
      <c r="C47" s="205">
        <v>46</v>
      </c>
      <c r="D47" s="178" t="s">
        <v>413</v>
      </c>
      <c r="E47" s="178" t="s">
        <v>1322</v>
      </c>
      <c r="F47" s="178" t="s">
        <v>2321</v>
      </c>
      <c r="G47" s="178" t="s">
        <v>190</v>
      </c>
      <c r="H47" s="178" t="s">
        <v>1451</v>
      </c>
      <c r="I47" s="178" t="s">
        <v>1174</v>
      </c>
      <c r="J47" s="178" t="s">
        <v>1176</v>
      </c>
      <c r="K47" s="178" t="s">
        <v>1176</v>
      </c>
      <c r="L47" s="178" t="s">
        <v>1174</v>
      </c>
      <c r="M47" s="178" t="s">
        <v>1174</v>
      </c>
      <c r="N47" s="203">
        <v>41106</v>
      </c>
      <c r="O47" s="205">
        <v>0</v>
      </c>
      <c r="P47" s="205">
        <v>0</v>
      </c>
      <c r="Q47" s="205">
        <v>22</v>
      </c>
      <c r="R47" s="205">
        <v>244</v>
      </c>
      <c r="S47" s="205">
        <v>0</v>
      </c>
      <c r="T47" s="203">
        <v>41134</v>
      </c>
      <c r="U47" s="205">
        <v>0</v>
      </c>
      <c r="V47" s="205">
        <v>22</v>
      </c>
      <c r="W47" s="205">
        <v>0</v>
      </c>
      <c r="X47" s="205">
        <v>446</v>
      </c>
      <c r="Y47" s="324">
        <f t="shared" si="0"/>
        <v>0.5</v>
      </c>
      <c r="Z47" s="177">
        <f t="shared" si="1"/>
        <v>446</v>
      </c>
      <c r="AA47" s="324">
        <f t="shared" si="2"/>
        <v>0.3705</v>
      </c>
      <c r="AB47" s="325">
        <v>0</v>
      </c>
      <c r="AC47" s="324">
        <f t="shared" si="3"/>
        <v>0</v>
      </c>
      <c r="AD47" s="206">
        <v>269</v>
      </c>
      <c r="AE47" s="324">
        <f t="shared" si="4"/>
        <v>0.29499999999999998</v>
      </c>
      <c r="AF47" s="326">
        <f t="shared" si="5"/>
        <v>28</v>
      </c>
      <c r="AG47" s="327">
        <f t="shared" si="6"/>
        <v>25</v>
      </c>
      <c r="AH47" s="328">
        <f t="shared" si="7"/>
        <v>0.8928571428571429</v>
      </c>
      <c r="AI47" s="324">
        <f t="shared" si="8"/>
        <v>0.22</v>
      </c>
      <c r="AJ47" s="328" t="s">
        <v>1176</v>
      </c>
      <c r="AK47" s="324">
        <f t="shared" si="9"/>
        <v>0</v>
      </c>
      <c r="AL47" s="328" t="s">
        <v>1176</v>
      </c>
      <c r="AM47" s="324">
        <f t="shared" si="9"/>
        <v>0</v>
      </c>
      <c r="AN47" s="329">
        <f t="shared" si="10"/>
        <v>1.3855</v>
      </c>
      <c r="AO47" s="330">
        <f t="shared" si="11"/>
        <v>1.7318750000000001</v>
      </c>
    </row>
    <row r="48" spans="1:41">
      <c r="A48" s="178" t="s">
        <v>1171</v>
      </c>
      <c r="B48" s="178" t="s">
        <v>193</v>
      </c>
      <c r="C48" s="205">
        <v>47</v>
      </c>
      <c r="D48" s="178" t="s">
        <v>413</v>
      </c>
      <c r="E48" s="178" t="s">
        <v>195</v>
      </c>
      <c r="F48" s="178" t="s">
        <v>2322</v>
      </c>
      <c r="G48" s="178" t="s">
        <v>193</v>
      </c>
      <c r="H48" s="178" t="s">
        <v>1451</v>
      </c>
      <c r="I48" s="178" t="s">
        <v>1174</v>
      </c>
      <c r="J48" s="178" t="s">
        <v>1176</v>
      </c>
      <c r="K48" s="178" t="s">
        <v>1176</v>
      </c>
      <c r="L48" s="178" t="s">
        <v>1174</v>
      </c>
      <c r="M48" s="178" t="s">
        <v>1176</v>
      </c>
      <c r="N48" s="203">
        <v>41106</v>
      </c>
      <c r="O48" s="205">
        <v>265</v>
      </c>
      <c r="P48" s="205">
        <v>23</v>
      </c>
      <c r="Q48" s="205">
        <v>11</v>
      </c>
      <c r="R48" s="205">
        <v>300</v>
      </c>
      <c r="S48" s="205">
        <v>3</v>
      </c>
      <c r="T48" s="203">
        <v>41134</v>
      </c>
      <c r="U48" s="205">
        <v>25</v>
      </c>
      <c r="V48" s="205">
        <v>11</v>
      </c>
      <c r="W48" s="205">
        <v>5</v>
      </c>
      <c r="X48" s="205">
        <v>425</v>
      </c>
      <c r="Y48" s="324">
        <f t="shared" si="0"/>
        <v>0.48299999999999998</v>
      </c>
      <c r="Z48" s="177">
        <f t="shared" si="1"/>
        <v>160</v>
      </c>
      <c r="AA48" s="324">
        <f t="shared" si="2"/>
        <v>0.28199999999999997</v>
      </c>
      <c r="AB48" s="325">
        <f>(X48/O48)-1</f>
        <v>0.60377358490566047</v>
      </c>
      <c r="AC48" s="324">
        <f t="shared" si="3"/>
        <v>0.41</v>
      </c>
      <c r="AD48" s="206">
        <v>368</v>
      </c>
      <c r="AE48" s="324">
        <f t="shared" si="4"/>
        <v>0.375</v>
      </c>
      <c r="AF48" s="326">
        <f t="shared" si="5"/>
        <v>28</v>
      </c>
      <c r="AG48" s="327">
        <f t="shared" si="6"/>
        <v>68</v>
      </c>
      <c r="AH48" s="328">
        <f t="shared" si="7"/>
        <v>2.4285714285714284</v>
      </c>
      <c r="AI48" s="324">
        <f t="shared" si="8"/>
        <v>0.22</v>
      </c>
      <c r="AJ48" s="328" t="s">
        <v>1176</v>
      </c>
      <c r="AK48" s="324">
        <f t="shared" si="9"/>
        <v>0</v>
      </c>
      <c r="AL48" s="328" t="s">
        <v>1176</v>
      </c>
      <c r="AM48" s="324">
        <f t="shared" si="9"/>
        <v>0</v>
      </c>
      <c r="AN48" s="329">
        <f t="shared" si="10"/>
        <v>1.77</v>
      </c>
      <c r="AO48" s="330">
        <f t="shared" si="11"/>
        <v>2.2124999999999999</v>
      </c>
    </row>
    <row r="49" spans="1:41">
      <c r="A49" s="178" t="s">
        <v>1171</v>
      </c>
      <c r="B49" s="178" t="s">
        <v>196</v>
      </c>
      <c r="C49" s="205">
        <v>48</v>
      </c>
      <c r="D49" s="178" t="s">
        <v>413</v>
      </c>
      <c r="E49" s="178" t="s">
        <v>198</v>
      </c>
      <c r="F49" s="178" t="s">
        <v>2323</v>
      </c>
      <c r="G49" s="178" t="s">
        <v>2324</v>
      </c>
      <c r="H49" s="178" t="s">
        <v>1451</v>
      </c>
      <c r="I49" s="178" t="s">
        <v>1174</v>
      </c>
      <c r="J49" s="178" t="s">
        <v>1176</v>
      </c>
      <c r="K49" s="178" t="s">
        <v>1176</v>
      </c>
      <c r="L49" s="178" t="s">
        <v>1174</v>
      </c>
      <c r="M49" s="178" t="s">
        <v>1174</v>
      </c>
      <c r="N49" s="203">
        <v>41106</v>
      </c>
      <c r="O49" s="205">
        <v>374</v>
      </c>
      <c r="P49" s="205">
        <v>51</v>
      </c>
      <c r="Q49" s="205">
        <v>19</v>
      </c>
      <c r="R49" s="205">
        <v>469</v>
      </c>
      <c r="S49" s="205">
        <v>0</v>
      </c>
      <c r="T49" s="203">
        <v>41134</v>
      </c>
      <c r="U49" s="205">
        <v>50</v>
      </c>
      <c r="V49" s="205">
        <v>21</v>
      </c>
      <c r="W49" s="205">
        <v>0</v>
      </c>
      <c r="X49" s="205">
        <v>533</v>
      </c>
      <c r="Y49" s="324">
        <f t="shared" si="0"/>
        <v>0.54800000000000004</v>
      </c>
      <c r="Z49" s="177">
        <f t="shared" si="1"/>
        <v>159</v>
      </c>
      <c r="AA49" s="324">
        <f t="shared" si="2"/>
        <v>0.27400000000000002</v>
      </c>
      <c r="AB49" s="325">
        <f>(X49/O49)-1</f>
        <v>0.42513368983957212</v>
      </c>
      <c r="AC49" s="324">
        <f t="shared" si="3"/>
        <v>0.375</v>
      </c>
      <c r="AD49" s="206">
        <v>491</v>
      </c>
      <c r="AE49" s="324">
        <f t="shared" si="4"/>
        <v>0.41</v>
      </c>
      <c r="AF49" s="326">
        <f t="shared" si="5"/>
        <v>28</v>
      </c>
      <c r="AG49" s="327">
        <f t="shared" si="6"/>
        <v>22</v>
      </c>
      <c r="AH49" s="328">
        <f t="shared" si="7"/>
        <v>0.7857142857142857</v>
      </c>
      <c r="AI49" s="324">
        <f t="shared" si="8"/>
        <v>0.22</v>
      </c>
      <c r="AJ49" s="328" t="s">
        <v>1176</v>
      </c>
      <c r="AK49" s="324">
        <f t="shared" si="9"/>
        <v>0</v>
      </c>
      <c r="AL49" s="328" t="s">
        <v>1176</v>
      </c>
      <c r="AM49" s="324">
        <f t="shared" si="9"/>
        <v>0</v>
      </c>
      <c r="AN49" s="329">
        <f t="shared" si="10"/>
        <v>1.827</v>
      </c>
      <c r="AO49" s="330">
        <f t="shared" si="11"/>
        <v>2.2837499999999999</v>
      </c>
    </row>
    <row r="50" spans="1:41">
      <c r="A50" s="178" t="s">
        <v>1171</v>
      </c>
      <c r="B50" s="178" t="s">
        <v>199</v>
      </c>
      <c r="C50" s="205">
        <v>49</v>
      </c>
      <c r="D50" s="178" t="s">
        <v>413</v>
      </c>
      <c r="E50" s="178" t="s">
        <v>200</v>
      </c>
      <c r="H50" s="178" t="s">
        <v>1451</v>
      </c>
      <c r="I50" s="178" t="s">
        <v>1176</v>
      </c>
      <c r="N50" s="203">
        <v>41106</v>
      </c>
      <c r="O50" s="205">
        <v>0</v>
      </c>
      <c r="T50" s="203">
        <v>41134</v>
      </c>
      <c r="X50" s="205">
        <v>0</v>
      </c>
      <c r="Y50" s="324">
        <f t="shared" si="0"/>
        <v>0</v>
      </c>
      <c r="Z50" s="177">
        <f t="shared" si="1"/>
        <v>0</v>
      </c>
      <c r="AA50" s="324">
        <f t="shared" si="2"/>
        <v>0</v>
      </c>
      <c r="AB50" s="325">
        <v>0</v>
      </c>
      <c r="AC50" s="324">
        <f t="shared" si="3"/>
        <v>0</v>
      </c>
      <c r="AD50" s="206">
        <v>0</v>
      </c>
      <c r="AE50" s="324">
        <f t="shared" si="4"/>
        <v>0</v>
      </c>
      <c r="AF50" s="326">
        <f t="shared" si="5"/>
        <v>28</v>
      </c>
      <c r="AG50" s="327">
        <f t="shared" si="6"/>
        <v>0</v>
      </c>
      <c r="AH50" s="328">
        <f t="shared" si="7"/>
        <v>0</v>
      </c>
      <c r="AI50" s="324">
        <f t="shared" si="8"/>
        <v>0</v>
      </c>
      <c r="AJ50" s="328"/>
      <c r="AK50" s="324">
        <f t="shared" si="9"/>
        <v>0</v>
      </c>
      <c r="AL50" s="328"/>
      <c r="AM50" s="324">
        <f t="shared" si="9"/>
        <v>0</v>
      </c>
      <c r="AN50" s="329">
        <f t="shared" si="10"/>
        <v>0</v>
      </c>
      <c r="AO50" s="330">
        <f t="shared" si="11"/>
        <v>0</v>
      </c>
    </row>
    <row r="51" spans="1:41">
      <c r="A51" s="178" t="s">
        <v>1171</v>
      </c>
      <c r="B51" s="178" t="s">
        <v>201</v>
      </c>
      <c r="C51" s="205">
        <v>50</v>
      </c>
      <c r="D51" s="178" t="s">
        <v>413</v>
      </c>
      <c r="E51" s="178" t="s">
        <v>202</v>
      </c>
      <c r="F51" s="178" t="s">
        <v>2325</v>
      </c>
      <c r="G51" s="178" t="s">
        <v>201</v>
      </c>
      <c r="H51" s="178" t="s">
        <v>1451</v>
      </c>
      <c r="I51" s="178" t="s">
        <v>1174</v>
      </c>
      <c r="J51" s="178" t="s">
        <v>1176</v>
      </c>
      <c r="K51" s="178" t="s">
        <v>1176</v>
      </c>
      <c r="L51" s="178" t="s">
        <v>1174</v>
      </c>
      <c r="M51" s="178" t="s">
        <v>1174</v>
      </c>
      <c r="N51" s="203">
        <v>41106</v>
      </c>
      <c r="O51" s="205">
        <v>430</v>
      </c>
      <c r="P51" s="205">
        <v>0</v>
      </c>
      <c r="Q51" s="205">
        <v>0</v>
      </c>
      <c r="R51" s="205">
        <v>0</v>
      </c>
      <c r="S51" s="205">
        <v>0</v>
      </c>
      <c r="T51" s="203">
        <v>41134</v>
      </c>
      <c r="U51" s="205">
        <v>0</v>
      </c>
      <c r="V51" s="205">
        <v>0</v>
      </c>
      <c r="W51" s="205">
        <v>0</v>
      </c>
      <c r="X51" s="205">
        <v>561</v>
      </c>
      <c r="Y51" s="324">
        <f t="shared" si="0"/>
        <v>0.56399999999999995</v>
      </c>
      <c r="Z51" s="177">
        <f t="shared" si="1"/>
        <v>131</v>
      </c>
      <c r="AA51" s="324">
        <f t="shared" si="2"/>
        <v>0.25</v>
      </c>
      <c r="AB51" s="325">
        <f>(X51/O51)-1</f>
        <v>0.30465116279069759</v>
      </c>
      <c r="AC51" s="324">
        <f t="shared" si="3"/>
        <v>0.30499999999999999</v>
      </c>
      <c r="AD51" s="206">
        <v>0</v>
      </c>
      <c r="AE51" s="324">
        <f t="shared" si="4"/>
        <v>0</v>
      </c>
      <c r="AF51" s="326">
        <f t="shared" si="5"/>
        <v>28</v>
      </c>
      <c r="AG51" s="327">
        <f t="shared" si="6"/>
        <v>0</v>
      </c>
      <c r="AH51" s="328">
        <f t="shared" si="7"/>
        <v>0</v>
      </c>
      <c r="AI51" s="324">
        <f t="shared" si="8"/>
        <v>0</v>
      </c>
      <c r="AJ51" s="328" t="s">
        <v>1176</v>
      </c>
      <c r="AK51" s="324">
        <f t="shared" si="9"/>
        <v>0</v>
      </c>
      <c r="AL51" s="328" t="s">
        <v>1176</v>
      </c>
      <c r="AM51" s="324">
        <f t="shared" si="9"/>
        <v>0</v>
      </c>
      <c r="AN51" s="329">
        <f t="shared" si="10"/>
        <v>1.1189999999999998</v>
      </c>
      <c r="AO51" s="330">
        <f t="shared" si="11"/>
        <v>1.3987499999999997</v>
      </c>
    </row>
    <row r="52" spans="1:41">
      <c r="A52" s="178" t="s">
        <v>1171</v>
      </c>
      <c r="B52" s="178" t="s">
        <v>203</v>
      </c>
      <c r="C52" s="205">
        <v>51</v>
      </c>
      <c r="D52" s="178" t="s">
        <v>413</v>
      </c>
      <c r="E52" s="178" t="s">
        <v>1827</v>
      </c>
      <c r="H52" s="178" t="s">
        <v>1451</v>
      </c>
      <c r="I52" s="178" t="s">
        <v>1176</v>
      </c>
      <c r="N52" s="203">
        <v>41106</v>
      </c>
      <c r="O52" s="205">
        <v>0</v>
      </c>
      <c r="T52" s="203">
        <v>41134</v>
      </c>
      <c r="X52" s="205">
        <v>0</v>
      </c>
      <c r="Y52" s="324">
        <f t="shared" si="0"/>
        <v>0</v>
      </c>
      <c r="Z52" s="177">
        <f t="shared" si="1"/>
        <v>0</v>
      </c>
      <c r="AA52" s="324">
        <f t="shared" si="2"/>
        <v>0</v>
      </c>
      <c r="AB52" s="325">
        <v>0</v>
      </c>
      <c r="AC52" s="324">
        <f t="shared" si="3"/>
        <v>0</v>
      </c>
      <c r="AD52" s="206">
        <v>0</v>
      </c>
      <c r="AE52" s="324">
        <f t="shared" si="4"/>
        <v>0</v>
      </c>
      <c r="AF52" s="326">
        <f t="shared" si="5"/>
        <v>28</v>
      </c>
      <c r="AG52" s="327">
        <f t="shared" si="6"/>
        <v>0</v>
      </c>
      <c r="AH52" s="328">
        <f t="shared" si="7"/>
        <v>0</v>
      </c>
      <c r="AI52" s="324">
        <f t="shared" si="8"/>
        <v>0</v>
      </c>
      <c r="AJ52" s="328"/>
      <c r="AK52" s="324">
        <f t="shared" si="9"/>
        <v>0</v>
      </c>
      <c r="AL52" s="328"/>
      <c r="AM52" s="324">
        <f t="shared" si="9"/>
        <v>0</v>
      </c>
      <c r="AN52" s="329">
        <f t="shared" si="10"/>
        <v>0</v>
      </c>
      <c r="AO52" s="330">
        <f t="shared" si="11"/>
        <v>0</v>
      </c>
    </row>
    <row r="53" spans="1:41">
      <c r="A53" s="178" t="s">
        <v>1171</v>
      </c>
      <c r="B53" s="178" t="s">
        <v>206</v>
      </c>
      <c r="C53" s="205">
        <v>52</v>
      </c>
      <c r="D53" s="178" t="s">
        <v>413</v>
      </c>
      <c r="E53" s="178" t="s">
        <v>208</v>
      </c>
      <c r="F53" s="178" t="s">
        <v>2326</v>
      </c>
      <c r="G53" s="178" t="s">
        <v>206</v>
      </c>
      <c r="H53" s="178" t="s">
        <v>1451</v>
      </c>
      <c r="I53" s="178" t="s">
        <v>1174</v>
      </c>
      <c r="J53" s="178" t="s">
        <v>1176</v>
      </c>
      <c r="K53" s="178" t="s">
        <v>1176</v>
      </c>
      <c r="L53" s="178" t="s">
        <v>1176</v>
      </c>
      <c r="M53" s="178" t="s">
        <v>1174</v>
      </c>
      <c r="N53" s="203">
        <v>41106</v>
      </c>
      <c r="O53" s="205">
        <v>148</v>
      </c>
      <c r="P53" s="205">
        <v>0</v>
      </c>
      <c r="Q53" s="205">
        <v>10</v>
      </c>
      <c r="R53" s="205">
        <v>155</v>
      </c>
      <c r="S53" s="205">
        <v>0</v>
      </c>
      <c r="T53" s="203">
        <v>41134</v>
      </c>
      <c r="U53" s="205">
        <v>0</v>
      </c>
      <c r="V53" s="205">
        <v>12</v>
      </c>
      <c r="W53" s="205">
        <v>0</v>
      </c>
      <c r="X53" s="205">
        <v>190</v>
      </c>
      <c r="Y53" s="324">
        <f t="shared" si="0"/>
        <v>0.35399999999999998</v>
      </c>
      <c r="Z53" s="177">
        <f t="shared" si="1"/>
        <v>42</v>
      </c>
      <c r="AA53" s="324">
        <f t="shared" si="2"/>
        <v>0.17699999999999999</v>
      </c>
      <c r="AB53" s="325">
        <f>(X53/O53)-1</f>
        <v>0.28378378378378377</v>
      </c>
      <c r="AC53" s="324">
        <f t="shared" si="3"/>
        <v>0.28999999999999998</v>
      </c>
      <c r="AD53" s="206">
        <v>167</v>
      </c>
      <c r="AE53" s="324">
        <f t="shared" si="4"/>
        <v>0.20499999999999999</v>
      </c>
      <c r="AF53" s="326">
        <f t="shared" si="5"/>
        <v>28</v>
      </c>
      <c r="AG53" s="327">
        <f t="shared" si="6"/>
        <v>12</v>
      </c>
      <c r="AH53" s="328">
        <f t="shared" si="7"/>
        <v>0.42857142857142855</v>
      </c>
      <c r="AI53" s="324">
        <f t="shared" si="8"/>
        <v>0.22</v>
      </c>
      <c r="AJ53" s="328" t="s">
        <v>1174</v>
      </c>
      <c r="AK53" s="324">
        <f t="shared" si="9"/>
        <v>0.25</v>
      </c>
      <c r="AL53" s="328" t="s">
        <v>1176</v>
      </c>
      <c r="AM53" s="324">
        <f t="shared" si="9"/>
        <v>0</v>
      </c>
      <c r="AN53" s="329">
        <f t="shared" si="10"/>
        <v>1.496</v>
      </c>
      <c r="AO53" s="330">
        <f t="shared" si="11"/>
        <v>1.87</v>
      </c>
    </row>
    <row r="54" spans="1:41">
      <c r="A54" s="178" t="s">
        <v>1171</v>
      </c>
      <c r="B54" s="178" t="s">
        <v>209</v>
      </c>
      <c r="C54" s="205">
        <v>53</v>
      </c>
      <c r="D54" s="178" t="s">
        <v>413</v>
      </c>
      <c r="E54" s="178" t="s">
        <v>212</v>
      </c>
      <c r="F54" s="178" t="s">
        <v>2327</v>
      </c>
      <c r="G54" s="178" t="s">
        <v>209</v>
      </c>
      <c r="H54" s="178" t="s">
        <v>1451</v>
      </c>
      <c r="I54" s="178" t="s">
        <v>1174</v>
      </c>
      <c r="J54" s="178" t="s">
        <v>1176</v>
      </c>
      <c r="K54" s="178" t="s">
        <v>1176</v>
      </c>
      <c r="L54" s="178" t="s">
        <v>1174</v>
      </c>
      <c r="M54" s="178" t="s">
        <v>1176</v>
      </c>
      <c r="N54" s="203">
        <v>41106</v>
      </c>
      <c r="O54" s="205">
        <v>106</v>
      </c>
      <c r="P54" s="205">
        <v>84</v>
      </c>
      <c r="Q54" s="205">
        <v>8</v>
      </c>
      <c r="R54" s="205">
        <v>167</v>
      </c>
      <c r="S54" s="205">
        <v>0</v>
      </c>
      <c r="T54" s="203">
        <v>41134</v>
      </c>
      <c r="U54" s="205">
        <v>84</v>
      </c>
      <c r="V54" s="205">
        <v>10</v>
      </c>
      <c r="W54" s="205">
        <v>1</v>
      </c>
      <c r="X54" s="205">
        <v>257</v>
      </c>
      <c r="Y54" s="324">
        <f t="shared" si="0"/>
        <v>0.38700000000000001</v>
      </c>
      <c r="Z54" s="177">
        <f t="shared" si="1"/>
        <v>151</v>
      </c>
      <c r="AA54" s="324">
        <f t="shared" si="2"/>
        <v>0.26600000000000001</v>
      </c>
      <c r="AB54" s="325">
        <f>(X54/O54)-1</f>
        <v>1.4245283018867925</v>
      </c>
      <c r="AC54" s="324">
        <f t="shared" si="3"/>
        <v>0.46500000000000002</v>
      </c>
      <c r="AD54" s="206">
        <v>200</v>
      </c>
      <c r="AE54" s="324">
        <f t="shared" si="4"/>
        <v>0.24</v>
      </c>
      <c r="AF54" s="326">
        <f t="shared" si="5"/>
        <v>28</v>
      </c>
      <c r="AG54" s="327">
        <f t="shared" si="6"/>
        <v>33</v>
      </c>
      <c r="AH54" s="328">
        <f t="shared" si="7"/>
        <v>1.1785714285714286</v>
      </c>
      <c r="AI54" s="324">
        <f t="shared" si="8"/>
        <v>0.22</v>
      </c>
      <c r="AJ54" s="328" t="s">
        <v>1176</v>
      </c>
      <c r="AK54" s="324">
        <f t="shared" si="9"/>
        <v>0</v>
      </c>
      <c r="AL54" s="328" t="s">
        <v>1176</v>
      </c>
      <c r="AM54" s="324">
        <f t="shared" si="9"/>
        <v>0</v>
      </c>
      <c r="AN54" s="329">
        <f t="shared" si="10"/>
        <v>1.5780000000000001</v>
      </c>
      <c r="AO54" s="330">
        <f t="shared" si="11"/>
        <v>1.9725000000000001</v>
      </c>
    </row>
    <row r="55" spans="1:41">
      <c r="A55" s="178" t="s">
        <v>1171</v>
      </c>
      <c r="B55" s="178" t="s">
        <v>213</v>
      </c>
      <c r="C55" s="205">
        <v>54</v>
      </c>
      <c r="D55" s="178" t="s">
        <v>413</v>
      </c>
      <c r="E55" s="178" t="s">
        <v>214</v>
      </c>
      <c r="F55" s="178" t="s">
        <v>2328</v>
      </c>
      <c r="G55" s="178" t="s">
        <v>213</v>
      </c>
      <c r="H55" s="178" t="s">
        <v>1451</v>
      </c>
      <c r="I55" s="178" t="s">
        <v>1174</v>
      </c>
      <c r="J55" s="178" t="s">
        <v>1176</v>
      </c>
      <c r="K55" s="178" t="s">
        <v>1176</v>
      </c>
      <c r="L55" s="178" t="s">
        <v>1176</v>
      </c>
      <c r="M55" s="178" t="s">
        <v>1176</v>
      </c>
      <c r="N55" s="203">
        <v>41106</v>
      </c>
      <c r="O55" s="205">
        <v>17</v>
      </c>
      <c r="P55" s="205">
        <v>0</v>
      </c>
      <c r="Q55" s="205">
        <v>14</v>
      </c>
      <c r="R55" s="205">
        <v>279</v>
      </c>
      <c r="S55" s="205">
        <v>0</v>
      </c>
      <c r="T55" s="203">
        <v>41134</v>
      </c>
      <c r="U55" s="205">
        <v>0</v>
      </c>
      <c r="V55" s="205">
        <v>14</v>
      </c>
      <c r="W55" s="205">
        <v>0</v>
      </c>
      <c r="X55" s="205">
        <v>20</v>
      </c>
      <c r="Y55" s="324">
        <f t="shared" si="0"/>
        <v>0.25800000000000001</v>
      </c>
      <c r="Z55" s="177">
        <f t="shared" si="1"/>
        <v>3</v>
      </c>
      <c r="AA55" s="324">
        <f t="shared" si="2"/>
        <v>0.1205</v>
      </c>
      <c r="AB55" s="325">
        <f t="shared" ref="AB55:AB65" si="13">(X55/O55)-1</f>
        <v>0.17647058823529416</v>
      </c>
      <c r="AC55" s="324">
        <f t="shared" si="3"/>
        <v>0.20499999999999999</v>
      </c>
      <c r="AD55" s="206">
        <v>279</v>
      </c>
      <c r="AE55" s="324">
        <f t="shared" si="4"/>
        <v>0.31</v>
      </c>
      <c r="AF55" s="326">
        <f t="shared" si="5"/>
        <v>28</v>
      </c>
      <c r="AG55" s="327">
        <f t="shared" si="6"/>
        <v>0</v>
      </c>
      <c r="AH55" s="328">
        <f t="shared" si="7"/>
        <v>0</v>
      </c>
      <c r="AI55" s="324">
        <f t="shared" si="8"/>
        <v>0</v>
      </c>
      <c r="AJ55" s="328" t="s">
        <v>1176</v>
      </c>
      <c r="AK55" s="324">
        <f t="shared" si="9"/>
        <v>0</v>
      </c>
      <c r="AL55" s="328" t="s">
        <v>1176</v>
      </c>
      <c r="AM55" s="324">
        <f t="shared" si="9"/>
        <v>0</v>
      </c>
      <c r="AN55" s="329">
        <f t="shared" si="10"/>
        <v>0.89349999999999996</v>
      </c>
      <c r="AO55" s="330">
        <f t="shared" si="11"/>
        <v>1.1168749999999998</v>
      </c>
    </row>
    <row r="56" spans="1:41">
      <c r="A56" s="178" t="s">
        <v>1171</v>
      </c>
      <c r="B56" s="178" t="s">
        <v>215</v>
      </c>
      <c r="C56" s="205">
        <v>55</v>
      </c>
      <c r="D56" s="178" t="s">
        <v>413</v>
      </c>
      <c r="E56" s="178" t="s">
        <v>217</v>
      </c>
      <c r="H56" s="178" t="s">
        <v>1451</v>
      </c>
      <c r="I56" s="178" t="s">
        <v>1176</v>
      </c>
      <c r="N56" s="203">
        <v>41106</v>
      </c>
      <c r="O56" s="205">
        <v>0</v>
      </c>
      <c r="T56" s="203">
        <v>41134</v>
      </c>
      <c r="X56" s="205">
        <v>0</v>
      </c>
      <c r="Y56" s="324">
        <f t="shared" si="0"/>
        <v>0</v>
      </c>
      <c r="Z56" s="177">
        <f t="shared" si="1"/>
        <v>0</v>
      </c>
      <c r="AA56" s="324">
        <f t="shared" si="2"/>
        <v>0</v>
      </c>
      <c r="AB56" s="325">
        <v>0</v>
      </c>
      <c r="AC56" s="324">
        <f t="shared" si="3"/>
        <v>0</v>
      </c>
      <c r="AD56" s="206">
        <v>0</v>
      </c>
      <c r="AE56" s="324">
        <f t="shared" si="4"/>
        <v>0</v>
      </c>
      <c r="AF56" s="326">
        <f t="shared" si="5"/>
        <v>28</v>
      </c>
      <c r="AG56" s="327">
        <f t="shared" si="6"/>
        <v>0</v>
      </c>
      <c r="AH56" s="328">
        <f t="shared" si="7"/>
        <v>0</v>
      </c>
      <c r="AI56" s="324">
        <f t="shared" si="8"/>
        <v>0</v>
      </c>
      <c r="AJ56" s="328"/>
      <c r="AK56" s="324">
        <f t="shared" si="9"/>
        <v>0</v>
      </c>
      <c r="AL56" s="328"/>
      <c r="AM56" s="324">
        <f t="shared" si="9"/>
        <v>0</v>
      </c>
      <c r="AN56" s="329">
        <f t="shared" si="10"/>
        <v>0</v>
      </c>
      <c r="AO56" s="330">
        <f t="shared" si="11"/>
        <v>0</v>
      </c>
    </row>
    <row r="57" spans="1:41">
      <c r="A57" s="220" t="s">
        <v>1171</v>
      </c>
      <c r="B57" s="220" t="s">
        <v>218</v>
      </c>
      <c r="C57" s="215">
        <v>56</v>
      </c>
      <c r="D57" s="220" t="s">
        <v>413</v>
      </c>
      <c r="E57" s="220" t="s">
        <v>1833</v>
      </c>
      <c r="F57" s="180" t="s">
        <v>2329</v>
      </c>
      <c r="G57" s="180" t="s">
        <v>218</v>
      </c>
      <c r="H57" s="180" t="s">
        <v>1451</v>
      </c>
      <c r="I57" s="220" t="s">
        <v>1174</v>
      </c>
      <c r="J57" s="180" t="s">
        <v>1176</v>
      </c>
      <c r="K57" s="180" t="s">
        <v>1176</v>
      </c>
      <c r="L57" s="180" t="s">
        <v>1174</v>
      </c>
      <c r="M57" s="180" t="s">
        <v>1176</v>
      </c>
      <c r="N57" s="180"/>
      <c r="O57" s="215">
        <v>220</v>
      </c>
      <c r="P57" s="180"/>
      <c r="Q57" s="180"/>
      <c r="R57" s="180"/>
      <c r="S57" s="180"/>
      <c r="T57" s="331" t="s">
        <v>2330</v>
      </c>
      <c r="U57" s="180">
        <v>67</v>
      </c>
      <c r="V57" s="180">
        <v>9</v>
      </c>
      <c r="W57" s="180">
        <v>0</v>
      </c>
      <c r="X57" s="180">
        <v>273</v>
      </c>
      <c r="Y57" s="332">
        <f t="shared" si="0"/>
        <v>0.41899999999999998</v>
      </c>
      <c r="Z57" s="180">
        <f t="shared" si="1"/>
        <v>53</v>
      </c>
      <c r="AA57" s="332">
        <f t="shared" si="2"/>
        <v>0.20150000000000001</v>
      </c>
      <c r="AB57" s="333">
        <f t="shared" si="13"/>
        <v>0.24090909090909096</v>
      </c>
      <c r="AC57" s="332">
        <f t="shared" si="3"/>
        <v>0.25</v>
      </c>
      <c r="AD57" s="180">
        <v>167</v>
      </c>
      <c r="AE57" s="332">
        <f t="shared" si="4"/>
        <v>0.20499999999999999</v>
      </c>
      <c r="AF57" s="334">
        <v>28</v>
      </c>
      <c r="AG57" s="332">
        <v>12</v>
      </c>
      <c r="AH57" s="229">
        <f t="shared" si="7"/>
        <v>0.42857142857142855</v>
      </c>
      <c r="AI57" s="332">
        <f t="shared" si="8"/>
        <v>0.22</v>
      </c>
      <c r="AJ57" s="229" t="s">
        <v>1176</v>
      </c>
      <c r="AK57" s="324">
        <f t="shared" si="9"/>
        <v>0</v>
      </c>
      <c r="AL57" s="229" t="s">
        <v>1176</v>
      </c>
      <c r="AM57" s="324">
        <f t="shared" si="9"/>
        <v>0</v>
      </c>
      <c r="AN57" s="329">
        <f t="shared" si="10"/>
        <v>1.2955000000000001</v>
      </c>
      <c r="AO57" s="330">
        <f t="shared" si="11"/>
        <v>1.6193750000000002</v>
      </c>
    </row>
    <row r="58" spans="1:41">
      <c r="A58" s="178" t="s">
        <v>1171</v>
      </c>
      <c r="B58" s="178" t="s">
        <v>220</v>
      </c>
      <c r="C58" s="205">
        <v>57</v>
      </c>
      <c r="D58" s="178" t="s">
        <v>413</v>
      </c>
      <c r="E58" s="178" t="s">
        <v>221</v>
      </c>
      <c r="F58" s="178" t="s">
        <v>2331</v>
      </c>
      <c r="G58" s="178" t="s">
        <v>220</v>
      </c>
      <c r="H58" s="178" t="s">
        <v>1451</v>
      </c>
      <c r="I58" s="178" t="s">
        <v>1174</v>
      </c>
      <c r="J58" s="178" t="s">
        <v>1176</v>
      </c>
      <c r="K58" s="178" t="s">
        <v>1176</v>
      </c>
      <c r="L58" s="178" t="s">
        <v>1174</v>
      </c>
      <c r="M58" s="178" t="s">
        <v>1174</v>
      </c>
      <c r="N58" s="240">
        <v>41106</v>
      </c>
      <c r="O58" s="205">
        <v>21846</v>
      </c>
      <c r="P58" s="205">
        <v>109</v>
      </c>
      <c r="Q58" s="205">
        <v>13</v>
      </c>
      <c r="R58" s="205">
        <v>984</v>
      </c>
      <c r="S58" s="205">
        <v>230</v>
      </c>
      <c r="T58" s="203">
        <v>41134</v>
      </c>
      <c r="U58" s="205">
        <v>113</v>
      </c>
      <c r="V58" s="205">
        <v>15</v>
      </c>
      <c r="W58" s="205">
        <v>261</v>
      </c>
      <c r="X58" s="205">
        <v>27199</v>
      </c>
      <c r="Y58" s="324">
        <f t="shared" si="0"/>
        <v>0.95099999999999996</v>
      </c>
      <c r="Z58" s="177">
        <f t="shared" si="1"/>
        <v>5353</v>
      </c>
      <c r="AA58" s="324">
        <f t="shared" si="2"/>
        <v>0.49149999999999999</v>
      </c>
      <c r="AB58" s="325">
        <f t="shared" si="13"/>
        <v>0.24503341572827986</v>
      </c>
      <c r="AC58" s="324">
        <f t="shared" si="3"/>
        <v>0.255</v>
      </c>
      <c r="AD58" s="206">
        <v>1180</v>
      </c>
      <c r="AE58" s="324">
        <f t="shared" si="4"/>
        <v>0.47499999999999998</v>
      </c>
      <c r="AF58" s="326">
        <f t="shared" si="5"/>
        <v>28</v>
      </c>
      <c r="AG58" s="327">
        <f t="shared" si="6"/>
        <v>196</v>
      </c>
      <c r="AH58" s="328">
        <f t="shared" si="7"/>
        <v>7</v>
      </c>
      <c r="AI58" s="324">
        <f t="shared" si="8"/>
        <v>0.23</v>
      </c>
      <c r="AJ58" s="328" t="s">
        <v>1176</v>
      </c>
      <c r="AK58" s="324">
        <f t="shared" si="9"/>
        <v>0</v>
      </c>
      <c r="AL58" s="328" t="s">
        <v>1176</v>
      </c>
      <c r="AM58" s="324">
        <f t="shared" si="9"/>
        <v>0</v>
      </c>
      <c r="AN58" s="329">
        <f t="shared" si="10"/>
        <v>2.4024999999999999</v>
      </c>
      <c r="AO58" s="330">
        <f t="shared" si="11"/>
        <v>3.0031249999999998</v>
      </c>
    </row>
    <row r="59" spans="1:41">
      <c r="A59" s="178" t="s">
        <v>1171</v>
      </c>
      <c r="B59" s="178" t="s">
        <v>222</v>
      </c>
      <c r="C59" s="205">
        <v>58</v>
      </c>
      <c r="D59" s="178" t="s">
        <v>413</v>
      </c>
      <c r="E59" s="178" t="s">
        <v>224</v>
      </c>
      <c r="F59" s="178" t="s">
        <v>2332</v>
      </c>
      <c r="G59" s="178" t="s">
        <v>222</v>
      </c>
      <c r="H59" s="178" t="s">
        <v>1451</v>
      </c>
      <c r="I59" s="178" t="s">
        <v>1174</v>
      </c>
      <c r="J59" s="178" t="s">
        <v>1176</v>
      </c>
      <c r="K59" s="178" t="s">
        <v>1176</v>
      </c>
      <c r="L59" s="178" t="s">
        <v>1174</v>
      </c>
      <c r="M59" s="178" t="s">
        <v>1174</v>
      </c>
      <c r="N59" s="240">
        <v>41106</v>
      </c>
      <c r="O59" s="205">
        <v>707</v>
      </c>
      <c r="P59" s="205">
        <v>46</v>
      </c>
      <c r="Q59" s="205">
        <v>13</v>
      </c>
      <c r="R59" s="205">
        <v>274</v>
      </c>
      <c r="S59" s="205">
        <v>16</v>
      </c>
      <c r="T59" s="203">
        <v>41134</v>
      </c>
      <c r="U59" s="205">
        <v>46</v>
      </c>
      <c r="V59" s="205">
        <v>14</v>
      </c>
      <c r="W59" s="205">
        <v>16</v>
      </c>
      <c r="X59" s="205">
        <v>931</v>
      </c>
      <c r="Y59" s="324">
        <f t="shared" si="0"/>
        <v>0.629</v>
      </c>
      <c r="Z59" s="177">
        <f t="shared" si="1"/>
        <v>224</v>
      </c>
      <c r="AA59" s="324">
        <f t="shared" si="2"/>
        <v>0.33050000000000002</v>
      </c>
      <c r="AB59" s="325">
        <f t="shared" si="13"/>
        <v>0.31683168316831689</v>
      </c>
      <c r="AC59" s="324">
        <f t="shared" si="3"/>
        <v>0.32</v>
      </c>
      <c r="AD59" s="206">
        <v>274</v>
      </c>
      <c r="AE59" s="324">
        <f t="shared" si="4"/>
        <v>0.30499999999999999</v>
      </c>
      <c r="AF59" s="326">
        <f t="shared" si="5"/>
        <v>28</v>
      </c>
      <c r="AG59" s="327">
        <f t="shared" si="6"/>
        <v>0</v>
      </c>
      <c r="AH59" s="328">
        <f t="shared" si="7"/>
        <v>0</v>
      </c>
      <c r="AI59" s="324">
        <f t="shared" si="8"/>
        <v>0</v>
      </c>
      <c r="AJ59" s="328" t="s">
        <v>1176</v>
      </c>
      <c r="AK59" s="324">
        <f t="shared" si="9"/>
        <v>0</v>
      </c>
      <c r="AL59" s="328" t="s">
        <v>1176</v>
      </c>
      <c r="AM59" s="324">
        <f t="shared" si="9"/>
        <v>0</v>
      </c>
      <c r="AN59" s="329">
        <f t="shared" si="10"/>
        <v>1.5845</v>
      </c>
      <c r="AO59" s="330">
        <f t="shared" si="11"/>
        <v>1.9806250000000001</v>
      </c>
    </row>
    <row r="60" spans="1:41">
      <c r="A60" s="178" t="s">
        <v>1171</v>
      </c>
      <c r="B60" s="178" t="s">
        <v>225</v>
      </c>
      <c r="C60" s="205">
        <v>59</v>
      </c>
      <c r="D60" s="178" t="s">
        <v>413</v>
      </c>
      <c r="E60" s="178" t="s">
        <v>227</v>
      </c>
      <c r="F60" s="178" t="s">
        <v>2333</v>
      </c>
      <c r="G60" s="178" t="s">
        <v>1643</v>
      </c>
      <c r="H60" s="178" t="s">
        <v>1451</v>
      </c>
      <c r="I60" s="178" t="s">
        <v>1174</v>
      </c>
      <c r="J60" s="178" t="s">
        <v>1176</v>
      </c>
      <c r="K60" s="178" t="s">
        <v>1176</v>
      </c>
      <c r="L60" s="178" t="s">
        <v>1174</v>
      </c>
      <c r="M60" s="178" t="s">
        <v>1174</v>
      </c>
      <c r="N60" s="240">
        <v>41106</v>
      </c>
      <c r="O60" s="205">
        <v>401</v>
      </c>
      <c r="P60" s="205">
        <v>36</v>
      </c>
      <c r="Q60" s="205">
        <v>9</v>
      </c>
      <c r="R60" s="205">
        <v>167</v>
      </c>
      <c r="S60" s="205">
        <v>32</v>
      </c>
      <c r="T60" s="203">
        <v>41134</v>
      </c>
      <c r="U60" s="205">
        <v>36</v>
      </c>
      <c r="V60" s="205">
        <v>10</v>
      </c>
      <c r="W60" s="205">
        <v>33</v>
      </c>
      <c r="X60" s="205">
        <v>1109</v>
      </c>
      <c r="Y60" s="324">
        <f t="shared" si="0"/>
        <v>0.70899999999999996</v>
      </c>
      <c r="Z60" s="177">
        <f t="shared" si="1"/>
        <v>708</v>
      </c>
      <c r="AA60" s="324">
        <f t="shared" si="2"/>
        <v>0.41099999999999998</v>
      </c>
      <c r="AB60" s="325">
        <f t="shared" si="13"/>
        <v>1.7655860349127184</v>
      </c>
      <c r="AC60" s="324">
        <f t="shared" si="3"/>
        <v>0.48</v>
      </c>
      <c r="AD60" s="206">
        <v>202</v>
      </c>
      <c r="AE60" s="324">
        <f t="shared" si="4"/>
        <v>0.25</v>
      </c>
      <c r="AF60" s="326">
        <f t="shared" si="5"/>
        <v>28</v>
      </c>
      <c r="AG60" s="327">
        <f t="shared" si="6"/>
        <v>35</v>
      </c>
      <c r="AH60" s="328">
        <f t="shared" si="7"/>
        <v>1.25</v>
      </c>
      <c r="AI60" s="324">
        <f t="shared" si="8"/>
        <v>0.22</v>
      </c>
      <c r="AJ60" s="328" t="s">
        <v>1176</v>
      </c>
      <c r="AK60" s="324">
        <f t="shared" si="9"/>
        <v>0</v>
      </c>
      <c r="AL60" s="328" t="s">
        <v>1176</v>
      </c>
      <c r="AM60" s="324">
        <f t="shared" si="9"/>
        <v>0</v>
      </c>
      <c r="AN60" s="329">
        <f t="shared" si="10"/>
        <v>2.0699999999999998</v>
      </c>
      <c r="AO60" s="330">
        <f t="shared" si="11"/>
        <v>2.5874999999999999</v>
      </c>
    </row>
    <row r="61" spans="1:41">
      <c r="A61" s="178" t="s">
        <v>1171</v>
      </c>
      <c r="B61" s="178" t="s">
        <v>228</v>
      </c>
      <c r="C61" s="205">
        <v>60</v>
      </c>
      <c r="D61" s="178" t="s">
        <v>413</v>
      </c>
      <c r="E61" s="178" t="s">
        <v>1378</v>
      </c>
      <c r="F61" s="178" t="s">
        <v>2334</v>
      </c>
      <c r="G61" s="178" t="s">
        <v>228</v>
      </c>
      <c r="H61" s="178" t="s">
        <v>1451</v>
      </c>
      <c r="I61" s="178" t="s">
        <v>1174</v>
      </c>
      <c r="J61" s="178" t="s">
        <v>1176</v>
      </c>
      <c r="K61" s="178" t="s">
        <v>1176</v>
      </c>
      <c r="L61" s="178" t="s">
        <v>1176</v>
      </c>
      <c r="M61" s="178" t="s">
        <v>1176</v>
      </c>
      <c r="N61" s="240">
        <v>41108</v>
      </c>
      <c r="O61" s="205">
        <v>756</v>
      </c>
      <c r="P61" s="205">
        <v>5</v>
      </c>
      <c r="Q61" s="205">
        <v>12</v>
      </c>
      <c r="R61" s="205">
        <v>264</v>
      </c>
      <c r="S61" s="205">
        <v>0</v>
      </c>
      <c r="T61" s="203">
        <v>41134</v>
      </c>
      <c r="U61" s="205">
        <v>5</v>
      </c>
      <c r="V61" s="205">
        <v>13</v>
      </c>
      <c r="W61" s="205">
        <v>0</v>
      </c>
      <c r="X61" s="205">
        <v>957</v>
      </c>
      <c r="Y61" s="324">
        <f t="shared" si="0"/>
        <v>0.64500000000000002</v>
      </c>
      <c r="Z61" s="177">
        <f t="shared" si="1"/>
        <v>201</v>
      </c>
      <c r="AA61" s="324">
        <f t="shared" si="2"/>
        <v>0.3145</v>
      </c>
      <c r="AB61" s="325">
        <f t="shared" si="13"/>
        <v>0.26587301587301582</v>
      </c>
      <c r="AC61" s="324">
        <f t="shared" si="3"/>
        <v>0.27</v>
      </c>
      <c r="AD61" s="206">
        <v>280</v>
      </c>
      <c r="AE61" s="324">
        <f t="shared" si="4"/>
        <v>0.33</v>
      </c>
      <c r="AF61" s="326">
        <f t="shared" si="5"/>
        <v>26</v>
      </c>
      <c r="AG61" s="327">
        <f t="shared" si="6"/>
        <v>16</v>
      </c>
      <c r="AH61" s="328">
        <f t="shared" si="7"/>
        <v>0.61538461538461542</v>
      </c>
      <c r="AI61" s="324">
        <f t="shared" si="8"/>
        <v>0.22</v>
      </c>
      <c r="AJ61" s="328" t="s">
        <v>1176</v>
      </c>
      <c r="AK61" s="324">
        <f t="shared" si="9"/>
        <v>0</v>
      </c>
      <c r="AL61" s="328" t="s">
        <v>1176</v>
      </c>
      <c r="AM61" s="324">
        <f t="shared" si="9"/>
        <v>0</v>
      </c>
      <c r="AN61" s="329">
        <f t="shared" si="10"/>
        <v>1.7795000000000001</v>
      </c>
      <c r="AO61" s="330">
        <f t="shared" si="11"/>
        <v>2.2243750000000002</v>
      </c>
    </row>
    <row r="62" spans="1:41">
      <c r="A62" s="178" t="s">
        <v>1171</v>
      </c>
      <c r="B62" s="178" t="s">
        <v>229</v>
      </c>
      <c r="C62" s="205">
        <v>61</v>
      </c>
      <c r="D62" s="178" t="s">
        <v>413</v>
      </c>
      <c r="E62" s="178" t="s">
        <v>230</v>
      </c>
      <c r="F62" s="178" t="s">
        <v>2335</v>
      </c>
      <c r="G62" s="178" t="s">
        <v>229</v>
      </c>
      <c r="H62" s="178" t="s">
        <v>1451</v>
      </c>
      <c r="I62" s="178" t="s">
        <v>1174</v>
      </c>
      <c r="J62" s="178" t="s">
        <v>1176</v>
      </c>
      <c r="K62" s="178" t="s">
        <v>1176</v>
      </c>
      <c r="L62" s="178" t="s">
        <v>1174</v>
      </c>
      <c r="M62" s="178" t="s">
        <v>1174</v>
      </c>
      <c r="N62" s="240">
        <v>41106</v>
      </c>
      <c r="O62" s="205">
        <v>1150</v>
      </c>
      <c r="P62" s="205">
        <v>0</v>
      </c>
      <c r="Q62" s="205">
        <v>0</v>
      </c>
      <c r="R62" s="205">
        <v>0</v>
      </c>
      <c r="S62" s="205">
        <v>0</v>
      </c>
      <c r="T62" s="203">
        <v>41134</v>
      </c>
      <c r="U62" s="205">
        <v>0</v>
      </c>
      <c r="V62" s="205">
        <v>0</v>
      </c>
      <c r="W62" s="205">
        <v>0</v>
      </c>
      <c r="X62" s="205">
        <v>1347</v>
      </c>
      <c r="Y62" s="324">
        <f t="shared" si="0"/>
        <v>0.75800000000000001</v>
      </c>
      <c r="Z62" s="177">
        <f t="shared" si="1"/>
        <v>197</v>
      </c>
      <c r="AA62" s="324">
        <f t="shared" si="2"/>
        <v>0.29799999999999999</v>
      </c>
      <c r="AB62" s="325">
        <f t="shared" si="13"/>
        <v>0.17130434782608694</v>
      </c>
      <c r="AC62" s="324">
        <f t="shared" si="3"/>
        <v>0.2</v>
      </c>
      <c r="AD62" s="206">
        <v>0</v>
      </c>
      <c r="AE62" s="324">
        <f t="shared" si="4"/>
        <v>0</v>
      </c>
      <c r="AF62" s="326">
        <f t="shared" si="5"/>
        <v>28</v>
      </c>
      <c r="AG62" s="327">
        <f t="shared" si="6"/>
        <v>0</v>
      </c>
      <c r="AH62" s="328">
        <f t="shared" si="7"/>
        <v>0</v>
      </c>
      <c r="AI62" s="324">
        <f t="shared" si="8"/>
        <v>0</v>
      </c>
      <c r="AJ62" s="328" t="s">
        <v>1176</v>
      </c>
      <c r="AK62" s="324">
        <f t="shared" si="9"/>
        <v>0</v>
      </c>
      <c r="AL62" s="328" t="s">
        <v>1176</v>
      </c>
      <c r="AM62" s="324">
        <f t="shared" si="9"/>
        <v>0</v>
      </c>
      <c r="AN62" s="329">
        <f t="shared" si="10"/>
        <v>1.256</v>
      </c>
      <c r="AO62" s="330">
        <f t="shared" si="11"/>
        <v>1.57</v>
      </c>
    </row>
    <row r="63" spans="1:41">
      <c r="A63" s="178" t="s">
        <v>1171</v>
      </c>
      <c r="B63" s="178" t="s">
        <v>231</v>
      </c>
      <c r="C63" s="205">
        <v>62</v>
      </c>
      <c r="D63" s="178" t="s">
        <v>413</v>
      </c>
      <c r="E63" s="178" t="s">
        <v>1384</v>
      </c>
      <c r="F63" s="178" t="s">
        <v>2336</v>
      </c>
      <c r="G63" s="178" t="s">
        <v>231</v>
      </c>
      <c r="H63" s="178" t="s">
        <v>1451</v>
      </c>
      <c r="I63" s="178" t="s">
        <v>1174</v>
      </c>
      <c r="J63" s="178" t="s">
        <v>1176</v>
      </c>
      <c r="K63" s="178" t="s">
        <v>1176</v>
      </c>
      <c r="L63" s="178" t="s">
        <v>1174</v>
      </c>
      <c r="M63" s="178" t="s">
        <v>1176</v>
      </c>
      <c r="N63" s="240">
        <v>41106</v>
      </c>
      <c r="O63" s="205">
        <v>34</v>
      </c>
      <c r="P63" s="205">
        <v>10</v>
      </c>
      <c r="Q63" s="205">
        <v>9</v>
      </c>
      <c r="R63" s="205">
        <v>77</v>
      </c>
      <c r="S63" s="205">
        <v>0</v>
      </c>
      <c r="T63" s="203">
        <v>41134</v>
      </c>
      <c r="U63" s="205">
        <v>10</v>
      </c>
      <c r="V63" s="205">
        <v>9</v>
      </c>
      <c r="W63" s="205">
        <v>0</v>
      </c>
      <c r="X63" s="205">
        <v>81</v>
      </c>
      <c r="Y63" s="324">
        <f t="shared" si="0"/>
        <v>0.30599999999999999</v>
      </c>
      <c r="Z63" s="177">
        <f t="shared" si="1"/>
        <v>47</v>
      </c>
      <c r="AA63" s="324">
        <f t="shared" si="2"/>
        <v>0.185</v>
      </c>
      <c r="AB63" s="325">
        <f t="shared" si="13"/>
        <v>1.3823529411764706</v>
      </c>
      <c r="AC63" s="324">
        <f t="shared" si="3"/>
        <v>0.45500000000000002</v>
      </c>
      <c r="AD63" s="206">
        <v>77</v>
      </c>
      <c r="AE63" s="324">
        <f t="shared" si="4"/>
        <v>0.2</v>
      </c>
      <c r="AF63" s="326">
        <f t="shared" si="5"/>
        <v>28</v>
      </c>
      <c r="AG63" s="327">
        <f t="shared" si="6"/>
        <v>0</v>
      </c>
      <c r="AH63" s="328">
        <f t="shared" si="7"/>
        <v>0</v>
      </c>
      <c r="AI63" s="324">
        <f t="shared" si="8"/>
        <v>0</v>
      </c>
      <c r="AJ63" s="328" t="s">
        <v>1176</v>
      </c>
      <c r="AK63" s="324">
        <f t="shared" si="9"/>
        <v>0</v>
      </c>
      <c r="AL63" s="328" t="s">
        <v>1176</v>
      </c>
      <c r="AM63" s="324">
        <f t="shared" si="9"/>
        <v>0</v>
      </c>
      <c r="AN63" s="329">
        <f t="shared" si="10"/>
        <v>1.1460000000000001</v>
      </c>
      <c r="AO63" s="330">
        <f t="shared" si="11"/>
        <v>1.4325000000000001</v>
      </c>
    </row>
    <row r="64" spans="1:41">
      <c r="A64" s="220"/>
      <c r="B64" s="220" t="s">
        <v>234</v>
      </c>
      <c r="C64" s="215">
        <v>63</v>
      </c>
      <c r="D64" s="220" t="s">
        <v>413</v>
      </c>
      <c r="E64" s="220"/>
      <c r="F64" s="180" t="s">
        <v>2337</v>
      </c>
      <c r="G64" s="180" t="s">
        <v>234</v>
      </c>
      <c r="H64" s="180" t="s">
        <v>1451</v>
      </c>
      <c r="I64" s="220" t="s">
        <v>1174</v>
      </c>
      <c r="J64" s="180" t="s">
        <v>1176</v>
      </c>
      <c r="K64" s="180" t="s">
        <v>1176</v>
      </c>
      <c r="L64" s="180" t="s">
        <v>1174</v>
      </c>
      <c r="M64" s="180" t="s">
        <v>1174</v>
      </c>
      <c r="N64" s="180"/>
      <c r="O64" s="215">
        <v>407</v>
      </c>
      <c r="P64" s="180"/>
      <c r="Q64" s="180"/>
      <c r="R64" s="180"/>
      <c r="S64" s="180"/>
      <c r="T64" s="331" t="s">
        <v>2330</v>
      </c>
      <c r="U64" s="180">
        <v>316</v>
      </c>
      <c r="V64" s="180">
        <v>4</v>
      </c>
      <c r="W64" s="180">
        <v>0</v>
      </c>
      <c r="X64" s="180">
        <v>667</v>
      </c>
      <c r="Y64" s="332">
        <f t="shared" si="0"/>
        <v>0.57999999999999996</v>
      </c>
      <c r="Z64" s="180">
        <f t="shared" si="1"/>
        <v>260</v>
      </c>
      <c r="AA64" s="332">
        <f t="shared" si="2"/>
        <v>0.33850000000000002</v>
      </c>
      <c r="AB64" s="333">
        <f t="shared" si="13"/>
        <v>0.63882063882063878</v>
      </c>
      <c r="AC64" s="332">
        <f t="shared" si="3"/>
        <v>0.41499999999999998</v>
      </c>
      <c r="AD64" s="180">
        <v>76</v>
      </c>
      <c r="AE64" s="332">
        <f t="shared" si="4"/>
        <v>0.19</v>
      </c>
      <c r="AF64" s="334">
        <v>28</v>
      </c>
      <c r="AG64" s="332">
        <v>8</v>
      </c>
      <c r="AH64" s="229">
        <f t="shared" si="7"/>
        <v>0.2857142857142857</v>
      </c>
      <c r="AI64" s="332">
        <f t="shared" si="8"/>
        <v>0.22</v>
      </c>
      <c r="AJ64" s="229" t="s">
        <v>1176</v>
      </c>
      <c r="AK64" s="324">
        <f t="shared" si="9"/>
        <v>0</v>
      </c>
      <c r="AL64" s="229" t="s">
        <v>1176</v>
      </c>
      <c r="AM64" s="324">
        <f t="shared" si="9"/>
        <v>0</v>
      </c>
      <c r="AN64" s="329">
        <f t="shared" si="10"/>
        <v>1.7435</v>
      </c>
      <c r="AO64" s="330">
        <f t="shared" si="11"/>
        <v>2.1793750000000003</v>
      </c>
    </row>
    <row r="65" spans="1:41">
      <c r="A65" s="178"/>
      <c r="B65" s="178" t="s">
        <v>236</v>
      </c>
      <c r="C65" s="205">
        <v>64</v>
      </c>
      <c r="D65" s="178"/>
      <c r="E65" s="178"/>
      <c r="F65" s="178"/>
      <c r="G65" s="178"/>
      <c r="H65" s="178" t="s">
        <v>1451</v>
      </c>
      <c r="I65" s="178" t="s">
        <v>1174</v>
      </c>
      <c r="J65" s="178" t="s">
        <v>1176</v>
      </c>
      <c r="K65" s="178" t="s">
        <v>1176</v>
      </c>
      <c r="L65" s="178" t="s">
        <v>1174</v>
      </c>
      <c r="M65" s="178" t="s">
        <v>1174</v>
      </c>
      <c r="N65" s="240">
        <v>41085</v>
      </c>
      <c r="O65" s="205">
        <v>2833</v>
      </c>
      <c r="P65" s="205">
        <v>10</v>
      </c>
      <c r="Q65" s="205">
        <v>7</v>
      </c>
      <c r="R65" s="205">
        <v>133</v>
      </c>
      <c r="S65" s="205">
        <v>0</v>
      </c>
      <c r="T65" s="203">
        <v>41113</v>
      </c>
      <c r="U65" s="205"/>
      <c r="V65" s="205"/>
      <c r="W65" s="205"/>
      <c r="X65" s="205">
        <v>3171</v>
      </c>
      <c r="Y65" s="324">
        <f t="shared" si="0"/>
        <v>0.82399999999999995</v>
      </c>
      <c r="Z65" s="177">
        <f t="shared" si="1"/>
        <v>338</v>
      </c>
      <c r="AA65" s="324">
        <f t="shared" si="2"/>
        <v>0.36399999999999999</v>
      </c>
      <c r="AB65" s="325">
        <f t="shared" si="13"/>
        <v>0.11930815390045879</v>
      </c>
      <c r="AC65" s="324">
        <f t="shared" si="3"/>
        <v>0.16</v>
      </c>
      <c r="AD65" s="206">
        <v>134</v>
      </c>
      <c r="AE65" s="324">
        <f t="shared" si="4"/>
        <v>0.20499999999999999</v>
      </c>
      <c r="AF65" s="326">
        <f t="shared" si="5"/>
        <v>28</v>
      </c>
      <c r="AG65" s="327">
        <f t="shared" si="6"/>
        <v>1</v>
      </c>
      <c r="AH65" s="328">
        <f t="shared" si="7"/>
        <v>3.5714285714285712E-2</v>
      </c>
      <c r="AI65" s="324">
        <f t="shared" si="8"/>
        <v>0.22</v>
      </c>
      <c r="AJ65" s="328" t="s">
        <v>1176</v>
      </c>
      <c r="AK65" s="324">
        <f t="shared" si="9"/>
        <v>0</v>
      </c>
      <c r="AL65" s="328" t="s">
        <v>1174</v>
      </c>
      <c r="AM65" s="324">
        <f t="shared" si="9"/>
        <v>0.25</v>
      </c>
      <c r="AN65" s="329">
        <f t="shared" si="10"/>
        <v>2.0229999999999997</v>
      </c>
      <c r="AO65" s="330">
        <f t="shared" si="11"/>
        <v>2.5287499999999996</v>
      </c>
    </row>
    <row r="66" spans="1:41" s="335" customFormat="1">
      <c r="B66" s="335" t="s">
        <v>2249</v>
      </c>
      <c r="C66" s="336"/>
      <c r="D66" s="336"/>
      <c r="E66" s="336"/>
      <c r="F66" s="336"/>
      <c r="G66" s="336"/>
      <c r="H66" s="336"/>
      <c r="I66" s="336"/>
      <c r="J66" s="336"/>
      <c r="K66" s="336"/>
      <c r="L66" s="336"/>
      <c r="M66" s="336"/>
      <c r="N66" s="336"/>
      <c r="O66" s="336"/>
      <c r="P66" s="336"/>
      <c r="Q66" s="336">
        <f>AVERAGE(Q2:Q65)</f>
        <v>11.127659574468085</v>
      </c>
      <c r="R66" s="336">
        <f>AVERAGE(R2:R65)</f>
        <v>381.85106382978722</v>
      </c>
      <c r="S66" s="336">
        <f>AVERAGE(S2:S65)</f>
        <v>52.191489361702125</v>
      </c>
      <c r="T66" s="336"/>
      <c r="U66" s="336">
        <f>AVERAGE(U2:U65)</f>
        <v>42.020833333333336</v>
      </c>
      <c r="V66" s="336">
        <f>AVERAGE(V2:V65)</f>
        <v>12.041666666666666</v>
      </c>
      <c r="W66" s="336">
        <f>AVERAGE(W2:W65)</f>
        <v>55.895833333333336</v>
      </c>
      <c r="X66" s="336"/>
      <c r="Y66" s="336"/>
      <c r="Z66" s="336">
        <f>AVERAGE(Z2:Z65)</f>
        <v>587.96875</v>
      </c>
      <c r="AA66" s="336"/>
      <c r="AB66" s="337">
        <f>AVERAGE(AB2:AB65)</f>
        <v>0.39532814870690902</v>
      </c>
      <c r="AC66" s="336"/>
      <c r="AD66" s="336">
        <f>AVERAGE(AD2:AD65)</f>
        <v>311</v>
      </c>
      <c r="AE66" s="336"/>
      <c r="AF66" s="336"/>
      <c r="AG66" s="336">
        <f>AVERAGE(AG2:AG65)</f>
        <v>27.09375</v>
      </c>
      <c r="AH66" s="336">
        <f>AVERAGE(AH2:AH65)</f>
        <v>1.0018028846153848</v>
      </c>
      <c r="AL66" s="337">
        <f>COUNTIF(AL2:AL65,"yes")/64</f>
        <v>7.8125E-2</v>
      </c>
    </row>
  </sheetData>
  <autoFilter ref="A1:AO66"/>
  <conditionalFormatting sqref="Z1:Z63">
    <cfRule type="cellIs" dxfId="4" priority="5" operator="lessThan">
      <formula>0</formula>
    </cfRule>
  </conditionalFormatting>
  <conditionalFormatting sqref="AB1:AB64">
    <cfRule type="cellIs" dxfId="3" priority="4" operator="lessThan">
      <formula>0</formula>
    </cfRule>
  </conditionalFormatting>
  <conditionalFormatting sqref="Z64">
    <cfRule type="cellIs" dxfId="2" priority="3" operator="lessThan">
      <formula>0</formula>
    </cfRule>
  </conditionalFormatting>
  <conditionalFormatting sqref="Z65">
    <cfRule type="cellIs" dxfId="1" priority="2" operator="lessThan">
      <formula>0</formula>
    </cfRule>
  </conditionalFormatting>
  <conditionalFormatting sqref="AB65">
    <cfRule type="cellIs" dxfId="0" priority="1" operator="lessThan">
      <formula>0</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E40" sqref="E40"/>
    </sheetView>
  </sheetViews>
  <sheetFormatPr baseColWidth="10" defaultRowHeight="14" x14ac:dyDescent="0"/>
  <cols>
    <col min="1" max="1" width="10.83203125" style="194"/>
    <col min="2" max="2" width="16.83203125" style="194" bestFit="1" customWidth="1"/>
    <col min="3" max="16384" width="10.83203125" style="194"/>
  </cols>
  <sheetData>
    <row r="1" spans="1:8">
      <c r="B1" s="234" t="s">
        <v>1405</v>
      </c>
      <c r="C1" s="234" t="s">
        <v>2260</v>
      </c>
      <c r="D1" s="234" t="s">
        <v>1723</v>
      </c>
      <c r="G1" s="234" t="s">
        <v>1405</v>
      </c>
      <c r="H1" s="234" t="s">
        <v>2260</v>
      </c>
    </row>
    <row r="2" spans="1:8">
      <c r="A2" s="194">
        <v>1</v>
      </c>
      <c r="B2" s="178" t="s">
        <v>153</v>
      </c>
      <c r="C2" s="204">
        <v>77664</v>
      </c>
      <c r="D2" s="178" t="s">
        <v>1174</v>
      </c>
      <c r="G2" s="178" t="s">
        <v>153</v>
      </c>
      <c r="H2" s="204">
        <v>77664</v>
      </c>
    </row>
    <row r="3" spans="1:8">
      <c r="A3" s="194">
        <v>2</v>
      </c>
      <c r="B3" s="178" t="s">
        <v>174</v>
      </c>
      <c r="C3" s="204">
        <v>42598</v>
      </c>
      <c r="D3" s="178" t="s">
        <v>1174</v>
      </c>
      <c r="G3" s="178" t="s">
        <v>174</v>
      </c>
      <c r="H3" s="204">
        <v>42598</v>
      </c>
    </row>
    <row r="4" spans="1:8">
      <c r="A4" s="194">
        <v>3</v>
      </c>
      <c r="B4" s="178" t="s">
        <v>182</v>
      </c>
      <c r="C4" s="204">
        <v>29883</v>
      </c>
      <c r="D4" s="178" t="s">
        <v>1174</v>
      </c>
      <c r="G4" s="178" t="s">
        <v>182</v>
      </c>
      <c r="H4" s="204">
        <v>29883</v>
      </c>
    </row>
    <row r="5" spans="1:8">
      <c r="A5" s="194">
        <v>4</v>
      </c>
      <c r="B5" s="178" t="s">
        <v>220</v>
      </c>
      <c r="C5" s="204">
        <v>27199</v>
      </c>
      <c r="D5" s="178" t="s">
        <v>1174</v>
      </c>
      <c r="G5" s="178" t="s">
        <v>220</v>
      </c>
      <c r="H5" s="204">
        <v>27199</v>
      </c>
    </row>
    <row r="6" spans="1:8">
      <c r="A6" s="194">
        <v>5</v>
      </c>
      <c r="B6" s="178" t="s">
        <v>93</v>
      </c>
      <c r="C6" s="204">
        <v>8810</v>
      </c>
      <c r="D6" s="178" t="s">
        <v>1174</v>
      </c>
      <c r="G6" s="178" t="s">
        <v>93</v>
      </c>
      <c r="H6" s="204">
        <v>8810</v>
      </c>
    </row>
    <row r="7" spans="1:8">
      <c r="A7" s="194">
        <v>6</v>
      </c>
      <c r="B7" s="178" t="s">
        <v>169</v>
      </c>
      <c r="C7" s="204">
        <v>6901</v>
      </c>
      <c r="D7" s="178" t="s">
        <v>1174</v>
      </c>
      <c r="G7" s="178" t="s">
        <v>169</v>
      </c>
      <c r="H7" s="204">
        <v>6901</v>
      </c>
    </row>
    <row r="8" spans="1:8">
      <c r="A8" s="194">
        <v>7</v>
      </c>
      <c r="B8" s="178" t="s">
        <v>106</v>
      </c>
      <c r="C8" s="204">
        <v>5281</v>
      </c>
      <c r="D8" s="178" t="s">
        <v>1174</v>
      </c>
      <c r="G8" s="178" t="s">
        <v>106</v>
      </c>
      <c r="H8" s="204">
        <v>5281</v>
      </c>
    </row>
    <row r="9" spans="1:8">
      <c r="A9" s="194">
        <v>8</v>
      </c>
      <c r="B9" s="178" t="s">
        <v>123</v>
      </c>
      <c r="C9" s="204">
        <v>5025</v>
      </c>
      <c r="D9" s="178" t="s">
        <v>1174</v>
      </c>
      <c r="G9" s="178" t="s">
        <v>2047</v>
      </c>
      <c r="H9" s="204">
        <v>5025</v>
      </c>
    </row>
    <row r="10" spans="1:8">
      <c r="A10" s="194">
        <v>9</v>
      </c>
      <c r="B10" s="178" t="s">
        <v>111</v>
      </c>
      <c r="C10" s="204">
        <v>4726</v>
      </c>
      <c r="D10" s="178" t="s">
        <v>1174</v>
      </c>
      <c r="G10" s="178" t="s">
        <v>111</v>
      </c>
      <c r="H10" s="204">
        <v>4726</v>
      </c>
    </row>
    <row r="11" spans="1:8">
      <c r="A11" s="194">
        <v>10</v>
      </c>
      <c r="B11" s="178" t="s">
        <v>165</v>
      </c>
      <c r="C11" s="204">
        <v>3660</v>
      </c>
      <c r="D11" s="178" t="s">
        <v>1174</v>
      </c>
      <c r="G11" s="178" t="s">
        <v>165</v>
      </c>
      <c r="H11" s="204">
        <v>3660</v>
      </c>
    </row>
    <row r="12" spans="1:8">
      <c r="A12" s="194">
        <v>11</v>
      </c>
      <c r="B12" s="178" t="s">
        <v>148</v>
      </c>
      <c r="C12" s="204">
        <v>3463</v>
      </c>
      <c r="D12" s="178" t="s">
        <v>1174</v>
      </c>
    </row>
    <row r="13" spans="1:8">
      <c r="A13" s="194">
        <v>12</v>
      </c>
      <c r="B13" s="178" t="s">
        <v>236</v>
      </c>
      <c r="C13" s="204">
        <v>3171</v>
      </c>
      <c r="D13" s="178" t="s">
        <v>1174</v>
      </c>
    </row>
    <row r="14" spans="1:8">
      <c r="A14" s="194">
        <v>13</v>
      </c>
      <c r="B14" s="178" t="s">
        <v>109</v>
      </c>
      <c r="C14" s="204">
        <v>3133</v>
      </c>
      <c r="D14" s="178" t="s">
        <v>1174</v>
      </c>
    </row>
    <row r="15" spans="1:8">
      <c r="A15" s="194">
        <v>14</v>
      </c>
      <c r="B15" s="178" t="s">
        <v>120</v>
      </c>
      <c r="C15" s="204">
        <v>2645</v>
      </c>
      <c r="D15" s="178" t="s">
        <v>1174</v>
      </c>
    </row>
    <row r="16" spans="1:8">
      <c r="A16" s="194">
        <v>15</v>
      </c>
      <c r="B16" s="178" t="s">
        <v>117</v>
      </c>
      <c r="C16" s="204">
        <v>2492</v>
      </c>
      <c r="D16" s="178" t="s">
        <v>1174</v>
      </c>
    </row>
    <row r="17" spans="1:4">
      <c r="A17" s="194">
        <v>16</v>
      </c>
      <c r="B17" s="178" t="s">
        <v>141</v>
      </c>
      <c r="C17" s="204">
        <v>1358</v>
      </c>
      <c r="D17" s="178" t="s">
        <v>1174</v>
      </c>
    </row>
    <row r="18" spans="1:4">
      <c r="A18" s="194">
        <v>17</v>
      </c>
      <c r="B18" s="178" t="s">
        <v>229</v>
      </c>
      <c r="C18" s="204">
        <v>1347</v>
      </c>
      <c r="D18" s="178" t="s">
        <v>1174</v>
      </c>
    </row>
    <row r="19" spans="1:4">
      <c r="A19" s="194">
        <v>18</v>
      </c>
      <c r="B19" s="178" t="s">
        <v>145</v>
      </c>
      <c r="C19" s="204">
        <v>1190</v>
      </c>
      <c r="D19" s="178" t="s">
        <v>1174</v>
      </c>
    </row>
    <row r="20" spans="1:4">
      <c r="A20" s="194">
        <v>19</v>
      </c>
      <c r="B20" s="178" t="s">
        <v>156</v>
      </c>
      <c r="C20" s="204">
        <v>1155</v>
      </c>
      <c r="D20" s="178" t="s">
        <v>1174</v>
      </c>
    </row>
    <row r="21" spans="1:4">
      <c r="A21" s="194">
        <v>20</v>
      </c>
      <c r="B21" s="178" t="s">
        <v>225</v>
      </c>
      <c r="C21" s="204">
        <v>1109</v>
      </c>
      <c r="D21" s="178" t="s">
        <v>1174</v>
      </c>
    </row>
    <row r="22" spans="1:4">
      <c r="A22" s="194">
        <v>21</v>
      </c>
      <c r="B22" s="178" t="s">
        <v>136</v>
      </c>
      <c r="C22" s="204">
        <v>1020</v>
      </c>
      <c r="D22" s="178" t="s">
        <v>1174</v>
      </c>
    </row>
    <row r="23" spans="1:4">
      <c r="A23" s="194">
        <v>22</v>
      </c>
      <c r="B23" s="178" t="s">
        <v>180</v>
      </c>
      <c r="C23" s="204">
        <v>1014</v>
      </c>
      <c r="D23" s="178" t="s">
        <v>1174</v>
      </c>
    </row>
    <row r="24" spans="1:4">
      <c r="A24" s="194">
        <v>23</v>
      </c>
      <c r="B24" s="178" t="s">
        <v>82</v>
      </c>
      <c r="C24" s="204">
        <v>964</v>
      </c>
      <c r="D24" s="178" t="s">
        <v>1174</v>
      </c>
    </row>
    <row r="25" spans="1:4">
      <c r="A25" s="194">
        <v>24</v>
      </c>
      <c r="B25" s="178" t="s">
        <v>228</v>
      </c>
      <c r="C25" s="204">
        <v>957</v>
      </c>
      <c r="D25" s="178" t="s">
        <v>1174</v>
      </c>
    </row>
    <row r="26" spans="1:4">
      <c r="A26" s="194">
        <v>25</v>
      </c>
      <c r="B26" s="178" t="s">
        <v>222</v>
      </c>
      <c r="C26" s="204">
        <v>931</v>
      </c>
      <c r="D26" s="178" t="s">
        <v>1174</v>
      </c>
    </row>
    <row r="27" spans="1:4">
      <c r="A27" s="194">
        <v>26</v>
      </c>
      <c r="B27" s="178" t="s">
        <v>72</v>
      </c>
      <c r="C27" s="204">
        <v>900</v>
      </c>
      <c r="D27" s="178" t="s">
        <v>1174</v>
      </c>
    </row>
    <row r="28" spans="1:4">
      <c r="A28" s="194">
        <v>27</v>
      </c>
      <c r="B28" s="178" t="s">
        <v>185</v>
      </c>
      <c r="C28" s="204">
        <v>696</v>
      </c>
      <c r="D28" s="178" t="s">
        <v>1174</v>
      </c>
    </row>
    <row r="29" spans="1:4">
      <c r="A29" s="194">
        <v>28</v>
      </c>
      <c r="B29" s="220" t="s">
        <v>234</v>
      </c>
      <c r="C29" s="241">
        <v>667</v>
      </c>
      <c r="D29" s="178" t="s">
        <v>1174</v>
      </c>
    </row>
    <row r="30" spans="1:4">
      <c r="A30" s="194">
        <v>29</v>
      </c>
      <c r="B30" s="178" t="s">
        <v>201</v>
      </c>
      <c r="C30" s="204">
        <v>561</v>
      </c>
      <c r="D30" s="178" t="s">
        <v>1174</v>
      </c>
    </row>
    <row r="31" spans="1:4">
      <c r="A31" s="194">
        <v>30</v>
      </c>
      <c r="B31" s="178" t="s">
        <v>196</v>
      </c>
      <c r="C31" s="204">
        <v>533</v>
      </c>
      <c r="D31" s="178" t="s">
        <v>1174</v>
      </c>
    </row>
    <row r="32" spans="1:4">
      <c r="A32" s="194">
        <v>31</v>
      </c>
      <c r="B32" s="178" t="s">
        <v>78</v>
      </c>
      <c r="C32" s="204">
        <v>505</v>
      </c>
      <c r="D32" s="178" t="s">
        <v>1174</v>
      </c>
    </row>
    <row r="33" spans="1:4">
      <c r="A33" s="194">
        <v>32</v>
      </c>
      <c r="B33" s="178" t="s">
        <v>114</v>
      </c>
      <c r="C33" s="204">
        <v>474</v>
      </c>
      <c r="D33" s="178" t="s">
        <v>1174</v>
      </c>
    </row>
    <row r="34" spans="1:4">
      <c r="A34" s="194">
        <v>33</v>
      </c>
      <c r="B34" s="178" t="s">
        <v>190</v>
      </c>
      <c r="C34" s="204">
        <v>446</v>
      </c>
      <c r="D34" s="178" t="s">
        <v>1174</v>
      </c>
    </row>
    <row r="35" spans="1:4">
      <c r="A35" s="194">
        <v>34</v>
      </c>
      <c r="B35" s="178" t="s">
        <v>193</v>
      </c>
      <c r="C35" s="204">
        <v>425</v>
      </c>
      <c r="D35" s="178" t="s">
        <v>1174</v>
      </c>
    </row>
    <row r="36" spans="1:4">
      <c r="A36" s="194">
        <v>35</v>
      </c>
      <c r="B36" s="178" t="s">
        <v>125</v>
      </c>
      <c r="C36" s="204">
        <v>401</v>
      </c>
      <c r="D36" s="178" t="s">
        <v>1174</v>
      </c>
    </row>
    <row r="37" spans="1:4">
      <c r="A37" s="194">
        <v>36</v>
      </c>
      <c r="B37" s="178" t="s">
        <v>161</v>
      </c>
      <c r="C37" s="204">
        <v>318</v>
      </c>
      <c r="D37" s="178" t="s">
        <v>1174</v>
      </c>
    </row>
    <row r="38" spans="1:4">
      <c r="A38" s="194">
        <v>37</v>
      </c>
      <c r="B38" s="178" t="s">
        <v>134</v>
      </c>
      <c r="C38" s="204">
        <v>302</v>
      </c>
      <c r="D38" s="178" t="s">
        <v>1174</v>
      </c>
    </row>
    <row r="39" spans="1:4">
      <c r="A39" s="194">
        <v>38</v>
      </c>
      <c r="B39" s="220" t="s">
        <v>218</v>
      </c>
      <c r="C39" s="241">
        <v>273</v>
      </c>
      <c r="D39" s="178" t="s">
        <v>1174</v>
      </c>
    </row>
    <row r="40" spans="1:4">
      <c r="A40" s="194">
        <v>39</v>
      </c>
      <c r="B40" s="178" t="s">
        <v>150</v>
      </c>
      <c r="C40" s="204">
        <v>262</v>
      </c>
      <c r="D40" s="178" t="s">
        <v>1174</v>
      </c>
    </row>
    <row r="41" spans="1:4">
      <c r="A41" s="194">
        <v>40</v>
      </c>
      <c r="B41" s="178" t="s">
        <v>209</v>
      </c>
      <c r="C41" s="204">
        <v>257</v>
      </c>
      <c r="D41" s="178" t="s">
        <v>1174</v>
      </c>
    </row>
    <row r="42" spans="1:4">
      <c r="A42" s="194">
        <v>41</v>
      </c>
      <c r="B42" s="178" t="s">
        <v>127</v>
      </c>
      <c r="C42" s="204">
        <v>238</v>
      </c>
      <c r="D42" s="220" t="s">
        <v>1174</v>
      </c>
    </row>
    <row r="43" spans="1:4">
      <c r="A43" s="194">
        <v>42</v>
      </c>
      <c r="B43" s="178" t="s">
        <v>206</v>
      </c>
      <c r="C43" s="204">
        <v>190</v>
      </c>
      <c r="D43" s="178" t="s">
        <v>1174</v>
      </c>
    </row>
    <row r="44" spans="1:4">
      <c r="A44" s="194">
        <v>43</v>
      </c>
      <c r="B44" s="178" t="s">
        <v>139</v>
      </c>
      <c r="C44" s="204">
        <v>116</v>
      </c>
      <c r="D44" s="178" t="s">
        <v>1174</v>
      </c>
    </row>
    <row r="45" spans="1:4">
      <c r="A45" s="194">
        <v>44</v>
      </c>
      <c r="B45" s="178" t="s">
        <v>177</v>
      </c>
      <c r="C45" s="204">
        <v>105</v>
      </c>
      <c r="D45" s="178" t="s">
        <v>1174</v>
      </c>
    </row>
    <row r="46" spans="1:4">
      <c r="A46" s="194">
        <v>45</v>
      </c>
      <c r="B46" s="178" t="s">
        <v>231</v>
      </c>
      <c r="C46" s="204">
        <v>81</v>
      </c>
      <c r="D46" s="178" t="s">
        <v>1174</v>
      </c>
    </row>
    <row r="47" spans="1:4">
      <c r="A47" s="194">
        <v>46</v>
      </c>
      <c r="B47" s="178" t="s">
        <v>163</v>
      </c>
      <c r="C47" s="204">
        <v>36</v>
      </c>
      <c r="D47" s="178" t="s">
        <v>1174</v>
      </c>
    </row>
    <row r="48" spans="1:4">
      <c r="A48" s="194">
        <v>47</v>
      </c>
      <c r="B48" s="178" t="s">
        <v>129</v>
      </c>
      <c r="C48" s="204">
        <v>27</v>
      </c>
      <c r="D48" s="178" t="s">
        <v>1174</v>
      </c>
    </row>
    <row r="49" spans="1:4">
      <c r="A49" s="194">
        <v>48</v>
      </c>
      <c r="B49" s="178" t="s">
        <v>213</v>
      </c>
      <c r="C49" s="204">
        <v>20</v>
      </c>
      <c r="D49" s="220" t="s">
        <v>1174</v>
      </c>
    </row>
    <row r="50" spans="1:4">
      <c r="A50" s="194">
        <v>49</v>
      </c>
      <c r="B50" s="178" t="s">
        <v>100</v>
      </c>
      <c r="C50" s="204">
        <v>15</v>
      </c>
      <c r="D50" s="178" t="s">
        <v>1174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66"/>
  <sheetViews>
    <sheetView zoomScale="125" zoomScaleNormal="125" zoomScalePageLayoutView="125" workbookViewId="0">
      <pane xSplit="2" ySplit="1" topLeftCell="C2" activePane="bottomRight" state="frozen"/>
      <selection pane="topRight" activeCell="B1" sqref="B1"/>
      <selection pane="bottomLeft" activeCell="A2" sqref="A2"/>
      <selection pane="bottomRight" activeCell="P10" sqref="P10"/>
    </sheetView>
  </sheetViews>
  <sheetFormatPr baseColWidth="10" defaultRowHeight="12" x14ac:dyDescent="0"/>
  <cols>
    <col min="1" max="1" width="10.83203125" style="467"/>
    <col min="2" max="2" width="18.33203125" style="467" bestFit="1" customWidth="1"/>
    <col min="4" max="6" width="0" hidden="1" customWidth="1"/>
    <col min="8" max="9" width="0" hidden="1" customWidth="1"/>
    <col min="10" max="10" width="30.33203125" bestFit="1" customWidth="1"/>
    <col min="11" max="11" width="30.33203125" style="466" customWidth="1"/>
    <col min="12" max="12" width="30.33203125" style="467" customWidth="1"/>
    <col min="13" max="13" width="18.33203125" style="466" bestFit="1" customWidth="1"/>
    <col min="17" max="21" width="0" hidden="1" customWidth="1"/>
    <col min="23" max="23" width="10.83203125" style="466"/>
    <col min="24" max="24" width="10.83203125" style="467"/>
    <col min="25" max="25" width="23" style="466" bestFit="1" customWidth="1"/>
    <col min="28" max="31" width="0" hidden="1" customWidth="1"/>
    <col min="33" max="35" width="0" hidden="1" customWidth="1"/>
    <col min="39" max="39" width="10.83203125" style="466"/>
    <col min="40" max="41" width="10.83203125" style="467"/>
    <col min="48" max="48" width="10.83203125" style="466"/>
  </cols>
  <sheetData>
    <row r="1" spans="1:48" s="99" customFormat="1" ht="60">
      <c r="A1" s="463" t="s">
        <v>50</v>
      </c>
      <c r="B1" s="463" t="s">
        <v>1</v>
      </c>
      <c r="C1" s="100" t="s">
        <v>239</v>
      </c>
      <c r="D1" s="8" t="s">
        <v>6</v>
      </c>
      <c r="E1" s="8" t="s">
        <v>7</v>
      </c>
      <c r="F1" s="101" t="s">
        <v>240</v>
      </c>
      <c r="G1" s="8" t="s">
        <v>9</v>
      </c>
      <c r="H1" s="8" t="s">
        <v>10</v>
      </c>
      <c r="I1" s="8" t="s">
        <v>11</v>
      </c>
      <c r="J1" s="101" t="s">
        <v>241</v>
      </c>
      <c r="K1" s="469" t="s">
        <v>805</v>
      </c>
      <c r="L1" s="470" t="s">
        <v>50</v>
      </c>
      <c r="M1" s="464" t="s">
        <v>1</v>
      </c>
      <c r="N1" s="102" t="s">
        <v>14</v>
      </c>
      <c r="O1" s="102" t="s">
        <v>15</v>
      </c>
      <c r="P1" s="102" t="s">
        <v>16</v>
      </c>
      <c r="Q1" s="102" t="s">
        <v>17</v>
      </c>
      <c r="R1" s="102" t="s">
        <v>18</v>
      </c>
      <c r="S1" s="102" t="s">
        <v>19</v>
      </c>
      <c r="T1" s="102" t="s">
        <v>20</v>
      </c>
      <c r="U1" s="102" t="s">
        <v>21</v>
      </c>
      <c r="V1" s="102" t="s">
        <v>22</v>
      </c>
      <c r="W1" s="464" t="s">
        <v>23</v>
      </c>
      <c r="X1" s="463" t="s">
        <v>50</v>
      </c>
      <c r="Y1" s="464" t="s">
        <v>1</v>
      </c>
      <c r="Z1" s="102" t="s">
        <v>24</v>
      </c>
      <c r="AA1" s="102" t="s">
        <v>25</v>
      </c>
      <c r="AB1" s="102" t="s">
        <v>26</v>
      </c>
      <c r="AC1" s="102" t="s">
        <v>27</v>
      </c>
      <c r="AD1" s="102" t="s">
        <v>28</v>
      </c>
      <c r="AE1" s="102" t="s">
        <v>29</v>
      </c>
      <c r="AF1" s="102" t="s">
        <v>30</v>
      </c>
      <c r="AG1" s="102" t="s">
        <v>31</v>
      </c>
      <c r="AH1" s="102" t="s">
        <v>32</v>
      </c>
      <c r="AI1" s="102" t="s">
        <v>33</v>
      </c>
      <c r="AJ1" s="102" t="s">
        <v>34</v>
      </c>
      <c r="AK1" s="102" t="s">
        <v>35</v>
      </c>
      <c r="AL1" s="102" t="s">
        <v>36</v>
      </c>
      <c r="AM1" s="464" t="s">
        <v>37</v>
      </c>
      <c r="AN1" s="463" t="s">
        <v>50</v>
      </c>
      <c r="AO1" s="463" t="s">
        <v>1</v>
      </c>
      <c r="AP1" s="99" t="s">
        <v>40</v>
      </c>
      <c r="AQ1" s="99" t="s">
        <v>41</v>
      </c>
      <c r="AR1" s="99" t="s">
        <v>42</v>
      </c>
      <c r="AS1" s="99" t="s">
        <v>43</v>
      </c>
      <c r="AT1" s="99" t="s">
        <v>44</v>
      </c>
      <c r="AU1" s="99" t="s">
        <v>45</v>
      </c>
      <c r="AV1" s="464" t="s">
        <v>46</v>
      </c>
    </row>
    <row r="2" spans="1:48">
      <c r="A2" s="467">
        <f t="shared" ref="A2:A33" si="0">RANK(K2,$K$2:$K$65)</f>
        <v>1</v>
      </c>
      <c r="B2" s="467" t="s">
        <v>190</v>
      </c>
      <c r="C2" s="7">
        <v>5</v>
      </c>
      <c r="D2" s="7">
        <v>1.375</v>
      </c>
      <c r="E2" s="7">
        <v>1.25</v>
      </c>
      <c r="F2" s="7">
        <v>0.625</v>
      </c>
      <c r="G2" s="7">
        <v>3.25</v>
      </c>
      <c r="H2" s="7">
        <v>0.85450000000000004</v>
      </c>
      <c r="I2" s="7">
        <v>1.25</v>
      </c>
      <c r="J2" s="7">
        <v>2.1044999999999998</v>
      </c>
      <c r="K2" s="471">
        <v>15.3545</v>
      </c>
      <c r="L2" s="472">
        <f>RANK(W2,$W$2:$W$66)</f>
        <v>1</v>
      </c>
      <c r="M2" s="466" t="s">
        <v>93</v>
      </c>
      <c r="N2" s="1">
        <v>5.8174000000000001</v>
      </c>
      <c r="O2" s="1">
        <v>3.4595000000000002</v>
      </c>
      <c r="P2" s="1">
        <v>3.8194999999999997</v>
      </c>
      <c r="Q2" s="1">
        <v>13.096400000000001</v>
      </c>
      <c r="R2" s="1">
        <v>2.9593750000000001</v>
      </c>
      <c r="S2" s="1">
        <v>1.7000000000000002</v>
      </c>
      <c r="T2" s="1">
        <v>3.6071428571428572</v>
      </c>
      <c r="U2" s="1">
        <v>4.3075000000000001</v>
      </c>
      <c r="V2" s="1">
        <v>3.2273571428571435</v>
      </c>
      <c r="W2" s="468">
        <v>13.059005714285714</v>
      </c>
      <c r="X2" s="465">
        <f>RANK(AM2,$AM$2:$AM$65)</f>
        <v>1</v>
      </c>
      <c r="Y2" s="466" t="s">
        <v>141</v>
      </c>
      <c r="Z2" s="2">
        <v>5</v>
      </c>
      <c r="AA2" s="2">
        <v>5</v>
      </c>
      <c r="AB2" s="2">
        <v>10</v>
      </c>
      <c r="AC2" s="2">
        <v>2.5099999999999998</v>
      </c>
      <c r="AD2" s="2">
        <v>2.5</v>
      </c>
      <c r="AE2" s="2">
        <v>1.5583333333333336</v>
      </c>
      <c r="AF2" s="1">
        <v>2.3176666666666668</v>
      </c>
      <c r="AG2" s="1">
        <v>12.317666666666668</v>
      </c>
      <c r="AH2" s="2">
        <v>1.870967741935484</v>
      </c>
      <c r="AI2" s="2">
        <v>1.75</v>
      </c>
      <c r="AJ2" s="1">
        <v>1.810483870967742</v>
      </c>
      <c r="AK2" s="1">
        <v>4.9359999999999999</v>
      </c>
      <c r="AL2" s="1">
        <v>2.5333333333333332</v>
      </c>
      <c r="AM2" s="468">
        <v>21.597483870967743</v>
      </c>
      <c r="AN2" s="465">
        <f>RANK(AV2,$AV$2:$AV$65)</f>
        <v>1</v>
      </c>
      <c r="AO2" s="467" t="s">
        <v>93</v>
      </c>
      <c r="AP2" s="1">
        <v>4.12</v>
      </c>
      <c r="AQ2" s="1">
        <v>2.9595000000000002</v>
      </c>
      <c r="AR2" s="1">
        <v>2.75</v>
      </c>
      <c r="AS2" s="1">
        <v>2.9159999999999999</v>
      </c>
      <c r="AT2" s="1">
        <v>2.2571428571428571</v>
      </c>
      <c r="AU2" s="1">
        <v>4.0625</v>
      </c>
      <c r="AV2" s="468">
        <v>19.065142857142856</v>
      </c>
    </row>
    <row r="3" spans="1:48">
      <c r="A3" s="467">
        <f t="shared" si="0"/>
        <v>2</v>
      </c>
      <c r="B3" s="467" t="s">
        <v>156</v>
      </c>
      <c r="C3" s="7">
        <v>5</v>
      </c>
      <c r="D3" s="7">
        <v>1.5</v>
      </c>
      <c r="E3" s="7">
        <v>1</v>
      </c>
      <c r="F3" s="7">
        <v>0.375</v>
      </c>
      <c r="G3" s="7">
        <v>2.875</v>
      </c>
      <c r="H3" s="7">
        <v>1.5149999999999999</v>
      </c>
      <c r="I3" s="7">
        <v>0.5</v>
      </c>
      <c r="J3" s="7">
        <v>2.0149999999999997</v>
      </c>
      <c r="K3" s="471">
        <v>14.89</v>
      </c>
      <c r="L3" s="472">
        <f t="shared" ref="L3:L65" si="1">RANK(W3,$W$2:$W$66)</f>
        <v>2</v>
      </c>
      <c r="M3" s="466" t="s">
        <v>174</v>
      </c>
      <c r="N3" s="1">
        <v>6.1166</v>
      </c>
      <c r="O3" s="1">
        <v>3.26125</v>
      </c>
      <c r="P3" s="1">
        <v>2.048</v>
      </c>
      <c r="Q3" s="1">
        <v>11.425850000000001</v>
      </c>
      <c r="R3" s="1">
        <v>2.9143750000000002</v>
      </c>
      <c r="S3" s="1">
        <v>0</v>
      </c>
      <c r="T3" s="1">
        <v>3.75</v>
      </c>
      <c r="U3" s="1">
        <v>3.3816666666666668</v>
      </c>
      <c r="V3" s="1">
        <v>3.003916666666667</v>
      </c>
      <c r="W3" s="468">
        <v>11.543813333333334</v>
      </c>
      <c r="X3" s="465">
        <f t="shared" ref="X3:X65" si="2">RANK(AM3,$AM$2:$AM$65)</f>
        <v>2</v>
      </c>
      <c r="Y3" s="466" t="s">
        <v>190</v>
      </c>
      <c r="Z3" s="2">
        <v>5</v>
      </c>
      <c r="AA3" s="2">
        <v>4</v>
      </c>
      <c r="AB3" s="2">
        <v>9</v>
      </c>
      <c r="AC3" s="2">
        <v>3.93</v>
      </c>
      <c r="AD3" s="2">
        <v>2</v>
      </c>
      <c r="AE3" s="2">
        <v>3.5600000000000005</v>
      </c>
      <c r="AF3" s="1">
        <v>3.47</v>
      </c>
      <c r="AG3" s="1">
        <v>12.47</v>
      </c>
      <c r="AH3" s="2">
        <v>3.1718576195773083</v>
      </c>
      <c r="AI3" s="2">
        <v>1.5</v>
      </c>
      <c r="AJ3" s="1">
        <v>2.3359288097886539</v>
      </c>
      <c r="AK3" s="1">
        <v>4.3149999999999995</v>
      </c>
      <c r="AL3" s="1">
        <v>1.8666666666666665</v>
      </c>
      <c r="AM3" s="468">
        <v>20.987595476455319</v>
      </c>
      <c r="AN3" s="465">
        <f t="shared" ref="AN3:AN65" si="3">RANK(AV3,$AV$2:$AV$65)</f>
        <v>2</v>
      </c>
      <c r="AO3" s="467" t="s">
        <v>111</v>
      </c>
      <c r="AP3" s="1">
        <v>3.8380000000000001</v>
      </c>
      <c r="AQ3" s="1">
        <v>3.75</v>
      </c>
      <c r="AR3" s="1">
        <v>2.25</v>
      </c>
      <c r="AS3" s="1">
        <v>3.6659999999999999</v>
      </c>
      <c r="AT3" s="1">
        <v>2.9714285714285715</v>
      </c>
      <c r="AU3" s="1">
        <v>2.1875</v>
      </c>
      <c r="AV3" s="468">
        <v>18.662928571428573</v>
      </c>
    </row>
    <row r="4" spans="1:48">
      <c r="A4" s="467">
        <f t="shared" si="0"/>
        <v>3</v>
      </c>
      <c r="B4" s="467" t="s">
        <v>220</v>
      </c>
      <c r="C4" s="7">
        <v>5</v>
      </c>
      <c r="D4" s="7">
        <v>1.5</v>
      </c>
      <c r="E4" s="7">
        <v>1</v>
      </c>
      <c r="F4" s="7">
        <v>0.75</v>
      </c>
      <c r="G4" s="7">
        <v>3.25</v>
      </c>
      <c r="H4" s="7">
        <v>0.49149999999999994</v>
      </c>
      <c r="I4" s="7">
        <v>0.5</v>
      </c>
      <c r="J4" s="7">
        <v>0.99149999999999994</v>
      </c>
      <c r="K4" s="471">
        <v>14.2415</v>
      </c>
      <c r="L4" s="472">
        <f t="shared" si="1"/>
        <v>3</v>
      </c>
      <c r="M4" s="466" t="s">
        <v>153</v>
      </c>
      <c r="N4" s="1">
        <v>4.4459</v>
      </c>
      <c r="O4" s="1">
        <v>3.15625</v>
      </c>
      <c r="P4" s="1">
        <v>2.0575000000000001</v>
      </c>
      <c r="Q4" s="1">
        <v>9.6596499999999992</v>
      </c>
      <c r="R4" s="1">
        <v>2.9749999999999996</v>
      </c>
      <c r="S4" s="1">
        <v>1.25</v>
      </c>
      <c r="T4" s="1">
        <v>4.3142857142857141</v>
      </c>
      <c r="U4" s="1">
        <v>3.6233333333333335</v>
      </c>
      <c r="V4" s="1">
        <v>3.4030476190476189</v>
      </c>
      <c r="W4" s="468">
        <v>10.450158095238095</v>
      </c>
      <c r="X4" s="465">
        <f t="shared" si="2"/>
        <v>3</v>
      </c>
      <c r="Y4" s="466" t="s">
        <v>153</v>
      </c>
      <c r="Z4" s="2">
        <v>4</v>
      </c>
      <c r="AA4" s="2">
        <v>3</v>
      </c>
      <c r="AB4" s="2">
        <v>7</v>
      </c>
      <c r="AC4" s="2">
        <v>1.76</v>
      </c>
      <c r="AD4" s="2">
        <v>2.5</v>
      </c>
      <c r="AE4" s="2">
        <v>1.1416666666666668</v>
      </c>
      <c r="AF4" s="1">
        <v>1.7843333333333335</v>
      </c>
      <c r="AG4" s="1">
        <v>8.7843333333333327</v>
      </c>
      <c r="AH4" s="2">
        <v>4.4226918798665187</v>
      </c>
      <c r="AI4" s="2">
        <v>3.5</v>
      </c>
      <c r="AJ4" s="1">
        <v>3.9613459399332593</v>
      </c>
      <c r="AK4" s="1">
        <v>2.9329999999999998</v>
      </c>
      <c r="AL4" s="1">
        <v>3.5333333333333332</v>
      </c>
      <c r="AM4" s="468">
        <v>19.212012606599927</v>
      </c>
      <c r="AN4" s="465">
        <f t="shared" si="3"/>
        <v>3</v>
      </c>
      <c r="AO4" s="467" t="s">
        <v>114</v>
      </c>
      <c r="AP4" s="1">
        <v>2.262</v>
      </c>
      <c r="AQ4" s="1">
        <v>4.5</v>
      </c>
      <c r="AR4" s="1">
        <v>2.25</v>
      </c>
      <c r="AS4" s="1">
        <v>3.92</v>
      </c>
      <c r="AT4" s="1">
        <v>3.4857142857142858</v>
      </c>
      <c r="AU4" s="1">
        <v>2.1875</v>
      </c>
      <c r="AV4" s="468">
        <v>18.605214285714286</v>
      </c>
    </row>
    <row r="5" spans="1:48">
      <c r="A5" s="467">
        <f t="shared" si="0"/>
        <v>4</v>
      </c>
      <c r="B5" s="467" t="s">
        <v>201</v>
      </c>
      <c r="C5" s="7">
        <v>5</v>
      </c>
      <c r="D5" s="7">
        <v>0</v>
      </c>
      <c r="E5" s="7">
        <v>1.25</v>
      </c>
      <c r="F5" s="7">
        <v>0.5</v>
      </c>
      <c r="G5" s="7">
        <v>1.75</v>
      </c>
      <c r="H5" s="7">
        <v>1.5390000000000001</v>
      </c>
      <c r="I5" s="7">
        <v>0.75</v>
      </c>
      <c r="J5" s="7">
        <v>2.2890000000000001</v>
      </c>
      <c r="K5" s="471">
        <v>14.039</v>
      </c>
      <c r="L5" s="472">
        <f t="shared" si="1"/>
        <v>4</v>
      </c>
      <c r="M5" s="466" t="s">
        <v>136</v>
      </c>
      <c r="N5" s="1">
        <v>3.8129</v>
      </c>
      <c r="O5" s="1">
        <v>3.2604999999999995</v>
      </c>
      <c r="P5" s="1">
        <v>2.8532500000000001</v>
      </c>
      <c r="Q5" s="1">
        <v>9.9266499999999986</v>
      </c>
      <c r="R5" s="1">
        <v>2.4743749999999998</v>
      </c>
      <c r="S5" s="1">
        <v>2.2250000000000001</v>
      </c>
      <c r="T5" s="1">
        <v>3.8000000000000003</v>
      </c>
      <c r="U5" s="1">
        <v>3.8516666666666666</v>
      </c>
      <c r="V5" s="1">
        <v>3.1174166666666672</v>
      </c>
      <c r="W5" s="468">
        <v>10.435253333333332</v>
      </c>
      <c r="X5" s="465">
        <f t="shared" si="2"/>
        <v>4</v>
      </c>
      <c r="Y5" s="466" t="s">
        <v>136</v>
      </c>
      <c r="Z5" s="2">
        <v>3</v>
      </c>
      <c r="AA5" s="2">
        <v>3</v>
      </c>
      <c r="AB5" s="2">
        <v>6</v>
      </c>
      <c r="AC5" s="2">
        <v>3</v>
      </c>
      <c r="AD5" s="2">
        <v>1.75</v>
      </c>
      <c r="AE5" s="2">
        <v>3.9783333333333335</v>
      </c>
      <c r="AF5" s="1">
        <v>2.9456666666666669</v>
      </c>
      <c r="AG5" s="1">
        <v>8.9456666666666678</v>
      </c>
      <c r="AH5" s="2">
        <v>2.6774193548387095</v>
      </c>
      <c r="AI5" s="2">
        <v>2</v>
      </c>
      <c r="AJ5" s="1">
        <v>2.338709677419355</v>
      </c>
      <c r="AK5" s="1">
        <v>4.5380000000000003</v>
      </c>
      <c r="AL5" s="1">
        <v>2.5333333333333332</v>
      </c>
      <c r="AM5" s="468">
        <v>18.355709677419355</v>
      </c>
      <c r="AN5" s="465">
        <f t="shared" si="3"/>
        <v>4</v>
      </c>
      <c r="AO5" s="467" t="s">
        <v>145</v>
      </c>
      <c r="AP5" s="1">
        <v>2.4900000000000002</v>
      </c>
      <c r="AQ5" s="1">
        <v>3.2095000000000002</v>
      </c>
      <c r="AR5" s="1">
        <v>3</v>
      </c>
      <c r="AS5" s="1">
        <v>3.8959999999999999</v>
      </c>
      <c r="AT5" s="1">
        <v>2.9714285714285715</v>
      </c>
      <c r="AU5" s="1">
        <v>2.1875</v>
      </c>
      <c r="AV5" s="468">
        <v>17.754428571428573</v>
      </c>
    </row>
    <row r="6" spans="1:48">
      <c r="A6" s="467">
        <f t="shared" si="0"/>
        <v>5</v>
      </c>
      <c r="B6" s="467" t="s">
        <v>102</v>
      </c>
      <c r="C6" s="7">
        <v>5</v>
      </c>
      <c r="D6" s="7">
        <v>1.125</v>
      </c>
      <c r="E6" s="7">
        <v>1</v>
      </c>
      <c r="F6" s="7">
        <v>0.375</v>
      </c>
      <c r="G6" s="7">
        <v>2.5</v>
      </c>
      <c r="H6" s="7">
        <v>1.1445000000000001</v>
      </c>
      <c r="I6" s="7">
        <v>0.25</v>
      </c>
      <c r="J6" s="7">
        <v>1.3945000000000001</v>
      </c>
      <c r="K6" s="471">
        <v>13.894500000000001</v>
      </c>
      <c r="L6" s="472">
        <f t="shared" si="1"/>
        <v>5</v>
      </c>
      <c r="M6" s="466" t="s">
        <v>165</v>
      </c>
      <c r="N6" s="1">
        <v>5.0465999999999998</v>
      </c>
      <c r="O6" s="1">
        <v>3.06575</v>
      </c>
      <c r="P6" s="1">
        <v>3.1192499999999996</v>
      </c>
      <c r="Q6" s="1">
        <v>11.231599999999998</v>
      </c>
      <c r="R6" s="1">
        <v>2.7493750000000001</v>
      </c>
      <c r="S6" s="1">
        <v>0</v>
      </c>
      <c r="T6" s="1">
        <v>1.0571428571428572</v>
      </c>
      <c r="U6" s="1">
        <v>0</v>
      </c>
      <c r="V6" s="1">
        <v>1.5226071428571428</v>
      </c>
      <c r="W6" s="468">
        <v>10.203365714285713</v>
      </c>
      <c r="X6" s="465">
        <f t="shared" si="2"/>
        <v>5</v>
      </c>
      <c r="Y6" s="466" t="s">
        <v>93</v>
      </c>
      <c r="Z6" s="2">
        <v>4</v>
      </c>
      <c r="AA6" s="2">
        <v>4</v>
      </c>
      <c r="AB6" s="2">
        <v>8</v>
      </c>
      <c r="AC6" s="2">
        <v>2.0099999999999998</v>
      </c>
      <c r="AD6" s="2">
        <v>1.25</v>
      </c>
      <c r="AE6" s="2">
        <v>3.6000000000000005</v>
      </c>
      <c r="AF6" s="1">
        <v>2.1760000000000002</v>
      </c>
      <c r="AG6" s="1">
        <v>10.176</v>
      </c>
      <c r="AH6" s="2">
        <v>1.7741935483870968</v>
      </c>
      <c r="AI6" s="2">
        <v>3.25</v>
      </c>
      <c r="AJ6" s="1">
        <v>2.5120967741935485</v>
      </c>
      <c r="AK6" s="1">
        <v>4.6319999999999997</v>
      </c>
      <c r="AL6" s="1">
        <v>1</v>
      </c>
      <c r="AM6" s="468">
        <v>18.320096774193548</v>
      </c>
      <c r="AN6" s="465">
        <f t="shared" si="3"/>
        <v>5</v>
      </c>
      <c r="AO6" s="467" t="s">
        <v>174</v>
      </c>
      <c r="AP6" s="1">
        <v>2.258</v>
      </c>
      <c r="AQ6" s="1">
        <v>4.75</v>
      </c>
      <c r="AR6" s="1">
        <v>3.25</v>
      </c>
      <c r="AS6" s="1">
        <v>2.238</v>
      </c>
      <c r="AT6" s="1">
        <v>3.3428571428571425</v>
      </c>
      <c r="AU6" s="1">
        <v>1.875</v>
      </c>
      <c r="AV6" s="468">
        <v>17.71385714285714</v>
      </c>
    </row>
    <row r="7" spans="1:48">
      <c r="A7" s="467">
        <f t="shared" si="0"/>
        <v>6</v>
      </c>
      <c r="B7" s="467" t="s">
        <v>218</v>
      </c>
      <c r="C7" s="7">
        <v>5</v>
      </c>
      <c r="D7" s="7">
        <v>0</v>
      </c>
      <c r="E7" s="7">
        <v>1</v>
      </c>
      <c r="F7" s="7">
        <v>0</v>
      </c>
      <c r="G7" s="7">
        <v>1</v>
      </c>
      <c r="H7" s="7">
        <v>1.04</v>
      </c>
      <c r="I7" s="7">
        <v>0.5</v>
      </c>
      <c r="J7" s="7">
        <v>1.54</v>
      </c>
      <c r="K7" s="471">
        <v>12.54</v>
      </c>
      <c r="L7" s="472">
        <f t="shared" si="1"/>
        <v>6</v>
      </c>
      <c r="M7" s="466" t="s">
        <v>120</v>
      </c>
      <c r="N7" s="1">
        <v>4.226</v>
      </c>
      <c r="O7" s="1">
        <v>2.9359999999999999</v>
      </c>
      <c r="P7" s="1">
        <v>3.07525</v>
      </c>
      <c r="Q7" s="1">
        <v>10.23725</v>
      </c>
      <c r="R7" s="1">
        <v>2.99125</v>
      </c>
      <c r="S7" s="1">
        <v>0.52500000000000002</v>
      </c>
      <c r="T7" s="1">
        <v>2.0928571428571425</v>
      </c>
      <c r="U7" s="1">
        <v>3.9691666666666667</v>
      </c>
      <c r="V7" s="1">
        <v>2.4830595238095241</v>
      </c>
      <c r="W7" s="468">
        <v>10.176247619047619</v>
      </c>
      <c r="X7" s="465">
        <f t="shared" si="2"/>
        <v>6</v>
      </c>
      <c r="Y7" s="466" t="s">
        <v>102</v>
      </c>
      <c r="Z7" s="2">
        <v>4</v>
      </c>
      <c r="AA7" s="2">
        <v>5</v>
      </c>
      <c r="AB7" s="2">
        <v>9</v>
      </c>
      <c r="AC7" s="2">
        <v>1.51</v>
      </c>
      <c r="AD7" s="2">
        <v>1.25</v>
      </c>
      <c r="AE7" s="2">
        <v>2.1616666666666666</v>
      </c>
      <c r="AF7" s="1">
        <v>1.5883333333333334</v>
      </c>
      <c r="AG7" s="1">
        <v>10.588333333333333</v>
      </c>
      <c r="AH7" s="2">
        <v>0.79032258064516125</v>
      </c>
      <c r="AI7" s="2">
        <v>1</v>
      </c>
      <c r="AJ7" s="1">
        <v>0.89516129032258063</v>
      </c>
      <c r="AK7" s="1">
        <v>4.9359999999999999</v>
      </c>
      <c r="AL7" s="1">
        <v>1.8666666666666665</v>
      </c>
      <c r="AM7" s="468">
        <v>18.286161290322582</v>
      </c>
      <c r="AN7" s="465">
        <f t="shared" si="3"/>
        <v>6</v>
      </c>
      <c r="AO7" s="467" t="s">
        <v>213</v>
      </c>
      <c r="AP7" s="1">
        <v>2.7119999999999997</v>
      </c>
      <c r="AQ7" s="1">
        <v>4.75</v>
      </c>
      <c r="AR7" s="1">
        <v>1.5</v>
      </c>
      <c r="AS7" s="1">
        <v>4.6660000000000004</v>
      </c>
      <c r="AT7" s="1">
        <v>2.6285714285714286</v>
      </c>
      <c r="AU7" s="1">
        <v>1.25</v>
      </c>
      <c r="AV7" s="468">
        <v>17.50657142857143</v>
      </c>
    </row>
    <row r="8" spans="1:48">
      <c r="A8" s="467">
        <f t="shared" si="0"/>
        <v>7</v>
      </c>
      <c r="B8" s="467" t="s">
        <v>165</v>
      </c>
      <c r="C8" s="7">
        <v>3.5</v>
      </c>
      <c r="D8" s="7">
        <v>1</v>
      </c>
      <c r="E8" s="7">
        <v>1.25</v>
      </c>
      <c r="F8" s="7">
        <v>0.25</v>
      </c>
      <c r="G8" s="7">
        <v>2.5</v>
      </c>
      <c r="H8" s="7">
        <v>1.9915</v>
      </c>
      <c r="I8" s="7">
        <v>0.75</v>
      </c>
      <c r="J8" s="7">
        <v>2.7415000000000003</v>
      </c>
      <c r="K8" s="471">
        <v>12.2415</v>
      </c>
      <c r="L8" s="472">
        <f t="shared" si="1"/>
        <v>7</v>
      </c>
      <c r="M8" s="466" t="s">
        <v>123</v>
      </c>
      <c r="N8" s="1">
        <v>4.2206999999999999</v>
      </c>
      <c r="O8" s="1">
        <v>2.7927499999999998</v>
      </c>
      <c r="P8" s="1">
        <v>2.8762499999999998</v>
      </c>
      <c r="Q8" s="1">
        <v>9.8896999999999995</v>
      </c>
      <c r="R8" s="1">
        <v>2.3649999999999998</v>
      </c>
      <c r="S8" s="1">
        <v>3.4750000000000005</v>
      </c>
      <c r="T8" s="1">
        <v>3.2857142857142856</v>
      </c>
      <c r="U8" s="1">
        <v>0</v>
      </c>
      <c r="V8" s="1">
        <v>2.6077857142857144</v>
      </c>
      <c r="W8" s="468">
        <v>9.9979885714285714</v>
      </c>
      <c r="X8" s="465">
        <f t="shared" si="2"/>
        <v>7</v>
      </c>
      <c r="Y8" s="466" t="s">
        <v>220</v>
      </c>
      <c r="Z8" s="2">
        <v>4</v>
      </c>
      <c r="AA8" s="2">
        <v>4</v>
      </c>
      <c r="AB8" s="2">
        <v>8</v>
      </c>
      <c r="AC8" s="2">
        <v>3</v>
      </c>
      <c r="AD8" s="2">
        <v>1.75</v>
      </c>
      <c r="AE8" s="2">
        <v>2.6716666666666669</v>
      </c>
      <c r="AF8" s="1">
        <v>2.6843333333333335</v>
      </c>
      <c r="AG8" s="1">
        <v>10.684333333333333</v>
      </c>
      <c r="AH8" s="2">
        <v>3.2775305895439377</v>
      </c>
      <c r="AI8" s="2">
        <v>2</v>
      </c>
      <c r="AJ8" s="1">
        <v>2.6387652947719689</v>
      </c>
      <c r="AK8" s="1">
        <v>2.9489999999999998</v>
      </c>
      <c r="AL8" s="1">
        <v>1.5999999999999999</v>
      </c>
      <c r="AM8" s="468">
        <v>17.872098628105306</v>
      </c>
      <c r="AN8" s="465">
        <f t="shared" si="3"/>
        <v>7</v>
      </c>
      <c r="AO8" s="467" t="s">
        <v>236</v>
      </c>
      <c r="AP8" s="1">
        <v>2.9020000000000001</v>
      </c>
      <c r="AQ8" s="1">
        <v>4.75</v>
      </c>
      <c r="AR8" s="1">
        <v>1.75</v>
      </c>
      <c r="AS8" s="1">
        <v>2.238</v>
      </c>
      <c r="AT8" s="1">
        <v>3.3428571428571425</v>
      </c>
      <c r="AU8" s="1">
        <v>2.1875</v>
      </c>
      <c r="AV8" s="468">
        <v>17.170357142857142</v>
      </c>
    </row>
    <row r="9" spans="1:48">
      <c r="A9" s="467">
        <f t="shared" si="0"/>
        <v>8</v>
      </c>
      <c r="B9" s="467" t="s">
        <v>229</v>
      </c>
      <c r="C9" s="7">
        <v>5</v>
      </c>
      <c r="D9" s="7">
        <v>1</v>
      </c>
      <c r="E9" s="7">
        <v>0</v>
      </c>
      <c r="F9" s="7">
        <v>0.25</v>
      </c>
      <c r="G9" s="7">
        <v>1.25</v>
      </c>
      <c r="H9" s="7">
        <v>0.75750000000000006</v>
      </c>
      <c r="I9" s="7">
        <v>0</v>
      </c>
      <c r="J9" s="7">
        <v>0.75750000000000006</v>
      </c>
      <c r="K9" s="471">
        <v>12.0075</v>
      </c>
      <c r="L9" s="472">
        <f t="shared" si="1"/>
        <v>8</v>
      </c>
      <c r="M9" s="466" t="s">
        <v>220</v>
      </c>
      <c r="N9" s="1">
        <v>4.8413000000000004</v>
      </c>
      <c r="O9" s="1">
        <v>2.4525000000000001</v>
      </c>
      <c r="P9" s="1">
        <v>2.2842500000000001</v>
      </c>
      <c r="Q9" s="1">
        <v>9.5780500000000011</v>
      </c>
      <c r="R9" s="1">
        <v>3.0031249999999998</v>
      </c>
      <c r="S9" s="1">
        <v>0</v>
      </c>
      <c r="T9" s="1">
        <v>3.2357142857142858</v>
      </c>
      <c r="U9" s="1">
        <v>3.8283333333333331</v>
      </c>
      <c r="V9" s="1">
        <v>2.8783690476190475</v>
      </c>
      <c r="W9" s="468">
        <v>9.9651352380952396</v>
      </c>
      <c r="X9" s="465">
        <f t="shared" si="2"/>
        <v>8</v>
      </c>
      <c r="Y9" s="466" t="s">
        <v>156</v>
      </c>
      <c r="Z9" s="2">
        <v>3</v>
      </c>
      <c r="AA9" s="2">
        <v>4</v>
      </c>
      <c r="AB9" s="2">
        <v>7</v>
      </c>
      <c r="AC9" s="2">
        <v>2.76</v>
      </c>
      <c r="AD9" s="2">
        <v>2</v>
      </c>
      <c r="AE9" s="2">
        <v>2.1616666666666666</v>
      </c>
      <c r="AF9" s="1">
        <v>2.4883333333333333</v>
      </c>
      <c r="AG9" s="1">
        <v>9.4883333333333333</v>
      </c>
      <c r="AH9" s="2">
        <v>0.967741935483871</v>
      </c>
      <c r="AI9" s="2">
        <v>1.75</v>
      </c>
      <c r="AJ9" s="1">
        <v>1.3588709677419355</v>
      </c>
      <c r="AK9" s="1">
        <v>4.1240000000000006</v>
      </c>
      <c r="AL9" s="1">
        <v>2.333333333333333</v>
      </c>
      <c r="AM9" s="468">
        <v>17.304537634408604</v>
      </c>
      <c r="AN9" s="465">
        <f t="shared" si="3"/>
        <v>8</v>
      </c>
      <c r="AO9" s="467" t="s">
        <v>153</v>
      </c>
      <c r="AP9" s="1">
        <v>1.8220000000000001</v>
      </c>
      <c r="AQ9" s="1">
        <v>4</v>
      </c>
      <c r="AR9" s="1">
        <v>1.75</v>
      </c>
      <c r="AS9" s="1">
        <v>3.6459999999999999</v>
      </c>
      <c r="AT9" s="1">
        <v>4.0571428571428569</v>
      </c>
      <c r="AU9" s="1">
        <v>1.875</v>
      </c>
      <c r="AV9" s="468">
        <v>17.150142857142857</v>
      </c>
    </row>
    <row r="10" spans="1:48">
      <c r="A10" s="467">
        <f t="shared" si="0"/>
        <v>9</v>
      </c>
      <c r="B10" s="467" t="s">
        <v>236</v>
      </c>
      <c r="C10" s="7">
        <v>5</v>
      </c>
      <c r="D10" s="7">
        <v>1.25</v>
      </c>
      <c r="E10" s="7">
        <v>0</v>
      </c>
      <c r="F10" s="7">
        <v>0</v>
      </c>
      <c r="G10" s="7">
        <v>1.25</v>
      </c>
      <c r="H10" s="7">
        <v>0.6875</v>
      </c>
      <c r="I10" s="7">
        <v>0</v>
      </c>
      <c r="J10" s="7">
        <v>0.6875</v>
      </c>
      <c r="K10" s="471">
        <v>11.9375</v>
      </c>
      <c r="L10" s="472">
        <f t="shared" si="1"/>
        <v>9</v>
      </c>
      <c r="M10" s="466" t="s">
        <v>218</v>
      </c>
      <c r="N10" s="1">
        <v>5.0313999999999997</v>
      </c>
      <c r="O10" s="1">
        <v>2.6014999999999997</v>
      </c>
      <c r="P10" s="1">
        <v>2.6172499999999999</v>
      </c>
      <c r="Q10" s="1">
        <v>10.25015</v>
      </c>
      <c r="R10" s="1">
        <v>1.6193750000000002</v>
      </c>
      <c r="S10" s="1">
        <v>3.0750000000000002</v>
      </c>
      <c r="T10" s="1">
        <v>2.2571428571428571</v>
      </c>
      <c r="U10" s="1">
        <v>3.1516666666666668</v>
      </c>
      <c r="V10" s="1">
        <v>2.1732738095238098</v>
      </c>
      <c r="W10" s="468">
        <v>9.9387390476190483</v>
      </c>
      <c r="X10" s="465">
        <f t="shared" si="2"/>
        <v>9</v>
      </c>
      <c r="Y10" s="466" t="s">
        <v>165</v>
      </c>
      <c r="Z10" s="2">
        <v>5</v>
      </c>
      <c r="AA10" s="2">
        <v>5</v>
      </c>
      <c r="AB10" s="2">
        <v>10</v>
      </c>
      <c r="AC10" s="2">
        <v>1.6800000000000002</v>
      </c>
      <c r="AD10" s="2">
        <v>1.5</v>
      </c>
      <c r="AE10" s="2">
        <v>1.7066666666666668</v>
      </c>
      <c r="AF10" s="1">
        <v>1.6493333333333333</v>
      </c>
      <c r="AG10" s="1">
        <v>11.649333333333333</v>
      </c>
      <c r="AH10" s="2">
        <v>0.82258064516129026</v>
      </c>
      <c r="AI10" s="2">
        <v>0.75</v>
      </c>
      <c r="AJ10" s="1">
        <v>0.78629032258064513</v>
      </c>
      <c r="AK10" s="1">
        <v>4.6970000000000001</v>
      </c>
      <c r="AL10" s="1">
        <v>0</v>
      </c>
      <c r="AM10" s="468">
        <v>17.132623655913978</v>
      </c>
      <c r="AN10" s="465">
        <f t="shared" si="3"/>
        <v>9</v>
      </c>
      <c r="AO10" s="467" t="s">
        <v>117</v>
      </c>
      <c r="AP10" s="1">
        <v>2.8340000000000001</v>
      </c>
      <c r="AQ10" s="1">
        <v>4</v>
      </c>
      <c r="AR10" s="1">
        <v>1.75</v>
      </c>
      <c r="AS10" s="1">
        <v>2.6459999999999999</v>
      </c>
      <c r="AT10" s="1">
        <v>3.3428571428571425</v>
      </c>
      <c r="AU10" s="1">
        <v>2.1875</v>
      </c>
      <c r="AV10" s="468">
        <v>16.760357142857142</v>
      </c>
    </row>
    <row r="11" spans="1:48">
      <c r="A11" s="467">
        <f t="shared" si="0"/>
        <v>10</v>
      </c>
      <c r="B11" s="467" t="s">
        <v>153</v>
      </c>
      <c r="C11" s="7">
        <v>5</v>
      </c>
      <c r="D11" s="7">
        <v>0</v>
      </c>
      <c r="E11" s="7">
        <v>0</v>
      </c>
      <c r="F11" s="7">
        <v>0</v>
      </c>
      <c r="G11" s="7">
        <v>0</v>
      </c>
      <c r="H11" s="7">
        <v>1.6840000000000002</v>
      </c>
      <c r="I11" s="7">
        <v>0.25</v>
      </c>
      <c r="J11" s="7">
        <v>1.9340000000000002</v>
      </c>
      <c r="K11" s="471">
        <v>11.934000000000001</v>
      </c>
      <c r="L11" s="472">
        <f t="shared" si="1"/>
        <v>10</v>
      </c>
      <c r="M11" s="466" t="s">
        <v>111</v>
      </c>
      <c r="N11" s="1">
        <v>5.2725</v>
      </c>
      <c r="O11" s="1">
        <v>2.5067500000000003</v>
      </c>
      <c r="P11" s="1">
        <v>1.7585</v>
      </c>
      <c r="Q11" s="1">
        <v>9.5377500000000008</v>
      </c>
      <c r="R11" s="1">
        <v>2.6875</v>
      </c>
      <c r="S11" s="1">
        <v>0</v>
      </c>
      <c r="T11" s="1">
        <v>3.9571428571428564</v>
      </c>
      <c r="U11" s="1">
        <v>1.7925000000000002</v>
      </c>
      <c r="V11" s="1">
        <v>2.837107142857143</v>
      </c>
      <c r="W11" s="468">
        <v>9.8998857142857144</v>
      </c>
      <c r="X11" s="465">
        <f t="shared" si="2"/>
        <v>10</v>
      </c>
      <c r="Y11" s="466" t="s">
        <v>169</v>
      </c>
      <c r="Z11" s="2">
        <v>3</v>
      </c>
      <c r="AA11" s="2">
        <v>4</v>
      </c>
      <c r="AB11" s="2">
        <v>7</v>
      </c>
      <c r="AC11" s="2">
        <v>2.0099999999999998</v>
      </c>
      <c r="AD11" s="2">
        <v>1.75</v>
      </c>
      <c r="AE11" s="2">
        <v>1.1416666666666668</v>
      </c>
      <c r="AF11" s="1">
        <v>1.7843333333333331</v>
      </c>
      <c r="AG11" s="1">
        <v>8.7843333333333327</v>
      </c>
      <c r="AH11" s="2">
        <v>0.5161290322580645</v>
      </c>
      <c r="AI11" s="2">
        <v>2.75</v>
      </c>
      <c r="AJ11" s="1">
        <v>1.6330645161290323</v>
      </c>
      <c r="AK11" s="1">
        <v>3.9649999999999999</v>
      </c>
      <c r="AL11" s="1">
        <v>2.2666666666666666</v>
      </c>
      <c r="AM11" s="468">
        <v>16.64906451612903</v>
      </c>
      <c r="AN11" s="465">
        <f t="shared" si="3"/>
        <v>10</v>
      </c>
      <c r="AO11" s="467" t="s">
        <v>220</v>
      </c>
      <c r="AP11" s="1">
        <v>3.31</v>
      </c>
      <c r="AQ11" s="1">
        <v>4.25</v>
      </c>
      <c r="AR11" s="1">
        <v>1.75</v>
      </c>
      <c r="AS11" s="1">
        <v>3.6459999999999999</v>
      </c>
      <c r="AT11" s="1">
        <v>1.5428571428571429</v>
      </c>
      <c r="AU11" s="1">
        <v>1.875</v>
      </c>
      <c r="AV11" s="468">
        <v>16.37385714285714</v>
      </c>
    </row>
    <row r="12" spans="1:48">
      <c r="A12" s="467">
        <f t="shared" si="0"/>
        <v>11</v>
      </c>
      <c r="B12" s="467" t="s">
        <v>111</v>
      </c>
      <c r="C12" s="7">
        <v>5</v>
      </c>
      <c r="D12" s="7">
        <v>0</v>
      </c>
      <c r="E12" s="7">
        <v>0</v>
      </c>
      <c r="F12" s="7">
        <v>0</v>
      </c>
      <c r="G12" s="7">
        <v>0</v>
      </c>
      <c r="H12" s="7">
        <v>1.2415</v>
      </c>
      <c r="I12" s="7">
        <v>0.5</v>
      </c>
      <c r="J12" s="7">
        <v>1.7415</v>
      </c>
      <c r="K12" s="471">
        <v>11.7415</v>
      </c>
      <c r="L12" s="472">
        <f t="shared" si="1"/>
        <v>11</v>
      </c>
      <c r="M12" s="466" t="s">
        <v>169</v>
      </c>
      <c r="N12" s="1">
        <v>4.5539000000000005</v>
      </c>
      <c r="O12" s="1">
        <v>2.5834999999999999</v>
      </c>
      <c r="P12" s="1">
        <v>1.91825</v>
      </c>
      <c r="Q12" s="1">
        <v>9.05565</v>
      </c>
      <c r="R12" s="1">
        <v>3.1906250000000003</v>
      </c>
      <c r="S12" s="1">
        <v>0.52500000000000002</v>
      </c>
      <c r="T12" s="1">
        <v>3.4357142857142855</v>
      </c>
      <c r="U12" s="1">
        <v>4.3225000000000007</v>
      </c>
      <c r="V12" s="1">
        <v>3.1352857142857147</v>
      </c>
      <c r="W12" s="468">
        <v>9.7527485714285724</v>
      </c>
      <c r="X12" s="465">
        <f t="shared" si="2"/>
        <v>11</v>
      </c>
      <c r="Y12" s="466" t="s">
        <v>174</v>
      </c>
      <c r="Z12" s="2">
        <v>4</v>
      </c>
      <c r="AA12" s="2">
        <v>3</v>
      </c>
      <c r="AB12" s="2">
        <v>7</v>
      </c>
      <c r="AC12" s="2">
        <v>2.2599999999999998</v>
      </c>
      <c r="AD12" s="2">
        <v>2.25</v>
      </c>
      <c r="AE12" s="2">
        <v>2.1616666666666666</v>
      </c>
      <c r="AF12" s="1">
        <v>2.2383333333333333</v>
      </c>
      <c r="AG12" s="1">
        <v>9.2383333333333333</v>
      </c>
      <c r="AH12" s="2">
        <v>2.3904338153503892</v>
      </c>
      <c r="AI12" s="2">
        <v>2.25</v>
      </c>
      <c r="AJ12" s="1">
        <v>2.3202169076751948</v>
      </c>
      <c r="AK12" s="1">
        <v>3.633</v>
      </c>
      <c r="AL12" s="1">
        <v>1.3333333333333333</v>
      </c>
      <c r="AM12" s="468">
        <v>16.52488357434186</v>
      </c>
      <c r="AN12" s="465">
        <f t="shared" si="3"/>
        <v>11</v>
      </c>
      <c r="AO12" s="467" t="s">
        <v>182</v>
      </c>
      <c r="AP12" s="1">
        <v>3.18</v>
      </c>
      <c r="AQ12" s="1">
        <v>3.5</v>
      </c>
      <c r="AR12" s="1">
        <v>4</v>
      </c>
      <c r="AS12" s="1">
        <v>2.238</v>
      </c>
      <c r="AT12" s="1">
        <v>1.9142857142857141</v>
      </c>
      <c r="AU12" s="1">
        <v>1.25</v>
      </c>
      <c r="AV12" s="468">
        <v>16.082285714285714</v>
      </c>
    </row>
    <row r="13" spans="1:48">
      <c r="A13" s="467">
        <f t="shared" si="0"/>
        <v>12</v>
      </c>
      <c r="B13" s="467" t="s">
        <v>136</v>
      </c>
      <c r="C13" s="7">
        <v>4</v>
      </c>
      <c r="D13" s="7">
        <v>1.1666666666666667</v>
      </c>
      <c r="E13" s="7">
        <v>1</v>
      </c>
      <c r="F13" s="7">
        <v>8.3333333333333329E-2</v>
      </c>
      <c r="G13" s="7">
        <v>2.2500000000000004</v>
      </c>
      <c r="H13" s="7">
        <v>1.0880000000000001</v>
      </c>
      <c r="I13" s="7">
        <v>0.25</v>
      </c>
      <c r="J13" s="7">
        <v>1.3380000000000001</v>
      </c>
      <c r="K13" s="471">
        <v>11.588000000000001</v>
      </c>
      <c r="L13" s="472">
        <f t="shared" si="1"/>
        <v>12</v>
      </c>
      <c r="M13" s="466" t="s">
        <v>148</v>
      </c>
      <c r="N13" s="1">
        <v>5.3210999999999995</v>
      </c>
      <c r="O13" s="1">
        <v>2.6092500000000003</v>
      </c>
      <c r="P13" s="1">
        <v>1.498</v>
      </c>
      <c r="Q13" s="1">
        <v>9.42835</v>
      </c>
      <c r="R13" s="1">
        <v>3.0387500000000003</v>
      </c>
      <c r="S13" s="1">
        <v>0</v>
      </c>
      <c r="T13" s="1">
        <v>2.8</v>
      </c>
      <c r="U13" s="1">
        <v>3.78</v>
      </c>
      <c r="V13" s="1">
        <v>2.7135000000000002</v>
      </c>
      <c r="W13" s="468">
        <v>9.7134800000000006</v>
      </c>
      <c r="X13" s="465">
        <f t="shared" si="2"/>
        <v>12</v>
      </c>
      <c r="Y13" s="466" t="s">
        <v>218</v>
      </c>
      <c r="Z13" s="2">
        <v>3</v>
      </c>
      <c r="AA13" s="2">
        <v>3</v>
      </c>
      <c r="AB13" s="2">
        <v>6</v>
      </c>
      <c r="AC13" s="2">
        <v>3.79</v>
      </c>
      <c r="AD13" s="2">
        <v>1.5</v>
      </c>
      <c r="AE13" s="2">
        <v>2.8333333333333335</v>
      </c>
      <c r="AF13" s="1">
        <v>3.1406666666666667</v>
      </c>
      <c r="AG13" s="1">
        <v>9.1406666666666663</v>
      </c>
      <c r="AH13" s="2">
        <v>4.850389321468298</v>
      </c>
      <c r="AI13" s="2">
        <v>0</v>
      </c>
      <c r="AJ13" s="1">
        <v>2.425194660734149</v>
      </c>
      <c r="AK13" s="1">
        <v>2.871</v>
      </c>
      <c r="AL13" s="1">
        <v>1.8666666666666665</v>
      </c>
      <c r="AM13" s="468">
        <v>16.303527994067483</v>
      </c>
      <c r="AN13" s="465">
        <f t="shared" si="3"/>
        <v>12</v>
      </c>
      <c r="AO13" s="467" t="s">
        <v>206</v>
      </c>
      <c r="AP13" s="1">
        <v>1.532</v>
      </c>
      <c r="AQ13" s="1">
        <v>3.75</v>
      </c>
      <c r="AR13" s="1">
        <v>2.25</v>
      </c>
      <c r="AS13" s="1">
        <v>2.8959999999999999</v>
      </c>
      <c r="AT13" s="1">
        <v>3.4857142857142858</v>
      </c>
      <c r="AU13" s="1">
        <v>1.875</v>
      </c>
      <c r="AV13" s="468">
        <v>15.788714285714287</v>
      </c>
    </row>
    <row r="14" spans="1:48">
      <c r="A14" s="467">
        <f t="shared" si="0"/>
        <v>13</v>
      </c>
      <c r="B14" s="467" t="s">
        <v>145</v>
      </c>
      <c r="C14" s="7">
        <v>3</v>
      </c>
      <c r="D14" s="7">
        <v>1</v>
      </c>
      <c r="E14" s="7">
        <v>1</v>
      </c>
      <c r="F14" s="7">
        <v>0.33333333333333331</v>
      </c>
      <c r="G14" s="7">
        <v>2.3333333333333335</v>
      </c>
      <c r="H14" s="7">
        <v>1.41</v>
      </c>
      <c r="I14" s="7">
        <v>1.5</v>
      </c>
      <c r="J14" s="7">
        <v>2.91</v>
      </c>
      <c r="K14" s="471">
        <v>11.243333333333334</v>
      </c>
      <c r="L14" s="472">
        <f t="shared" si="1"/>
        <v>13</v>
      </c>
      <c r="M14" s="466" t="s">
        <v>145</v>
      </c>
      <c r="N14" s="1">
        <v>4.9527999999999999</v>
      </c>
      <c r="O14" s="1">
        <v>1.3519999999999999</v>
      </c>
      <c r="P14" s="1">
        <v>3.1702500000000002</v>
      </c>
      <c r="Q14" s="1">
        <v>9.4750499999999995</v>
      </c>
      <c r="R14" s="1">
        <v>2.5106250000000001</v>
      </c>
      <c r="S14" s="1">
        <v>0</v>
      </c>
      <c r="T14" s="1">
        <v>3.0714285714285712</v>
      </c>
      <c r="U14" s="1">
        <v>4.2125000000000004</v>
      </c>
      <c r="V14" s="1">
        <v>2.6540714285714286</v>
      </c>
      <c r="W14" s="468">
        <v>9.7032971428571422</v>
      </c>
      <c r="X14" s="465">
        <f t="shared" si="2"/>
        <v>13</v>
      </c>
      <c r="Y14" s="466" t="s">
        <v>106</v>
      </c>
      <c r="Z14" s="2">
        <v>3</v>
      </c>
      <c r="AA14" s="2">
        <v>5</v>
      </c>
      <c r="AB14" s="2">
        <v>8</v>
      </c>
      <c r="AC14" s="2">
        <v>2.0099999999999998</v>
      </c>
      <c r="AD14" s="2">
        <v>1.5</v>
      </c>
      <c r="AE14" s="2">
        <v>1.895</v>
      </c>
      <c r="AF14" s="1">
        <v>1.8849999999999998</v>
      </c>
      <c r="AG14" s="1">
        <v>9.8849999999999998</v>
      </c>
      <c r="AH14" s="2">
        <v>1.564516129032258</v>
      </c>
      <c r="AI14" s="2">
        <v>0.5</v>
      </c>
      <c r="AJ14" s="1">
        <v>1.032258064516129</v>
      </c>
      <c r="AK14" s="1">
        <v>4.7279999999999998</v>
      </c>
      <c r="AL14" s="1">
        <v>0.26666666666666666</v>
      </c>
      <c r="AM14" s="468">
        <v>15.911924731182797</v>
      </c>
      <c r="AN14" s="465">
        <f t="shared" si="3"/>
        <v>13</v>
      </c>
      <c r="AO14" s="467" t="s">
        <v>127</v>
      </c>
      <c r="AP14" s="1">
        <v>2.4580000000000002</v>
      </c>
      <c r="AQ14" s="1">
        <v>4.024</v>
      </c>
      <c r="AR14" s="1">
        <v>2.5</v>
      </c>
      <c r="AS14" s="1">
        <v>3.1659999999999999</v>
      </c>
      <c r="AT14" s="1">
        <v>2.2571428571428571</v>
      </c>
      <c r="AU14" s="1">
        <v>1.25</v>
      </c>
      <c r="AV14" s="468">
        <v>15.655142857142856</v>
      </c>
    </row>
    <row r="15" spans="1:48">
      <c r="A15" s="467">
        <f t="shared" si="0"/>
        <v>14</v>
      </c>
      <c r="B15" s="467" t="s">
        <v>114</v>
      </c>
      <c r="C15" s="7">
        <v>5</v>
      </c>
      <c r="D15" s="7">
        <v>0</v>
      </c>
      <c r="E15" s="7">
        <v>0</v>
      </c>
      <c r="F15" s="7">
        <v>0</v>
      </c>
      <c r="G15" s="7">
        <v>0</v>
      </c>
      <c r="H15" s="7">
        <v>0.87850000000000006</v>
      </c>
      <c r="I15" s="7">
        <v>0.25</v>
      </c>
      <c r="J15" s="7">
        <v>1.1285000000000001</v>
      </c>
      <c r="K15" s="471">
        <v>11.128500000000001</v>
      </c>
      <c r="L15" s="472">
        <f t="shared" si="1"/>
        <v>14</v>
      </c>
      <c r="M15" s="466" t="s">
        <v>201</v>
      </c>
      <c r="N15" s="1">
        <v>4.7385999999999999</v>
      </c>
      <c r="O15" s="1">
        <v>3.6234999999999999</v>
      </c>
      <c r="P15" s="1">
        <v>1.1684999999999999</v>
      </c>
      <c r="Q15" s="1">
        <v>9.5305999999999997</v>
      </c>
      <c r="R15" s="1">
        <v>1.3987499999999997</v>
      </c>
      <c r="S15" s="1">
        <v>1.1499999999999999</v>
      </c>
      <c r="T15" s="1">
        <v>3.55</v>
      </c>
      <c r="U15" s="1">
        <v>3.5183333333333331</v>
      </c>
      <c r="V15" s="1">
        <v>2.4463333333333335</v>
      </c>
      <c r="W15" s="468">
        <v>9.5815466666666662</v>
      </c>
      <c r="X15" s="465">
        <f t="shared" si="2"/>
        <v>14</v>
      </c>
      <c r="Y15" s="466" t="s">
        <v>145</v>
      </c>
      <c r="Z15" s="2">
        <v>3</v>
      </c>
      <c r="AA15" s="2">
        <v>4</v>
      </c>
      <c r="AB15" s="2">
        <v>7</v>
      </c>
      <c r="AC15" s="2">
        <v>2.0099999999999998</v>
      </c>
      <c r="AD15" s="2">
        <v>2.25</v>
      </c>
      <c r="AE15" s="2">
        <v>0</v>
      </c>
      <c r="AF15" s="1">
        <v>1.6559999999999997</v>
      </c>
      <c r="AG15" s="1">
        <v>8.6559999999999988</v>
      </c>
      <c r="AH15" s="2">
        <v>0.91935483870967738</v>
      </c>
      <c r="AI15" s="2">
        <v>2</v>
      </c>
      <c r="AJ15" s="1">
        <v>1.4596774193548387</v>
      </c>
      <c r="AK15" s="1">
        <v>3.1870000000000003</v>
      </c>
      <c r="AL15" s="1">
        <v>2.5333333333333332</v>
      </c>
      <c r="AM15" s="468">
        <v>15.836010752688169</v>
      </c>
      <c r="AN15" s="465">
        <f t="shared" si="3"/>
        <v>14</v>
      </c>
      <c r="AO15" s="467" t="s">
        <v>82</v>
      </c>
      <c r="AP15" s="1">
        <v>2.6680000000000001</v>
      </c>
      <c r="AQ15" s="1">
        <v>4.75</v>
      </c>
      <c r="AR15" s="1">
        <v>0.5</v>
      </c>
      <c r="AS15" s="1">
        <v>2.6659999999999999</v>
      </c>
      <c r="AT15" s="1">
        <v>2.2571428571428571</v>
      </c>
      <c r="AU15" s="1">
        <v>2.8125</v>
      </c>
      <c r="AV15" s="468">
        <v>15.653642857142856</v>
      </c>
    </row>
    <row r="16" spans="1:48">
      <c r="A16" s="467">
        <f t="shared" si="0"/>
        <v>15</v>
      </c>
      <c r="B16" s="467" t="s">
        <v>93</v>
      </c>
      <c r="C16" s="7">
        <v>4.5</v>
      </c>
      <c r="D16" s="7">
        <v>0</v>
      </c>
      <c r="E16" s="7">
        <v>0</v>
      </c>
      <c r="F16" s="7">
        <v>0</v>
      </c>
      <c r="G16" s="7">
        <v>0</v>
      </c>
      <c r="H16" s="7">
        <v>1.5555000000000001</v>
      </c>
      <c r="I16" s="7">
        <v>0.5</v>
      </c>
      <c r="J16" s="7">
        <v>2.0555000000000003</v>
      </c>
      <c r="K16" s="471">
        <v>11.0555</v>
      </c>
      <c r="L16" s="472">
        <f t="shared" si="1"/>
        <v>15</v>
      </c>
      <c r="M16" s="466" t="s">
        <v>236</v>
      </c>
      <c r="N16" s="1">
        <v>5.3843999999999994</v>
      </c>
      <c r="O16" s="1">
        <v>2.19625</v>
      </c>
      <c r="P16" s="1">
        <v>1.8747499999999999</v>
      </c>
      <c r="Q16" s="1">
        <v>9.4553999999999991</v>
      </c>
      <c r="R16" s="1">
        <v>2.5287499999999996</v>
      </c>
      <c r="S16" s="1">
        <v>0</v>
      </c>
      <c r="T16" s="1">
        <v>2.3028571428571429</v>
      </c>
      <c r="U16" s="1">
        <v>3.5975000000000001</v>
      </c>
      <c r="V16" s="1">
        <v>2.2923928571428571</v>
      </c>
      <c r="W16" s="468">
        <v>9.3982342857142847</v>
      </c>
      <c r="X16" s="465">
        <f t="shared" si="2"/>
        <v>15</v>
      </c>
      <c r="Y16" s="466" t="s">
        <v>96</v>
      </c>
      <c r="Z16" s="2">
        <v>3</v>
      </c>
      <c r="AA16" s="2">
        <v>2</v>
      </c>
      <c r="AB16" s="2">
        <v>5</v>
      </c>
      <c r="AC16" s="2">
        <v>2.91</v>
      </c>
      <c r="AD16" s="2">
        <v>2.25</v>
      </c>
      <c r="AE16" s="2">
        <v>3.0766666666666671</v>
      </c>
      <c r="AF16" s="1">
        <v>2.8113333333333337</v>
      </c>
      <c r="AG16" s="1">
        <v>7.8113333333333337</v>
      </c>
      <c r="AH16" s="2">
        <v>3.774193548387097</v>
      </c>
      <c r="AI16" s="2">
        <v>0.75</v>
      </c>
      <c r="AJ16" s="1">
        <v>2.2620967741935485</v>
      </c>
      <c r="AK16" s="1">
        <v>3.9830000000000001</v>
      </c>
      <c r="AL16" s="1">
        <v>1.5333333333333332</v>
      </c>
      <c r="AM16" s="468">
        <v>15.589763440860215</v>
      </c>
      <c r="AN16" s="465">
        <f t="shared" si="3"/>
        <v>15</v>
      </c>
      <c r="AO16" s="467" t="s">
        <v>218</v>
      </c>
      <c r="AP16" s="1">
        <v>1.954</v>
      </c>
      <c r="AQ16" s="1">
        <v>4.5</v>
      </c>
      <c r="AR16" s="1">
        <v>3</v>
      </c>
      <c r="AS16" s="1">
        <v>1.3959999999999999</v>
      </c>
      <c r="AT16" s="1">
        <v>2.6285714285714286</v>
      </c>
      <c r="AU16" s="1">
        <v>1.875</v>
      </c>
      <c r="AV16" s="468">
        <v>15.35357142857143</v>
      </c>
    </row>
    <row r="17" spans="1:48">
      <c r="A17" s="467">
        <f t="shared" si="0"/>
        <v>16</v>
      </c>
      <c r="B17" s="467" t="s">
        <v>228</v>
      </c>
      <c r="C17" s="7">
        <v>5</v>
      </c>
      <c r="D17" s="7">
        <v>0</v>
      </c>
      <c r="E17" s="7">
        <v>1</v>
      </c>
      <c r="F17" s="7">
        <v>0</v>
      </c>
      <c r="G17" s="7">
        <v>1</v>
      </c>
      <c r="H17" s="7">
        <v>0.04</v>
      </c>
      <c r="I17" s="7">
        <v>0</v>
      </c>
      <c r="J17" s="7">
        <v>0.04</v>
      </c>
      <c r="K17" s="471">
        <v>11.04</v>
      </c>
      <c r="L17" s="472">
        <f t="shared" si="1"/>
        <v>16</v>
      </c>
      <c r="M17" s="466" t="s">
        <v>106</v>
      </c>
      <c r="N17" s="1">
        <v>4.8238000000000003</v>
      </c>
      <c r="O17" s="1">
        <v>2.8222500000000004</v>
      </c>
      <c r="P17" s="1">
        <v>2.6352500000000001</v>
      </c>
      <c r="Q17" s="1">
        <v>10.281300000000002</v>
      </c>
      <c r="R17" s="1">
        <v>3.0093749999999995</v>
      </c>
      <c r="S17" s="1">
        <v>0</v>
      </c>
      <c r="T17" s="1">
        <v>0</v>
      </c>
      <c r="U17" s="1">
        <v>2.5058333333333334</v>
      </c>
      <c r="V17" s="1">
        <v>1.4543333333333333</v>
      </c>
      <c r="W17" s="468">
        <v>9.3885066666666681</v>
      </c>
      <c r="X17" s="465">
        <f t="shared" si="2"/>
        <v>16</v>
      </c>
      <c r="Y17" s="466" t="s">
        <v>111</v>
      </c>
      <c r="Z17" s="2">
        <v>5</v>
      </c>
      <c r="AA17" s="2">
        <v>3</v>
      </c>
      <c r="AB17" s="2">
        <v>8</v>
      </c>
      <c r="AC17" s="2">
        <v>2.0099999999999998</v>
      </c>
      <c r="AD17" s="2">
        <v>0.75</v>
      </c>
      <c r="AE17" s="2">
        <v>2.4850000000000003</v>
      </c>
      <c r="AF17" s="1">
        <v>1.853</v>
      </c>
      <c r="AG17" s="1">
        <v>9.8529999999999998</v>
      </c>
      <c r="AH17" s="2">
        <v>1.5517241379310345</v>
      </c>
      <c r="AI17" s="2">
        <v>1.5</v>
      </c>
      <c r="AJ17" s="1">
        <v>1.5258620689655173</v>
      </c>
      <c r="AK17" s="1">
        <v>2.8689999999999998</v>
      </c>
      <c r="AL17" s="1">
        <v>1.2666666666666666</v>
      </c>
      <c r="AM17" s="468">
        <v>15.514528735632183</v>
      </c>
      <c r="AN17" s="465">
        <f t="shared" si="3"/>
        <v>16</v>
      </c>
      <c r="AO17" s="467" t="s">
        <v>150</v>
      </c>
      <c r="AP17" s="1">
        <v>1.6919999999999999</v>
      </c>
      <c r="AQ17" s="1">
        <v>4.25</v>
      </c>
      <c r="AR17" s="1">
        <v>1.75</v>
      </c>
      <c r="AS17" s="1">
        <v>2.3959999999999999</v>
      </c>
      <c r="AT17" s="1">
        <v>3.2</v>
      </c>
      <c r="AU17" s="1">
        <v>1.875</v>
      </c>
      <c r="AV17" s="468">
        <v>15.163</v>
      </c>
    </row>
    <row r="18" spans="1:48">
      <c r="A18" s="467">
        <f t="shared" si="0"/>
        <v>17</v>
      </c>
      <c r="B18" s="467" t="s">
        <v>117</v>
      </c>
      <c r="C18" s="7">
        <v>5</v>
      </c>
      <c r="D18" s="7">
        <v>0</v>
      </c>
      <c r="E18" s="7">
        <v>0</v>
      </c>
      <c r="F18" s="7">
        <v>0</v>
      </c>
      <c r="G18" s="7">
        <v>0</v>
      </c>
      <c r="H18" s="7">
        <v>0.95900000000000007</v>
      </c>
      <c r="I18" s="7">
        <v>0</v>
      </c>
      <c r="J18" s="7">
        <v>0.95900000000000007</v>
      </c>
      <c r="K18" s="471">
        <v>10.959</v>
      </c>
      <c r="L18" s="472">
        <f t="shared" si="1"/>
        <v>17</v>
      </c>
      <c r="M18" s="466" t="s">
        <v>182</v>
      </c>
      <c r="N18" s="1">
        <v>5.2295999999999996</v>
      </c>
      <c r="O18" s="1">
        <v>2.8279999999999998</v>
      </c>
      <c r="P18" s="1">
        <v>0.66525000000000001</v>
      </c>
      <c r="Q18" s="1">
        <v>8.7228499999999993</v>
      </c>
      <c r="R18" s="1">
        <v>2.8293750000000002</v>
      </c>
      <c r="S18" s="1">
        <v>1.7749999999999999</v>
      </c>
      <c r="T18" s="1">
        <v>3.7928571428571431</v>
      </c>
      <c r="U18" s="1">
        <v>1.0483333333333333</v>
      </c>
      <c r="V18" s="1">
        <v>2.9312261904761909</v>
      </c>
      <c r="W18" s="468">
        <v>9.3232609523809522</v>
      </c>
      <c r="X18" s="465">
        <f t="shared" si="2"/>
        <v>17</v>
      </c>
      <c r="Y18" s="466" t="s">
        <v>182</v>
      </c>
      <c r="Z18" s="2">
        <v>2</v>
      </c>
      <c r="AA18" s="2">
        <v>3</v>
      </c>
      <c r="AB18" s="2">
        <v>5</v>
      </c>
      <c r="AC18" s="2">
        <v>2.2599999999999998</v>
      </c>
      <c r="AD18" s="2">
        <v>1.5</v>
      </c>
      <c r="AE18" s="2">
        <v>1.9733333333333334</v>
      </c>
      <c r="AF18" s="1">
        <v>2.0506666666666664</v>
      </c>
      <c r="AG18" s="1">
        <v>7.0506666666666664</v>
      </c>
      <c r="AH18" s="2">
        <v>2.1879866518353728</v>
      </c>
      <c r="AI18" s="2">
        <v>3.25</v>
      </c>
      <c r="AJ18" s="1">
        <v>2.7189933259176864</v>
      </c>
      <c r="AK18" s="1">
        <v>2.0129999999999999</v>
      </c>
      <c r="AL18" s="1">
        <v>2.8666666666666663</v>
      </c>
      <c r="AM18" s="468">
        <v>14.64932665925102</v>
      </c>
      <c r="AN18" s="465">
        <f t="shared" si="3"/>
        <v>17</v>
      </c>
      <c r="AO18" s="467" t="s">
        <v>63</v>
      </c>
      <c r="AP18" s="1">
        <v>3.4980000000000002</v>
      </c>
      <c r="AQ18" s="1">
        <v>2.524</v>
      </c>
      <c r="AR18" s="1">
        <v>1</v>
      </c>
      <c r="AS18" s="1">
        <v>2.92</v>
      </c>
      <c r="AT18" s="1">
        <v>2.2571428571428571</v>
      </c>
      <c r="AU18" s="1">
        <v>2.8125</v>
      </c>
      <c r="AV18" s="468">
        <v>15.011642857142856</v>
      </c>
    </row>
    <row r="19" spans="1:48">
      <c r="A19" s="467">
        <f t="shared" si="0"/>
        <v>18</v>
      </c>
      <c r="B19" s="467" t="s">
        <v>150</v>
      </c>
      <c r="C19" s="7">
        <v>5</v>
      </c>
      <c r="D19" s="7">
        <v>0</v>
      </c>
      <c r="E19" s="7">
        <v>0</v>
      </c>
      <c r="F19" s="7">
        <v>0</v>
      </c>
      <c r="G19" s="7">
        <v>0</v>
      </c>
      <c r="H19" s="7">
        <v>0.91900000000000004</v>
      </c>
      <c r="I19" s="7">
        <v>0</v>
      </c>
      <c r="J19" s="7">
        <v>0.91900000000000004</v>
      </c>
      <c r="K19" s="471">
        <v>10.919</v>
      </c>
      <c r="L19" s="472">
        <f t="shared" si="1"/>
        <v>18</v>
      </c>
      <c r="M19" s="466" t="s">
        <v>193</v>
      </c>
      <c r="N19" s="1">
        <v>4.9075000000000006</v>
      </c>
      <c r="O19" s="1">
        <v>3.1492499999999999</v>
      </c>
      <c r="P19" s="1">
        <v>2.2032500000000002</v>
      </c>
      <c r="Q19" s="1">
        <v>10.260000000000002</v>
      </c>
      <c r="R19" s="1">
        <v>2.2124999999999999</v>
      </c>
      <c r="S19" s="1">
        <v>0</v>
      </c>
      <c r="T19" s="1">
        <v>0</v>
      </c>
      <c r="U19" s="1">
        <v>3.4841666666666669</v>
      </c>
      <c r="V19" s="1">
        <v>1.2334166666666668</v>
      </c>
      <c r="W19" s="468">
        <v>9.1947333333333354</v>
      </c>
      <c r="X19" s="465">
        <f t="shared" si="2"/>
        <v>18</v>
      </c>
      <c r="Y19" s="466" t="s">
        <v>143</v>
      </c>
      <c r="Z19" s="2">
        <v>3</v>
      </c>
      <c r="AA19" s="2">
        <v>5</v>
      </c>
      <c r="AB19" s="2">
        <v>8</v>
      </c>
      <c r="AC19" s="2">
        <v>1.51</v>
      </c>
      <c r="AD19" s="2">
        <v>1</v>
      </c>
      <c r="AE19" s="2">
        <v>1.02</v>
      </c>
      <c r="AF19" s="1">
        <v>1.3099999999999998</v>
      </c>
      <c r="AG19" s="1">
        <v>9.31</v>
      </c>
      <c r="AH19" s="2">
        <v>0</v>
      </c>
      <c r="AI19" s="2">
        <v>1.75</v>
      </c>
      <c r="AJ19" s="1">
        <v>0.875</v>
      </c>
      <c r="AK19" s="1">
        <v>1.8380000000000001</v>
      </c>
      <c r="AL19" s="1">
        <v>2.5333333333333332</v>
      </c>
      <c r="AM19" s="468">
        <v>14.556333333333333</v>
      </c>
      <c r="AN19" s="465">
        <f t="shared" si="3"/>
        <v>18</v>
      </c>
      <c r="AO19" s="467" t="s">
        <v>96</v>
      </c>
      <c r="AP19" s="1">
        <v>2.83</v>
      </c>
      <c r="AQ19" s="1">
        <v>2.274</v>
      </c>
      <c r="AR19" s="1">
        <v>1.75</v>
      </c>
      <c r="AS19" s="1">
        <v>3.738</v>
      </c>
      <c r="AT19" s="1">
        <v>2.4857142857142858</v>
      </c>
      <c r="AU19" s="1">
        <v>1.875</v>
      </c>
      <c r="AV19" s="468">
        <v>14.952714285714286</v>
      </c>
    </row>
    <row r="20" spans="1:48">
      <c r="A20" s="467">
        <f t="shared" si="0"/>
        <v>19</v>
      </c>
      <c r="B20" s="467" t="s">
        <v>78</v>
      </c>
      <c r="C20" s="7">
        <v>5</v>
      </c>
      <c r="D20" s="7">
        <v>0</v>
      </c>
      <c r="E20" s="7">
        <v>0</v>
      </c>
      <c r="F20" s="7">
        <v>0</v>
      </c>
      <c r="G20" s="7">
        <v>0</v>
      </c>
      <c r="H20" s="7">
        <v>0.8620000000000001</v>
      </c>
      <c r="I20" s="7">
        <v>0</v>
      </c>
      <c r="J20" s="7">
        <v>0.8620000000000001</v>
      </c>
      <c r="K20" s="471">
        <v>10.862</v>
      </c>
      <c r="L20" s="472">
        <f t="shared" si="1"/>
        <v>19</v>
      </c>
      <c r="M20" s="466" t="s">
        <v>190</v>
      </c>
      <c r="N20" s="1">
        <v>4.5732999999999997</v>
      </c>
      <c r="O20" s="1">
        <v>3.1825000000000001</v>
      </c>
      <c r="P20" s="1">
        <v>2.4547499999999998</v>
      </c>
      <c r="Q20" s="1">
        <v>10.21055</v>
      </c>
      <c r="R20" s="1">
        <v>1.7318750000000001</v>
      </c>
      <c r="S20" s="1">
        <v>0</v>
      </c>
      <c r="T20" s="1">
        <v>1.0785714285714285</v>
      </c>
      <c r="U20" s="1">
        <v>0</v>
      </c>
      <c r="V20" s="1">
        <v>1.1241785714285715</v>
      </c>
      <c r="W20" s="468">
        <v>9.0677828571428556</v>
      </c>
      <c r="X20" s="465">
        <f t="shared" si="2"/>
        <v>19</v>
      </c>
      <c r="Y20" s="466" t="s">
        <v>148</v>
      </c>
      <c r="Z20" s="2">
        <v>3</v>
      </c>
      <c r="AA20" s="2">
        <v>2</v>
      </c>
      <c r="AB20" s="2">
        <v>5</v>
      </c>
      <c r="AC20" s="2">
        <v>2.2599999999999998</v>
      </c>
      <c r="AD20" s="2">
        <v>1.75</v>
      </c>
      <c r="AE20" s="2">
        <v>0</v>
      </c>
      <c r="AF20" s="1">
        <v>1.706</v>
      </c>
      <c r="AG20" s="1">
        <v>6.7059999999999995</v>
      </c>
      <c r="AH20" s="2">
        <v>2.0105672969966628</v>
      </c>
      <c r="AI20" s="2">
        <v>2</v>
      </c>
      <c r="AJ20" s="1">
        <v>2.0052836484983314</v>
      </c>
      <c r="AK20" s="1">
        <v>3.3140000000000001</v>
      </c>
      <c r="AL20" s="1">
        <v>2.2666666666666666</v>
      </c>
      <c r="AM20" s="468">
        <v>14.291950315164996</v>
      </c>
      <c r="AN20" s="465">
        <f t="shared" si="3"/>
        <v>19</v>
      </c>
      <c r="AO20" s="467" t="s">
        <v>141</v>
      </c>
      <c r="AP20" s="1">
        <v>2.9660000000000002</v>
      </c>
      <c r="AQ20" s="1">
        <v>3.75</v>
      </c>
      <c r="AR20" s="1">
        <v>1.5</v>
      </c>
      <c r="AS20" s="1">
        <v>2.92</v>
      </c>
      <c r="AT20" s="1">
        <v>1.5142857142857145</v>
      </c>
      <c r="AU20" s="1">
        <v>1.875</v>
      </c>
      <c r="AV20" s="468">
        <v>14.525285714285715</v>
      </c>
    </row>
    <row r="21" spans="1:48">
      <c r="A21" s="467">
        <f t="shared" si="0"/>
        <v>20</v>
      </c>
      <c r="B21" s="467" t="s">
        <v>196</v>
      </c>
      <c r="C21" s="7">
        <v>5</v>
      </c>
      <c r="D21" s="7">
        <v>0</v>
      </c>
      <c r="E21" s="7">
        <v>0</v>
      </c>
      <c r="F21" s="7">
        <v>0</v>
      </c>
      <c r="G21" s="7">
        <v>0</v>
      </c>
      <c r="H21" s="7">
        <v>0.42699999999999999</v>
      </c>
      <c r="I21" s="7">
        <v>0.25</v>
      </c>
      <c r="J21" s="7">
        <v>0.67700000000000005</v>
      </c>
      <c r="K21" s="471">
        <v>10.677</v>
      </c>
      <c r="L21" s="472">
        <f t="shared" si="1"/>
        <v>20</v>
      </c>
      <c r="M21" s="466" t="s">
        <v>117</v>
      </c>
      <c r="N21" s="1">
        <v>4.6966000000000001</v>
      </c>
      <c r="O21" s="1">
        <v>2.5990000000000002</v>
      </c>
      <c r="P21" s="1">
        <v>1.35025</v>
      </c>
      <c r="Q21" s="1">
        <v>8.6458499999999994</v>
      </c>
      <c r="R21" s="1">
        <v>2.7750000000000004</v>
      </c>
      <c r="S21" s="1">
        <v>1.625</v>
      </c>
      <c r="T21" s="1">
        <v>2.4571428571428573</v>
      </c>
      <c r="U21" s="1">
        <v>3.4641666666666668</v>
      </c>
      <c r="V21" s="1">
        <v>2.6017738095238099</v>
      </c>
      <c r="W21" s="468">
        <v>8.9980990476190463</v>
      </c>
      <c r="X21" s="465">
        <f t="shared" si="2"/>
        <v>20</v>
      </c>
      <c r="Y21" s="466" t="s">
        <v>120</v>
      </c>
      <c r="Z21" s="2">
        <v>3</v>
      </c>
      <c r="AA21" s="2">
        <v>3</v>
      </c>
      <c r="AB21" s="2">
        <v>6</v>
      </c>
      <c r="AC21" s="2">
        <v>2.2599999999999998</v>
      </c>
      <c r="AD21" s="2">
        <v>1</v>
      </c>
      <c r="AE21" s="2">
        <v>1.7066666666666668</v>
      </c>
      <c r="AF21" s="1">
        <v>1.8973333333333331</v>
      </c>
      <c r="AG21" s="1">
        <v>7.8973333333333331</v>
      </c>
      <c r="AH21" s="2">
        <v>0.59677419354838712</v>
      </c>
      <c r="AI21" s="2">
        <v>1</v>
      </c>
      <c r="AJ21" s="1">
        <v>0.79838709677419351</v>
      </c>
      <c r="AK21" s="1">
        <v>3.92</v>
      </c>
      <c r="AL21" s="1">
        <v>1.6666666666666665</v>
      </c>
      <c r="AM21" s="468">
        <v>14.282387096774192</v>
      </c>
      <c r="AN21" s="465">
        <f t="shared" si="3"/>
        <v>20</v>
      </c>
      <c r="AO21" s="467" t="s">
        <v>169</v>
      </c>
      <c r="AP21" s="1">
        <v>2.3899999999999997</v>
      </c>
      <c r="AQ21" s="1">
        <v>3.25</v>
      </c>
      <c r="AR21" s="1">
        <v>2.25</v>
      </c>
      <c r="AS21" s="1">
        <v>2.3959999999999999</v>
      </c>
      <c r="AT21" s="1">
        <v>2.2571428571428571</v>
      </c>
      <c r="AU21" s="1">
        <v>1.875</v>
      </c>
      <c r="AV21" s="468">
        <v>14.418142857142858</v>
      </c>
    </row>
    <row r="22" spans="1:48">
      <c r="A22" s="467">
        <f t="shared" si="0"/>
        <v>21</v>
      </c>
      <c r="B22" s="467" t="s">
        <v>120</v>
      </c>
      <c r="C22" s="7">
        <v>3</v>
      </c>
      <c r="D22" s="7">
        <v>1.125</v>
      </c>
      <c r="E22" s="7">
        <v>0</v>
      </c>
      <c r="F22" s="7">
        <v>0.25</v>
      </c>
      <c r="G22" s="7">
        <v>1.375</v>
      </c>
      <c r="H22" s="7">
        <v>1.1764999999999999</v>
      </c>
      <c r="I22" s="7">
        <v>2</v>
      </c>
      <c r="J22" s="7">
        <v>3.1764999999999999</v>
      </c>
      <c r="K22" s="471">
        <v>10.551500000000001</v>
      </c>
      <c r="L22" s="472">
        <f t="shared" si="1"/>
        <v>21</v>
      </c>
      <c r="M22" s="466" t="s">
        <v>141</v>
      </c>
      <c r="N22" s="1">
        <v>4.0853999999999999</v>
      </c>
      <c r="O22" s="1">
        <v>3.0397500000000002</v>
      </c>
      <c r="P22" s="1">
        <v>1.5150000000000001</v>
      </c>
      <c r="Q22" s="1">
        <v>8.6401500000000002</v>
      </c>
      <c r="R22" s="1">
        <v>2.6224999999999996</v>
      </c>
      <c r="S22" s="1">
        <v>1.7749999999999999</v>
      </c>
      <c r="T22" s="1">
        <v>2.285714285714286</v>
      </c>
      <c r="U22" s="1">
        <v>4.4649999999999999</v>
      </c>
      <c r="V22" s="1">
        <v>2.5872857142857142</v>
      </c>
      <c r="W22" s="468">
        <v>8.9819485714285712</v>
      </c>
      <c r="X22" s="465">
        <f t="shared" si="2"/>
        <v>21</v>
      </c>
      <c r="Y22" s="466" t="s">
        <v>63</v>
      </c>
      <c r="Z22" s="2">
        <v>2</v>
      </c>
      <c r="AA22" s="2">
        <v>3</v>
      </c>
      <c r="AB22" s="2">
        <v>5</v>
      </c>
      <c r="AC22" s="2">
        <v>1.76</v>
      </c>
      <c r="AD22" s="2">
        <v>0.5</v>
      </c>
      <c r="AE22" s="2">
        <v>1.7049999999999998</v>
      </c>
      <c r="AF22" s="1">
        <v>1.4970000000000001</v>
      </c>
      <c r="AG22" s="1">
        <v>6.4969999999999999</v>
      </c>
      <c r="AH22" s="2">
        <v>0.72580645161290325</v>
      </c>
      <c r="AI22" s="2">
        <v>0.5</v>
      </c>
      <c r="AJ22" s="1">
        <v>0.61290322580645162</v>
      </c>
      <c r="AK22" s="1">
        <v>3.6950000000000003</v>
      </c>
      <c r="AL22" s="1">
        <v>3.1333333333333333</v>
      </c>
      <c r="AM22" s="468">
        <v>13.938236559139785</v>
      </c>
      <c r="AN22" s="465">
        <f t="shared" si="3"/>
        <v>21</v>
      </c>
      <c r="AO22" s="467" t="s">
        <v>165</v>
      </c>
      <c r="AP22" s="1">
        <v>1.286</v>
      </c>
      <c r="AQ22" s="1">
        <v>2.3925000000000001</v>
      </c>
      <c r="AR22" s="1">
        <v>3.5</v>
      </c>
      <c r="AS22" s="1">
        <v>1.238</v>
      </c>
      <c r="AT22" s="1">
        <v>2.2571428571428571</v>
      </c>
      <c r="AU22" s="1">
        <v>3.4375</v>
      </c>
      <c r="AV22" s="468">
        <v>14.111142857142855</v>
      </c>
    </row>
    <row r="23" spans="1:48">
      <c r="A23" s="467">
        <f t="shared" si="0"/>
        <v>22</v>
      </c>
      <c r="B23" s="467" t="s">
        <v>141</v>
      </c>
      <c r="C23" s="7">
        <v>2.5</v>
      </c>
      <c r="D23" s="7">
        <v>1</v>
      </c>
      <c r="E23" s="7">
        <v>1</v>
      </c>
      <c r="F23" s="7">
        <v>0.5</v>
      </c>
      <c r="G23" s="7">
        <v>2.5</v>
      </c>
      <c r="H23" s="7">
        <v>1.6845000000000001</v>
      </c>
      <c r="I23" s="7">
        <v>1.25</v>
      </c>
      <c r="J23" s="7">
        <v>2.9344999999999999</v>
      </c>
      <c r="K23" s="471">
        <v>10.4345</v>
      </c>
      <c r="L23" s="472">
        <f t="shared" si="1"/>
        <v>22</v>
      </c>
      <c r="M23" s="466" t="s">
        <v>222</v>
      </c>
      <c r="N23" s="1">
        <v>4.8583999999999996</v>
      </c>
      <c r="O23" s="1">
        <v>2.4815</v>
      </c>
      <c r="P23" s="1">
        <v>1.5365</v>
      </c>
      <c r="Q23" s="1">
        <v>8.8764000000000003</v>
      </c>
      <c r="R23" s="1">
        <v>1.9806250000000001</v>
      </c>
      <c r="S23" s="1">
        <v>2.8249999999999997</v>
      </c>
      <c r="T23" s="1">
        <v>3.1642857142857141</v>
      </c>
      <c r="U23" s="1">
        <v>0</v>
      </c>
      <c r="V23" s="1">
        <v>2.3404642857142859</v>
      </c>
      <c r="W23" s="468">
        <v>8.97349142857143</v>
      </c>
      <c r="X23" s="465">
        <f t="shared" si="2"/>
        <v>22</v>
      </c>
      <c r="Y23" s="466" t="s">
        <v>90</v>
      </c>
      <c r="Z23" s="2">
        <v>3</v>
      </c>
      <c r="AA23" s="2">
        <v>2</v>
      </c>
      <c r="AB23" s="2">
        <v>5</v>
      </c>
      <c r="AC23" s="2">
        <v>2.5099999999999998</v>
      </c>
      <c r="AD23" s="2">
        <v>1.75</v>
      </c>
      <c r="AE23" s="2">
        <v>1.895</v>
      </c>
      <c r="AF23" s="1">
        <v>2.2349999999999999</v>
      </c>
      <c r="AG23" s="1">
        <v>7.2349999999999994</v>
      </c>
      <c r="AH23" s="2">
        <v>2.5517241379310347</v>
      </c>
      <c r="AI23" s="2">
        <v>2.25</v>
      </c>
      <c r="AJ23" s="1">
        <v>2.4008620689655173</v>
      </c>
      <c r="AK23" s="1">
        <v>1.679</v>
      </c>
      <c r="AL23" s="1">
        <v>2.4666666666666668</v>
      </c>
      <c r="AM23" s="468">
        <v>13.781528735632184</v>
      </c>
      <c r="AN23" s="465">
        <f t="shared" si="3"/>
        <v>22</v>
      </c>
      <c r="AO23" s="467" t="s">
        <v>201</v>
      </c>
      <c r="AP23" s="1">
        <v>2.29</v>
      </c>
      <c r="AQ23" s="1">
        <v>2.5</v>
      </c>
      <c r="AR23" s="1">
        <v>1.5</v>
      </c>
      <c r="AS23" s="1">
        <v>1.9159999999999999</v>
      </c>
      <c r="AT23" s="1">
        <v>3.3428571428571425</v>
      </c>
      <c r="AU23" s="1">
        <v>2.1875</v>
      </c>
      <c r="AV23" s="468">
        <v>13.736357142857141</v>
      </c>
    </row>
    <row r="24" spans="1:48">
      <c r="A24" s="467">
        <f t="shared" si="0"/>
        <v>23</v>
      </c>
      <c r="B24" s="467" t="s">
        <v>206</v>
      </c>
      <c r="C24" s="7">
        <v>5</v>
      </c>
      <c r="D24" s="7">
        <v>0</v>
      </c>
      <c r="E24" s="7">
        <v>0</v>
      </c>
      <c r="F24" s="7">
        <v>0</v>
      </c>
      <c r="G24" s="7">
        <v>0</v>
      </c>
      <c r="H24" s="7">
        <v>0.314</v>
      </c>
      <c r="I24" s="7">
        <v>0</v>
      </c>
      <c r="J24" s="7">
        <v>0.314</v>
      </c>
      <c r="K24" s="471">
        <v>10.314</v>
      </c>
      <c r="L24" s="472">
        <f t="shared" si="1"/>
        <v>23</v>
      </c>
      <c r="M24" s="466" t="s">
        <v>109</v>
      </c>
      <c r="N24" s="1">
        <v>5.1262999999999996</v>
      </c>
      <c r="O24" s="1">
        <v>3.0875000000000004</v>
      </c>
      <c r="P24" s="1">
        <v>0</v>
      </c>
      <c r="Q24" s="1">
        <v>8.2137999999999991</v>
      </c>
      <c r="R24" s="1">
        <v>2.8949999999999996</v>
      </c>
      <c r="S24" s="1">
        <v>0</v>
      </c>
      <c r="T24" s="1">
        <v>3.9</v>
      </c>
      <c r="U24" s="1">
        <v>2.831666666666667</v>
      </c>
      <c r="V24" s="1">
        <v>3.0011666666666668</v>
      </c>
      <c r="W24" s="468">
        <v>8.9719733333333327</v>
      </c>
      <c r="X24" s="465">
        <f t="shared" si="2"/>
        <v>23</v>
      </c>
      <c r="Y24" s="466" t="s">
        <v>187</v>
      </c>
      <c r="Z24" s="2">
        <v>3</v>
      </c>
      <c r="AA24" s="2">
        <v>4</v>
      </c>
      <c r="AB24" s="2">
        <v>7</v>
      </c>
      <c r="AC24" s="2">
        <v>1.01</v>
      </c>
      <c r="AD24" s="2">
        <v>1</v>
      </c>
      <c r="AE24" s="2">
        <v>0.68500000000000005</v>
      </c>
      <c r="AF24" s="1">
        <v>0.94300000000000006</v>
      </c>
      <c r="AG24" s="1">
        <v>7.9429999999999996</v>
      </c>
      <c r="AH24" s="2">
        <v>0.59677419354838712</v>
      </c>
      <c r="AI24" s="2">
        <v>0.5</v>
      </c>
      <c r="AJ24" s="1">
        <v>0.54838709677419351</v>
      </c>
      <c r="AK24" s="1">
        <v>4.6800000000000006</v>
      </c>
      <c r="AL24" s="1">
        <v>0.26666666666666666</v>
      </c>
      <c r="AM24" s="468">
        <v>13.438053763440861</v>
      </c>
      <c r="AN24" s="465">
        <f t="shared" si="3"/>
        <v>23</v>
      </c>
      <c r="AO24" s="467" t="s">
        <v>90</v>
      </c>
      <c r="AP24" s="1">
        <v>3.1440000000000001</v>
      </c>
      <c r="AQ24" s="1">
        <v>2.2069999999999999</v>
      </c>
      <c r="AR24" s="1">
        <v>0.75</v>
      </c>
      <c r="AS24" s="1">
        <v>2.1659999999999999</v>
      </c>
      <c r="AT24" s="1">
        <v>2.7714285714285714</v>
      </c>
      <c r="AU24" s="1">
        <v>2.5</v>
      </c>
      <c r="AV24" s="468">
        <v>13.538428571428572</v>
      </c>
    </row>
    <row r="25" spans="1:48">
      <c r="A25" s="467">
        <f t="shared" si="0"/>
        <v>24</v>
      </c>
      <c r="B25" s="467" t="s">
        <v>199</v>
      </c>
      <c r="C25" s="7">
        <v>5</v>
      </c>
      <c r="D25" s="7">
        <v>0</v>
      </c>
      <c r="E25" s="7">
        <v>0</v>
      </c>
      <c r="F25" s="7">
        <v>0</v>
      </c>
      <c r="G25" s="7">
        <v>0</v>
      </c>
      <c r="H25" s="7">
        <v>2.4E-2</v>
      </c>
      <c r="I25" s="7">
        <v>0</v>
      </c>
      <c r="J25" s="7">
        <v>2.4E-2</v>
      </c>
      <c r="K25" s="471">
        <v>10.023999999999999</v>
      </c>
      <c r="L25" s="472">
        <f t="shared" si="1"/>
        <v>24</v>
      </c>
      <c r="M25" s="466" t="s">
        <v>228</v>
      </c>
      <c r="N25" s="1">
        <v>4.0359999999999996</v>
      </c>
      <c r="O25" s="1">
        <v>2.9022499999999996</v>
      </c>
      <c r="P25" s="1">
        <v>1.69675</v>
      </c>
      <c r="Q25" s="1">
        <v>8.6349999999999998</v>
      </c>
      <c r="R25" s="1">
        <v>2.2243750000000002</v>
      </c>
      <c r="S25" s="1">
        <v>0.52500000000000002</v>
      </c>
      <c r="T25" s="1">
        <v>2.2928571428571427</v>
      </c>
      <c r="U25" s="1">
        <v>3.4725000000000001</v>
      </c>
      <c r="V25" s="1">
        <v>2.2066428571428576</v>
      </c>
      <c r="W25" s="468">
        <v>8.6733142857142873</v>
      </c>
      <c r="X25" s="465">
        <f t="shared" si="2"/>
        <v>24</v>
      </c>
      <c r="Y25" s="466" t="s">
        <v>229</v>
      </c>
      <c r="Z25" s="2">
        <v>3</v>
      </c>
      <c r="AA25" s="2">
        <v>3</v>
      </c>
      <c r="AB25" s="2">
        <v>6</v>
      </c>
      <c r="AC25" s="2">
        <v>2.5099999999999998</v>
      </c>
      <c r="AD25" s="2">
        <v>2</v>
      </c>
      <c r="AE25" s="2">
        <v>2.4566666666666666</v>
      </c>
      <c r="AF25" s="1">
        <v>2.3973333333333331</v>
      </c>
      <c r="AG25" s="1">
        <v>8.3973333333333322</v>
      </c>
      <c r="AH25" s="2">
        <v>1.9944382647385983</v>
      </c>
      <c r="AI25" s="2">
        <v>0.25</v>
      </c>
      <c r="AJ25" s="1">
        <v>1.1222191323692992</v>
      </c>
      <c r="AK25" s="1">
        <v>3.125</v>
      </c>
      <c r="AL25" s="1">
        <v>0.66666666666666663</v>
      </c>
      <c r="AM25" s="468">
        <v>13.311219132369297</v>
      </c>
      <c r="AN25" s="465">
        <f t="shared" si="3"/>
        <v>24</v>
      </c>
      <c r="AO25" s="467" t="s">
        <v>190</v>
      </c>
      <c r="AP25" s="1">
        <v>1.66</v>
      </c>
      <c r="AQ25" s="1">
        <v>3.6855000000000002</v>
      </c>
      <c r="AR25" s="1">
        <v>2</v>
      </c>
      <c r="AS25" s="1">
        <v>2.488</v>
      </c>
      <c r="AT25" s="1">
        <v>1.7714285714285714</v>
      </c>
      <c r="AU25" s="1">
        <v>1.875</v>
      </c>
      <c r="AV25" s="468">
        <v>13.479928571428573</v>
      </c>
    </row>
    <row r="26" spans="1:48">
      <c r="A26" s="467">
        <f t="shared" si="0"/>
        <v>25</v>
      </c>
      <c r="B26" s="467" t="s">
        <v>185</v>
      </c>
      <c r="C26" s="7">
        <v>4.5</v>
      </c>
      <c r="D26" s="7">
        <v>0</v>
      </c>
      <c r="E26" s="7">
        <v>0</v>
      </c>
      <c r="F26" s="7">
        <v>0</v>
      </c>
      <c r="G26" s="7">
        <v>0</v>
      </c>
      <c r="H26" s="7">
        <v>0.81400000000000006</v>
      </c>
      <c r="I26" s="7">
        <v>0</v>
      </c>
      <c r="J26" s="7">
        <v>0.81400000000000006</v>
      </c>
      <c r="K26" s="471">
        <v>9.8140000000000001</v>
      </c>
      <c r="L26" s="472">
        <f t="shared" si="1"/>
        <v>25</v>
      </c>
      <c r="M26" s="466" t="s">
        <v>102</v>
      </c>
      <c r="N26" s="1">
        <v>3.9100999999999999</v>
      </c>
      <c r="O26" s="1">
        <v>2.8640000000000003</v>
      </c>
      <c r="P26" s="1">
        <v>2.7287500000000002</v>
      </c>
      <c r="Q26" s="1">
        <v>9.5028500000000005</v>
      </c>
      <c r="R26" s="1">
        <v>0</v>
      </c>
      <c r="S26" s="1">
        <v>0</v>
      </c>
      <c r="T26" s="1">
        <v>2.4571428571428573</v>
      </c>
      <c r="U26" s="1">
        <v>2.6116666666666668</v>
      </c>
      <c r="V26" s="1">
        <v>1.2440238095238096</v>
      </c>
      <c r="W26" s="468">
        <v>8.5974990476190492</v>
      </c>
      <c r="X26" s="465">
        <f t="shared" si="2"/>
        <v>25</v>
      </c>
      <c r="Y26" s="466" t="s">
        <v>127</v>
      </c>
      <c r="Z26" s="2">
        <v>2</v>
      </c>
      <c r="AA26" s="2">
        <v>3</v>
      </c>
      <c r="AB26" s="2">
        <v>5</v>
      </c>
      <c r="AC26" s="2">
        <v>2.5099999999999998</v>
      </c>
      <c r="AD26" s="2">
        <v>1</v>
      </c>
      <c r="AE26" s="2">
        <v>2.6733333333333338</v>
      </c>
      <c r="AF26" s="1">
        <v>2.2406666666666664</v>
      </c>
      <c r="AG26" s="1">
        <v>7.2406666666666659</v>
      </c>
      <c r="AH26" s="2">
        <v>2.6774193548387095</v>
      </c>
      <c r="AI26" s="2">
        <v>0.25</v>
      </c>
      <c r="AJ26" s="1">
        <v>1.4637096774193548</v>
      </c>
      <c r="AK26" s="1">
        <v>1.9489999999999998</v>
      </c>
      <c r="AL26" s="1">
        <v>2.5999999999999996</v>
      </c>
      <c r="AM26" s="468">
        <v>13.25337634408602</v>
      </c>
      <c r="AN26" s="465">
        <f t="shared" si="3"/>
        <v>25</v>
      </c>
      <c r="AO26" s="467" t="s">
        <v>185</v>
      </c>
      <c r="AP26" s="1">
        <v>3.8740000000000001</v>
      </c>
      <c r="AQ26" s="1">
        <v>2.524</v>
      </c>
      <c r="AR26" s="1">
        <v>1</v>
      </c>
      <c r="AS26" s="1">
        <v>2.6659999999999999</v>
      </c>
      <c r="AT26" s="1">
        <v>2.1428571428571428</v>
      </c>
      <c r="AU26" s="1">
        <v>1.25</v>
      </c>
      <c r="AV26" s="468">
        <v>13.456857142857142</v>
      </c>
    </row>
    <row r="27" spans="1:48">
      <c r="A27" s="467">
        <f t="shared" si="0"/>
        <v>26</v>
      </c>
      <c r="B27" s="467" t="s">
        <v>69</v>
      </c>
      <c r="C27" s="7">
        <v>2.5</v>
      </c>
      <c r="D27" s="7">
        <v>1.25</v>
      </c>
      <c r="E27" s="7">
        <v>1.125</v>
      </c>
      <c r="F27" s="7">
        <v>0.625</v>
      </c>
      <c r="G27" s="7">
        <v>3</v>
      </c>
      <c r="H27" s="7">
        <v>6.4500000000000002E-2</v>
      </c>
      <c r="I27" s="7">
        <v>1.5</v>
      </c>
      <c r="J27" s="7">
        <v>1.5645</v>
      </c>
      <c r="K27" s="471">
        <v>9.5645000000000007</v>
      </c>
      <c r="L27" s="472">
        <f t="shared" si="1"/>
        <v>26</v>
      </c>
      <c r="M27" s="466" t="s">
        <v>96</v>
      </c>
      <c r="N27" s="1">
        <v>4.6585000000000001</v>
      </c>
      <c r="O27" s="1">
        <v>2.7992500000000002</v>
      </c>
      <c r="P27" s="1">
        <v>2.0812499999999998</v>
      </c>
      <c r="Q27" s="1">
        <v>9.5390000000000015</v>
      </c>
      <c r="R27" s="1">
        <v>0</v>
      </c>
      <c r="S27" s="1">
        <v>3.7</v>
      </c>
      <c r="T27" s="1">
        <v>1.7571428571428571</v>
      </c>
      <c r="U27" s="1">
        <v>0</v>
      </c>
      <c r="V27" s="1">
        <v>1.072857142857143</v>
      </c>
      <c r="W27" s="468">
        <v>8.4894857142857152</v>
      </c>
      <c r="X27" s="465">
        <f t="shared" si="2"/>
        <v>26</v>
      </c>
      <c r="Y27" s="466" t="s">
        <v>206</v>
      </c>
      <c r="Z27" s="2">
        <v>2</v>
      </c>
      <c r="AA27" s="2">
        <v>2</v>
      </c>
      <c r="AB27" s="2">
        <v>4</v>
      </c>
      <c r="AC27" s="2">
        <v>2.5099999999999998</v>
      </c>
      <c r="AD27" s="2">
        <v>1</v>
      </c>
      <c r="AE27" s="2">
        <v>2.6716666666666669</v>
      </c>
      <c r="AF27" s="1">
        <v>2.2403333333333331</v>
      </c>
      <c r="AG27" s="1">
        <v>6.2403333333333331</v>
      </c>
      <c r="AH27" s="2">
        <v>2.0678531701890992</v>
      </c>
      <c r="AI27" s="2">
        <v>1</v>
      </c>
      <c r="AJ27" s="1">
        <v>1.5339265850945496</v>
      </c>
      <c r="AK27" s="1">
        <v>1.712</v>
      </c>
      <c r="AL27" s="1">
        <v>3.7333333333333329</v>
      </c>
      <c r="AM27" s="468">
        <v>13.219593251761216</v>
      </c>
      <c r="AN27" s="465">
        <f t="shared" si="3"/>
        <v>26</v>
      </c>
      <c r="AO27" s="467" t="s">
        <v>215</v>
      </c>
      <c r="AP27" s="1">
        <v>2.524</v>
      </c>
      <c r="AQ27" s="1">
        <v>3.75</v>
      </c>
      <c r="AR27" s="1">
        <v>1.25</v>
      </c>
      <c r="AS27" s="1">
        <v>1.8959999999999999</v>
      </c>
      <c r="AT27" s="1">
        <v>1.9142857142857141</v>
      </c>
      <c r="AU27" s="1">
        <v>1.875</v>
      </c>
      <c r="AV27" s="468">
        <v>13.209285714285715</v>
      </c>
    </row>
    <row r="28" spans="1:48">
      <c r="A28" s="467">
        <f t="shared" si="0"/>
        <v>27</v>
      </c>
      <c r="B28" s="467" t="s">
        <v>125</v>
      </c>
      <c r="C28" s="7">
        <v>4.5</v>
      </c>
      <c r="D28" s="7">
        <v>0</v>
      </c>
      <c r="E28" s="7">
        <v>0</v>
      </c>
      <c r="F28" s="7">
        <v>0</v>
      </c>
      <c r="G28" s="7">
        <v>0</v>
      </c>
      <c r="H28" s="7">
        <v>0.24149999999999999</v>
      </c>
      <c r="I28" s="7">
        <v>0</v>
      </c>
      <c r="J28" s="7">
        <v>0.24149999999999999</v>
      </c>
      <c r="K28" s="471">
        <v>9.2415000000000003</v>
      </c>
      <c r="L28" s="472">
        <f t="shared" si="1"/>
        <v>27</v>
      </c>
      <c r="M28" s="466" t="s">
        <v>156</v>
      </c>
      <c r="N28" s="1">
        <v>3.9172000000000002</v>
      </c>
      <c r="O28" s="1">
        <v>1.3915000000000002</v>
      </c>
      <c r="P28" s="1">
        <v>2.7277499999999999</v>
      </c>
      <c r="Q28" s="1">
        <v>8.0364500000000003</v>
      </c>
      <c r="R28" s="1">
        <v>2.390625</v>
      </c>
      <c r="S28" s="1">
        <v>0.52500000000000002</v>
      </c>
      <c r="T28" s="1">
        <v>2.6428571428571432</v>
      </c>
      <c r="U28" s="1">
        <v>4.2958333333333334</v>
      </c>
      <c r="V28" s="1">
        <v>2.4954761904761908</v>
      </c>
      <c r="W28" s="468">
        <v>8.4255409523809526</v>
      </c>
      <c r="X28" s="465">
        <f t="shared" si="2"/>
        <v>27</v>
      </c>
      <c r="Y28" s="466" t="s">
        <v>78</v>
      </c>
      <c r="Z28" s="2">
        <v>2</v>
      </c>
      <c r="AA28" s="2">
        <v>3</v>
      </c>
      <c r="AB28" s="2">
        <v>5</v>
      </c>
      <c r="AC28" s="2">
        <v>2.0099999999999998</v>
      </c>
      <c r="AD28" s="2">
        <v>1.75</v>
      </c>
      <c r="AE28" s="2">
        <v>2.5783333333333336</v>
      </c>
      <c r="AF28" s="1">
        <v>2.0716666666666663</v>
      </c>
      <c r="AG28" s="1">
        <v>7.0716666666666663</v>
      </c>
      <c r="AH28" s="2">
        <v>2.0678531701890992</v>
      </c>
      <c r="AI28" s="2">
        <v>0.75</v>
      </c>
      <c r="AJ28" s="1">
        <v>1.4089265850945496</v>
      </c>
      <c r="AK28" s="1">
        <v>2.9180000000000001</v>
      </c>
      <c r="AL28" s="1">
        <v>1.6666666666666665</v>
      </c>
      <c r="AM28" s="468">
        <v>13.065259918427882</v>
      </c>
      <c r="AN28" s="465">
        <f t="shared" si="3"/>
        <v>27</v>
      </c>
      <c r="AO28" s="467" t="s">
        <v>156</v>
      </c>
      <c r="AP28" s="1">
        <v>3.06</v>
      </c>
      <c r="AQ28" s="1">
        <v>2.6425000000000001</v>
      </c>
      <c r="AR28" s="1">
        <v>1.75</v>
      </c>
      <c r="AS28" s="1">
        <v>2.6459999999999999</v>
      </c>
      <c r="AT28" s="1">
        <v>2.2571428571428571</v>
      </c>
      <c r="AU28" s="1">
        <v>0.625</v>
      </c>
      <c r="AV28" s="468">
        <v>12.980642857142858</v>
      </c>
    </row>
    <row r="29" spans="1:48">
      <c r="A29" s="467">
        <f t="shared" si="0"/>
        <v>28</v>
      </c>
      <c r="B29" s="467" t="s">
        <v>203</v>
      </c>
      <c r="C29" s="7">
        <v>4.5</v>
      </c>
      <c r="D29" s="7">
        <v>0</v>
      </c>
      <c r="E29" s="7">
        <v>0</v>
      </c>
      <c r="F29" s="7">
        <v>0</v>
      </c>
      <c r="G29" s="7">
        <v>0</v>
      </c>
      <c r="H29" s="7">
        <v>0.185</v>
      </c>
      <c r="I29" s="7">
        <v>0</v>
      </c>
      <c r="J29" s="7">
        <v>0.185</v>
      </c>
      <c r="K29" s="471">
        <v>9.1850000000000005</v>
      </c>
      <c r="L29" s="472">
        <f t="shared" si="1"/>
        <v>28</v>
      </c>
      <c r="M29" s="466" t="s">
        <v>161</v>
      </c>
      <c r="N29" s="1">
        <v>3.6875</v>
      </c>
      <c r="O29" s="1">
        <v>2.3140000000000001</v>
      </c>
      <c r="P29" s="1">
        <v>2.2152500000000002</v>
      </c>
      <c r="Q29" s="1">
        <v>8.2167500000000011</v>
      </c>
      <c r="R29" s="1">
        <v>1.9300000000000002</v>
      </c>
      <c r="S29" s="1">
        <v>0</v>
      </c>
      <c r="T29" s="1">
        <v>2.8</v>
      </c>
      <c r="U29" s="1">
        <v>3.1291666666666669</v>
      </c>
      <c r="V29" s="1">
        <v>2.2049166666666666</v>
      </c>
      <c r="W29" s="468">
        <v>8.3373333333333335</v>
      </c>
      <c r="X29" s="465">
        <f t="shared" si="2"/>
        <v>28</v>
      </c>
      <c r="Y29" s="466" t="s">
        <v>114</v>
      </c>
      <c r="Z29" s="2">
        <v>3</v>
      </c>
      <c r="AA29" s="2">
        <v>2</v>
      </c>
      <c r="AB29" s="2">
        <v>5</v>
      </c>
      <c r="AC29" s="2">
        <v>2.0099999999999998</v>
      </c>
      <c r="AD29" s="2">
        <v>1.5</v>
      </c>
      <c r="AE29" s="2">
        <v>1.9733333333333334</v>
      </c>
      <c r="AF29" s="1">
        <v>1.9006666666666665</v>
      </c>
      <c r="AG29" s="1">
        <v>6.9006666666666661</v>
      </c>
      <c r="AH29" s="2">
        <v>4.7558398220244715</v>
      </c>
      <c r="AI29" s="2">
        <v>0.25</v>
      </c>
      <c r="AJ29" s="1">
        <v>2.5029199110122358</v>
      </c>
      <c r="AK29" s="1">
        <v>2.4900000000000002</v>
      </c>
      <c r="AL29" s="1">
        <v>1</v>
      </c>
      <c r="AM29" s="468">
        <v>12.893586577678901</v>
      </c>
      <c r="AN29" s="465">
        <f t="shared" si="3"/>
        <v>28</v>
      </c>
      <c r="AO29" s="467" t="s">
        <v>123</v>
      </c>
      <c r="AP29" s="1">
        <v>2.1760000000000002</v>
      </c>
      <c r="AQ29" s="1">
        <v>3.5</v>
      </c>
      <c r="AR29" s="1">
        <v>0.75</v>
      </c>
      <c r="AS29" s="1">
        <v>1.6459999999999999</v>
      </c>
      <c r="AT29" s="1">
        <v>2.9714285714285715</v>
      </c>
      <c r="AU29" s="1">
        <v>1.875</v>
      </c>
      <c r="AV29" s="468">
        <v>12.918428571428571</v>
      </c>
    </row>
    <row r="30" spans="1:48">
      <c r="A30" s="467">
        <f t="shared" si="0"/>
        <v>29</v>
      </c>
      <c r="B30" s="467" t="s">
        <v>127</v>
      </c>
      <c r="C30" s="7">
        <v>2.5</v>
      </c>
      <c r="D30" s="7">
        <v>1</v>
      </c>
      <c r="E30" s="7">
        <v>1.125</v>
      </c>
      <c r="F30" s="7">
        <v>0.25</v>
      </c>
      <c r="G30" s="7">
        <v>2.375</v>
      </c>
      <c r="H30" s="7">
        <v>0.3785</v>
      </c>
      <c r="I30" s="7">
        <v>1</v>
      </c>
      <c r="J30" s="7">
        <v>1.3785000000000001</v>
      </c>
      <c r="K30" s="471">
        <v>8.7535000000000007</v>
      </c>
      <c r="L30" s="472">
        <f t="shared" si="1"/>
        <v>29</v>
      </c>
      <c r="M30" s="466" t="s">
        <v>180</v>
      </c>
      <c r="N30" s="1">
        <v>4.4622999999999999</v>
      </c>
      <c r="O30" s="1">
        <v>2.5025000000000004</v>
      </c>
      <c r="P30" s="1">
        <v>1.9617499999999999</v>
      </c>
      <c r="Q30" s="1">
        <v>8.9265500000000007</v>
      </c>
      <c r="R30" s="1">
        <v>2.3918749999999998</v>
      </c>
      <c r="S30" s="1">
        <v>0</v>
      </c>
      <c r="T30" s="1">
        <v>1.2571428571428571</v>
      </c>
      <c r="U30" s="1">
        <v>0</v>
      </c>
      <c r="V30" s="1">
        <v>1.4596071428571429</v>
      </c>
      <c r="W30" s="468">
        <v>8.3089257142857154</v>
      </c>
      <c r="X30" s="465">
        <f t="shared" si="2"/>
        <v>29</v>
      </c>
      <c r="Y30" s="466" t="s">
        <v>117</v>
      </c>
      <c r="Z30" s="2">
        <v>2</v>
      </c>
      <c r="AA30" s="2">
        <v>4</v>
      </c>
      <c r="AB30" s="2">
        <v>6</v>
      </c>
      <c r="AC30" s="2">
        <v>1.76</v>
      </c>
      <c r="AD30" s="2">
        <v>0.25</v>
      </c>
      <c r="AE30" s="2">
        <v>2.5516666666666672</v>
      </c>
      <c r="AF30" s="1">
        <v>1.6163333333333334</v>
      </c>
      <c r="AG30" s="1">
        <v>7.6163333333333334</v>
      </c>
      <c r="AH30" s="2">
        <v>1.5517241379310345</v>
      </c>
      <c r="AI30" s="2">
        <v>1</v>
      </c>
      <c r="AJ30" s="1">
        <v>1.2758620689655173</v>
      </c>
      <c r="AK30" s="1">
        <v>1.506</v>
      </c>
      <c r="AL30" s="1">
        <v>2.4</v>
      </c>
      <c r="AM30" s="468">
        <v>12.798195402298852</v>
      </c>
      <c r="AN30" s="465">
        <f t="shared" si="3"/>
        <v>29</v>
      </c>
      <c r="AO30" s="467" t="s">
        <v>78</v>
      </c>
      <c r="AP30" s="1">
        <v>3.02</v>
      </c>
      <c r="AQ30" s="1">
        <v>2.1855000000000002</v>
      </c>
      <c r="AR30" s="1">
        <v>1.25</v>
      </c>
      <c r="AS30" s="1">
        <v>2.6659999999999999</v>
      </c>
      <c r="AT30" s="1">
        <v>1.7714285714285714</v>
      </c>
      <c r="AU30" s="1">
        <v>1.875</v>
      </c>
      <c r="AV30" s="468">
        <v>12.767928571428573</v>
      </c>
    </row>
    <row r="31" spans="1:48">
      <c r="A31" s="467">
        <f t="shared" si="0"/>
        <v>30</v>
      </c>
      <c r="B31" s="467" t="s">
        <v>123</v>
      </c>
      <c r="C31" s="7">
        <v>2.5</v>
      </c>
      <c r="D31" s="7">
        <v>1.0833333333333333</v>
      </c>
      <c r="E31" s="7">
        <v>1</v>
      </c>
      <c r="F31" s="7">
        <v>0.41666666666666669</v>
      </c>
      <c r="G31" s="7">
        <v>2.4999999999999996</v>
      </c>
      <c r="H31" s="7">
        <v>0.22550000000000001</v>
      </c>
      <c r="I31" s="7">
        <v>1</v>
      </c>
      <c r="J31" s="7">
        <v>1.2255</v>
      </c>
      <c r="K31" s="471">
        <v>8.7255000000000003</v>
      </c>
      <c r="L31" s="472">
        <f t="shared" si="1"/>
        <v>30</v>
      </c>
      <c r="M31" s="466" t="s">
        <v>82</v>
      </c>
      <c r="N31" s="1">
        <v>4.2602000000000002</v>
      </c>
      <c r="O31" s="1">
        <v>2.2635000000000001</v>
      </c>
      <c r="P31" s="1">
        <v>2.4172500000000001</v>
      </c>
      <c r="Q31" s="1">
        <v>8.9409500000000008</v>
      </c>
      <c r="R31" s="1">
        <v>2.7537500000000001</v>
      </c>
      <c r="S31" s="1">
        <v>0</v>
      </c>
      <c r="T31" s="1">
        <v>0</v>
      </c>
      <c r="U31" s="1">
        <v>2.9808333333333334</v>
      </c>
      <c r="V31" s="1">
        <v>1.3995833333333336</v>
      </c>
      <c r="W31" s="468">
        <v>8.2724266666666679</v>
      </c>
      <c r="X31" s="465">
        <f t="shared" si="2"/>
        <v>30</v>
      </c>
      <c r="Y31" s="466" t="s">
        <v>225</v>
      </c>
      <c r="Z31" s="2">
        <v>2</v>
      </c>
      <c r="AA31" s="2">
        <v>3</v>
      </c>
      <c r="AB31" s="2">
        <v>5</v>
      </c>
      <c r="AC31" s="2">
        <v>1.79</v>
      </c>
      <c r="AD31" s="2">
        <v>0.75</v>
      </c>
      <c r="AE31" s="2">
        <v>1.8133333333333335</v>
      </c>
      <c r="AF31" s="1">
        <v>1.5866666666666669</v>
      </c>
      <c r="AG31" s="1">
        <v>6.5866666666666669</v>
      </c>
      <c r="AH31" s="2">
        <v>0</v>
      </c>
      <c r="AI31" s="2">
        <v>0.25</v>
      </c>
      <c r="AJ31" s="1">
        <v>0.125</v>
      </c>
      <c r="AK31" s="1">
        <v>4.0760000000000005</v>
      </c>
      <c r="AL31" s="1">
        <v>1.5333333333333332</v>
      </c>
      <c r="AM31" s="468">
        <v>12.321</v>
      </c>
      <c r="AN31" s="465">
        <f t="shared" si="3"/>
        <v>30</v>
      </c>
      <c r="AO31" s="467" t="s">
        <v>228</v>
      </c>
      <c r="AP31" s="1">
        <v>3.0920000000000001</v>
      </c>
      <c r="AQ31" s="1">
        <v>1.3924999999999998</v>
      </c>
      <c r="AR31" s="1">
        <v>1</v>
      </c>
      <c r="AS31" s="1">
        <v>2.4159999999999999</v>
      </c>
      <c r="AT31" s="1">
        <v>2.6285714285714286</v>
      </c>
      <c r="AU31" s="1">
        <v>1.875</v>
      </c>
      <c r="AV31" s="468">
        <v>12.404071428571427</v>
      </c>
    </row>
    <row r="32" spans="1:48">
      <c r="A32" s="467">
        <f t="shared" si="0"/>
        <v>31</v>
      </c>
      <c r="B32" s="467" t="s">
        <v>161</v>
      </c>
      <c r="C32" s="7">
        <v>3.5</v>
      </c>
      <c r="D32" s="7">
        <v>0</v>
      </c>
      <c r="E32" s="7">
        <v>0</v>
      </c>
      <c r="F32" s="7">
        <v>0</v>
      </c>
      <c r="G32" s="7">
        <v>0</v>
      </c>
      <c r="H32" s="7">
        <v>0.60450000000000004</v>
      </c>
      <c r="I32" s="7">
        <v>0.25</v>
      </c>
      <c r="J32" s="7">
        <v>0.85450000000000004</v>
      </c>
      <c r="K32" s="471">
        <v>7.8544999999999998</v>
      </c>
      <c r="L32" s="472">
        <f t="shared" si="1"/>
        <v>31</v>
      </c>
      <c r="M32" s="466" t="s">
        <v>150</v>
      </c>
      <c r="N32" s="1">
        <v>4.5725999999999996</v>
      </c>
      <c r="O32" s="1">
        <v>1.8860000000000001</v>
      </c>
      <c r="P32" s="1">
        <v>1.86</v>
      </c>
      <c r="Q32" s="1">
        <v>8.3186</v>
      </c>
      <c r="R32" s="1">
        <v>1.756875</v>
      </c>
      <c r="S32" s="1">
        <v>0</v>
      </c>
      <c r="T32" s="1">
        <v>2.0285714285714285</v>
      </c>
      <c r="U32" s="1">
        <v>0</v>
      </c>
      <c r="V32" s="1">
        <v>1.5141785714285714</v>
      </c>
      <c r="W32" s="468">
        <v>7.8662228571428567</v>
      </c>
      <c r="X32" s="465">
        <f t="shared" si="2"/>
        <v>31</v>
      </c>
      <c r="Y32" s="466" t="s">
        <v>109</v>
      </c>
      <c r="Z32" s="2">
        <v>3</v>
      </c>
      <c r="AA32" s="2">
        <v>3</v>
      </c>
      <c r="AB32" s="2">
        <v>6</v>
      </c>
      <c r="AC32" s="2">
        <v>0.51</v>
      </c>
      <c r="AD32" s="2">
        <v>0.25</v>
      </c>
      <c r="AE32" s="2">
        <v>0.95333333333333348</v>
      </c>
      <c r="AF32" s="1">
        <v>0.54666666666666663</v>
      </c>
      <c r="AG32" s="1">
        <v>6.5466666666666669</v>
      </c>
      <c r="AH32" s="2">
        <v>0</v>
      </c>
      <c r="AI32" s="2">
        <v>0.75</v>
      </c>
      <c r="AJ32" s="1">
        <v>0.375</v>
      </c>
      <c r="AK32" s="1">
        <v>4.2840000000000007</v>
      </c>
      <c r="AL32" s="1">
        <v>0.93333333333333324</v>
      </c>
      <c r="AM32" s="468">
        <v>12.139000000000001</v>
      </c>
      <c r="AN32" s="465">
        <f t="shared" si="3"/>
        <v>31</v>
      </c>
      <c r="AO32" s="467" t="s">
        <v>203</v>
      </c>
      <c r="AP32" s="1">
        <v>1.35</v>
      </c>
      <c r="AQ32" s="1">
        <v>3.75</v>
      </c>
      <c r="AR32" s="1">
        <v>1</v>
      </c>
      <c r="AS32" s="1">
        <v>3.92</v>
      </c>
      <c r="AT32" s="1">
        <v>1.0571428571428572</v>
      </c>
      <c r="AU32" s="1">
        <v>1.25</v>
      </c>
      <c r="AV32" s="468">
        <v>12.327142857142857</v>
      </c>
    </row>
    <row r="33" spans="1:48">
      <c r="A33" s="467">
        <f t="shared" si="0"/>
        <v>32</v>
      </c>
      <c r="B33" s="467" t="s">
        <v>109</v>
      </c>
      <c r="C33" s="7">
        <v>2.5</v>
      </c>
      <c r="D33" s="7">
        <v>1.25</v>
      </c>
      <c r="E33" s="7">
        <v>0</v>
      </c>
      <c r="F33" s="7">
        <v>0.5</v>
      </c>
      <c r="G33" s="7">
        <v>1.75</v>
      </c>
      <c r="H33" s="7">
        <v>0.83799999999999997</v>
      </c>
      <c r="I33" s="7">
        <v>0.25</v>
      </c>
      <c r="J33" s="7">
        <v>1.0880000000000001</v>
      </c>
      <c r="K33" s="471">
        <v>7.8380000000000001</v>
      </c>
      <c r="L33" s="472">
        <f t="shared" si="1"/>
        <v>32</v>
      </c>
      <c r="M33" s="466" t="s">
        <v>69</v>
      </c>
      <c r="N33" s="1">
        <v>4.9612999999999996</v>
      </c>
      <c r="O33" s="1">
        <v>1.7332500000000002</v>
      </c>
      <c r="P33" s="1">
        <v>2.8307500000000001</v>
      </c>
      <c r="Q33" s="1">
        <v>9.5252999999999997</v>
      </c>
      <c r="R33" s="1">
        <v>0</v>
      </c>
      <c r="S33" s="1">
        <v>0</v>
      </c>
      <c r="T33" s="1">
        <v>0</v>
      </c>
      <c r="U33" s="1">
        <v>3.0583333333333336</v>
      </c>
      <c r="V33" s="1">
        <v>0.3058333333333334</v>
      </c>
      <c r="W33" s="468">
        <v>7.8649066666666672</v>
      </c>
      <c r="X33" s="465">
        <f t="shared" si="2"/>
        <v>32</v>
      </c>
      <c r="Y33" s="466" t="s">
        <v>161</v>
      </c>
      <c r="Z33" s="2">
        <v>2</v>
      </c>
      <c r="AA33" s="2">
        <v>3</v>
      </c>
      <c r="AB33" s="2">
        <v>5</v>
      </c>
      <c r="AC33" s="2">
        <v>0.51</v>
      </c>
      <c r="AD33" s="2">
        <v>0.75</v>
      </c>
      <c r="AE33" s="2">
        <v>0.68500000000000005</v>
      </c>
      <c r="AF33" s="1">
        <v>0.59299999999999997</v>
      </c>
      <c r="AG33" s="1">
        <v>5.593</v>
      </c>
      <c r="AH33" s="2">
        <v>0.4838709677419355</v>
      </c>
      <c r="AI33" s="2">
        <v>1</v>
      </c>
      <c r="AJ33" s="1">
        <v>0.74193548387096775</v>
      </c>
      <c r="AK33" s="1">
        <v>2.7589999999999999</v>
      </c>
      <c r="AL33" s="1">
        <v>2.8666666666666663</v>
      </c>
      <c r="AM33" s="468">
        <v>11.960602150537635</v>
      </c>
      <c r="AN33" s="465">
        <f t="shared" si="3"/>
        <v>32</v>
      </c>
      <c r="AO33" s="467" t="s">
        <v>69</v>
      </c>
      <c r="AP33" s="1">
        <v>2.5960000000000001</v>
      </c>
      <c r="AQ33" s="1">
        <v>2.6855000000000002</v>
      </c>
      <c r="AR33" s="1">
        <v>1.5</v>
      </c>
      <c r="AS33" s="1">
        <v>1.6459999999999999</v>
      </c>
      <c r="AT33" s="1">
        <v>2.6285714285714286</v>
      </c>
      <c r="AU33" s="1">
        <v>1.25</v>
      </c>
      <c r="AV33" s="468">
        <v>12.306071428571428</v>
      </c>
    </row>
    <row r="34" spans="1:48">
      <c r="A34" s="467">
        <f t="shared" ref="A34:A65" si="4">RANK(K34,$K$2:$K$65)</f>
        <v>33</v>
      </c>
      <c r="B34" s="467" t="s">
        <v>104</v>
      </c>
      <c r="C34" s="7">
        <v>3.5</v>
      </c>
      <c r="D34" s="7">
        <v>0</v>
      </c>
      <c r="E34" s="7">
        <v>0</v>
      </c>
      <c r="F34" s="7">
        <v>0</v>
      </c>
      <c r="G34" s="7">
        <v>0</v>
      </c>
      <c r="H34" s="7">
        <v>0.63700000000000001</v>
      </c>
      <c r="I34" s="7">
        <v>0</v>
      </c>
      <c r="J34" s="7">
        <v>0.63700000000000001</v>
      </c>
      <c r="K34" s="471">
        <v>7.6370000000000005</v>
      </c>
      <c r="L34" s="472">
        <f t="shared" si="1"/>
        <v>34</v>
      </c>
      <c r="M34" s="466" t="s">
        <v>104</v>
      </c>
      <c r="N34" s="1">
        <v>6.0975000000000001</v>
      </c>
      <c r="O34" s="1">
        <v>1.6705000000000001</v>
      </c>
      <c r="P34" s="1">
        <v>1.3839999999999999</v>
      </c>
      <c r="Q34" s="1">
        <v>9.152000000000001</v>
      </c>
      <c r="R34" s="1">
        <v>0</v>
      </c>
      <c r="S34" s="1">
        <v>3.75</v>
      </c>
      <c r="T34" s="1">
        <v>0</v>
      </c>
      <c r="U34" s="1">
        <v>0</v>
      </c>
      <c r="V34" s="1">
        <v>0.375</v>
      </c>
      <c r="W34" s="468">
        <v>7.6216000000000008</v>
      </c>
      <c r="X34" s="465">
        <f t="shared" si="2"/>
        <v>33</v>
      </c>
      <c r="Y34" s="466" t="s">
        <v>150</v>
      </c>
      <c r="Z34" s="2">
        <v>2</v>
      </c>
      <c r="AA34" s="2">
        <v>2</v>
      </c>
      <c r="AB34" s="2">
        <v>4</v>
      </c>
      <c r="AC34" s="2">
        <v>1.26</v>
      </c>
      <c r="AD34" s="2">
        <v>2</v>
      </c>
      <c r="AE34" s="2">
        <v>2.0833333333333335</v>
      </c>
      <c r="AF34" s="1">
        <v>1.5726666666666669</v>
      </c>
      <c r="AG34" s="1">
        <v>5.5726666666666667</v>
      </c>
      <c r="AH34" s="2">
        <v>0.59677419354838712</v>
      </c>
      <c r="AI34" s="2">
        <v>0.5</v>
      </c>
      <c r="AJ34" s="1">
        <v>0.54838709677419351</v>
      </c>
      <c r="AK34" s="1">
        <v>1.712</v>
      </c>
      <c r="AL34" s="1">
        <v>3.8</v>
      </c>
      <c r="AM34" s="468">
        <v>11.633053763440859</v>
      </c>
      <c r="AN34" s="465">
        <f t="shared" si="3"/>
        <v>33</v>
      </c>
      <c r="AO34" s="467" t="s">
        <v>148</v>
      </c>
      <c r="AP34" s="1">
        <v>1.1279999999999999</v>
      </c>
      <c r="AQ34" s="1">
        <v>3.274</v>
      </c>
      <c r="AR34" s="1">
        <v>1</v>
      </c>
      <c r="AS34" s="1">
        <v>2.75</v>
      </c>
      <c r="AT34" s="1">
        <v>2.8571428571428572</v>
      </c>
      <c r="AU34" s="1">
        <v>1.25</v>
      </c>
      <c r="AV34" s="468">
        <v>12.259142857142859</v>
      </c>
    </row>
    <row r="35" spans="1:48">
      <c r="A35" s="467">
        <f t="shared" si="4"/>
        <v>34</v>
      </c>
      <c r="B35" s="467" t="s">
        <v>222</v>
      </c>
      <c r="C35" s="7">
        <v>2.5</v>
      </c>
      <c r="D35" s="7">
        <v>0</v>
      </c>
      <c r="E35" s="7">
        <v>1.5</v>
      </c>
      <c r="F35" s="7">
        <v>0.5</v>
      </c>
      <c r="G35" s="7">
        <v>2</v>
      </c>
      <c r="H35" s="7">
        <v>0.34649999999999997</v>
      </c>
      <c r="I35" s="7">
        <v>0</v>
      </c>
      <c r="J35" s="7">
        <v>0.34649999999999997</v>
      </c>
      <c r="K35" s="471">
        <v>7.3464999999999998</v>
      </c>
      <c r="L35" s="472">
        <f t="shared" si="1"/>
        <v>35</v>
      </c>
      <c r="M35" s="466" t="s">
        <v>63</v>
      </c>
      <c r="N35" s="1">
        <v>3.87</v>
      </c>
      <c r="O35" s="1">
        <v>2.7562500000000001</v>
      </c>
      <c r="P35" s="1">
        <v>2.16825</v>
      </c>
      <c r="Q35" s="1">
        <v>8.7945000000000011</v>
      </c>
      <c r="R35" s="1">
        <v>0</v>
      </c>
      <c r="S35" s="1">
        <v>0</v>
      </c>
      <c r="T35" s="1">
        <v>1.6928571428571431</v>
      </c>
      <c r="U35" s="1">
        <v>0</v>
      </c>
      <c r="V35" s="1">
        <v>0.67714285714285727</v>
      </c>
      <c r="W35" s="468">
        <v>7.5773142857142872</v>
      </c>
      <c r="X35" s="465">
        <f t="shared" si="2"/>
        <v>34</v>
      </c>
      <c r="Y35" s="466" t="s">
        <v>163</v>
      </c>
      <c r="Z35" s="2">
        <v>3</v>
      </c>
      <c r="AA35" s="2">
        <v>2</v>
      </c>
      <c r="AB35" s="2">
        <v>5</v>
      </c>
      <c r="AC35" s="2">
        <v>1.01</v>
      </c>
      <c r="AD35" s="2">
        <v>0.75</v>
      </c>
      <c r="AE35" s="2">
        <v>0.68500000000000005</v>
      </c>
      <c r="AF35" s="1">
        <v>0.89300000000000002</v>
      </c>
      <c r="AG35" s="1">
        <v>5.8929999999999998</v>
      </c>
      <c r="AH35" s="2">
        <v>0.87096774193548387</v>
      </c>
      <c r="AI35" s="2">
        <v>0.5</v>
      </c>
      <c r="AJ35" s="1">
        <v>0.68548387096774199</v>
      </c>
      <c r="AK35" s="1">
        <v>2.1739999999999999</v>
      </c>
      <c r="AL35" s="1">
        <v>2.2666666666666666</v>
      </c>
      <c r="AM35" s="468">
        <v>11.01915053763441</v>
      </c>
      <c r="AN35" s="465">
        <f t="shared" si="3"/>
        <v>34</v>
      </c>
      <c r="AO35" s="467" t="s">
        <v>163</v>
      </c>
      <c r="AP35" s="1">
        <v>2.6840000000000002</v>
      </c>
      <c r="AQ35" s="1">
        <v>1.1425000000000001</v>
      </c>
      <c r="AR35" s="1">
        <v>2.5</v>
      </c>
      <c r="AS35" s="1">
        <v>1.738</v>
      </c>
      <c r="AT35" s="1">
        <v>1.0571428571428572</v>
      </c>
      <c r="AU35" s="1">
        <v>2.5</v>
      </c>
      <c r="AV35" s="468">
        <v>11.621642857142858</v>
      </c>
    </row>
    <row r="36" spans="1:48">
      <c r="A36" s="467">
        <f t="shared" si="4"/>
        <v>35</v>
      </c>
      <c r="B36" s="467" t="s">
        <v>193</v>
      </c>
      <c r="C36" s="7">
        <v>3.5</v>
      </c>
      <c r="D36" s="7">
        <v>0</v>
      </c>
      <c r="E36" s="7">
        <v>0</v>
      </c>
      <c r="F36" s="7">
        <v>0</v>
      </c>
      <c r="G36" s="7">
        <v>0</v>
      </c>
      <c r="H36" s="7">
        <v>0.1125</v>
      </c>
      <c r="I36" s="7">
        <v>0</v>
      </c>
      <c r="J36" s="7">
        <v>0.1125</v>
      </c>
      <c r="K36" s="471">
        <v>7.1124999999999998</v>
      </c>
      <c r="L36" s="472">
        <f t="shared" si="1"/>
        <v>36</v>
      </c>
      <c r="M36" s="466" t="s">
        <v>225</v>
      </c>
      <c r="N36" s="1">
        <v>3.2893999999999997</v>
      </c>
      <c r="O36" s="1">
        <v>2.3767499999999999</v>
      </c>
      <c r="P36" s="1">
        <v>1.3250000000000002</v>
      </c>
      <c r="Q36" s="1">
        <v>6.9911500000000002</v>
      </c>
      <c r="R36" s="1">
        <v>2.5874999999999999</v>
      </c>
      <c r="S36" s="1">
        <v>0</v>
      </c>
      <c r="T36" s="1">
        <v>1.9714285714285713</v>
      </c>
      <c r="U36" s="1">
        <v>4.3224999999999998</v>
      </c>
      <c r="V36" s="1">
        <v>2.2558214285714282</v>
      </c>
      <c r="W36" s="468">
        <v>7.3975771428571422</v>
      </c>
      <c r="X36" s="465">
        <f t="shared" si="2"/>
        <v>35</v>
      </c>
      <c r="Y36" s="466" t="s">
        <v>196</v>
      </c>
      <c r="Z36" s="2">
        <v>2</v>
      </c>
      <c r="AA36" s="2">
        <v>3</v>
      </c>
      <c r="AB36" s="2">
        <v>5</v>
      </c>
      <c r="AC36" s="2">
        <v>1.51</v>
      </c>
      <c r="AD36" s="2">
        <v>1</v>
      </c>
      <c r="AE36" s="2">
        <v>1.1416666666666668</v>
      </c>
      <c r="AF36" s="1">
        <v>1.3343333333333334</v>
      </c>
      <c r="AG36" s="1">
        <v>6.3343333333333334</v>
      </c>
      <c r="AH36" s="2">
        <v>0.88709677419354838</v>
      </c>
      <c r="AI36" s="2">
        <v>2</v>
      </c>
      <c r="AJ36" s="1">
        <v>1.4435483870967742</v>
      </c>
      <c r="AK36" s="1">
        <v>3.1399999999999997</v>
      </c>
      <c r="AL36" s="1">
        <v>0</v>
      </c>
      <c r="AM36" s="468">
        <v>10.917881720430106</v>
      </c>
      <c r="AN36" s="465">
        <f t="shared" si="3"/>
        <v>35</v>
      </c>
      <c r="AO36" s="467" t="s">
        <v>136</v>
      </c>
      <c r="AP36" s="1">
        <v>1.9219999999999999</v>
      </c>
      <c r="AQ36" s="1">
        <v>3.7095000000000002</v>
      </c>
      <c r="AR36" s="1">
        <v>0.75</v>
      </c>
      <c r="AS36" s="1">
        <v>1.9159999999999999</v>
      </c>
      <c r="AT36" s="1">
        <v>1.9142857142857141</v>
      </c>
      <c r="AU36" s="1">
        <v>1.25</v>
      </c>
      <c r="AV36" s="468">
        <v>11.461785714285714</v>
      </c>
    </row>
    <row r="37" spans="1:48">
      <c r="A37" s="467">
        <f t="shared" si="4"/>
        <v>36</v>
      </c>
      <c r="B37" s="467" t="s">
        <v>134</v>
      </c>
      <c r="C37" s="7">
        <v>3</v>
      </c>
      <c r="D37" s="7">
        <v>0</v>
      </c>
      <c r="E37" s="7">
        <v>0</v>
      </c>
      <c r="F37" s="7">
        <v>0</v>
      </c>
      <c r="G37" s="7">
        <v>0</v>
      </c>
      <c r="H37" s="7">
        <v>0.61250000000000004</v>
      </c>
      <c r="I37" s="7">
        <v>0.25</v>
      </c>
      <c r="J37" s="7">
        <v>0.86250000000000004</v>
      </c>
      <c r="K37" s="471">
        <v>6.8624999999999998</v>
      </c>
      <c r="L37" s="472">
        <f t="shared" si="1"/>
        <v>37</v>
      </c>
      <c r="M37" s="466" t="s">
        <v>213</v>
      </c>
      <c r="N37" s="1">
        <v>4.3846000000000007</v>
      </c>
      <c r="O37" s="1">
        <v>1.6402500000000002</v>
      </c>
      <c r="P37" s="1">
        <v>2.4957500000000001</v>
      </c>
      <c r="Q37" s="1">
        <v>8.5206000000000017</v>
      </c>
      <c r="R37" s="1">
        <v>1.1168749999999998</v>
      </c>
      <c r="S37" s="1">
        <v>0</v>
      </c>
      <c r="T37" s="1">
        <v>0</v>
      </c>
      <c r="U37" s="1">
        <v>2.5525000000000002</v>
      </c>
      <c r="V37" s="1">
        <v>0.70199999999999996</v>
      </c>
      <c r="W37" s="468">
        <v>7.3780800000000015</v>
      </c>
      <c r="X37" s="465">
        <f t="shared" si="2"/>
        <v>36</v>
      </c>
      <c r="Y37" s="466" t="s">
        <v>123</v>
      </c>
      <c r="Z37" s="2">
        <v>2</v>
      </c>
      <c r="AA37" s="2">
        <v>2</v>
      </c>
      <c r="AB37" s="2">
        <v>4</v>
      </c>
      <c r="AC37" s="2">
        <v>2.68</v>
      </c>
      <c r="AD37" s="2">
        <v>2</v>
      </c>
      <c r="AE37" s="2">
        <v>2.0016666666666669</v>
      </c>
      <c r="AF37" s="1">
        <v>2.4083333333333332</v>
      </c>
      <c r="AG37" s="1">
        <v>6.4083333333333332</v>
      </c>
      <c r="AH37" s="2">
        <v>0.69354838709677424</v>
      </c>
      <c r="AI37" s="2">
        <v>1.5</v>
      </c>
      <c r="AJ37" s="1">
        <v>1.096774193548387</v>
      </c>
      <c r="AK37" s="1">
        <v>1.6</v>
      </c>
      <c r="AL37" s="1">
        <v>1.8</v>
      </c>
      <c r="AM37" s="468">
        <v>10.905107526881721</v>
      </c>
      <c r="AN37" s="465">
        <f t="shared" si="3"/>
        <v>36</v>
      </c>
      <c r="AO37" s="467" t="s">
        <v>209</v>
      </c>
      <c r="AP37" s="1">
        <v>2.9059999999999997</v>
      </c>
      <c r="AQ37" s="1">
        <v>3.024</v>
      </c>
      <c r="AR37" s="1">
        <v>1.25</v>
      </c>
      <c r="AS37" s="1">
        <v>1.988</v>
      </c>
      <c r="AT37" s="1">
        <v>1.5428571428571429</v>
      </c>
      <c r="AU37" s="1">
        <v>0.625</v>
      </c>
      <c r="AV37" s="468">
        <v>11.335857142857142</v>
      </c>
    </row>
    <row r="38" spans="1:48">
      <c r="A38" s="467">
        <f t="shared" si="4"/>
        <v>37</v>
      </c>
      <c r="B38" s="467" t="s">
        <v>182</v>
      </c>
      <c r="C38" s="7">
        <v>2.5</v>
      </c>
      <c r="D38" s="7">
        <v>0</v>
      </c>
      <c r="E38" s="7">
        <v>0</v>
      </c>
      <c r="F38" s="7">
        <v>0</v>
      </c>
      <c r="G38" s="7">
        <v>0</v>
      </c>
      <c r="H38" s="7">
        <v>1.3860000000000001</v>
      </c>
      <c r="I38" s="7">
        <v>0</v>
      </c>
      <c r="J38" s="7">
        <v>1.3860000000000001</v>
      </c>
      <c r="K38" s="471">
        <v>6.3860000000000001</v>
      </c>
      <c r="L38" s="472">
        <f t="shared" si="1"/>
        <v>38</v>
      </c>
      <c r="M38" s="466" t="s">
        <v>206</v>
      </c>
      <c r="N38" s="1">
        <v>3.8593999999999999</v>
      </c>
      <c r="O38" s="1">
        <v>2.42</v>
      </c>
      <c r="P38" s="1">
        <v>2.1564999999999999</v>
      </c>
      <c r="Q38" s="1">
        <v>8.4359000000000002</v>
      </c>
      <c r="R38" s="1">
        <v>1.87</v>
      </c>
      <c r="S38" s="1">
        <v>0</v>
      </c>
      <c r="T38" s="1">
        <v>0</v>
      </c>
      <c r="U38" s="1">
        <v>0</v>
      </c>
      <c r="V38" s="1">
        <v>0.74800000000000011</v>
      </c>
      <c r="W38" s="468">
        <v>7.3471199999999994</v>
      </c>
      <c r="X38" s="465">
        <f t="shared" si="2"/>
        <v>37</v>
      </c>
      <c r="Y38" s="466" t="s">
        <v>193</v>
      </c>
      <c r="Z38" s="2">
        <v>2</v>
      </c>
      <c r="AA38" s="2">
        <v>2</v>
      </c>
      <c r="AB38" s="2">
        <v>4</v>
      </c>
      <c r="AC38" s="2">
        <v>2.54</v>
      </c>
      <c r="AD38" s="2">
        <v>1.25</v>
      </c>
      <c r="AE38" s="2">
        <v>2.1616666666666666</v>
      </c>
      <c r="AF38" s="1">
        <v>2.2063333333333333</v>
      </c>
      <c r="AG38" s="1">
        <v>6.2063333333333333</v>
      </c>
      <c r="AH38" s="2">
        <v>0</v>
      </c>
      <c r="AI38" s="2">
        <v>0.25</v>
      </c>
      <c r="AJ38" s="1">
        <v>0.125</v>
      </c>
      <c r="AK38" s="1">
        <v>2.4899999999999998</v>
      </c>
      <c r="AL38" s="1">
        <v>2</v>
      </c>
      <c r="AM38" s="468">
        <v>10.821333333333333</v>
      </c>
      <c r="AN38" s="465">
        <f t="shared" si="3"/>
        <v>37</v>
      </c>
      <c r="AO38" s="467" t="s">
        <v>180</v>
      </c>
      <c r="AP38" s="1">
        <v>2.4379999999999997</v>
      </c>
      <c r="AQ38" s="1">
        <v>1.9595</v>
      </c>
      <c r="AR38" s="1">
        <v>1.75</v>
      </c>
      <c r="AS38" s="1">
        <v>2.4159999999999999</v>
      </c>
      <c r="AT38" s="1">
        <v>0.8</v>
      </c>
      <c r="AU38" s="1">
        <v>1.875</v>
      </c>
      <c r="AV38" s="468">
        <v>11.2385</v>
      </c>
    </row>
    <row r="39" spans="1:48">
      <c r="A39" s="467">
        <f t="shared" si="4"/>
        <v>38</v>
      </c>
      <c r="B39" s="467" t="s">
        <v>225</v>
      </c>
      <c r="C39" s="7">
        <v>2.5</v>
      </c>
      <c r="D39" s="7">
        <v>0</v>
      </c>
      <c r="E39" s="7">
        <v>1</v>
      </c>
      <c r="F39" s="7">
        <v>0</v>
      </c>
      <c r="G39" s="7">
        <v>1</v>
      </c>
      <c r="H39" s="7">
        <v>0.34650000000000003</v>
      </c>
      <c r="I39" s="7">
        <v>0</v>
      </c>
      <c r="J39" s="7">
        <v>0.34650000000000003</v>
      </c>
      <c r="K39" s="471">
        <v>6.3464999999999998</v>
      </c>
      <c r="L39" s="472">
        <f t="shared" si="1"/>
        <v>39</v>
      </c>
      <c r="M39" s="466" t="s">
        <v>127</v>
      </c>
      <c r="N39" s="1">
        <v>3.5766</v>
      </c>
      <c r="O39" s="1">
        <v>1.8937500000000003</v>
      </c>
      <c r="P39" s="1">
        <v>2.27725</v>
      </c>
      <c r="Q39" s="1">
        <v>7.7476000000000003</v>
      </c>
      <c r="R39" s="1">
        <v>1.6074999999999999</v>
      </c>
      <c r="S39" s="1">
        <v>0</v>
      </c>
      <c r="T39" s="1">
        <v>0.85714285714285732</v>
      </c>
      <c r="U39" s="1">
        <v>0</v>
      </c>
      <c r="V39" s="1">
        <v>0.98585714285714299</v>
      </c>
      <c r="W39" s="468">
        <v>6.9867657142857142</v>
      </c>
      <c r="X39" s="465">
        <f t="shared" si="2"/>
        <v>38</v>
      </c>
      <c r="Y39" s="466" t="s">
        <v>180</v>
      </c>
      <c r="Z39" s="2">
        <v>2</v>
      </c>
      <c r="AA39" s="2">
        <v>3</v>
      </c>
      <c r="AB39" s="2">
        <v>5</v>
      </c>
      <c r="AC39" s="2">
        <v>1.51</v>
      </c>
      <c r="AD39" s="2">
        <v>0.5</v>
      </c>
      <c r="AE39" s="2">
        <v>1.5166666666666668</v>
      </c>
      <c r="AF39" s="1">
        <v>1.3093333333333335</v>
      </c>
      <c r="AG39" s="1">
        <v>6.309333333333333</v>
      </c>
      <c r="AH39" s="2">
        <v>0</v>
      </c>
      <c r="AI39" s="2">
        <v>1.25</v>
      </c>
      <c r="AJ39" s="1">
        <v>0.625</v>
      </c>
      <c r="AK39" s="1">
        <v>1.8540000000000001</v>
      </c>
      <c r="AL39" s="1">
        <v>2</v>
      </c>
      <c r="AM39" s="468">
        <v>10.788333333333334</v>
      </c>
      <c r="AN39" s="465">
        <f t="shared" si="3"/>
        <v>38</v>
      </c>
      <c r="AO39" s="467" t="s">
        <v>229</v>
      </c>
      <c r="AP39" s="1">
        <v>2.7439999999999998</v>
      </c>
      <c r="AQ39" s="1">
        <v>2.9355000000000002</v>
      </c>
      <c r="AR39" s="1">
        <v>0.5</v>
      </c>
      <c r="AS39" s="1">
        <v>1.488</v>
      </c>
      <c r="AT39" s="1">
        <v>2.2571428571428571</v>
      </c>
      <c r="AU39" s="1">
        <v>1.25</v>
      </c>
      <c r="AV39" s="468">
        <v>11.174642857142857</v>
      </c>
    </row>
    <row r="40" spans="1:48">
      <c r="A40" s="467">
        <f t="shared" si="4"/>
        <v>39</v>
      </c>
      <c r="B40" s="467" t="s">
        <v>180</v>
      </c>
      <c r="C40" s="7">
        <v>1</v>
      </c>
      <c r="D40" s="7">
        <v>1.5</v>
      </c>
      <c r="E40" s="7">
        <v>1.5</v>
      </c>
      <c r="F40" s="7">
        <v>0.75</v>
      </c>
      <c r="G40" s="7">
        <v>3.75</v>
      </c>
      <c r="H40" s="7">
        <v>0.39449999999999996</v>
      </c>
      <c r="I40" s="7">
        <v>0</v>
      </c>
      <c r="J40" s="7">
        <v>0.39449999999999996</v>
      </c>
      <c r="K40" s="471">
        <v>6.1444999999999999</v>
      </c>
      <c r="L40" s="472">
        <f t="shared" si="1"/>
        <v>40</v>
      </c>
      <c r="M40" s="466" t="s">
        <v>72</v>
      </c>
      <c r="N40" s="1">
        <v>3.4079000000000002</v>
      </c>
      <c r="O40" s="1">
        <v>2.1212499999999999</v>
      </c>
      <c r="P40" s="1">
        <v>1.1635</v>
      </c>
      <c r="Q40" s="1">
        <v>6.6926499999999995</v>
      </c>
      <c r="R40" s="1">
        <v>2.3143750000000001</v>
      </c>
      <c r="S40" s="1">
        <v>0</v>
      </c>
      <c r="T40" s="1">
        <v>1.7785714285714287</v>
      </c>
      <c r="U40" s="1">
        <v>3.0966666666666671</v>
      </c>
      <c r="V40" s="1">
        <v>1.9468452380952384</v>
      </c>
      <c r="W40" s="468">
        <v>6.9115961904761907</v>
      </c>
      <c r="X40" s="465">
        <f t="shared" si="2"/>
        <v>39</v>
      </c>
      <c r="Y40" s="466" t="s">
        <v>236</v>
      </c>
      <c r="Z40" s="2">
        <v>3</v>
      </c>
      <c r="AA40" s="2">
        <v>2</v>
      </c>
      <c r="AB40" s="2">
        <v>5</v>
      </c>
      <c r="AC40" s="2">
        <v>2.4500000000000002</v>
      </c>
      <c r="AD40" s="2">
        <v>1.3</v>
      </c>
      <c r="AE40" s="2">
        <v>2.4500000000000002</v>
      </c>
      <c r="AF40" s="1">
        <v>2.2200000000000002</v>
      </c>
      <c r="AG40" s="1">
        <v>7.2200000000000006</v>
      </c>
      <c r="AH40" s="2">
        <v>1.2380952380952381</v>
      </c>
      <c r="AI40" s="2">
        <v>1</v>
      </c>
      <c r="AJ40" s="1">
        <v>1.1190476190476191</v>
      </c>
      <c r="AK40" s="1">
        <v>1.806</v>
      </c>
      <c r="AL40" s="1">
        <v>0.26666666666666666</v>
      </c>
      <c r="AM40" s="468">
        <v>10.411714285714288</v>
      </c>
      <c r="AN40" s="465">
        <f t="shared" si="3"/>
        <v>39</v>
      </c>
      <c r="AO40" s="467" t="s">
        <v>120</v>
      </c>
      <c r="AP40" s="1">
        <v>3.016</v>
      </c>
      <c r="AQ40" s="1">
        <v>1.6424999999999998</v>
      </c>
      <c r="AR40" s="1">
        <v>1.25</v>
      </c>
      <c r="AS40" s="1">
        <v>2.4159999999999999</v>
      </c>
      <c r="AT40" s="1">
        <v>1.5428571428571429</v>
      </c>
      <c r="AU40" s="1">
        <v>1.25</v>
      </c>
      <c r="AV40" s="468">
        <v>11.117357142857143</v>
      </c>
    </row>
    <row r="41" spans="1:48">
      <c r="A41" s="467">
        <f t="shared" si="4"/>
        <v>40</v>
      </c>
      <c r="B41" s="467" t="s">
        <v>187</v>
      </c>
      <c r="C41" s="7">
        <v>2.5</v>
      </c>
      <c r="D41" s="7">
        <v>0</v>
      </c>
      <c r="E41" s="7">
        <v>0</v>
      </c>
      <c r="F41" s="7">
        <v>0</v>
      </c>
      <c r="G41" s="7">
        <v>0</v>
      </c>
      <c r="H41" s="7">
        <v>0.87050000000000005</v>
      </c>
      <c r="I41" s="7">
        <v>0.25</v>
      </c>
      <c r="J41" s="7">
        <v>1.1205000000000001</v>
      </c>
      <c r="K41" s="471">
        <v>6.1204999999999998</v>
      </c>
      <c r="L41" s="472">
        <f t="shared" si="1"/>
        <v>41</v>
      </c>
      <c r="M41" s="466" t="s">
        <v>196</v>
      </c>
      <c r="N41" s="1">
        <v>3.1162000000000001</v>
      </c>
      <c r="O41" s="1">
        <v>2.3529999999999998</v>
      </c>
      <c r="P41" s="1">
        <v>2.0912500000000001</v>
      </c>
      <c r="Q41" s="1">
        <v>7.5604499999999994</v>
      </c>
      <c r="R41" s="1">
        <v>2.2837499999999999</v>
      </c>
      <c r="S41" s="1">
        <v>0</v>
      </c>
      <c r="T41" s="1">
        <v>0.34285714285714286</v>
      </c>
      <c r="U41" s="1">
        <v>0</v>
      </c>
      <c r="V41" s="1">
        <v>1.0506428571428572</v>
      </c>
      <c r="W41" s="468">
        <v>6.8888742857142855</v>
      </c>
      <c r="X41" s="465">
        <f t="shared" si="2"/>
        <v>40</v>
      </c>
      <c r="Y41" s="466" t="s">
        <v>134</v>
      </c>
      <c r="Z41" s="2">
        <v>2</v>
      </c>
      <c r="AA41" s="2">
        <v>2</v>
      </c>
      <c r="AB41" s="2">
        <v>4</v>
      </c>
      <c r="AC41" s="2">
        <v>0.51</v>
      </c>
      <c r="AD41" s="2">
        <v>0.75</v>
      </c>
      <c r="AE41" s="2">
        <v>0.68500000000000005</v>
      </c>
      <c r="AF41" s="1">
        <v>0.59299999999999997</v>
      </c>
      <c r="AG41" s="1">
        <v>4.593</v>
      </c>
      <c r="AH41" s="2">
        <v>0.59677419354838712</v>
      </c>
      <c r="AI41" s="2">
        <v>0.75</v>
      </c>
      <c r="AJ41" s="1">
        <v>0.67338709677419351</v>
      </c>
      <c r="AK41" s="1">
        <v>2.9820000000000002</v>
      </c>
      <c r="AL41" s="1">
        <v>1.8666666666666665</v>
      </c>
      <c r="AM41" s="468">
        <v>10.115053763440862</v>
      </c>
      <c r="AN41" s="465">
        <f t="shared" si="3"/>
        <v>40</v>
      </c>
      <c r="AO41" s="467" t="s">
        <v>100</v>
      </c>
      <c r="AP41" s="1">
        <v>2.1120000000000001</v>
      </c>
      <c r="AQ41" s="1">
        <v>3.75</v>
      </c>
      <c r="AR41" s="1">
        <v>1.25</v>
      </c>
      <c r="AS41" s="1">
        <v>1.5309999999999999</v>
      </c>
      <c r="AT41" s="1">
        <v>1.7714285714285714</v>
      </c>
      <c r="AU41" s="1">
        <v>0.625</v>
      </c>
      <c r="AV41" s="468">
        <v>11.039428571428573</v>
      </c>
    </row>
    <row r="42" spans="1:48">
      <c r="A42" s="467">
        <f t="shared" si="4"/>
        <v>41</v>
      </c>
      <c r="B42" s="467" t="s">
        <v>158</v>
      </c>
      <c r="C42" s="7">
        <v>3</v>
      </c>
      <c r="D42" s="7">
        <v>0</v>
      </c>
      <c r="E42" s="7">
        <v>0</v>
      </c>
      <c r="F42" s="7">
        <v>0</v>
      </c>
      <c r="G42" s="7">
        <v>0</v>
      </c>
      <c r="H42" s="7">
        <v>0</v>
      </c>
      <c r="I42" s="7">
        <v>0</v>
      </c>
      <c r="J42" s="7">
        <v>0</v>
      </c>
      <c r="K42" s="471">
        <v>6</v>
      </c>
      <c r="L42" s="472">
        <f t="shared" si="1"/>
        <v>42</v>
      </c>
      <c r="M42" s="466" t="s">
        <v>229</v>
      </c>
      <c r="N42" s="1">
        <v>2.8826000000000001</v>
      </c>
      <c r="O42" s="1">
        <v>1.8927500000000002</v>
      </c>
      <c r="P42" s="1">
        <v>2.2212499999999999</v>
      </c>
      <c r="Q42" s="1">
        <v>6.9966000000000008</v>
      </c>
      <c r="R42" s="1">
        <v>1.57</v>
      </c>
      <c r="S42" s="1">
        <v>0</v>
      </c>
      <c r="T42" s="1">
        <v>1.6642857142857144</v>
      </c>
      <c r="U42" s="1">
        <v>2.2441666666666666</v>
      </c>
      <c r="V42" s="1">
        <v>1.5181309523809527</v>
      </c>
      <c r="W42" s="468">
        <v>6.8117847619047627</v>
      </c>
      <c r="X42" s="465">
        <f t="shared" si="2"/>
        <v>41</v>
      </c>
      <c r="Y42" s="466" t="s">
        <v>139</v>
      </c>
      <c r="Z42" s="2">
        <v>2</v>
      </c>
      <c r="AA42" s="2">
        <v>3</v>
      </c>
      <c r="AB42" s="2">
        <v>5</v>
      </c>
      <c r="AC42" s="2">
        <v>1.76</v>
      </c>
      <c r="AD42" s="2">
        <v>0.25</v>
      </c>
      <c r="AE42" s="2">
        <v>1.7066666666666668</v>
      </c>
      <c r="AF42" s="1">
        <v>1.4473333333333334</v>
      </c>
      <c r="AG42" s="1">
        <v>6.4473333333333329</v>
      </c>
      <c r="AH42" s="2">
        <v>0.67741935483870974</v>
      </c>
      <c r="AI42" s="2">
        <v>0</v>
      </c>
      <c r="AJ42" s="1">
        <v>0.33870967741935487</v>
      </c>
      <c r="AK42" s="1">
        <v>3.3159999999999998</v>
      </c>
      <c r="AL42" s="1">
        <v>0</v>
      </c>
      <c r="AM42" s="468">
        <v>10.102043010752688</v>
      </c>
      <c r="AN42" s="465">
        <f t="shared" si="3"/>
        <v>41</v>
      </c>
      <c r="AO42" s="467" t="s">
        <v>87</v>
      </c>
      <c r="AP42" s="1">
        <v>1.478</v>
      </c>
      <c r="AQ42" s="1">
        <v>3</v>
      </c>
      <c r="AR42" s="1">
        <v>1.25</v>
      </c>
      <c r="AS42" s="1">
        <v>2.92</v>
      </c>
      <c r="AT42" s="1">
        <v>1.5428571428571429</v>
      </c>
      <c r="AU42" s="1">
        <v>0.625</v>
      </c>
      <c r="AV42" s="468">
        <v>10.815857142857142</v>
      </c>
    </row>
    <row r="43" spans="1:48">
      <c r="A43" s="467">
        <f t="shared" si="4"/>
        <v>42</v>
      </c>
      <c r="B43" s="467" t="s">
        <v>63</v>
      </c>
      <c r="C43" s="7">
        <v>2.5</v>
      </c>
      <c r="D43" s="7">
        <v>0</v>
      </c>
      <c r="E43" s="7">
        <v>0</v>
      </c>
      <c r="F43" s="7">
        <v>0</v>
      </c>
      <c r="G43" s="7">
        <v>0</v>
      </c>
      <c r="H43" s="7">
        <v>0.96699999999999997</v>
      </c>
      <c r="I43" s="7">
        <v>0</v>
      </c>
      <c r="J43" s="7">
        <v>0.96699999999999997</v>
      </c>
      <c r="K43" s="471">
        <v>5.9669999999999996</v>
      </c>
      <c r="L43" s="472">
        <f t="shared" si="1"/>
        <v>43</v>
      </c>
      <c r="M43" s="466" t="s">
        <v>143</v>
      </c>
      <c r="N43" s="1">
        <v>3.1633</v>
      </c>
      <c r="O43" s="1">
        <v>0.84499999999999997</v>
      </c>
      <c r="P43" s="1">
        <v>2.6517499999999998</v>
      </c>
      <c r="Q43" s="1">
        <v>6.66005</v>
      </c>
      <c r="R43" s="1">
        <v>0</v>
      </c>
      <c r="S43" s="1">
        <v>0</v>
      </c>
      <c r="T43" s="1">
        <v>3.6999999999999997</v>
      </c>
      <c r="U43" s="1">
        <v>3.6875</v>
      </c>
      <c r="V43" s="1">
        <v>1.8487499999999999</v>
      </c>
      <c r="W43" s="468">
        <v>6.8070400000000006</v>
      </c>
      <c r="X43" s="465">
        <f t="shared" si="2"/>
        <v>42</v>
      </c>
      <c r="Y43" s="466" t="s">
        <v>201</v>
      </c>
      <c r="Z43" s="2">
        <v>2</v>
      </c>
      <c r="AA43" s="2">
        <v>1</v>
      </c>
      <c r="AB43" s="2">
        <v>3</v>
      </c>
      <c r="AC43" s="2">
        <v>1.51</v>
      </c>
      <c r="AD43" s="2">
        <v>1.75</v>
      </c>
      <c r="AE43" s="2">
        <v>1.7066666666666668</v>
      </c>
      <c r="AF43" s="1">
        <v>1.5973333333333333</v>
      </c>
      <c r="AG43" s="1">
        <v>4.5973333333333333</v>
      </c>
      <c r="AH43" s="2">
        <v>2.2452725250278087</v>
      </c>
      <c r="AI43" s="2">
        <v>0</v>
      </c>
      <c r="AJ43" s="1">
        <v>1.1226362625139044</v>
      </c>
      <c r="AK43" s="1">
        <v>2.726</v>
      </c>
      <c r="AL43" s="1">
        <v>1.4666666666666668</v>
      </c>
      <c r="AM43" s="468">
        <v>9.9126362625139048</v>
      </c>
      <c r="AN43" s="465">
        <f t="shared" si="3"/>
        <v>42</v>
      </c>
      <c r="AO43" s="467" t="s">
        <v>222</v>
      </c>
      <c r="AP43" s="1">
        <v>3.1080000000000001</v>
      </c>
      <c r="AQ43" s="1">
        <v>1.274</v>
      </c>
      <c r="AR43" s="1">
        <v>0</v>
      </c>
      <c r="AS43" s="1">
        <v>1.9159999999999999</v>
      </c>
      <c r="AT43" s="1">
        <v>2.6285714285714286</v>
      </c>
      <c r="AU43" s="1">
        <v>1.25</v>
      </c>
      <c r="AV43" s="468">
        <v>10.176571428571428</v>
      </c>
    </row>
    <row r="44" spans="1:48">
      <c r="A44" s="467">
        <f t="shared" si="4"/>
        <v>43</v>
      </c>
      <c r="B44" s="467" t="s">
        <v>96</v>
      </c>
      <c r="C44" s="7">
        <v>2.5</v>
      </c>
      <c r="D44" s="7">
        <v>0</v>
      </c>
      <c r="E44" s="7">
        <v>0</v>
      </c>
      <c r="F44" s="7">
        <v>0</v>
      </c>
      <c r="G44" s="7">
        <v>0</v>
      </c>
      <c r="H44" s="7">
        <v>0.64449999999999996</v>
      </c>
      <c r="I44" s="7">
        <v>0</v>
      </c>
      <c r="J44" s="7">
        <v>0.64449999999999996</v>
      </c>
      <c r="K44" s="471">
        <v>5.6444999999999999</v>
      </c>
      <c r="L44" s="472">
        <f t="shared" si="1"/>
        <v>44</v>
      </c>
      <c r="M44" s="466" t="s">
        <v>78</v>
      </c>
      <c r="N44" s="1">
        <v>3.9045999999999998</v>
      </c>
      <c r="O44" s="1">
        <v>1.6160000000000001</v>
      </c>
      <c r="P44" s="1">
        <v>1.2689999999999999</v>
      </c>
      <c r="Q44" s="1">
        <v>6.7896000000000001</v>
      </c>
      <c r="R44" s="1">
        <v>2.1349999999999998</v>
      </c>
      <c r="S44" s="1">
        <v>0</v>
      </c>
      <c r="T44" s="1">
        <v>1.5214285714285714</v>
      </c>
      <c r="U44" s="1">
        <v>2.0133333333333332</v>
      </c>
      <c r="V44" s="1">
        <v>1.663904761904762</v>
      </c>
      <c r="W44" s="468">
        <v>6.7628038095238097</v>
      </c>
      <c r="X44" s="465">
        <f t="shared" si="2"/>
        <v>43</v>
      </c>
      <c r="Y44" s="466" t="s">
        <v>228</v>
      </c>
      <c r="Z44" s="2">
        <v>2</v>
      </c>
      <c r="AA44" s="2">
        <v>3</v>
      </c>
      <c r="AB44" s="2">
        <v>5</v>
      </c>
      <c r="AC44" s="2">
        <v>1.29</v>
      </c>
      <c r="AD44" s="2">
        <v>1</v>
      </c>
      <c r="AE44" s="2">
        <v>0.95333333333333348</v>
      </c>
      <c r="AF44" s="1">
        <v>1.1646666666666667</v>
      </c>
      <c r="AG44" s="1">
        <v>6.1646666666666672</v>
      </c>
      <c r="AH44" s="2">
        <v>0</v>
      </c>
      <c r="AI44" s="2">
        <v>0.25</v>
      </c>
      <c r="AJ44" s="1">
        <v>0.125</v>
      </c>
      <c r="AK44" s="1">
        <v>2.347</v>
      </c>
      <c r="AL44" s="1">
        <v>1</v>
      </c>
      <c r="AM44" s="468">
        <v>9.6366666666666667</v>
      </c>
      <c r="AN44" s="465">
        <f t="shared" si="3"/>
        <v>43</v>
      </c>
      <c r="AO44" s="467" t="s">
        <v>193</v>
      </c>
      <c r="AP44" s="1">
        <v>2.1639999999999997</v>
      </c>
      <c r="AQ44" s="1">
        <v>2.274</v>
      </c>
      <c r="AR44" s="1">
        <v>0.5</v>
      </c>
      <c r="AS44" s="1">
        <v>2.4159999999999999</v>
      </c>
      <c r="AT44" s="1">
        <v>2.1428571428571428</v>
      </c>
      <c r="AU44" s="1">
        <v>0.625</v>
      </c>
      <c r="AV44" s="468">
        <v>10.121857142857142</v>
      </c>
    </row>
    <row r="45" spans="1:48">
      <c r="A45" s="467">
        <f t="shared" si="4"/>
        <v>44</v>
      </c>
      <c r="B45" s="467" t="s">
        <v>129</v>
      </c>
      <c r="C45" s="7">
        <v>2.5</v>
      </c>
      <c r="D45" s="7">
        <v>0</v>
      </c>
      <c r="E45" s="7">
        <v>0</v>
      </c>
      <c r="F45" s="7">
        <v>0</v>
      </c>
      <c r="G45" s="7">
        <v>0</v>
      </c>
      <c r="H45" s="7">
        <v>0.53949999999999998</v>
      </c>
      <c r="I45" s="7">
        <v>0</v>
      </c>
      <c r="J45" s="7">
        <v>0.53949999999999998</v>
      </c>
      <c r="K45" s="471">
        <v>5.5395000000000003</v>
      </c>
      <c r="L45" s="472">
        <f t="shared" si="1"/>
        <v>45</v>
      </c>
      <c r="M45" s="466" t="s">
        <v>114</v>
      </c>
      <c r="N45" s="1">
        <v>3.7778</v>
      </c>
      <c r="O45" s="1">
        <v>2.0604999999999998</v>
      </c>
      <c r="P45" s="1">
        <v>0.83625000000000005</v>
      </c>
      <c r="Q45" s="1">
        <v>6.67455</v>
      </c>
      <c r="R45" s="1">
        <v>1.3443749999999999</v>
      </c>
      <c r="S45" s="1">
        <v>0</v>
      </c>
      <c r="T45" s="1">
        <v>2.0714285714285716</v>
      </c>
      <c r="U45" s="1">
        <v>3.7950000000000004</v>
      </c>
      <c r="V45" s="1">
        <v>1.7458214285714289</v>
      </c>
      <c r="W45" s="468">
        <v>6.7362971428571425</v>
      </c>
      <c r="X45" s="465">
        <f t="shared" si="2"/>
        <v>44</v>
      </c>
      <c r="Y45" s="466" t="s">
        <v>125</v>
      </c>
      <c r="Z45" s="2">
        <v>2</v>
      </c>
      <c r="AA45" s="2">
        <v>2</v>
      </c>
      <c r="AB45" s="2">
        <v>4</v>
      </c>
      <c r="AC45" s="2">
        <v>2.0099999999999998</v>
      </c>
      <c r="AD45" s="2">
        <v>0.75</v>
      </c>
      <c r="AE45" s="2">
        <v>1.5166666666666668</v>
      </c>
      <c r="AF45" s="1">
        <v>1.6593333333333333</v>
      </c>
      <c r="AG45" s="1">
        <v>5.6593333333333335</v>
      </c>
      <c r="AH45" s="2">
        <v>0</v>
      </c>
      <c r="AI45" s="2">
        <v>0</v>
      </c>
      <c r="AJ45" s="1">
        <v>0</v>
      </c>
      <c r="AK45" s="1">
        <v>1.171</v>
      </c>
      <c r="AL45" s="1">
        <v>2.5333333333333332</v>
      </c>
      <c r="AM45" s="468">
        <v>9.363666666666667</v>
      </c>
      <c r="AN45" s="465">
        <f t="shared" si="3"/>
        <v>44</v>
      </c>
      <c r="AO45" s="467" t="s">
        <v>161</v>
      </c>
      <c r="AP45" s="1">
        <v>1.3819999999999999</v>
      </c>
      <c r="AQ45" s="1">
        <v>1.8924999999999998</v>
      </c>
      <c r="AR45" s="1">
        <v>0.75</v>
      </c>
      <c r="AS45" s="1">
        <v>2.1459999999999999</v>
      </c>
      <c r="AT45" s="1">
        <v>1.7714285714285714</v>
      </c>
      <c r="AU45" s="1">
        <v>1.875</v>
      </c>
      <c r="AV45" s="468">
        <v>9.816928571428571</v>
      </c>
    </row>
    <row r="46" spans="1:48">
      <c r="A46" s="467">
        <f t="shared" si="4"/>
        <v>45</v>
      </c>
      <c r="B46" s="467" t="s">
        <v>213</v>
      </c>
      <c r="C46" s="7">
        <v>2.5</v>
      </c>
      <c r="D46" s="7">
        <v>0</v>
      </c>
      <c r="E46" s="7">
        <v>0</v>
      </c>
      <c r="F46" s="7">
        <v>0</v>
      </c>
      <c r="G46" s="7">
        <v>0</v>
      </c>
      <c r="H46" s="7">
        <v>0.52349999999999997</v>
      </c>
      <c r="I46" s="7">
        <v>0</v>
      </c>
      <c r="J46" s="7">
        <v>0.52349999999999997</v>
      </c>
      <c r="K46" s="471">
        <v>5.5235000000000003</v>
      </c>
      <c r="L46" s="472">
        <f t="shared" si="1"/>
        <v>46</v>
      </c>
      <c r="M46" s="466" t="s">
        <v>134</v>
      </c>
      <c r="N46" s="1">
        <v>3.6017999999999999</v>
      </c>
      <c r="O46" s="1">
        <v>0</v>
      </c>
      <c r="P46" s="1">
        <v>2.5122499999999999</v>
      </c>
      <c r="Q46" s="1">
        <v>6.1140499999999998</v>
      </c>
      <c r="R46" s="1">
        <v>1.829375</v>
      </c>
      <c r="S46" s="1">
        <v>0</v>
      </c>
      <c r="T46" s="1">
        <v>2.5285714285714289</v>
      </c>
      <c r="U46" s="1">
        <v>4.1775000000000002</v>
      </c>
      <c r="V46" s="1">
        <v>2.1609285714285713</v>
      </c>
      <c r="W46" s="468">
        <v>6.6199828571428565</v>
      </c>
      <c r="X46" s="465">
        <f t="shared" si="2"/>
        <v>45</v>
      </c>
      <c r="Y46" s="466" t="s">
        <v>199</v>
      </c>
      <c r="Z46" s="2">
        <v>2</v>
      </c>
      <c r="AA46" s="2">
        <v>2</v>
      </c>
      <c r="AB46" s="2">
        <v>4</v>
      </c>
      <c r="AC46" s="2">
        <v>1.79</v>
      </c>
      <c r="AD46" s="2">
        <v>1.25</v>
      </c>
      <c r="AE46" s="2">
        <v>1.7049999999999998</v>
      </c>
      <c r="AF46" s="1">
        <v>1.665</v>
      </c>
      <c r="AG46" s="1">
        <v>5.665</v>
      </c>
      <c r="AH46" s="2">
        <v>0</v>
      </c>
      <c r="AI46" s="2">
        <v>0</v>
      </c>
      <c r="AJ46" s="1">
        <v>0</v>
      </c>
      <c r="AK46" s="1">
        <v>1.22</v>
      </c>
      <c r="AL46" s="1">
        <v>2.1999999999999997</v>
      </c>
      <c r="AM46" s="468">
        <v>9.0849999999999991</v>
      </c>
      <c r="AN46" s="465">
        <f t="shared" si="3"/>
        <v>45</v>
      </c>
      <c r="AO46" s="467" t="s">
        <v>109</v>
      </c>
      <c r="AP46" s="1">
        <v>1.5640000000000001</v>
      </c>
      <c r="AQ46" s="1">
        <v>2.0405000000000002</v>
      </c>
      <c r="AR46" s="1">
        <v>1.25</v>
      </c>
      <c r="AS46" s="1">
        <v>2.1459999999999999</v>
      </c>
      <c r="AT46" s="1">
        <v>0.74285714285714288</v>
      </c>
      <c r="AU46" s="1">
        <v>1.875</v>
      </c>
      <c r="AV46" s="468">
        <v>9.6183571428571426</v>
      </c>
    </row>
    <row r="47" spans="1:48">
      <c r="A47" s="467">
        <f t="shared" si="4"/>
        <v>46</v>
      </c>
      <c r="B47" s="467" t="s">
        <v>90</v>
      </c>
      <c r="C47" s="7">
        <v>2.5</v>
      </c>
      <c r="D47" s="7">
        <v>0</v>
      </c>
      <c r="E47" s="7">
        <v>0</v>
      </c>
      <c r="F47" s="7">
        <v>0</v>
      </c>
      <c r="G47" s="7">
        <v>0</v>
      </c>
      <c r="H47" s="7">
        <v>0.49150000000000005</v>
      </c>
      <c r="I47" s="7">
        <v>0</v>
      </c>
      <c r="J47" s="7">
        <v>0.49150000000000005</v>
      </c>
      <c r="K47" s="471">
        <v>5.4915000000000003</v>
      </c>
      <c r="L47" s="472">
        <f t="shared" si="1"/>
        <v>47</v>
      </c>
      <c r="M47" s="466" t="s">
        <v>185</v>
      </c>
      <c r="N47" s="1">
        <v>2.6982999999999997</v>
      </c>
      <c r="O47" s="1">
        <v>2.6779999999999999</v>
      </c>
      <c r="P47" s="1">
        <v>1.137</v>
      </c>
      <c r="Q47" s="1">
        <v>6.5132999999999992</v>
      </c>
      <c r="R47" s="1">
        <v>1.5449999999999997</v>
      </c>
      <c r="S47" s="1">
        <v>0</v>
      </c>
      <c r="T47" s="1">
        <v>2.5214285714285718</v>
      </c>
      <c r="U47" s="1">
        <v>0</v>
      </c>
      <c r="V47" s="1">
        <v>1.6265714285714286</v>
      </c>
      <c r="W47" s="468">
        <v>6.5118971428571424</v>
      </c>
      <c r="X47" s="465">
        <f t="shared" si="2"/>
        <v>46</v>
      </c>
      <c r="Y47" s="466" t="s">
        <v>222</v>
      </c>
      <c r="Z47" s="2">
        <v>2</v>
      </c>
      <c r="AA47" s="2">
        <v>2</v>
      </c>
      <c r="AB47" s="2">
        <v>4</v>
      </c>
      <c r="AC47" s="2">
        <v>1.01</v>
      </c>
      <c r="AD47" s="2">
        <v>0.5</v>
      </c>
      <c r="AE47" s="2">
        <v>1.1000000000000001</v>
      </c>
      <c r="AF47" s="1">
        <v>0.92599999999999993</v>
      </c>
      <c r="AG47" s="1">
        <v>4.9260000000000002</v>
      </c>
      <c r="AH47" s="2">
        <v>0</v>
      </c>
      <c r="AI47" s="2">
        <v>0.5</v>
      </c>
      <c r="AJ47" s="1">
        <v>0.25</v>
      </c>
      <c r="AK47" s="1">
        <v>0.72899999999999998</v>
      </c>
      <c r="AL47" s="1">
        <v>3.1333333333333333</v>
      </c>
      <c r="AM47" s="468">
        <v>9.038333333333334</v>
      </c>
      <c r="AN47" s="465">
        <f t="shared" si="3"/>
        <v>46</v>
      </c>
      <c r="AO47" s="467" t="s">
        <v>199</v>
      </c>
      <c r="AP47" s="1">
        <v>2.3660000000000001</v>
      </c>
      <c r="AQ47" s="1">
        <v>1.4355</v>
      </c>
      <c r="AR47" s="1">
        <v>0.5</v>
      </c>
      <c r="AS47" s="1">
        <v>1.8959999999999999</v>
      </c>
      <c r="AT47" s="1">
        <v>2.0571428571428569</v>
      </c>
      <c r="AU47" s="1">
        <v>1.25</v>
      </c>
      <c r="AV47" s="468">
        <v>9.5046428571428567</v>
      </c>
    </row>
    <row r="48" spans="1:48">
      <c r="A48" s="467">
        <f t="shared" si="4"/>
        <v>47</v>
      </c>
      <c r="B48" s="467" t="s">
        <v>100</v>
      </c>
      <c r="C48" s="7">
        <v>2.5</v>
      </c>
      <c r="D48" s="7">
        <v>0</v>
      </c>
      <c r="E48" s="7">
        <v>0</v>
      </c>
      <c r="F48" s="7">
        <v>0</v>
      </c>
      <c r="G48" s="7">
        <v>0</v>
      </c>
      <c r="H48" s="7">
        <v>0.39449999999999996</v>
      </c>
      <c r="I48" s="7">
        <v>0</v>
      </c>
      <c r="J48" s="7">
        <v>0.39449999999999996</v>
      </c>
      <c r="K48" s="471">
        <v>5.3944999999999999</v>
      </c>
      <c r="L48" s="472">
        <f t="shared" si="1"/>
        <v>48</v>
      </c>
      <c r="M48" s="466" t="s">
        <v>209</v>
      </c>
      <c r="N48" s="1">
        <v>3.8337000000000003</v>
      </c>
      <c r="O48" s="1">
        <v>2.508</v>
      </c>
      <c r="P48" s="1">
        <v>0</v>
      </c>
      <c r="Q48" s="1">
        <v>6.3417000000000003</v>
      </c>
      <c r="R48" s="1">
        <v>1.9725000000000001</v>
      </c>
      <c r="S48" s="1">
        <v>0</v>
      </c>
      <c r="T48" s="1">
        <v>2.4928571428571429</v>
      </c>
      <c r="U48" s="1">
        <v>0</v>
      </c>
      <c r="V48" s="1">
        <v>1.7861428571428575</v>
      </c>
      <c r="W48" s="468">
        <v>6.5022742857142859</v>
      </c>
      <c r="X48" s="465">
        <f t="shared" si="2"/>
        <v>47</v>
      </c>
      <c r="Y48" s="466" t="s">
        <v>209</v>
      </c>
      <c r="Z48" s="2">
        <v>2</v>
      </c>
      <c r="AA48" s="2">
        <v>2</v>
      </c>
      <c r="AB48" s="2">
        <v>4</v>
      </c>
      <c r="AC48" s="2">
        <v>1.04</v>
      </c>
      <c r="AD48" s="2">
        <v>0</v>
      </c>
      <c r="AE48" s="2">
        <v>0.49666666666666665</v>
      </c>
      <c r="AF48" s="1">
        <v>0.72333333333333338</v>
      </c>
      <c r="AG48" s="1">
        <v>4.7233333333333336</v>
      </c>
      <c r="AH48" s="2">
        <v>3.3420467185761957</v>
      </c>
      <c r="AI48" s="2">
        <v>0</v>
      </c>
      <c r="AJ48" s="1">
        <v>1.6710233592880979</v>
      </c>
      <c r="AK48" s="1">
        <v>0.49</v>
      </c>
      <c r="AL48" s="1">
        <v>1.8666666666666665</v>
      </c>
      <c r="AM48" s="468">
        <v>8.7510233592880979</v>
      </c>
      <c r="AN48" s="465">
        <f t="shared" si="3"/>
        <v>47</v>
      </c>
      <c r="AO48" s="467" t="s">
        <v>196</v>
      </c>
      <c r="AP48" s="1">
        <v>2.298</v>
      </c>
      <c r="AQ48" s="1">
        <v>2.25</v>
      </c>
      <c r="AR48" s="1">
        <v>0</v>
      </c>
      <c r="AS48" s="1">
        <v>0.98799999999999999</v>
      </c>
      <c r="AT48" s="1">
        <v>1.5428571428571429</v>
      </c>
      <c r="AU48" s="1">
        <v>1.25</v>
      </c>
      <c r="AV48" s="468">
        <v>8.3288571428571423</v>
      </c>
    </row>
    <row r="49" spans="1:48">
      <c r="A49" s="467">
        <f t="shared" si="4"/>
        <v>48</v>
      </c>
      <c r="B49" s="467" t="s">
        <v>171</v>
      </c>
      <c r="C49" s="7">
        <v>1</v>
      </c>
      <c r="D49" s="7">
        <v>1.25</v>
      </c>
      <c r="E49" s="7">
        <v>1</v>
      </c>
      <c r="F49" s="7">
        <v>0.5</v>
      </c>
      <c r="G49" s="7">
        <v>2.75</v>
      </c>
      <c r="H49" s="7">
        <v>7.2499999999999995E-2</v>
      </c>
      <c r="I49" s="7">
        <v>0.25</v>
      </c>
      <c r="J49" s="7">
        <v>0.32250000000000001</v>
      </c>
      <c r="K49" s="471">
        <v>5.0724999999999998</v>
      </c>
      <c r="L49" s="472">
        <f t="shared" si="1"/>
        <v>49</v>
      </c>
      <c r="M49" s="466" t="s">
        <v>90</v>
      </c>
      <c r="N49" s="1">
        <v>3.9773000000000001</v>
      </c>
      <c r="O49" s="1">
        <v>1.6114999999999999</v>
      </c>
      <c r="P49" s="1">
        <v>2.1630000000000003</v>
      </c>
      <c r="Q49" s="1">
        <v>7.7518000000000002</v>
      </c>
      <c r="R49" s="1">
        <v>0</v>
      </c>
      <c r="S49" s="1">
        <v>1.7749999999999999</v>
      </c>
      <c r="T49" s="1">
        <v>0</v>
      </c>
      <c r="U49" s="1">
        <v>0.8600000000000001</v>
      </c>
      <c r="V49" s="1">
        <v>0.26350000000000001</v>
      </c>
      <c r="W49" s="468">
        <v>6.4122399999999997</v>
      </c>
      <c r="X49" s="465">
        <f t="shared" si="2"/>
        <v>48</v>
      </c>
      <c r="Y49" s="466" t="s">
        <v>203</v>
      </c>
      <c r="Z49" s="2">
        <v>2</v>
      </c>
      <c r="AA49" s="2">
        <v>2</v>
      </c>
      <c r="AB49" s="2">
        <v>4</v>
      </c>
      <c r="AC49" s="2">
        <v>2.2599999999999998</v>
      </c>
      <c r="AD49" s="2">
        <v>1</v>
      </c>
      <c r="AE49" s="2">
        <v>1.7049999999999998</v>
      </c>
      <c r="AF49" s="1">
        <v>1.8969999999999998</v>
      </c>
      <c r="AG49" s="1">
        <v>5.8970000000000002</v>
      </c>
      <c r="AH49" s="2">
        <v>1.5517241379310345</v>
      </c>
      <c r="AI49" s="2">
        <v>0</v>
      </c>
      <c r="AJ49" s="1">
        <v>0.77586206896551724</v>
      </c>
      <c r="AK49" s="1">
        <v>0.63400000000000001</v>
      </c>
      <c r="AL49" s="1">
        <v>1.3333333333333333</v>
      </c>
      <c r="AM49" s="468">
        <v>8.6401954022988505</v>
      </c>
      <c r="AN49" s="465">
        <f t="shared" si="3"/>
        <v>48</v>
      </c>
      <c r="AO49" s="467" t="s">
        <v>129</v>
      </c>
      <c r="AP49" s="1">
        <v>3.2359999999999998</v>
      </c>
      <c r="AQ49" s="1">
        <v>1.274</v>
      </c>
      <c r="AR49" s="1">
        <v>0.75</v>
      </c>
      <c r="AS49" s="1">
        <v>1.5309999999999999</v>
      </c>
      <c r="AT49" s="1">
        <v>0</v>
      </c>
      <c r="AU49" s="1">
        <v>1.25</v>
      </c>
      <c r="AV49" s="468">
        <v>8.0410000000000004</v>
      </c>
    </row>
    <row r="50" spans="1:48">
      <c r="A50" s="467">
        <f t="shared" si="4"/>
        <v>49</v>
      </c>
      <c r="B50" s="467" t="s">
        <v>87</v>
      </c>
      <c r="C50" s="7">
        <v>2.5</v>
      </c>
      <c r="D50" s="7">
        <v>0</v>
      </c>
      <c r="E50" s="7">
        <v>0</v>
      </c>
      <c r="F50" s="7">
        <v>0</v>
      </c>
      <c r="G50" s="7">
        <v>0</v>
      </c>
      <c r="H50" s="7">
        <v>4.8000000000000001E-2</v>
      </c>
      <c r="I50" s="7">
        <v>0</v>
      </c>
      <c r="J50" s="7">
        <v>4.8000000000000001E-2</v>
      </c>
      <c r="K50" s="471">
        <v>5.048</v>
      </c>
      <c r="L50" s="472">
        <f t="shared" si="1"/>
        <v>50</v>
      </c>
      <c r="M50" s="466" t="s">
        <v>203</v>
      </c>
      <c r="N50" s="1">
        <v>4.5450999999999997</v>
      </c>
      <c r="O50" s="1">
        <v>1.931</v>
      </c>
      <c r="P50" s="1">
        <v>0.70825000000000005</v>
      </c>
      <c r="Q50" s="1">
        <v>7.1843500000000002</v>
      </c>
      <c r="R50" s="1">
        <v>0</v>
      </c>
      <c r="S50" s="1">
        <v>0</v>
      </c>
      <c r="T50" s="1">
        <v>2.0428571428571431</v>
      </c>
      <c r="U50" s="1">
        <v>0</v>
      </c>
      <c r="V50" s="1">
        <v>0.81714285714285728</v>
      </c>
      <c r="W50" s="468">
        <v>6.4011942857142854</v>
      </c>
      <c r="X50" s="465">
        <f t="shared" si="2"/>
        <v>49</v>
      </c>
      <c r="Y50" s="466" t="s">
        <v>104</v>
      </c>
      <c r="Z50" s="2">
        <v>2</v>
      </c>
      <c r="AA50" s="2">
        <v>3</v>
      </c>
      <c r="AB50" s="2">
        <v>5</v>
      </c>
      <c r="AC50" s="2">
        <v>0.26</v>
      </c>
      <c r="AD50" s="2">
        <v>0</v>
      </c>
      <c r="AE50" s="2">
        <v>0.49666666666666665</v>
      </c>
      <c r="AF50" s="1">
        <v>0.2553333333333333</v>
      </c>
      <c r="AG50" s="1">
        <v>5.2553333333333336</v>
      </c>
      <c r="AH50" s="2">
        <v>0</v>
      </c>
      <c r="AI50" s="2">
        <v>0</v>
      </c>
      <c r="AJ50" s="1">
        <v>0</v>
      </c>
      <c r="AK50" s="1">
        <v>1.7129999999999999</v>
      </c>
      <c r="AL50" s="1">
        <v>1.5999999999999999</v>
      </c>
      <c r="AM50" s="468">
        <v>8.5683333333333334</v>
      </c>
      <c r="AN50" s="465">
        <f t="shared" si="3"/>
        <v>49</v>
      </c>
      <c r="AO50" s="467" t="s">
        <v>125</v>
      </c>
      <c r="AP50" s="1">
        <v>2.3540000000000001</v>
      </c>
      <c r="AQ50" s="1">
        <v>1.2095</v>
      </c>
      <c r="AR50" s="1">
        <v>0.5</v>
      </c>
      <c r="AS50" s="1">
        <v>2.1459999999999999</v>
      </c>
      <c r="AT50" s="1">
        <v>0.82857142857142874</v>
      </c>
      <c r="AU50" s="1">
        <v>0.625</v>
      </c>
      <c r="AV50" s="468">
        <v>7.6630714285714294</v>
      </c>
    </row>
    <row r="51" spans="1:48">
      <c r="A51" s="467">
        <f t="shared" si="4"/>
        <v>50</v>
      </c>
      <c r="B51" s="467" t="s">
        <v>106</v>
      </c>
      <c r="C51" s="7">
        <v>1</v>
      </c>
      <c r="D51" s="7">
        <v>1.25</v>
      </c>
      <c r="E51" s="7">
        <v>0</v>
      </c>
      <c r="F51" s="7">
        <v>0.5</v>
      </c>
      <c r="G51" s="7">
        <v>1.75</v>
      </c>
      <c r="H51" s="7">
        <v>0.34599999999999997</v>
      </c>
      <c r="I51" s="7">
        <v>0.25</v>
      </c>
      <c r="J51" s="7">
        <v>0.59599999999999997</v>
      </c>
      <c r="K51" s="471">
        <v>4.3460000000000001</v>
      </c>
      <c r="L51" s="472">
        <f t="shared" si="1"/>
        <v>51</v>
      </c>
      <c r="M51" s="466" t="s">
        <v>231</v>
      </c>
      <c r="N51" s="1">
        <v>2.6574999999999998</v>
      </c>
      <c r="O51" s="1">
        <v>2.8624999999999998</v>
      </c>
      <c r="P51" s="1">
        <v>0.5</v>
      </c>
      <c r="Q51" s="1">
        <v>6.02</v>
      </c>
      <c r="R51" s="1">
        <v>1.4325000000000001</v>
      </c>
      <c r="S51" s="1">
        <v>1.825</v>
      </c>
      <c r="T51" s="1">
        <v>2.8357142857142863</v>
      </c>
      <c r="U51" s="1">
        <v>0</v>
      </c>
      <c r="V51" s="1">
        <v>1.8897857142857146</v>
      </c>
      <c r="W51" s="468">
        <v>6.3278285714285714</v>
      </c>
      <c r="X51" s="465">
        <f t="shared" si="2"/>
        <v>50</v>
      </c>
      <c r="Y51" s="466" t="s">
        <v>177</v>
      </c>
      <c r="Z51" s="2">
        <v>2</v>
      </c>
      <c r="AA51" s="2">
        <v>2</v>
      </c>
      <c r="AB51" s="2">
        <v>4</v>
      </c>
      <c r="AC51" s="2">
        <v>1.23</v>
      </c>
      <c r="AD51" s="2">
        <v>0.75</v>
      </c>
      <c r="AE51" s="2">
        <v>1.5983333333333334</v>
      </c>
      <c r="AF51" s="1">
        <v>1.2076666666666667</v>
      </c>
      <c r="AG51" s="1">
        <v>5.2076666666666664</v>
      </c>
      <c r="AH51" s="2">
        <v>0.4838709677419355</v>
      </c>
      <c r="AI51" s="2">
        <v>1</v>
      </c>
      <c r="AJ51" s="1">
        <v>0.74193548387096775</v>
      </c>
      <c r="AK51" s="1">
        <v>2.2829999999999999</v>
      </c>
      <c r="AL51" s="1">
        <v>0</v>
      </c>
      <c r="AM51" s="468">
        <v>8.2326021505376339</v>
      </c>
      <c r="AN51" s="465">
        <f t="shared" si="3"/>
        <v>50</v>
      </c>
      <c r="AO51" s="467" t="s">
        <v>143</v>
      </c>
      <c r="AP51" s="1">
        <v>3</v>
      </c>
      <c r="AQ51" s="1">
        <v>0.39249999999999996</v>
      </c>
      <c r="AR51" s="1">
        <v>2.5</v>
      </c>
      <c r="AS51" s="1">
        <v>3.1E-2</v>
      </c>
      <c r="AT51" s="1">
        <v>1.0571428571428572</v>
      </c>
      <c r="AU51" s="1">
        <v>0.625</v>
      </c>
      <c r="AV51" s="468">
        <v>7.6056428571428567</v>
      </c>
    </row>
    <row r="52" spans="1:48">
      <c r="A52" s="467">
        <f t="shared" si="4"/>
        <v>51</v>
      </c>
      <c r="B52" s="467" t="s">
        <v>215</v>
      </c>
      <c r="C52" s="7">
        <v>1</v>
      </c>
      <c r="D52" s="7">
        <v>0</v>
      </c>
      <c r="E52" s="7">
        <v>1</v>
      </c>
      <c r="F52" s="7">
        <v>0.375</v>
      </c>
      <c r="G52" s="7">
        <v>1.375</v>
      </c>
      <c r="H52" s="7">
        <v>0.40249999999999997</v>
      </c>
      <c r="I52" s="7">
        <v>0.25</v>
      </c>
      <c r="J52" s="7">
        <v>0.65249999999999997</v>
      </c>
      <c r="K52" s="471">
        <v>4.0274999999999999</v>
      </c>
      <c r="L52" s="472">
        <f t="shared" si="1"/>
        <v>52</v>
      </c>
      <c r="M52" s="466" t="s">
        <v>87</v>
      </c>
      <c r="N52" s="1">
        <v>3.1523000000000003</v>
      </c>
      <c r="O52" s="1">
        <v>2.7937499999999997</v>
      </c>
      <c r="P52" s="1">
        <v>0.52675000000000005</v>
      </c>
      <c r="Q52" s="1">
        <v>6.4727999999999994</v>
      </c>
      <c r="R52" s="1">
        <v>0</v>
      </c>
      <c r="S52" s="1">
        <v>0</v>
      </c>
      <c r="T52" s="1">
        <v>3.0428571428571427</v>
      </c>
      <c r="U52" s="1">
        <v>0</v>
      </c>
      <c r="V52" s="1">
        <v>1.2171428571428571</v>
      </c>
      <c r="W52" s="468">
        <v>6.151954285714285</v>
      </c>
      <c r="X52" s="465">
        <f t="shared" si="2"/>
        <v>51</v>
      </c>
      <c r="Y52" s="466" t="s">
        <v>185</v>
      </c>
      <c r="Z52" s="2">
        <v>2</v>
      </c>
      <c r="AA52" s="2">
        <v>3</v>
      </c>
      <c r="AB52" s="2">
        <v>5</v>
      </c>
      <c r="AC52" s="2">
        <v>1.01</v>
      </c>
      <c r="AD52" s="2">
        <v>0.5</v>
      </c>
      <c r="AE52" s="2">
        <v>0.68500000000000005</v>
      </c>
      <c r="AF52" s="1">
        <v>0.84299999999999997</v>
      </c>
      <c r="AG52" s="1">
        <v>5.843</v>
      </c>
      <c r="AH52" s="2">
        <v>0</v>
      </c>
      <c r="AI52" s="2">
        <v>1.5</v>
      </c>
      <c r="AJ52" s="1">
        <v>0.75</v>
      </c>
      <c r="AK52" s="1">
        <v>0.28400000000000003</v>
      </c>
      <c r="AL52" s="1">
        <v>1.3333333333333333</v>
      </c>
      <c r="AM52" s="468">
        <v>8.2103333333333328</v>
      </c>
      <c r="AN52" s="465">
        <f t="shared" si="3"/>
        <v>51</v>
      </c>
      <c r="AO52" s="467" t="s">
        <v>225</v>
      </c>
      <c r="AP52" s="1">
        <v>3.4699999999999998</v>
      </c>
      <c r="AQ52" s="1">
        <v>1.024</v>
      </c>
      <c r="AR52" s="1">
        <v>1.25</v>
      </c>
      <c r="AS52" s="1">
        <v>1.2810000000000001</v>
      </c>
      <c r="AT52" s="1">
        <v>0</v>
      </c>
      <c r="AU52" s="1">
        <v>0</v>
      </c>
      <c r="AV52" s="468">
        <v>7.0250000000000004</v>
      </c>
    </row>
    <row r="53" spans="1:48">
      <c r="A53" s="467">
        <f t="shared" si="4"/>
        <v>52</v>
      </c>
      <c r="B53" s="467" t="s">
        <v>169</v>
      </c>
      <c r="C53" s="7">
        <v>1</v>
      </c>
      <c r="D53" s="7">
        <v>0</v>
      </c>
      <c r="E53" s="7">
        <v>0</v>
      </c>
      <c r="F53" s="7">
        <v>0</v>
      </c>
      <c r="G53" s="7">
        <v>0</v>
      </c>
      <c r="H53" s="7">
        <v>1.9259999999999999</v>
      </c>
      <c r="I53" s="7">
        <v>0</v>
      </c>
      <c r="J53" s="7">
        <v>1.9259999999999999</v>
      </c>
      <c r="K53" s="471">
        <v>3.9260000000000002</v>
      </c>
      <c r="L53" s="472">
        <f t="shared" si="1"/>
        <v>53</v>
      </c>
      <c r="M53" s="466" t="s">
        <v>163</v>
      </c>
      <c r="N53" s="1">
        <v>2.7178</v>
      </c>
      <c r="O53" s="1">
        <v>1.1067499999999999</v>
      </c>
      <c r="P53" s="1">
        <v>2.3914999999999997</v>
      </c>
      <c r="Q53" s="1">
        <v>6.2160499999999992</v>
      </c>
      <c r="R53" s="1">
        <v>1.0250000000000001</v>
      </c>
      <c r="S53" s="1">
        <v>0</v>
      </c>
      <c r="T53" s="1">
        <v>1.7857142857142858</v>
      </c>
      <c r="U53" s="1">
        <v>3.2583333333333337</v>
      </c>
      <c r="V53" s="1">
        <v>1.450119047619048</v>
      </c>
      <c r="W53" s="468">
        <v>6.1329352380952376</v>
      </c>
      <c r="X53" s="465">
        <f t="shared" si="2"/>
        <v>52</v>
      </c>
      <c r="Y53" s="466" t="s">
        <v>82</v>
      </c>
      <c r="Z53" s="2">
        <v>2</v>
      </c>
      <c r="AA53" s="2">
        <v>2</v>
      </c>
      <c r="AB53" s="2">
        <v>4</v>
      </c>
      <c r="AC53" s="2">
        <v>1.51</v>
      </c>
      <c r="AD53" s="2">
        <v>0.25</v>
      </c>
      <c r="AE53" s="2">
        <v>0.49666666666666665</v>
      </c>
      <c r="AF53" s="1">
        <v>1.0553333333333332</v>
      </c>
      <c r="AG53" s="1">
        <v>5.0553333333333335</v>
      </c>
      <c r="AH53" s="2">
        <v>0</v>
      </c>
      <c r="AI53" s="2">
        <v>0.5</v>
      </c>
      <c r="AJ53" s="1">
        <v>0.25</v>
      </c>
      <c r="AK53" s="1">
        <v>0.17099999999999999</v>
      </c>
      <c r="AL53" s="1">
        <v>2.5333333333333332</v>
      </c>
      <c r="AM53" s="468">
        <v>8.0096666666666678</v>
      </c>
      <c r="AN53" s="465">
        <f t="shared" si="3"/>
        <v>52</v>
      </c>
      <c r="AO53" s="467" t="s">
        <v>106</v>
      </c>
      <c r="AP53" s="1">
        <v>2.294</v>
      </c>
      <c r="AQ53" s="1">
        <v>1.9355</v>
      </c>
      <c r="AR53" s="1">
        <v>0.25</v>
      </c>
      <c r="AS53" s="1">
        <v>1.8959999999999999</v>
      </c>
      <c r="AT53" s="1">
        <v>0</v>
      </c>
      <c r="AU53" s="1">
        <v>0</v>
      </c>
      <c r="AV53" s="468">
        <v>6.3754999999999997</v>
      </c>
    </row>
    <row r="54" spans="1:48">
      <c r="A54" s="467">
        <f t="shared" si="4"/>
        <v>53</v>
      </c>
      <c r="B54" s="467" t="s">
        <v>163</v>
      </c>
      <c r="C54" s="7">
        <v>1</v>
      </c>
      <c r="D54" s="7">
        <v>1</v>
      </c>
      <c r="E54" s="7">
        <v>0</v>
      </c>
      <c r="F54" s="7">
        <v>0.25</v>
      </c>
      <c r="G54" s="7">
        <v>1.25</v>
      </c>
      <c r="H54" s="7">
        <v>0.47550000000000003</v>
      </c>
      <c r="I54" s="7">
        <v>0</v>
      </c>
      <c r="J54" s="7">
        <v>0.47550000000000003</v>
      </c>
      <c r="K54" s="471">
        <v>3.7255000000000003</v>
      </c>
      <c r="L54" s="472">
        <f t="shared" si="1"/>
        <v>54</v>
      </c>
      <c r="M54" s="466" t="s">
        <v>177</v>
      </c>
      <c r="N54" s="1">
        <v>2.7050999999999998</v>
      </c>
      <c r="O54" s="1">
        <v>2.1007499999999997</v>
      </c>
      <c r="P54" s="1">
        <v>0.26224999999999998</v>
      </c>
      <c r="Q54" s="1">
        <v>5.0680999999999994</v>
      </c>
      <c r="R54" s="1">
        <v>1.8718750000000002</v>
      </c>
      <c r="S54" s="1">
        <v>0</v>
      </c>
      <c r="T54" s="1">
        <v>1.8142857142857143</v>
      </c>
      <c r="U54" s="1">
        <v>0</v>
      </c>
      <c r="V54" s="1">
        <v>1.4744642857142858</v>
      </c>
      <c r="W54" s="468">
        <v>5.2340514285714281</v>
      </c>
      <c r="X54" s="465">
        <f t="shared" si="2"/>
        <v>53</v>
      </c>
      <c r="Y54" s="466" t="s">
        <v>129</v>
      </c>
      <c r="Z54" s="2">
        <v>2</v>
      </c>
      <c r="AA54" s="2">
        <v>2</v>
      </c>
      <c r="AB54" s="2">
        <v>4</v>
      </c>
      <c r="AC54" s="2">
        <v>1.76</v>
      </c>
      <c r="AD54" s="2">
        <v>1</v>
      </c>
      <c r="AE54" s="2">
        <v>1.8133333333333335</v>
      </c>
      <c r="AF54" s="1">
        <v>1.6186666666666667</v>
      </c>
      <c r="AG54" s="1">
        <v>5.6186666666666669</v>
      </c>
      <c r="AH54" s="2">
        <v>0.5161290322580645</v>
      </c>
      <c r="AI54" s="2">
        <v>0</v>
      </c>
      <c r="AJ54" s="1">
        <v>0.25806451612903225</v>
      </c>
      <c r="AK54" s="1">
        <v>1.9659999999999997</v>
      </c>
      <c r="AL54" s="1">
        <v>0</v>
      </c>
      <c r="AM54" s="468">
        <v>7.8427311827956991</v>
      </c>
      <c r="AN54" s="465">
        <f t="shared" si="3"/>
        <v>53</v>
      </c>
      <c r="AO54" s="467" t="s">
        <v>187</v>
      </c>
      <c r="AP54" s="1">
        <v>1.232</v>
      </c>
      <c r="AQ54" s="1">
        <v>1.282</v>
      </c>
      <c r="AR54" s="1">
        <v>0</v>
      </c>
      <c r="AS54" s="1">
        <v>1.1659999999999999</v>
      </c>
      <c r="AT54" s="1">
        <v>2.0571428571428569</v>
      </c>
      <c r="AU54" s="1">
        <v>0.625</v>
      </c>
      <c r="AV54" s="468">
        <v>6.3621428571428567</v>
      </c>
    </row>
    <row r="55" spans="1:48">
      <c r="A55" s="467">
        <f t="shared" si="4"/>
        <v>54</v>
      </c>
      <c r="B55" s="467" t="s">
        <v>174</v>
      </c>
      <c r="C55" s="7">
        <v>1</v>
      </c>
      <c r="D55" s="7">
        <v>0</v>
      </c>
      <c r="E55" s="7">
        <v>0</v>
      </c>
      <c r="F55" s="7">
        <v>0</v>
      </c>
      <c r="G55" s="7">
        <v>0</v>
      </c>
      <c r="H55" s="7">
        <v>0.99950000000000006</v>
      </c>
      <c r="I55" s="7">
        <v>0.5</v>
      </c>
      <c r="J55" s="7">
        <v>1.4995000000000001</v>
      </c>
      <c r="K55" s="471">
        <v>3.4995000000000003</v>
      </c>
      <c r="L55" s="472">
        <f t="shared" si="1"/>
        <v>55</v>
      </c>
      <c r="M55" s="466" t="s">
        <v>129</v>
      </c>
      <c r="N55" s="1">
        <v>3.8613</v>
      </c>
      <c r="O55" s="1">
        <v>1.2665</v>
      </c>
      <c r="P55" s="1">
        <v>0.68225000000000002</v>
      </c>
      <c r="Q55" s="1">
        <v>5.8100499999999995</v>
      </c>
      <c r="R55" s="1">
        <v>1.2662499999999999</v>
      </c>
      <c r="S55" s="1">
        <v>0</v>
      </c>
      <c r="T55" s="1">
        <v>0</v>
      </c>
      <c r="U55" s="1">
        <v>0</v>
      </c>
      <c r="V55" s="1">
        <v>0.50649999999999995</v>
      </c>
      <c r="W55" s="468">
        <v>5.0532399999999997</v>
      </c>
      <c r="X55" s="465">
        <f t="shared" si="2"/>
        <v>54</v>
      </c>
      <c r="Y55" s="466" t="s">
        <v>69</v>
      </c>
      <c r="Z55" s="2">
        <v>2</v>
      </c>
      <c r="AA55" s="2">
        <v>2</v>
      </c>
      <c r="AB55" s="2">
        <v>4</v>
      </c>
      <c r="AC55" s="2">
        <v>1.76</v>
      </c>
      <c r="AD55" s="2">
        <v>1.25</v>
      </c>
      <c r="AE55" s="2">
        <v>2.0283333333333338</v>
      </c>
      <c r="AF55" s="1">
        <v>1.7116666666666669</v>
      </c>
      <c r="AG55" s="1">
        <v>5.7116666666666669</v>
      </c>
      <c r="AH55" s="2">
        <v>0</v>
      </c>
      <c r="AI55" s="2">
        <v>1.5</v>
      </c>
      <c r="AJ55" s="1">
        <v>0.75</v>
      </c>
      <c r="AK55" s="1">
        <v>0.71099999999999997</v>
      </c>
      <c r="AL55" s="1">
        <v>0.53333333333333333</v>
      </c>
      <c r="AM55" s="468">
        <v>7.7060000000000004</v>
      </c>
      <c r="AN55" s="465">
        <f t="shared" si="3"/>
        <v>54</v>
      </c>
      <c r="AO55" s="467" t="s">
        <v>234</v>
      </c>
      <c r="AP55" s="1">
        <v>1.224</v>
      </c>
      <c r="AQ55" s="1">
        <v>2.5</v>
      </c>
      <c r="AR55" s="1">
        <v>0.5</v>
      </c>
      <c r="AS55" s="1">
        <v>1.472</v>
      </c>
      <c r="AT55" s="1">
        <v>2.8571428571428598E-2</v>
      </c>
      <c r="AU55" s="1">
        <v>0</v>
      </c>
      <c r="AV55" s="468">
        <v>5.7245714285714282</v>
      </c>
    </row>
    <row r="56" spans="1:48">
      <c r="A56" s="467">
        <f t="shared" si="4"/>
        <v>55</v>
      </c>
      <c r="B56" s="467" t="s">
        <v>177</v>
      </c>
      <c r="C56" s="7">
        <v>0</v>
      </c>
      <c r="D56" s="7">
        <v>1.0625</v>
      </c>
      <c r="E56" s="7">
        <v>1.125</v>
      </c>
      <c r="F56" s="7">
        <v>0.3125</v>
      </c>
      <c r="G56" s="7">
        <v>2.5</v>
      </c>
      <c r="H56" s="7">
        <v>0.48299999999999998</v>
      </c>
      <c r="I56" s="7">
        <v>0.5</v>
      </c>
      <c r="J56" s="7">
        <v>0.98299999999999998</v>
      </c>
      <c r="K56" s="471">
        <v>3.4830000000000001</v>
      </c>
      <c r="L56" s="472">
        <f t="shared" si="1"/>
        <v>56</v>
      </c>
      <c r="M56" s="466" t="s">
        <v>125</v>
      </c>
      <c r="N56" s="1">
        <v>3.3167999999999997</v>
      </c>
      <c r="O56" s="1">
        <v>2.2437500000000004</v>
      </c>
      <c r="P56" s="1">
        <v>0</v>
      </c>
      <c r="Q56" s="1">
        <v>5.5605500000000001</v>
      </c>
      <c r="R56" s="1">
        <v>0.98250000000000004</v>
      </c>
      <c r="S56" s="1">
        <v>0</v>
      </c>
      <c r="T56" s="1">
        <v>0</v>
      </c>
      <c r="U56" s="1">
        <v>3.3283333333333336</v>
      </c>
      <c r="V56" s="1">
        <v>0.72583333333333333</v>
      </c>
      <c r="W56" s="468">
        <v>5.0291066666666664</v>
      </c>
      <c r="X56" s="465">
        <f t="shared" si="2"/>
        <v>55</v>
      </c>
      <c r="Y56" s="466" t="s">
        <v>171</v>
      </c>
      <c r="Z56" s="2">
        <v>2</v>
      </c>
      <c r="AA56" s="2">
        <v>2</v>
      </c>
      <c r="AB56" s="2">
        <v>4</v>
      </c>
      <c r="AC56" s="2">
        <v>1.51</v>
      </c>
      <c r="AD56" s="2">
        <v>1</v>
      </c>
      <c r="AE56" s="2">
        <v>0.68500000000000005</v>
      </c>
      <c r="AF56" s="1">
        <v>1.2429999999999999</v>
      </c>
      <c r="AG56" s="1">
        <v>5.2430000000000003</v>
      </c>
      <c r="AH56" s="2">
        <v>0</v>
      </c>
      <c r="AI56" s="2">
        <v>0</v>
      </c>
      <c r="AJ56" s="1">
        <v>0</v>
      </c>
      <c r="AK56" s="1">
        <v>1.9019999999999999</v>
      </c>
      <c r="AL56" s="1">
        <v>0.53333333333333333</v>
      </c>
      <c r="AM56" s="468">
        <v>7.6783333333333337</v>
      </c>
      <c r="AN56" s="465">
        <f t="shared" si="3"/>
        <v>55</v>
      </c>
      <c r="AO56" s="467" t="s">
        <v>102</v>
      </c>
      <c r="AP56" s="1">
        <v>1.95</v>
      </c>
      <c r="AQ56" s="1">
        <v>0.47349999999999998</v>
      </c>
      <c r="AR56" s="1">
        <v>2.75</v>
      </c>
      <c r="AS56" s="1">
        <v>0.53100000000000003</v>
      </c>
      <c r="AT56" s="1">
        <v>0</v>
      </c>
      <c r="AU56" s="1">
        <v>0</v>
      </c>
      <c r="AV56" s="468">
        <v>5.7044999999999995</v>
      </c>
    </row>
    <row r="57" spans="1:48">
      <c r="A57" s="467">
        <f t="shared" si="4"/>
        <v>56</v>
      </c>
      <c r="B57" s="467" t="s">
        <v>209</v>
      </c>
      <c r="C57" s="7">
        <v>1</v>
      </c>
      <c r="D57" s="7">
        <v>0</v>
      </c>
      <c r="E57" s="7">
        <v>0</v>
      </c>
      <c r="F57" s="7">
        <v>0</v>
      </c>
      <c r="G57" s="7">
        <v>0</v>
      </c>
      <c r="H57" s="7">
        <v>1.4105000000000001</v>
      </c>
      <c r="I57" s="7">
        <v>0</v>
      </c>
      <c r="J57" s="7">
        <v>1.4105000000000001</v>
      </c>
      <c r="K57" s="471">
        <v>3.4104999999999999</v>
      </c>
      <c r="L57" s="472">
        <f t="shared" si="1"/>
        <v>57</v>
      </c>
      <c r="M57" s="466" t="s">
        <v>139</v>
      </c>
      <c r="N57" s="1">
        <v>3.4321000000000002</v>
      </c>
      <c r="O57" s="1">
        <v>0.61549999999999994</v>
      </c>
      <c r="P57" s="1">
        <v>0.42275000000000001</v>
      </c>
      <c r="Q57" s="1">
        <v>4.4703499999999998</v>
      </c>
      <c r="R57" s="1">
        <v>1.0262499999999999</v>
      </c>
      <c r="S57" s="1">
        <v>0</v>
      </c>
      <c r="T57" s="1">
        <v>3.3357142857142859</v>
      </c>
      <c r="U57" s="1">
        <v>0</v>
      </c>
      <c r="V57" s="1">
        <v>1.7447857142857144</v>
      </c>
      <c r="W57" s="468">
        <v>4.9721085714285715</v>
      </c>
      <c r="X57" s="465">
        <f t="shared" si="2"/>
        <v>56</v>
      </c>
      <c r="Y57" s="466" t="s">
        <v>213</v>
      </c>
      <c r="Z57" s="2">
        <v>2</v>
      </c>
      <c r="AA57" s="2">
        <v>2</v>
      </c>
      <c r="AB57" s="2">
        <v>4</v>
      </c>
      <c r="AC57" s="2">
        <v>1.26</v>
      </c>
      <c r="AD57" s="2">
        <v>1.25</v>
      </c>
      <c r="AE57" s="2">
        <v>1.1416666666666668</v>
      </c>
      <c r="AF57" s="1">
        <v>1.2343333333333333</v>
      </c>
      <c r="AG57" s="1">
        <v>5.2343333333333337</v>
      </c>
      <c r="AH57" s="2">
        <v>0</v>
      </c>
      <c r="AI57" s="2">
        <v>0.25</v>
      </c>
      <c r="AJ57" s="1">
        <v>0.125</v>
      </c>
      <c r="AK57" s="1">
        <v>1.6949999999999998</v>
      </c>
      <c r="AL57" s="1">
        <v>0.26666666666666666</v>
      </c>
      <c r="AM57" s="468">
        <v>7.3210000000000006</v>
      </c>
      <c r="AN57" s="465">
        <f t="shared" si="3"/>
        <v>56</v>
      </c>
      <c r="AO57" s="467" t="s">
        <v>104</v>
      </c>
      <c r="AP57" s="1">
        <v>2.552</v>
      </c>
      <c r="AQ57" s="1">
        <v>1.274</v>
      </c>
      <c r="AR57" s="1">
        <v>1.25</v>
      </c>
      <c r="AS57" s="1">
        <v>0.28100000000000003</v>
      </c>
      <c r="AT57" s="1">
        <v>0</v>
      </c>
      <c r="AU57" s="1">
        <v>0</v>
      </c>
      <c r="AV57" s="468">
        <v>5.3570000000000002</v>
      </c>
    </row>
    <row r="58" spans="1:48">
      <c r="A58" s="467">
        <f t="shared" si="4"/>
        <v>57</v>
      </c>
      <c r="B58" s="467" t="s">
        <v>143</v>
      </c>
      <c r="C58" s="7">
        <v>1</v>
      </c>
      <c r="D58" s="7">
        <v>0</v>
      </c>
      <c r="E58" s="7">
        <v>0</v>
      </c>
      <c r="F58" s="7">
        <v>0</v>
      </c>
      <c r="G58" s="7">
        <v>0</v>
      </c>
      <c r="H58" s="7">
        <v>0.79</v>
      </c>
      <c r="I58" s="7">
        <v>0</v>
      </c>
      <c r="J58" s="7">
        <v>0.79</v>
      </c>
      <c r="K58" s="471">
        <v>2.79</v>
      </c>
      <c r="L58" s="472">
        <f t="shared" si="1"/>
        <v>58</v>
      </c>
      <c r="M58" s="466" t="s">
        <v>100</v>
      </c>
      <c r="N58" s="1">
        <v>3.1207000000000003</v>
      </c>
      <c r="O58" s="1">
        <v>1.1234999999999999</v>
      </c>
      <c r="P58" s="1">
        <v>0.93900000000000006</v>
      </c>
      <c r="Q58" s="1">
        <v>5.1832000000000003</v>
      </c>
      <c r="R58" s="1">
        <v>1.5850000000000004</v>
      </c>
      <c r="S58" s="1">
        <v>0</v>
      </c>
      <c r="T58" s="1">
        <v>0.88571428571428568</v>
      </c>
      <c r="U58" s="1">
        <v>0</v>
      </c>
      <c r="V58" s="1">
        <v>0.98828571428571454</v>
      </c>
      <c r="W58" s="468">
        <v>4.9371885714285719</v>
      </c>
      <c r="X58" s="465">
        <f t="shared" si="2"/>
        <v>57</v>
      </c>
      <c r="Y58" s="466" t="s">
        <v>215</v>
      </c>
      <c r="Z58" s="2">
        <v>2</v>
      </c>
      <c r="AA58" s="2">
        <v>3</v>
      </c>
      <c r="AB58" s="2">
        <v>5</v>
      </c>
      <c r="AC58" s="2">
        <v>0.76</v>
      </c>
      <c r="AD58" s="2">
        <v>0.75</v>
      </c>
      <c r="AE58" s="2">
        <v>0.68500000000000005</v>
      </c>
      <c r="AF58" s="1">
        <v>0.74299999999999999</v>
      </c>
      <c r="AG58" s="1">
        <v>5.7430000000000003</v>
      </c>
      <c r="AH58" s="2">
        <v>0</v>
      </c>
      <c r="AI58" s="2">
        <v>0.25</v>
      </c>
      <c r="AJ58" s="1">
        <v>0.125</v>
      </c>
      <c r="AK58" s="1">
        <v>0.32900000000000001</v>
      </c>
      <c r="AL58" s="1">
        <v>1</v>
      </c>
      <c r="AM58" s="468">
        <v>7.1970000000000001</v>
      </c>
      <c r="AN58" s="465">
        <f t="shared" si="3"/>
        <v>57</v>
      </c>
      <c r="AO58" s="467" t="s">
        <v>158</v>
      </c>
      <c r="AP58" s="1">
        <v>2.0680000000000001</v>
      </c>
      <c r="AQ58" s="1">
        <v>1.2095</v>
      </c>
      <c r="AR58" s="1">
        <v>0</v>
      </c>
      <c r="AS58" s="1">
        <v>1.2809999999999999</v>
      </c>
      <c r="AT58" s="1">
        <v>0</v>
      </c>
      <c r="AU58" s="1">
        <v>0</v>
      </c>
      <c r="AV58" s="468">
        <v>4.5584999999999996</v>
      </c>
    </row>
    <row r="59" spans="1:48">
      <c r="A59" s="467">
        <f t="shared" si="4"/>
        <v>58</v>
      </c>
      <c r="B59" s="467" t="s">
        <v>148</v>
      </c>
      <c r="C59" s="7">
        <v>1</v>
      </c>
      <c r="D59" s="7">
        <v>0</v>
      </c>
      <c r="E59" s="7">
        <v>0</v>
      </c>
      <c r="F59" s="7">
        <v>0</v>
      </c>
      <c r="G59" s="7">
        <v>0</v>
      </c>
      <c r="H59" s="7">
        <v>0.33799999999999997</v>
      </c>
      <c r="I59" s="7">
        <v>0</v>
      </c>
      <c r="J59" s="7">
        <v>0.33799999999999997</v>
      </c>
      <c r="K59" s="471">
        <v>2.3380000000000001</v>
      </c>
      <c r="L59" s="472">
        <f t="shared" si="1"/>
        <v>59</v>
      </c>
      <c r="M59" s="466" t="s">
        <v>187</v>
      </c>
      <c r="N59" s="1">
        <v>3.3075000000000001</v>
      </c>
      <c r="O59" s="1">
        <v>0</v>
      </c>
      <c r="P59" s="1">
        <v>2.5042499999999999</v>
      </c>
      <c r="Q59" s="1">
        <v>5.81175</v>
      </c>
      <c r="R59" s="1">
        <v>0</v>
      </c>
      <c r="S59" s="1">
        <v>0</v>
      </c>
      <c r="T59" s="1">
        <v>0</v>
      </c>
      <c r="U59" s="1">
        <v>3.4200000000000004</v>
      </c>
      <c r="V59" s="1">
        <v>0.34200000000000008</v>
      </c>
      <c r="W59" s="468">
        <v>4.923</v>
      </c>
      <c r="X59" s="465">
        <f t="shared" si="2"/>
        <v>58</v>
      </c>
      <c r="Y59" s="466" t="s">
        <v>158</v>
      </c>
      <c r="Z59" s="2">
        <v>2</v>
      </c>
      <c r="AA59" s="2">
        <v>2</v>
      </c>
      <c r="AB59" s="2">
        <v>4</v>
      </c>
      <c r="AC59" s="2">
        <v>1.04</v>
      </c>
      <c r="AD59" s="2">
        <v>0.25</v>
      </c>
      <c r="AE59" s="2">
        <v>1.4366666666666668</v>
      </c>
      <c r="AF59" s="1">
        <v>0.96133333333333337</v>
      </c>
      <c r="AG59" s="1">
        <v>4.9613333333333332</v>
      </c>
      <c r="AH59" s="2">
        <v>0</v>
      </c>
      <c r="AI59" s="2">
        <v>0</v>
      </c>
      <c r="AJ59" s="1">
        <v>0</v>
      </c>
      <c r="AK59" s="1">
        <v>1.901</v>
      </c>
      <c r="AL59" s="1">
        <v>0</v>
      </c>
      <c r="AM59" s="468">
        <v>6.862333333333333</v>
      </c>
      <c r="AN59" s="465">
        <f t="shared" si="3"/>
        <v>58</v>
      </c>
      <c r="AO59" s="467" t="s">
        <v>171</v>
      </c>
      <c r="AP59" s="1">
        <v>2.93</v>
      </c>
      <c r="AQ59" s="1">
        <v>0.95699999999999996</v>
      </c>
      <c r="AR59" s="1">
        <v>0</v>
      </c>
      <c r="AS59" s="1">
        <v>0</v>
      </c>
      <c r="AT59" s="1">
        <v>0</v>
      </c>
      <c r="AU59" s="1">
        <v>0</v>
      </c>
      <c r="AV59" s="468">
        <v>3.887</v>
      </c>
    </row>
    <row r="60" spans="1:48">
      <c r="A60" s="467">
        <f t="shared" si="4"/>
        <v>59</v>
      </c>
      <c r="B60" s="467" t="s">
        <v>234</v>
      </c>
      <c r="C60" s="7">
        <v>1</v>
      </c>
      <c r="D60" s="7">
        <v>0</v>
      </c>
      <c r="E60" s="7">
        <v>0</v>
      </c>
      <c r="F60" s="7">
        <v>0</v>
      </c>
      <c r="G60" s="7">
        <v>0</v>
      </c>
      <c r="H60" s="7">
        <v>0.185</v>
      </c>
      <c r="I60" s="7">
        <v>0</v>
      </c>
      <c r="J60" s="7">
        <v>0.185</v>
      </c>
      <c r="K60" s="471">
        <v>2.1850000000000001</v>
      </c>
      <c r="L60" s="472">
        <f t="shared" si="1"/>
        <v>60</v>
      </c>
      <c r="M60" s="466" t="s">
        <v>199</v>
      </c>
      <c r="N60" s="1">
        <v>3.2477999999999998</v>
      </c>
      <c r="O60" s="1">
        <v>2.4815</v>
      </c>
      <c r="P60" s="1">
        <v>2.5500000000000002E-2</v>
      </c>
      <c r="Q60" s="1">
        <v>5.7548000000000004</v>
      </c>
      <c r="R60" s="1">
        <v>0</v>
      </c>
      <c r="S60" s="1">
        <v>0</v>
      </c>
      <c r="T60" s="1">
        <v>0</v>
      </c>
      <c r="U60" s="1">
        <v>0</v>
      </c>
      <c r="V60" s="1">
        <v>0</v>
      </c>
      <c r="W60" s="468">
        <v>4.6038399999999999</v>
      </c>
      <c r="X60" s="465">
        <f t="shared" si="2"/>
        <v>59</v>
      </c>
      <c r="Y60" s="466" t="s">
        <v>167</v>
      </c>
      <c r="Z60" s="2">
        <v>2</v>
      </c>
      <c r="AA60" s="2">
        <v>2</v>
      </c>
      <c r="AB60" s="2">
        <v>4</v>
      </c>
      <c r="AC60" s="2">
        <v>0.26</v>
      </c>
      <c r="AD60" s="2">
        <v>0.5</v>
      </c>
      <c r="AE60" s="2">
        <v>0.49666666666666665</v>
      </c>
      <c r="AF60" s="1">
        <v>0.35533333333333333</v>
      </c>
      <c r="AG60" s="1">
        <v>4.3553333333333333</v>
      </c>
      <c r="AH60" s="2">
        <v>0</v>
      </c>
      <c r="AI60" s="2">
        <v>1.25</v>
      </c>
      <c r="AJ60" s="1">
        <v>0.625</v>
      </c>
      <c r="AK60" s="1">
        <v>1.125</v>
      </c>
      <c r="AL60" s="1">
        <v>0</v>
      </c>
      <c r="AM60" s="468">
        <v>6.1053333333333333</v>
      </c>
      <c r="AN60" s="465">
        <f t="shared" si="3"/>
        <v>59</v>
      </c>
      <c r="AO60" s="467" t="s">
        <v>72</v>
      </c>
      <c r="AP60" s="1">
        <v>1.1679999999999999</v>
      </c>
      <c r="AQ60" s="1">
        <v>1.274</v>
      </c>
      <c r="AR60" s="1">
        <v>0.5</v>
      </c>
      <c r="AS60" s="1">
        <v>0.78100000000000003</v>
      </c>
      <c r="AT60" s="1">
        <v>0</v>
      </c>
      <c r="AU60" s="1">
        <v>0</v>
      </c>
      <c r="AV60" s="468">
        <v>3.7230000000000003</v>
      </c>
    </row>
    <row r="61" spans="1:48">
      <c r="A61" s="467">
        <f t="shared" si="4"/>
        <v>60</v>
      </c>
      <c r="B61" s="467" t="s">
        <v>82</v>
      </c>
      <c r="C61" s="7">
        <v>1</v>
      </c>
      <c r="D61" s="7">
        <v>0</v>
      </c>
      <c r="E61" s="7">
        <v>0</v>
      </c>
      <c r="F61" s="7">
        <v>0</v>
      </c>
      <c r="G61" s="7">
        <v>0</v>
      </c>
      <c r="H61" s="7">
        <v>3.2000000000000001E-2</v>
      </c>
      <c r="I61" s="7">
        <v>0</v>
      </c>
      <c r="J61" s="7">
        <v>3.2000000000000001E-2</v>
      </c>
      <c r="K61" s="471">
        <v>2.032</v>
      </c>
      <c r="L61" s="472">
        <f t="shared" si="1"/>
        <v>61</v>
      </c>
      <c r="M61" s="466" t="s">
        <v>234</v>
      </c>
      <c r="N61" s="1">
        <v>1.9100999999999999</v>
      </c>
      <c r="O61" s="1">
        <v>1.9457499999999999</v>
      </c>
      <c r="P61" s="1">
        <v>0.5</v>
      </c>
      <c r="Q61" s="1">
        <v>4.3558500000000002</v>
      </c>
      <c r="R61" s="1">
        <v>2.1793750000000003</v>
      </c>
      <c r="S61" s="1">
        <v>0</v>
      </c>
      <c r="T61" s="1">
        <v>0.91428571428571448</v>
      </c>
      <c r="U61" s="1">
        <v>0</v>
      </c>
      <c r="V61" s="1">
        <v>1.2374642857142859</v>
      </c>
      <c r="W61" s="468">
        <v>4.4746514285714287</v>
      </c>
      <c r="X61" s="465">
        <f t="shared" si="2"/>
        <v>60</v>
      </c>
      <c r="Y61" s="466" t="s">
        <v>87</v>
      </c>
      <c r="Z61" s="2">
        <v>2</v>
      </c>
      <c r="AA61" s="2">
        <v>1</v>
      </c>
      <c r="AB61" s="2">
        <v>3</v>
      </c>
      <c r="AC61" s="2">
        <v>0.76</v>
      </c>
      <c r="AD61" s="2">
        <v>0.5</v>
      </c>
      <c r="AE61" s="2">
        <v>0.95333333333333348</v>
      </c>
      <c r="AF61" s="1">
        <v>0.74666666666666659</v>
      </c>
      <c r="AG61" s="1">
        <v>3.7466666666666666</v>
      </c>
      <c r="AH61" s="2">
        <v>0.75806451612903225</v>
      </c>
      <c r="AI61" s="2">
        <v>0.25</v>
      </c>
      <c r="AJ61" s="1">
        <v>0.50403225806451613</v>
      </c>
      <c r="AK61" s="1">
        <v>1.25</v>
      </c>
      <c r="AL61" s="1">
        <v>0</v>
      </c>
      <c r="AM61" s="468">
        <v>5.500698924731183</v>
      </c>
      <c r="AN61" s="465">
        <f t="shared" si="3"/>
        <v>60</v>
      </c>
      <c r="AO61" s="467" t="s">
        <v>134</v>
      </c>
      <c r="AP61" s="1">
        <v>2.0760000000000001</v>
      </c>
      <c r="AQ61" s="1">
        <v>0.29850000000000004</v>
      </c>
      <c r="AR61" s="1">
        <v>0</v>
      </c>
      <c r="AS61" s="1">
        <v>1.2810000000000001</v>
      </c>
      <c r="AT61" s="1">
        <v>0</v>
      </c>
      <c r="AU61" s="1">
        <v>0</v>
      </c>
      <c r="AV61" s="468">
        <v>3.6555000000000004</v>
      </c>
    </row>
    <row r="62" spans="1:48">
      <c r="A62" s="467">
        <f t="shared" si="4"/>
        <v>61</v>
      </c>
      <c r="B62" s="467" t="s">
        <v>167</v>
      </c>
      <c r="C62" s="7">
        <v>0</v>
      </c>
      <c r="D62" s="7">
        <v>0</v>
      </c>
      <c r="E62" s="7">
        <v>0</v>
      </c>
      <c r="F62" s="7">
        <v>0</v>
      </c>
      <c r="G62" s="7">
        <v>0</v>
      </c>
      <c r="H62" s="7">
        <v>0.87850000000000006</v>
      </c>
      <c r="I62" s="7">
        <v>0</v>
      </c>
      <c r="J62" s="7">
        <v>0.87850000000000006</v>
      </c>
      <c r="K62" s="471">
        <v>0.87850000000000006</v>
      </c>
      <c r="L62" s="472">
        <f t="shared" si="1"/>
        <v>62</v>
      </c>
      <c r="M62" s="466" t="s">
        <v>215</v>
      </c>
      <c r="N62" s="1">
        <v>3.8852000000000002</v>
      </c>
      <c r="O62" s="1">
        <v>0</v>
      </c>
      <c r="P62" s="1">
        <v>1.0422500000000001</v>
      </c>
      <c r="Q62" s="1">
        <v>4.9274500000000003</v>
      </c>
      <c r="R62" s="1">
        <v>0</v>
      </c>
      <c r="S62" s="1">
        <v>0</v>
      </c>
      <c r="T62" s="1">
        <v>0</v>
      </c>
      <c r="U62" s="1">
        <v>0</v>
      </c>
      <c r="V62" s="1">
        <v>0</v>
      </c>
      <c r="W62" s="468">
        <v>3.9419600000000004</v>
      </c>
      <c r="X62" s="465">
        <f t="shared" si="2"/>
        <v>61</v>
      </c>
      <c r="Y62" s="466" t="s">
        <v>72</v>
      </c>
      <c r="Z62" s="2">
        <v>2</v>
      </c>
      <c r="AA62" s="2">
        <v>1</v>
      </c>
      <c r="AB62" s="2">
        <v>3</v>
      </c>
      <c r="AC62" s="2">
        <v>1.51</v>
      </c>
      <c r="AD62" s="2">
        <v>0.5</v>
      </c>
      <c r="AE62" s="2">
        <v>1.4366666666666668</v>
      </c>
      <c r="AF62" s="1">
        <v>1.2933333333333334</v>
      </c>
      <c r="AG62" s="1">
        <v>4.293333333333333</v>
      </c>
      <c r="AH62" s="2">
        <v>0</v>
      </c>
      <c r="AI62" s="2">
        <v>0.75</v>
      </c>
      <c r="AJ62" s="1">
        <v>0.375</v>
      </c>
      <c r="AK62" s="1">
        <v>0.77500000000000002</v>
      </c>
      <c r="AL62" s="1">
        <v>0</v>
      </c>
      <c r="AM62" s="468">
        <v>5.4433333333333334</v>
      </c>
      <c r="AN62" s="465">
        <f t="shared" si="3"/>
        <v>61</v>
      </c>
      <c r="AO62" s="467" t="s">
        <v>139</v>
      </c>
      <c r="AP62" s="1">
        <v>2.556</v>
      </c>
      <c r="AQ62" s="1">
        <v>0.21750000000000003</v>
      </c>
      <c r="AR62" s="1">
        <v>0.25</v>
      </c>
      <c r="AS62" s="1">
        <v>3.1E-2</v>
      </c>
      <c r="AT62" s="1">
        <v>0</v>
      </c>
      <c r="AU62" s="1">
        <v>0</v>
      </c>
      <c r="AV62" s="468">
        <v>3.0545000000000004</v>
      </c>
    </row>
    <row r="63" spans="1:48">
      <c r="A63" s="467">
        <f t="shared" si="4"/>
        <v>62</v>
      </c>
      <c r="B63" s="467" t="s">
        <v>231</v>
      </c>
      <c r="C63" s="7">
        <v>0</v>
      </c>
      <c r="D63" s="7">
        <v>0</v>
      </c>
      <c r="E63" s="7">
        <v>0</v>
      </c>
      <c r="F63" s="7">
        <v>0</v>
      </c>
      <c r="G63" s="7">
        <v>0</v>
      </c>
      <c r="H63" s="7">
        <v>0.3785</v>
      </c>
      <c r="I63" s="7">
        <v>0</v>
      </c>
      <c r="J63" s="7">
        <v>0.3785</v>
      </c>
      <c r="K63" s="471">
        <v>0.3785</v>
      </c>
      <c r="L63" s="472">
        <f t="shared" si="1"/>
        <v>63</v>
      </c>
      <c r="M63" s="466" t="s">
        <v>158</v>
      </c>
      <c r="N63" s="1">
        <v>2.8980999999999999</v>
      </c>
      <c r="O63" s="1">
        <v>1.2217499999999999</v>
      </c>
      <c r="P63" s="1">
        <v>0.54374999999999996</v>
      </c>
      <c r="Q63" s="1">
        <v>4.6635999999999997</v>
      </c>
      <c r="R63" s="1">
        <v>0</v>
      </c>
      <c r="S63" s="1">
        <v>0</v>
      </c>
      <c r="T63" s="1">
        <v>0</v>
      </c>
      <c r="U63" s="1">
        <v>0</v>
      </c>
      <c r="V63" s="1">
        <v>0</v>
      </c>
      <c r="W63" s="468">
        <v>3.73088</v>
      </c>
      <c r="X63" s="465">
        <f t="shared" si="2"/>
        <v>62</v>
      </c>
      <c r="Y63" s="466" t="s">
        <v>234</v>
      </c>
      <c r="Z63" s="2">
        <v>1</v>
      </c>
      <c r="AA63" s="2">
        <v>1</v>
      </c>
      <c r="AB63" s="2">
        <v>2</v>
      </c>
      <c r="AC63" s="2">
        <v>1.79</v>
      </c>
      <c r="AD63" s="2">
        <v>0.5</v>
      </c>
      <c r="AE63" s="2">
        <v>1.5983333333333334</v>
      </c>
      <c r="AF63" s="1">
        <v>1.4936666666666669</v>
      </c>
      <c r="AG63" s="1">
        <v>3.4936666666666669</v>
      </c>
      <c r="AH63" s="2">
        <v>0</v>
      </c>
      <c r="AI63" s="2">
        <v>0</v>
      </c>
      <c r="AJ63" s="1">
        <v>0</v>
      </c>
      <c r="AK63" s="1">
        <v>0.61699999999999999</v>
      </c>
      <c r="AL63" s="1">
        <v>0.33333333333333331</v>
      </c>
      <c r="AM63" s="468">
        <v>4.444</v>
      </c>
      <c r="AN63" s="465">
        <f t="shared" si="3"/>
        <v>62</v>
      </c>
      <c r="AO63" s="467" t="s">
        <v>231</v>
      </c>
      <c r="AP63" s="1">
        <v>0.53200000000000003</v>
      </c>
      <c r="AQ63" s="1">
        <v>1.75</v>
      </c>
      <c r="AR63" s="1">
        <v>0</v>
      </c>
      <c r="AS63" s="1">
        <v>0.53100000000000003</v>
      </c>
      <c r="AT63" s="1">
        <v>0</v>
      </c>
      <c r="AU63" s="1">
        <v>0</v>
      </c>
      <c r="AV63" s="468">
        <v>2.8130000000000002</v>
      </c>
    </row>
    <row r="64" spans="1:48">
      <c r="A64" s="467">
        <f t="shared" si="4"/>
        <v>63</v>
      </c>
      <c r="B64" s="467" t="s">
        <v>72</v>
      </c>
      <c r="C64" s="7">
        <v>0</v>
      </c>
      <c r="D64" s="7">
        <v>0</v>
      </c>
      <c r="E64" s="7">
        <v>0</v>
      </c>
      <c r="F64" s="7">
        <v>0</v>
      </c>
      <c r="G64" s="7">
        <v>0</v>
      </c>
      <c r="H64" s="7">
        <v>0</v>
      </c>
      <c r="I64" s="7">
        <v>0</v>
      </c>
      <c r="J64" s="7">
        <v>0</v>
      </c>
      <c r="K64" s="471">
        <v>0</v>
      </c>
      <c r="L64" s="472">
        <f t="shared" si="1"/>
        <v>64</v>
      </c>
      <c r="M64" s="466" t="s">
        <v>167</v>
      </c>
      <c r="N64" s="1">
        <v>1.8280000000000001</v>
      </c>
      <c r="O64" s="1">
        <v>2.5647500000000001</v>
      </c>
      <c r="P64" s="1">
        <v>0</v>
      </c>
      <c r="Q64" s="1">
        <v>4.3927500000000004</v>
      </c>
      <c r="R64" s="1">
        <v>0</v>
      </c>
      <c r="S64" s="1">
        <v>0</v>
      </c>
      <c r="T64" s="1">
        <v>0.56428571428571428</v>
      </c>
      <c r="U64" s="1">
        <v>0</v>
      </c>
      <c r="V64" s="1">
        <v>0.22571428571428573</v>
      </c>
      <c r="W64" s="468">
        <v>3.6947714285714293</v>
      </c>
      <c r="X64" s="465">
        <f t="shared" si="2"/>
        <v>63</v>
      </c>
      <c r="Y64" s="466" t="s">
        <v>231</v>
      </c>
      <c r="Z64" s="2">
        <v>1</v>
      </c>
      <c r="AA64" s="2">
        <v>1</v>
      </c>
      <c r="AB64" s="2">
        <v>2</v>
      </c>
      <c r="AC64" s="2">
        <v>2.0099999999999998</v>
      </c>
      <c r="AD64" s="2">
        <v>0.75</v>
      </c>
      <c r="AE64" s="2">
        <v>1.4366666666666668</v>
      </c>
      <c r="AF64" s="1">
        <v>1.6433333333333333</v>
      </c>
      <c r="AG64" s="1">
        <v>3.6433333333333335</v>
      </c>
      <c r="AH64" s="2">
        <v>0</v>
      </c>
      <c r="AI64" s="2">
        <v>0</v>
      </c>
      <c r="AJ64" s="1">
        <v>0</v>
      </c>
      <c r="AK64" s="1">
        <v>0.7589999999999999</v>
      </c>
      <c r="AL64" s="1">
        <v>0</v>
      </c>
      <c r="AM64" s="468">
        <v>4.402333333333333</v>
      </c>
      <c r="AN64" s="465">
        <f t="shared" si="3"/>
        <v>63</v>
      </c>
      <c r="AO64" s="467" t="s">
        <v>177</v>
      </c>
      <c r="AP64" s="1">
        <v>1.254</v>
      </c>
      <c r="AQ64" s="1">
        <v>0.64249999999999996</v>
      </c>
      <c r="AR64" s="1">
        <v>0</v>
      </c>
      <c r="AS64" s="1">
        <v>3.1E-2</v>
      </c>
      <c r="AT64" s="1">
        <v>0</v>
      </c>
      <c r="AU64" s="1">
        <v>0</v>
      </c>
      <c r="AV64" s="468">
        <v>1.9275</v>
      </c>
    </row>
    <row r="65" spans="1:48">
      <c r="A65" s="467">
        <f t="shared" si="4"/>
        <v>63</v>
      </c>
      <c r="B65" s="467" t="s">
        <v>139</v>
      </c>
      <c r="C65" s="7">
        <v>0</v>
      </c>
      <c r="D65" s="7">
        <v>0</v>
      </c>
      <c r="E65" s="7">
        <v>0</v>
      </c>
      <c r="F65" s="7">
        <v>0</v>
      </c>
      <c r="G65" s="7">
        <v>0</v>
      </c>
      <c r="H65" s="7">
        <v>0</v>
      </c>
      <c r="I65" s="7">
        <v>0</v>
      </c>
      <c r="J65" s="7">
        <v>0</v>
      </c>
      <c r="K65" s="471">
        <v>0</v>
      </c>
      <c r="L65" s="472">
        <f t="shared" si="1"/>
        <v>65</v>
      </c>
      <c r="M65" s="466" t="s">
        <v>171</v>
      </c>
      <c r="N65" s="1">
        <v>2.8715999999999999</v>
      </c>
      <c r="O65" s="1">
        <v>0</v>
      </c>
      <c r="P65" s="1">
        <v>0.46775</v>
      </c>
      <c r="Q65" s="1">
        <v>3.33935</v>
      </c>
      <c r="R65" s="1">
        <v>0</v>
      </c>
      <c r="S65" s="1">
        <v>0</v>
      </c>
      <c r="T65" s="1">
        <v>0</v>
      </c>
      <c r="U65" s="1">
        <v>0</v>
      </c>
      <c r="V65" s="1">
        <v>0</v>
      </c>
      <c r="W65" s="468">
        <v>2.6714799999999999</v>
      </c>
      <c r="X65" s="465">
        <f t="shared" si="2"/>
        <v>64</v>
      </c>
      <c r="Y65" s="466" t="s">
        <v>100</v>
      </c>
      <c r="Z65" s="2">
        <v>1</v>
      </c>
      <c r="AA65" s="2">
        <v>1</v>
      </c>
      <c r="AB65" s="2">
        <v>2</v>
      </c>
      <c r="AC65" s="2">
        <v>1.01</v>
      </c>
      <c r="AD65" s="2">
        <v>1.75</v>
      </c>
      <c r="AE65" s="2">
        <v>1.1416666666666668</v>
      </c>
      <c r="AF65" s="1">
        <v>1.1843333333333335</v>
      </c>
      <c r="AG65" s="1">
        <v>3.1843333333333335</v>
      </c>
      <c r="AH65" s="2">
        <v>0</v>
      </c>
      <c r="AI65" s="2">
        <v>0.25</v>
      </c>
      <c r="AJ65" s="1">
        <v>0.125</v>
      </c>
      <c r="AK65" s="1">
        <v>6.3E-2</v>
      </c>
      <c r="AL65" s="1">
        <v>0</v>
      </c>
      <c r="AM65" s="468">
        <v>3.3723333333333336</v>
      </c>
      <c r="AN65" s="465">
        <f t="shared" si="3"/>
        <v>64</v>
      </c>
      <c r="AO65" s="467" t="s">
        <v>167</v>
      </c>
      <c r="AP65" s="1">
        <v>0.44599999999999995</v>
      </c>
      <c r="AQ65" s="1">
        <v>1.274</v>
      </c>
      <c r="AR65" s="1">
        <v>0</v>
      </c>
      <c r="AS65" s="1">
        <v>0</v>
      </c>
      <c r="AT65" s="1">
        <v>0</v>
      </c>
      <c r="AU65" s="1">
        <v>0</v>
      </c>
      <c r="AV65" s="468">
        <v>1.72</v>
      </c>
    </row>
    <row r="66" spans="1:48">
      <c r="C66" s="1">
        <f>AVERAGE(C2:C65)</f>
        <v>2.96875</v>
      </c>
      <c r="D66" s="1">
        <f t="shared" ref="D66:K66" si="5">AVERAGE(D2:D65)</f>
        <v>0.3701171875</v>
      </c>
      <c r="E66" s="1">
        <f t="shared" si="5"/>
        <v>0.345703125</v>
      </c>
      <c r="F66" s="1">
        <f t="shared" si="5"/>
        <v>0.14485677083333334</v>
      </c>
      <c r="G66" s="1">
        <f t="shared" si="5"/>
        <v>0.86067708333333326</v>
      </c>
      <c r="H66" s="1">
        <f t="shared" si="5"/>
        <v>0.69793749999999988</v>
      </c>
      <c r="I66" s="1">
        <f t="shared" si="5"/>
        <v>0.2734375</v>
      </c>
      <c r="J66" s="1">
        <f t="shared" si="5"/>
        <v>0.97137499999999999</v>
      </c>
      <c r="K66" s="468">
        <f t="shared" si="5"/>
        <v>7.7695520833333322</v>
      </c>
      <c r="N66" s="1">
        <f>AVERAGE(N2:N65)</f>
        <v>4.0538546875000003</v>
      </c>
      <c r="O66" s="1">
        <f t="shared" ref="O66:W66" si="6">AVERAGE(O2:O65)</f>
        <v>2.1938203125000002</v>
      </c>
      <c r="P66" s="1">
        <f t="shared" si="6"/>
        <v>1.6935429687499992</v>
      </c>
      <c r="Q66" s="1">
        <f t="shared" si="6"/>
        <v>7.9412179687500002</v>
      </c>
      <c r="R66" s="1">
        <f t="shared" si="6"/>
        <v>1.6633593750000002</v>
      </c>
      <c r="S66" s="1">
        <f t="shared" si="6"/>
        <v>0.53164062499999998</v>
      </c>
      <c r="T66" s="1">
        <f t="shared" si="6"/>
        <v>1.8561830357142852</v>
      </c>
      <c r="U66" s="1">
        <f t="shared" si="6"/>
        <v>1.8975</v>
      </c>
      <c r="V66" s="1">
        <f t="shared" si="6"/>
        <v>1.6507310267857143</v>
      </c>
      <c r="W66" s="468">
        <f t="shared" si="6"/>
        <v>7.673559196428573</v>
      </c>
      <c r="Z66" s="1">
        <f>AVERAGE(Z2:Z65)</f>
        <v>2.5625</v>
      </c>
      <c r="AA66" s="1">
        <f t="shared" ref="AA66:AM66" si="7">AVERAGE(AA2:AA65)</f>
        <v>2.71875</v>
      </c>
      <c r="AB66" s="1">
        <f t="shared" si="7"/>
        <v>5.28125</v>
      </c>
      <c r="AC66" s="1">
        <f t="shared" si="7"/>
        <v>1.7879687500000025</v>
      </c>
      <c r="AD66" s="1">
        <f t="shared" si="7"/>
        <v>1.15703125</v>
      </c>
      <c r="AE66" s="1">
        <f t="shared" si="7"/>
        <v>1.6440625</v>
      </c>
      <c r="AF66" s="1">
        <f t="shared" si="7"/>
        <v>1.6330000000000005</v>
      </c>
      <c r="AG66" s="1">
        <f t="shared" si="7"/>
        <v>6.9142500000000027</v>
      </c>
      <c r="AH66" s="1">
        <f t="shared" si="7"/>
        <v>1.1573197236347263</v>
      </c>
      <c r="AI66" s="1">
        <f t="shared" si="7"/>
        <v>0.9375</v>
      </c>
      <c r="AJ66" s="1">
        <f t="shared" si="7"/>
        <v>1.0474098618173631</v>
      </c>
      <c r="AK66" s="1">
        <f t="shared" si="7"/>
        <v>2.4560781249999999</v>
      </c>
      <c r="AL66" s="1">
        <f t="shared" si="7"/>
        <v>1.5093749999999992</v>
      </c>
      <c r="AM66" s="468">
        <f t="shared" si="7"/>
        <v>11.927112986817367</v>
      </c>
      <c r="AP66" s="1">
        <f>AVERAGE(AP2:AP65)</f>
        <v>2.3662500000000004</v>
      </c>
      <c r="AQ66" s="1">
        <f t="shared" ref="AQ66:AV66" si="8">AVERAGE(AQ2:AQ65)</f>
        <v>2.5827812500000005</v>
      </c>
      <c r="AR66" s="1">
        <f t="shared" si="8"/>
        <v>1.32421875</v>
      </c>
      <c r="AS66" s="1">
        <f t="shared" si="8"/>
        <v>2.0697187500000007</v>
      </c>
      <c r="AT66" s="1">
        <f t="shared" si="8"/>
        <v>1.7477678571428579</v>
      </c>
      <c r="AU66" s="1">
        <f t="shared" si="8"/>
        <v>1.337890625</v>
      </c>
      <c r="AV66" s="468">
        <f t="shared" si="8"/>
        <v>11.428627232142853</v>
      </c>
    </row>
  </sheetData>
  <autoFilter ref="A1:AV66"/>
  <sortState ref="A2:K65">
    <sortCondition ref="A2:A6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zoomScale="125" zoomScaleNormal="125" zoomScalePageLayoutView="125" workbookViewId="0">
      <pane xSplit="2" ySplit="1" topLeftCell="H25" activePane="bottomRight" state="frozen"/>
      <selection activeCell="B24" sqref="B24"/>
      <selection pane="topRight" activeCell="B24" sqref="B24"/>
      <selection pane="bottomLeft" activeCell="B24" sqref="B24"/>
      <selection pane="bottomRight" activeCell="B24" sqref="B24"/>
    </sheetView>
  </sheetViews>
  <sheetFormatPr baseColWidth="10" defaultColWidth="21.83203125" defaultRowHeight="14" x14ac:dyDescent="0"/>
  <cols>
    <col min="1" max="16384" width="21.83203125" style="155"/>
  </cols>
  <sheetData>
    <row r="1" spans="1:19" s="200" customFormat="1" ht="56">
      <c r="A1" s="195" t="s">
        <v>1099</v>
      </c>
      <c r="B1" s="195" t="s">
        <v>1405</v>
      </c>
      <c r="C1" s="195" t="s">
        <v>1100</v>
      </c>
      <c r="D1" s="195" t="s">
        <v>2338</v>
      </c>
      <c r="E1" s="195" t="s">
        <v>1101</v>
      </c>
      <c r="F1" s="195" t="s">
        <v>2339</v>
      </c>
      <c r="G1" s="195" t="s">
        <v>1722</v>
      </c>
      <c r="H1" s="195" t="s">
        <v>1407</v>
      </c>
      <c r="I1" s="195" t="s">
        <v>1724</v>
      </c>
      <c r="J1" s="195" t="s">
        <v>1725</v>
      </c>
      <c r="K1" s="195" t="s">
        <v>2340</v>
      </c>
      <c r="L1" s="147" t="s">
        <v>2341</v>
      </c>
      <c r="M1" s="195" t="s">
        <v>2342</v>
      </c>
      <c r="N1" s="195" t="s">
        <v>2343</v>
      </c>
      <c r="O1" s="147" t="s">
        <v>2344</v>
      </c>
      <c r="P1" s="195" t="s">
        <v>2345</v>
      </c>
      <c r="Q1" s="147" t="s">
        <v>2346</v>
      </c>
      <c r="R1" s="146" t="s">
        <v>2347</v>
      </c>
      <c r="S1" s="338" t="s">
        <v>2348</v>
      </c>
    </row>
    <row r="2" spans="1:19" s="200" customFormat="1" ht="28">
      <c r="A2" s="207" t="s">
        <v>1171</v>
      </c>
      <c r="B2" s="207" t="s">
        <v>63</v>
      </c>
      <c r="C2" s="302">
        <v>1</v>
      </c>
      <c r="D2" s="207" t="s">
        <v>1174</v>
      </c>
      <c r="E2" s="207" t="s">
        <v>413</v>
      </c>
      <c r="F2" s="207" t="s">
        <v>2349</v>
      </c>
      <c r="L2" s="317">
        <f t="shared" ref="L2:L64" si="0">PERCENTRANK($K$2:$K$64,K2,2)</f>
        <v>0</v>
      </c>
      <c r="O2" s="317">
        <f>IF(M2="yes",0.5,0)</f>
        <v>0</v>
      </c>
      <c r="Q2" s="317"/>
      <c r="R2" s="316">
        <f>SUM(Q2,O2,L2)</f>
        <v>0</v>
      </c>
      <c r="S2" s="339">
        <f>R2*(5/2)</f>
        <v>0</v>
      </c>
    </row>
    <row r="3" spans="1:19" s="200" customFormat="1">
      <c r="A3" s="207" t="s">
        <v>1171</v>
      </c>
      <c r="B3" s="207" t="s">
        <v>69</v>
      </c>
      <c r="C3" s="302">
        <v>2</v>
      </c>
      <c r="D3" s="207" t="s">
        <v>1176</v>
      </c>
      <c r="E3" s="207" t="s">
        <v>413</v>
      </c>
      <c r="L3" s="317">
        <f t="shared" si="0"/>
        <v>0</v>
      </c>
      <c r="O3" s="317">
        <f t="shared" ref="O3:O64" si="1">IF(M3="yes",0.5,0)</f>
        <v>0</v>
      </c>
      <c r="Q3" s="317"/>
      <c r="R3" s="316">
        <f t="shared" ref="R3:R64" si="2">SUM(Q3,O3,L3)</f>
        <v>0</v>
      </c>
      <c r="S3" s="339">
        <f t="shared" ref="S3:S64" si="3">R3*(5/2)</f>
        <v>0</v>
      </c>
    </row>
    <row r="4" spans="1:19" s="200" customFormat="1">
      <c r="A4" s="207" t="s">
        <v>1171</v>
      </c>
      <c r="B4" s="207" t="s">
        <v>72</v>
      </c>
      <c r="C4" s="302">
        <v>3</v>
      </c>
      <c r="D4" s="207" t="s">
        <v>1176</v>
      </c>
      <c r="E4" s="207" t="s">
        <v>413</v>
      </c>
      <c r="L4" s="317">
        <f t="shared" si="0"/>
        <v>0</v>
      </c>
      <c r="O4" s="317">
        <f t="shared" si="1"/>
        <v>0</v>
      </c>
      <c r="Q4" s="317"/>
      <c r="R4" s="316">
        <f t="shared" si="2"/>
        <v>0</v>
      </c>
      <c r="S4" s="339">
        <f t="shared" si="3"/>
        <v>0</v>
      </c>
    </row>
    <row r="5" spans="1:19" s="200" customFormat="1">
      <c r="A5" s="207" t="s">
        <v>1171</v>
      </c>
      <c r="B5" s="207" t="s">
        <v>78</v>
      </c>
      <c r="C5" s="302">
        <v>4</v>
      </c>
      <c r="D5" s="207" t="s">
        <v>1176</v>
      </c>
      <c r="E5" s="207" t="s">
        <v>413</v>
      </c>
      <c r="L5" s="317">
        <f t="shared" si="0"/>
        <v>0</v>
      </c>
      <c r="O5" s="317">
        <f t="shared" si="1"/>
        <v>0</v>
      </c>
      <c r="Q5" s="317"/>
      <c r="R5" s="316">
        <f t="shared" si="2"/>
        <v>0</v>
      </c>
      <c r="S5" s="339">
        <f t="shared" si="3"/>
        <v>0</v>
      </c>
    </row>
    <row r="6" spans="1:19" s="200" customFormat="1" ht="70">
      <c r="A6" s="207" t="s">
        <v>1171</v>
      </c>
      <c r="B6" s="207" t="s">
        <v>82</v>
      </c>
      <c r="C6" s="302">
        <v>5</v>
      </c>
      <c r="D6" s="207" t="s">
        <v>1174</v>
      </c>
      <c r="E6" s="207" t="s">
        <v>413</v>
      </c>
      <c r="F6" s="207" t="s">
        <v>2350</v>
      </c>
      <c r="G6" s="207" t="s">
        <v>2282</v>
      </c>
      <c r="H6" s="207" t="s">
        <v>1451</v>
      </c>
      <c r="I6" s="207" t="s">
        <v>1176</v>
      </c>
      <c r="J6" s="207" t="s">
        <v>1176</v>
      </c>
      <c r="K6" s="302">
        <v>0</v>
      </c>
      <c r="L6" s="317">
        <f t="shared" si="0"/>
        <v>0</v>
      </c>
      <c r="M6" s="207" t="s">
        <v>1176</v>
      </c>
      <c r="N6" s="207" t="s">
        <v>2351</v>
      </c>
      <c r="O6" s="317">
        <f t="shared" si="1"/>
        <v>0</v>
      </c>
      <c r="P6" s="207" t="s">
        <v>2352</v>
      </c>
      <c r="Q6" s="340">
        <v>0</v>
      </c>
      <c r="R6" s="316">
        <f t="shared" si="2"/>
        <v>0</v>
      </c>
      <c r="S6" s="339">
        <f t="shared" si="3"/>
        <v>0</v>
      </c>
    </row>
    <row r="7" spans="1:19" s="200" customFormat="1">
      <c r="A7" s="207" t="s">
        <v>1171</v>
      </c>
      <c r="B7" s="207" t="s">
        <v>87</v>
      </c>
      <c r="C7" s="302">
        <v>6</v>
      </c>
      <c r="D7" s="207" t="s">
        <v>1176</v>
      </c>
      <c r="E7" s="207" t="s">
        <v>413</v>
      </c>
      <c r="L7" s="317">
        <f t="shared" si="0"/>
        <v>0</v>
      </c>
      <c r="O7" s="317">
        <f t="shared" si="1"/>
        <v>0</v>
      </c>
      <c r="Q7" s="317"/>
      <c r="R7" s="316">
        <f t="shared" si="2"/>
        <v>0</v>
      </c>
      <c r="S7" s="339">
        <f t="shared" si="3"/>
        <v>0</v>
      </c>
    </row>
    <row r="8" spans="1:19" s="200" customFormat="1" ht="196">
      <c r="A8" s="207" t="s">
        <v>1171</v>
      </c>
      <c r="B8" s="207" t="s">
        <v>90</v>
      </c>
      <c r="C8" s="302">
        <v>7</v>
      </c>
      <c r="D8" s="207" t="s">
        <v>1174</v>
      </c>
      <c r="E8" s="207" t="s">
        <v>413</v>
      </c>
      <c r="F8" s="207" t="s">
        <v>2353</v>
      </c>
      <c r="G8" s="207" t="s">
        <v>2354</v>
      </c>
      <c r="H8" s="207" t="s">
        <v>1451</v>
      </c>
      <c r="I8" s="207" t="s">
        <v>1176</v>
      </c>
      <c r="J8" s="207" t="s">
        <v>1176</v>
      </c>
      <c r="K8" s="302">
        <v>1</v>
      </c>
      <c r="L8" s="317">
        <f t="shared" si="0"/>
        <v>0.21</v>
      </c>
      <c r="N8" s="207" t="s">
        <v>719</v>
      </c>
      <c r="O8" s="317">
        <f t="shared" si="1"/>
        <v>0</v>
      </c>
      <c r="P8" s="207" t="s">
        <v>2355</v>
      </c>
      <c r="Q8" s="340">
        <v>0.5</v>
      </c>
      <c r="R8" s="316">
        <f t="shared" si="2"/>
        <v>0.71</v>
      </c>
      <c r="S8" s="339">
        <f t="shared" si="3"/>
        <v>1.7749999999999999</v>
      </c>
    </row>
    <row r="9" spans="1:19" s="200" customFormat="1">
      <c r="A9" s="223" t="s">
        <v>1171</v>
      </c>
      <c r="B9" s="223" t="s">
        <v>93</v>
      </c>
      <c r="C9" s="341">
        <v>8</v>
      </c>
      <c r="D9" s="223" t="s">
        <v>1174</v>
      </c>
      <c r="E9" s="223" t="s">
        <v>413</v>
      </c>
      <c r="F9" s="223" t="s">
        <v>2356</v>
      </c>
      <c r="G9" s="220" t="s">
        <v>2357</v>
      </c>
      <c r="H9" s="178" t="s">
        <v>1451</v>
      </c>
      <c r="I9" s="178" t="s">
        <v>1176</v>
      </c>
      <c r="J9" s="342" t="s">
        <v>1176</v>
      </c>
      <c r="K9" s="343">
        <f>AVERAGE(K10:K72)</f>
        <v>1.5438888888888889</v>
      </c>
      <c r="L9" s="317">
        <f t="shared" si="0"/>
        <v>0.68</v>
      </c>
      <c r="M9" s="194" t="s">
        <v>1176</v>
      </c>
      <c r="N9" s="194" t="s">
        <v>684</v>
      </c>
      <c r="O9" s="317">
        <f t="shared" si="1"/>
        <v>0</v>
      </c>
      <c r="P9" s="194">
        <v>0.5</v>
      </c>
      <c r="Q9" s="317"/>
      <c r="R9" s="316">
        <f t="shared" si="2"/>
        <v>0.68</v>
      </c>
      <c r="S9" s="339">
        <f t="shared" si="3"/>
        <v>1.7000000000000002</v>
      </c>
    </row>
    <row r="10" spans="1:19" s="200" customFormat="1" ht="84">
      <c r="A10" s="207" t="s">
        <v>1171</v>
      </c>
      <c r="B10" s="207" t="s">
        <v>96</v>
      </c>
      <c r="C10" s="302">
        <v>9</v>
      </c>
      <c r="D10" s="207" t="s">
        <v>1174</v>
      </c>
      <c r="E10" s="207" t="s">
        <v>413</v>
      </c>
      <c r="F10" s="207" t="s">
        <v>2358</v>
      </c>
      <c r="G10" s="207" t="s">
        <v>96</v>
      </c>
      <c r="H10" s="207" t="s">
        <v>1451</v>
      </c>
      <c r="I10" s="207" t="s">
        <v>1176</v>
      </c>
      <c r="J10" s="207" t="s">
        <v>1176</v>
      </c>
      <c r="K10" s="302">
        <v>2</v>
      </c>
      <c r="L10" s="317">
        <f t="shared" si="0"/>
        <v>0.73</v>
      </c>
      <c r="M10" s="207" t="s">
        <v>1174</v>
      </c>
      <c r="N10" s="207" t="s">
        <v>2359</v>
      </c>
      <c r="O10" s="317">
        <f t="shared" si="1"/>
        <v>0.5</v>
      </c>
      <c r="P10" s="207" t="s">
        <v>2360</v>
      </c>
      <c r="Q10" s="340">
        <v>0.25</v>
      </c>
      <c r="R10" s="316">
        <f t="shared" si="2"/>
        <v>1.48</v>
      </c>
      <c r="S10" s="339">
        <f t="shared" si="3"/>
        <v>3.7</v>
      </c>
    </row>
    <row r="11" spans="1:19" s="200" customFormat="1">
      <c r="A11" s="207" t="s">
        <v>1171</v>
      </c>
      <c r="B11" s="207" t="s">
        <v>100</v>
      </c>
      <c r="C11" s="302">
        <v>10</v>
      </c>
      <c r="D11" s="207" t="s">
        <v>1176</v>
      </c>
      <c r="E11" s="207" t="s">
        <v>413</v>
      </c>
      <c r="L11" s="317">
        <f t="shared" si="0"/>
        <v>0</v>
      </c>
      <c r="O11" s="317">
        <f t="shared" si="1"/>
        <v>0</v>
      </c>
      <c r="Q11" s="317"/>
      <c r="R11" s="316">
        <f t="shared" si="2"/>
        <v>0</v>
      </c>
      <c r="S11" s="339">
        <f t="shared" si="3"/>
        <v>0</v>
      </c>
    </row>
    <row r="12" spans="1:19" s="200" customFormat="1">
      <c r="A12" s="207" t="s">
        <v>1171</v>
      </c>
      <c r="B12" s="207" t="s">
        <v>102</v>
      </c>
      <c r="C12" s="302">
        <v>11</v>
      </c>
      <c r="D12" s="207" t="s">
        <v>1174</v>
      </c>
      <c r="E12" s="207" t="s">
        <v>413</v>
      </c>
      <c r="F12" s="207" t="s">
        <v>2361</v>
      </c>
      <c r="G12" s="207" t="s">
        <v>2362</v>
      </c>
      <c r="I12" s="207" t="s">
        <v>1176</v>
      </c>
      <c r="J12" s="207" t="s">
        <v>1176</v>
      </c>
      <c r="K12" s="302">
        <v>0</v>
      </c>
      <c r="L12" s="317">
        <f t="shared" si="0"/>
        <v>0</v>
      </c>
      <c r="M12" s="207" t="s">
        <v>1176</v>
      </c>
      <c r="N12" s="207" t="s">
        <v>684</v>
      </c>
      <c r="O12" s="317">
        <f t="shared" si="1"/>
        <v>0</v>
      </c>
      <c r="P12" s="207" t="s">
        <v>2363</v>
      </c>
      <c r="Q12" s="317"/>
      <c r="R12" s="316">
        <f t="shared" si="2"/>
        <v>0</v>
      </c>
      <c r="S12" s="339">
        <f t="shared" si="3"/>
        <v>0</v>
      </c>
    </row>
    <row r="13" spans="1:19" s="200" customFormat="1" ht="28">
      <c r="A13" s="223" t="s">
        <v>1171</v>
      </c>
      <c r="B13" s="223" t="s">
        <v>104</v>
      </c>
      <c r="C13" s="341">
        <v>12</v>
      </c>
      <c r="D13" s="223" t="s">
        <v>1174</v>
      </c>
      <c r="E13" s="223" t="s">
        <v>413</v>
      </c>
      <c r="F13" s="223" t="s">
        <v>2364</v>
      </c>
      <c r="G13" s="178" t="s">
        <v>2365</v>
      </c>
      <c r="H13" s="178" t="s">
        <v>1451</v>
      </c>
      <c r="I13" s="178" t="s">
        <v>1176</v>
      </c>
      <c r="J13" s="178" t="s">
        <v>1176</v>
      </c>
      <c r="K13" s="194">
        <v>7</v>
      </c>
      <c r="L13" s="317">
        <f t="shared" si="0"/>
        <v>1</v>
      </c>
      <c r="M13" s="194" t="s">
        <v>1174</v>
      </c>
      <c r="N13" s="194" t="s">
        <v>719</v>
      </c>
      <c r="O13" s="317">
        <f t="shared" si="1"/>
        <v>0.5</v>
      </c>
      <c r="P13" s="194">
        <v>0.5</v>
      </c>
      <c r="Q13" s="317"/>
      <c r="R13" s="316">
        <f t="shared" si="2"/>
        <v>1.5</v>
      </c>
      <c r="S13" s="339">
        <f t="shared" si="3"/>
        <v>3.75</v>
      </c>
    </row>
    <row r="14" spans="1:19" s="200" customFormat="1">
      <c r="A14" s="207" t="s">
        <v>1171</v>
      </c>
      <c r="B14" s="207" t="s">
        <v>106</v>
      </c>
      <c r="C14" s="302">
        <v>13</v>
      </c>
      <c r="D14" s="207" t="s">
        <v>1176</v>
      </c>
      <c r="E14" s="207" t="s">
        <v>413</v>
      </c>
      <c r="L14" s="317">
        <f t="shared" si="0"/>
        <v>0</v>
      </c>
      <c r="O14" s="317">
        <f t="shared" si="1"/>
        <v>0</v>
      </c>
      <c r="Q14" s="317"/>
      <c r="R14" s="316">
        <f t="shared" si="2"/>
        <v>0</v>
      </c>
      <c r="S14" s="339">
        <f t="shared" si="3"/>
        <v>0</v>
      </c>
    </row>
    <row r="15" spans="1:19" s="200" customFormat="1">
      <c r="A15" s="207" t="s">
        <v>1171</v>
      </c>
      <c r="B15" s="207" t="s">
        <v>109</v>
      </c>
      <c r="C15" s="302">
        <v>14</v>
      </c>
      <c r="D15" s="207" t="s">
        <v>1176</v>
      </c>
      <c r="E15" s="207" t="s">
        <v>413</v>
      </c>
      <c r="L15" s="317">
        <f t="shared" si="0"/>
        <v>0</v>
      </c>
      <c r="O15" s="317">
        <f t="shared" si="1"/>
        <v>0</v>
      </c>
      <c r="Q15" s="317"/>
      <c r="R15" s="316">
        <f t="shared" si="2"/>
        <v>0</v>
      </c>
      <c r="S15" s="339">
        <f t="shared" si="3"/>
        <v>0</v>
      </c>
    </row>
    <row r="16" spans="1:19" s="200" customFormat="1">
      <c r="A16" s="207" t="s">
        <v>1171</v>
      </c>
      <c r="B16" s="207" t="s">
        <v>111</v>
      </c>
      <c r="C16" s="302">
        <v>15</v>
      </c>
      <c r="D16" s="207" t="s">
        <v>1176</v>
      </c>
      <c r="E16" s="207" t="s">
        <v>413</v>
      </c>
      <c r="L16" s="317">
        <f t="shared" si="0"/>
        <v>0</v>
      </c>
      <c r="O16" s="317">
        <f t="shared" si="1"/>
        <v>0</v>
      </c>
      <c r="Q16" s="317"/>
      <c r="R16" s="316">
        <f t="shared" si="2"/>
        <v>0</v>
      </c>
      <c r="S16" s="339">
        <f t="shared" si="3"/>
        <v>0</v>
      </c>
    </row>
    <row r="17" spans="1:19" s="200" customFormat="1">
      <c r="A17" s="207" t="s">
        <v>1171</v>
      </c>
      <c r="B17" s="207" t="s">
        <v>114</v>
      </c>
      <c r="C17" s="302">
        <v>16</v>
      </c>
      <c r="D17" s="207" t="s">
        <v>1176</v>
      </c>
      <c r="E17" s="207" t="s">
        <v>413</v>
      </c>
      <c r="L17" s="317">
        <f t="shared" si="0"/>
        <v>0</v>
      </c>
      <c r="O17" s="317">
        <f t="shared" si="1"/>
        <v>0</v>
      </c>
      <c r="Q17" s="317"/>
      <c r="R17" s="316">
        <f t="shared" si="2"/>
        <v>0</v>
      </c>
      <c r="S17" s="339">
        <f t="shared" si="3"/>
        <v>0</v>
      </c>
    </row>
    <row r="18" spans="1:19" s="200" customFormat="1" ht="56">
      <c r="A18" s="207" t="s">
        <v>1171</v>
      </c>
      <c r="B18" s="207" t="s">
        <v>117</v>
      </c>
      <c r="C18" s="302">
        <v>17</v>
      </c>
      <c r="D18" s="207" t="s">
        <v>1174</v>
      </c>
      <c r="E18" s="207" t="s">
        <v>413</v>
      </c>
      <c r="F18" s="207" t="s">
        <v>2366</v>
      </c>
      <c r="G18" s="207" t="s">
        <v>2367</v>
      </c>
      <c r="H18" s="207" t="s">
        <v>1451</v>
      </c>
      <c r="I18" s="207" t="s">
        <v>1176</v>
      </c>
      <c r="J18" s="207" t="s">
        <v>1176</v>
      </c>
      <c r="K18" s="302">
        <v>0.37</v>
      </c>
      <c r="L18" s="317">
        <f t="shared" si="0"/>
        <v>0.15</v>
      </c>
      <c r="M18" s="207" t="s">
        <v>1174</v>
      </c>
      <c r="N18" s="207" t="s">
        <v>719</v>
      </c>
      <c r="O18" s="317">
        <f t="shared" si="1"/>
        <v>0.5</v>
      </c>
      <c r="P18" s="207" t="s">
        <v>2368</v>
      </c>
      <c r="Q18" s="340">
        <v>0</v>
      </c>
      <c r="R18" s="316">
        <f t="shared" si="2"/>
        <v>0.65</v>
      </c>
      <c r="S18" s="339">
        <f t="shared" si="3"/>
        <v>1.625</v>
      </c>
    </row>
    <row r="19" spans="1:19" s="200" customFormat="1" ht="56">
      <c r="A19" s="207" t="s">
        <v>1171</v>
      </c>
      <c r="B19" s="207" t="s">
        <v>120</v>
      </c>
      <c r="C19" s="302">
        <v>18</v>
      </c>
      <c r="D19" s="207" t="s">
        <v>1174</v>
      </c>
      <c r="E19" s="207" t="s">
        <v>413</v>
      </c>
      <c r="F19" s="207" t="s">
        <v>2369</v>
      </c>
      <c r="G19" s="207" t="s">
        <v>120</v>
      </c>
      <c r="H19" s="207" t="s">
        <v>1451</v>
      </c>
      <c r="I19" s="207" t="s">
        <v>1176</v>
      </c>
      <c r="J19" s="207" t="s">
        <v>1176</v>
      </c>
      <c r="K19" s="302">
        <v>1</v>
      </c>
      <c r="L19" s="317">
        <f t="shared" si="0"/>
        <v>0.21</v>
      </c>
      <c r="M19" s="207" t="s">
        <v>1176</v>
      </c>
      <c r="O19" s="317">
        <f t="shared" si="1"/>
        <v>0</v>
      </c>
      <c r="P19" s="207" t="s">
        <v>2370</v>
      </c>
      <c r="Q19" s="340">
        <v>0</v>
      </c>
      <c r="R19" s="316">
        <f t="shared" si="2"/>
        <v>0.21</v>
      </c>
      <c r="S19" s="339">
        <f t="shared" si="3"/>
        <v>0.52500000000000002</v>
      </c>
    </row>
    <row r="20" spans="1:19" s="200" customFormat="1">
      <c r="A20" s="223" t="s">
        <v>1171</v>
      </c>
      <c r="B20" s="223" t="s">
        <v>123</v>
      </c>
      <c r="C20" s="341">
        <v>19</v>
      </c>
      <c r="D20" s="223" t="s">
        <v>1174</v>
      </c>
      <c r="E20" s="223" t="s">
        <v>413</v>
      </c>
      <c r="F20" s="223" t="s">
        <v>2371</v>
      </c>
      <c r="G20" s="220" t="s">
        <v>2293</v>
      </c>
      <c r="H20" s="178" t="s">
        <v>1451</v>
      </c>
      <c r="I20" s="178" t="s">
        <v>1174</v>
      </c>
      <c r="J20" s="178" t="s">
        <v>1176</v>
      </c>
      <c r="K20" s="194">
        <v>3</v>
      </c>
      <c r="L20" s="317">
        <f t="shared" si="0"/>
        <v>0.89</v>
      </c>
      <c r="M20" s="194" t="s">
        <v>1174</v>
      </c>
      <c r="N20" s="194" t="s">
        <v>2372</v>
      </c>
      <c r="O20" s="317">
        <f t="shared" si="1"/>
        <v>0.5</v>
      </c>
      <c r="P20" s="194">
        <v>0.25</v>
      </c>
      <c r="Q20" s="317"/>
      <c r="R20" s="316">
        <f t="shared" si="2"/>
        <v>1.3900000000000001</v>
      </c>
      <c r="S20" s="339">
        <f t="shared" si="3"/>
        <v>3.4750000000000005</v>
      </c>
    </row>
    <row r="21" spans="1:19" s="200" customFormat="1">
      <c r="A21" s="207" t="s">
        <v>1171</v>
      </c>
      <c r="B21" s="207" t="s">
        <v>125</v>
      </c>
      <c r="C21" s="302">
        <v>20</v>
      </c>
      <c r="D21" s="207" t="s">
        <v>1176</v>
      </c>
      <c r="E21" s="207" t="s">
        <v>413</v>
      </c>
      <c r="L21" s="317">
        <f t="shared" si="0"/>
        <v>0</v>
      </c>
      <c r="O21" s="317">
        <f t="shared" si="1"/>
        <v>0</v>
      </c>
      <c r="Q21" s="317"/>
      <c r="R21" s="316">
        <f t="shared" si="2"/>
        <v>0</v>
      </c>
      <c r="S21" s="339">
        <f t="shared" si="3"/>
        <v>0</v>
      </c>
    </row>
    <row r="22" spans="1:19" s="200" customFormat="1">
      <c r="A22" s="207" t="s">
        <v>1171</v>
      </c>
      <c r="B22" s="207" t="s">
        <v>127</v>
      </c>
      <c r="C22" s="302">
        <v>21</v>
      </c>
      <c r="D22" s="207" t="s">
        <v>1176</v>
      </c>
      <c r="E22" s="207" t="s">
        <v>413</v>
      </c>
      <c r="L22" s="317">
        <f t="shared" si="0"/>
        <v>0</v>
      </c>
      <c r="O22" s="317">
        <f t="shared" si="1"/>
        <v>0</v>
      </c>
      <c r="Q22" s="317"/>
      <c r="R22" s="316">
        <f t="shared" si="2"/>
        <v>0</v>
      </c>
      <c r="S22" s="339">
        <f t="shared" si="3"/>
        <v>0</v>
      </c>
    </row>
    <row r="23" spans="1:19" s="200" customFormat="1">
      <c r="A23" s="207" t="s">
        <v>1171</v>
      </c>
      <c r="B23" s="207" t="s">
        <v>129</v>
      </c>
      <c r="C23" s="302">
        <v>22</v>
      </c>
      <c r="D23" s="207" t="s">
        <v>1176</v>
      </c>
      <c r="E23" s="207" t="s">
        <v>413</v>
      </c>
      <c r="L23" s="317">
        <f t="shared" si="0"/>
        <v>0</v>
      </c>
      <c r="O23" s="317">
        <f t="shared" si="1"/>
        <v>0</v>
      </c>
      <c r="Q23" s="317"/>
      <c r="R23" s="316">
        <f t="shared" si="2"/>
        <v>0</v>
      </c>
      <c r="S23" s="339">
        <f t="shared" si="3"/>
        <v>0</v>
      </c>
    </row>
    <row r="24" spans="1:19" s="200" customFormat="1">
      <c r="A24" s="207" t="s">
        <v>1171</v>
      </c>
      <c r="B24" s="207" t="s">
        <v>134</v>
      </c>
      <c r="C24" s="302">
        <v>23</v>
      </c>
      <c r="D24" s="207" t="s">
        <v>1176</v>
      </c>
      <c r="E24" s="207" t="s">
        <v>413</v>
      </c>
      <c r="L24" s="317">
        <f t="shared" si="0"/>
        <v>0</v>
      </c>
      <c r="O24" s="317">
        <f t="shared" si="1"/>
        <v>0</v>
      </c>
      <c r="Q24" s="317"/>
      <c r="R24" s="316">
        <f t="shared" si="2"/>
        <v>0</v>
      </c>
      <c r="S24" s="339">
        <f t="shared" si="3"/>
        <v>0</v>
      </c>
    </row>
    <row r="25" spans="1:19" s="200" customFormat="1">
      <c r="A25" s="223" t="s">
        <v>1171</v>
      </c>
      <c r="B25" s="223" t="s">
        <v>136</v>
      </c>
      <c r="C25" s="341">
        <v>24</v>
      </c>
      <c r="D25" s="223" t="s">
        <v>1174</v>
      </c>
      <c r="E25" s="223" t="s">
        <v>413</v>
      </c>
      <c r="F25" s="223" t="s">
        <v>2373</v>
      </c>
      <c r="G25" s="220" t="s">
        <v>2374</v>
      </c>
      <c r="H25" s="178" t="s">
        <v>1451</v>
      </c>
      <c r="I25" s="178" t="s">
        <v>1176</v>
      </c>
      <c r="J25" s="178" t="s">
        <v>1176</v>
      </c>
      <c r="K25" s="194">
        <v>3</v>
      </c>
      <c r="L25" s="317">
        <f t="shared" si="0"/>
        <v>0.89</v>
      </c>
      <c r="M25" s="194" t="s">
        <v>1176</v>
      </c>
      <c r="N25" s="194" t="s">
        <v>684</v>
      </c>
      <c r="O25" s="317">
        <f t="shared" si="1"/>
        <v>0</v>
      </c>
      <c r="P25" s="194">
        <v>0</v>
      </c>
      <c r="Q25" s="317"/>
      <c r="R25" s="316">
        <f t="shared" si="2"/>
        <v>0.89</v>
      </c>
      <c r="S25" s="339">
        <f t="shared" si="3"/>
        <v>2.2250000000000001</v>
      </c>
    </row>
    <row r="26" spans="1:19" s="200" customFormat="1">
      <c r="A26" s="207" t="s">
        <v>1171</v>
      </c>
      <c r="B26" s="207" t="s">
        <v>139</v>
      </c>
      <c r="C26" s="302">
        <v>25</v>
      </c>
      <c r="D26" s="207" t="s">
        <v>1176</v>
      </c>
      <c r="E26" s="207" t="s">
        <v>413</v>
      </c>
      <c r="L26" s="317">
        <f t="shared" si="0"/>
        <v>0</v>
      </c>
      <c r="O26" s="317">
        <f t="shared" si="1"/>
        <v>0</v>
      </c>
      <c r="Q26" s="317"/>
      <c r="R26" s="316">
        <f t="shared" si="2"/>
        <v>0</v>
      </c>
      <c r="S26" s="339">
        <f t="shared" si="3"/>
        <v>0</v>
      </c>
    </row>
    <row r="27" spans="1:19" s="200" customFormat="1" ht="70">
      <c r="A27" s="207" t="s">
        <v>1171</v>
      </c>
      <c r="B27" s="207" t="s">
        <v>141</v>
      </c>
      <c r="C27" s="302">
        <v>26</v>
      </c>
      <c r="D27" s="207" t="s">
        <v>1174</v>
      </c>
      <c r="E27" s="207" t="s">
        <v>413</v>
      </c>
      <c r="F27" s="207" t="s">
        <v>2375</v>
      </c>
      <c r="G27" s="207" t="s">
        <v>141</v>
      </c>
      <c r="H27" s="207" t="s">
        <v>1451</v>
      </c>
      <c r="I27" s="207" t="s">
        <v>1176</v>
      </c>
      <c r="J27" s="207" t="s">
        <v>1176</v>
      </c>
      <c r="K27" s="302">
        <v>1</v>
      </c>
      <c r="L27" s="317">
        <f t="shared" si="0"/>
        <v>0.21</v>
      </c>
      <c r="M27" s="207" t="s">
        <v>1174</v>
      </c>
      <c r="N27" s="207" t="s">
        <v>2376</v>
      </c>
      <c r="O27" s="317">
        <f t="shared" si="1"/>
        <v>0.5</v>
      </c>
      <c r="P27" s="207" t="s">
        <v>2377</v>
      </c>
      <c r="Q27" s="340">
        <v>0</v>
      </c>
      <c r="R27" s="316">
        <f t="shared" si="2"/>
        <v>0.71</v>
      </c>
      <c r="S27" s="339">
        <f t="shared" si="3"/>
        <v>1.7749999999999999</v>
      </c>
    </row>
    <row r="28" spans="1:19" s="200" customFormat="1">
      <c r="A28" s="207" t="s">
        <v>1171</v>
      </c>
      <c r="B28" s="207" t="s">
        <v>143</v>
      </c>
      <c r="C28" s="302">
        <v>27</v>
      </c>
      <c r="D28" s="207" t="s">
        <v>1176</v>
      </c>
      <c r="E28" s="207" t="s">
        <v>413</v>
      </c>
      <c r="L28" s="317">
        <f t="shared" si="0"/>
        <v>0</v>
      </c>
      <c r="O28" s="317">
        <f t="shared" si="1"/>
        <v>0</v>
      </c>
      <c r="Q28" s="317"/>
      <c r="R28" s="316">
        <f t="shared" si="2"/>
        <v>0</v>
      </c>
      <c r="S28" s="339">
        <f t="shared" si="3"/>
        <v>0</v>
      </c>
    </row>
    <row r="29" spans="1:19" s="200" customFormat="1">
      <c r="A29" s="207" t="s">
        <v>1171</v>
      </c>
      <c r="B29" s="207" t="s">
        <v>145</v>
      </c>
      <c r="C29" s="302">
        <v>28</v>
      </c>
      <c r="D29" s="207" t="s">
        <v>1176</v>
      </c>
      <c r="E29" s="207" t="s">
        <v>413</v>
      </c>
      <c r="L29" s="317">
        <f t="shared" si="0"/>
        <v>0</v>
      </c>
      <c r="O29" s="317">
        <f t="shared" si="1"/>
        <v>0</v>
      </c>
      <c r="Q29" s="317"/>
      <c r="R29" s="316">
        <f t="shared" si="2"/>
        <v>0</v>
      </c>
      <c r="S29" s="339">
        <f t="shared" si="3"/>
        <v>0</v>
      </c>
    </row>
    <row r="30" spans="1:19" s="200" customFormat="1">
      <c r="A30" s="207" t="s">
        <v>1171</v>
      </c>
      <c r="B30" s="207" t="s">
        <v>148</v>
      </c>
      <c r="C30" s="302">
        <v>29</v>
      </c>
      <c r="D30" s="207" t="s">
        <v>1176</v>
      </c>
      <c r="E30" s="207" t="s">
        <v>413</v>
      </c>
      <c r="L30" s="317">
        <f t="shared" si="0"/>
        <v>0</v>
      </c>
      <c r="O30" s="317">
        <f t="shared" si="1"/>
        <v>0</v>
      </c>
      <c r="Q30" s="317"/>
      <c r="R30" s="316">
        <f t="shared" si="2"/>
        <v>0</v>
      </c>
      <c r="S30" s="339">
        <f t="shared" si="3"/>
        <v>0</v>
      </c>
    </row>
    <row r="31" spans="1:19" s="200" customFormat="1">
      <c r="A31" s="207" t="s">
        <v>1171</v>
      </c>
      <c r="B31" s="207" t="s">
        <v>150</v>
      </c>
      <c r="C31" s="302">
        <v>30</v>
      </c>
      <c r="D31" s="207" t="s">
        <v>1176</v>
      </c>
      <c r="E31" s="207" t="s">
        <v>413</v>
      </c>
      <c r="L31" s="317">
        <f t="shared" si="0"/>
        <v>0</v>
      </c>
      <c r="O31" s="317">
        <f t="shared" si="1"/>
        <v>0</v>
      </c>
      <c r="Q31" s="317"/>
      <c r="R31" s="316">
        <f t="shared" si="2"/>
        <v>0</v>
      </c>
      <c r="S31" s="339">
        <f t="shared" si="3"/>
        <v>0</v>
      </c>
    </row>
    <row r="32" spans="1:19" s="200" customFormat="1" ht="56">
      <c r="A32" s="207" t="s">
        <v>1171</v>
      </c>
      <c r="B32" s="207" t="s">
        <v>153</v>
      </c>
      <c r="C32" s="302">
        <v>31</v>
      </c>
      <c r="D32" s="207" t="s">
        <v>1174</v>
      </c>
      <c r="E32" s="207" t="s">
        <v>413</v>
      </c>
      <c r="F32" s="207" t="s">
        <v>2378</v>
      </c>
      <c r="G32" s="207" t="s">
        <v>153</v>
      </c>
      <c r="H32" s="207" t="s">
        <v>1451</v>
      </c>
      <c r="I32" s="207" t="s">
        <v>1176</v>
      </c>
      <c r="J32" s="207" t="s">
        <v>1176</v>
      </c>
      <c r="L32" s="317">
        <f t="shared" si="0"/>
        <v>0</v>
      </c>
      <c r="M32" s="207" t="s">
        <v>1174</v>
      </c>
      <c r="N32" s="207" t="s">
        <v>2379</v>
      </c>
      <c r="O32" s="317">
        <f t="shared" si="1"/>
        <v>0.5</v>
      </c>
      <c r="P32" s="207" t="s">
        <v>2380</v>
      </c>
      <c r="Q32" s="340">
        <v>0</v>
      </c>
      <c r="R32" s="316">
        <f t="shared" si="2"/>
        <v>0.5</v>
      </c>
      <c r="S32" s="339">
        <f t="shared" si="3"/>
        <v>1.25</v>
      </c>
    </row>
    <row r="33" spans="1:19" s="200" customFormat="1" ht="42">
      <c r="A33" s="207" t="s">
        <v>1171</v>
      </c>
      <c r="B33" s="207" t="s">
        <v>156</v>
      </c>
      <c r="C33" s="302">
        <v>32</v>
      </c>
      <c r="D33" s="207" t="s">
        <v>1174</v>
      </c>
      <c r="E33" s="207" t="s">
        <v>413</v>
      </c>
      <c r="F33" s="207" t="s">
        <v>2381</v>
      </c>
      <c r="G33" s="207" t="s">
        <v>156</v>
      </c>
      <c r="H33" s="207" t="s">
        <v>1451</v>
      </c>
      <c r="I33" s="207" t="s">
        <v>1176</v>
      </c>
      <c r="J33" s="207" t="s">
        <v>1176</v>
      </c>
      <c r="K33" s="302">
        <v>1</v>
      </c>
      <c r="L33" s="317">
        <f t="shared" si="0"/>
        <v>0.21</v>
      </c>
      <c r="M33" s="207" t="s">
        <v>1176</v>
      </c>
      <c r="O33" s="317">
        <f t="shared" si="1"/>
        <v>0</v>
      </c>
      <c r="P33" s="207" t="s">
        <v>2382</v>
      </c>
      <c r="Q33" s="340">
        <v>0</v>
      </c>
      <c r="R33" s="316">
        <f t="shared" si="2"/>
        <v>0.21</v>
      </c>
      <c r="S33" s="339">
        <f t="shared" si="3"/>
        <v>0.52500000000000002</v>
      </c>
    </row>
    <row r="34" spans="1:19" s="200" customFormat="1">
      <c r="A34" s="207" t="s">
        <v>1171</v>
      </c>
      <c r="B34" s="207" t="s">
        <v>158</v>
      </c>
      <c r="C34" s="302">
        <v>33</v>
      </c>
      <c r="D34" s="207" t="s">
        <v>1176</v>
      </c>
      <c r="E34" s="207" t="s">
        <v>413</v>
      </c>
      <c r="L34" s="317">
        <f t="shared" si="0"/>
        <v>0</v>
      </c>
      <c r="O34" s="317">
        <f t="shared" si="1"/>
        <v>0</v>
      </c>
      <c r="Q34" s="317"/>
      <c r="R34" s="316">
        <f t="shared" si="2"/>
        <v>0</v>
      </c>
      <c r="S34" s="339">
        <f t="shared" si="3"/>
        <v>0</v>
      </c>
    </row>
    <row r="35" spans="1:19" s="200" customFormat="1">
      <c r="A35" s="207" t="s">
        <v>1171</v>
      </c>
      <c r="B35" s="207" t="s">
        <v>161</v>
      </c>
      <c r="C35" s="302">
        <v>34</v>
      </c>
      <c r="D35" s="207" t="s">
        <v>1176</v>
      </c>
      <c r="E35" s="207" t="s">
        <v>413</v>
      </c>
      <c r="L35" s="317">
        <f t="shared" si="0"/>
        <v>0</v>
      </c>
      <c r="O35" s="317">
        <f t="shared" si="1"/>
        <v>0</v>
      </c>
      <c r="Q35" s="317"/>
      <c r="R35" s="316">
        <f t="shared" si="2"/>
        <v>0</v>
      </c>
      <c r="S35" s="339">
        <f t="shared" si="3"/>
        <v>0</v>
      </c>
    </row>
    <row r="36" spans="1:19" s="200" customFormat="1">
      <c r="A36" s="207" t="s">
        <v>1171</v>
      </c>
      <c r="B36" s="207" t="s">
        <v>163</v>
      </c>
      <c r="C36" s="302">
        <v>35</v>
      </c>
      <c r="D36" s="207" t="s">
        <v>1176</v>
      </c>
      <c r="E36" s="207" t="s">
        <v>413</v>
      </c>
      <c r="L36" s="317">
        <f t="shared" si="0"/>
        <v>0</v>
      </c>
      <c r="O36" s="317">
        <f t="shared" si="1"/>
        <v>0</v>
      </c>
      <c r="Q36" s="317"/>
      <c r="R36" s="316">
        <f t="shared" si="2"/>
        <v>0</v>
      </c>
      <c r="S36" s="339">
        <f t="shared" si="3"/>
        <v>0</v>
      </c>
    </row>
    <row r="37" spans="1:19" s="200" customFormat="1">
      <c r="A37" s="207" t="s">
        <v>1171</v>
      </c>
      <c r="B37" s="207" t="s">
        <v>165</v>
      </c>
      <c r="C37" s="302">
        <v>36</v>
      </c>
      <c r="D37" s="207" t="s">
        <v>1176</v>
      </c>
      <c r="E37" s="207" t="s">
        <v>413</v>
      </c>
      <c r="L37" s="317">
        <f t="shared" si="0"/>
        <v>0</v>
      </c>
      <c r="O37" s="317">
        <f t="shared" si="1"/>
        <v>0</v>
      </c>
      <c r="Q37" s="317"/>
      <c r="R37" s="316">
        <f t="shared" si="2"/>
        <v>0</v>
      </c>
      <c r="S37" s="339">
        <f t="shared" si="3"/>
        <v>0</v>
      </c>
    </row>
    <row r="38" spans="1:19" s="200" customFormat="1">
      <c r="A38" s="207" t="s">
        <v>1171</v>
      </c>
      <c r="B38" s="207" t="s">
        <v>167</v>
      </c>
      <c r="C38" s="302">
        <v>37</v>
      </c>
      <c r="D38" s="207" t="s">
        <v>1176</v>
      </c>
      <c r="E38" s="207" t="s">
        <v>413</v>
      </c>
      <c r="L38" s="317">
        <f t="shared" si="0"/>
        <v>0</v>
      </c>
      <c r="O38" s="317">
        <f t="shared" si="1"/>
        <v>0</v>
      </c>
      <c r="Q38" s="317"/>
      <c r="R38" s="316">
        <f t="shared" si="2"/>
        <v>0</v>
      </c>
      <c r="S38" s="339">
        <f t="shared" si="3"/>
        <v>0</v>
      </c>
    </row>
    <row r="39" spans="1:19" s="200" customFormat="1" ht="28">
      <c r="A39" s="207" t="s">
        <v>1171</v>
      </c>
      <c r="B39" s="207" t="s">
        <v>169</v>
      </c>
      <c r="C39" s="302">
        <v>38</v>
      </c>
      <c r="D39" s="207" t="s">
        <v>1174</v>
      </c>
      <c r="E39" s="207" t="s">
        <v>413</v>
      </c>
      <c r="F39" s="207" t="s">
        <v>2383</v>
      </c>
      <c r="G39" s="207" t="s">
        <v>169</v>
      </c>
      <c r="H39" s="207" t="s">
        <v>1451</v>
      </c>
      <c r="I39" s="207" t="s">
        <v>1176</v>
      </c>
      <c r="J39" s="207" t="s">
        <v>1176</v>
      </c>
      <c r="K39" s="302">
        <v>1</v>
      </c>
      <c r="L39" s="317">
        <f t="shared" si="0"/>
        <v>0.21</v>
      </c>
      <c r="M39" s="207" t="s">
        <v>1176</v>
      </c>
      <c r="O39" s="317">
        <f t="shared" si="1"/>
        <v>0</v>
      </c>
      <c r="P39" s="207" t="s">
        <v>2384</v>
      </c>
      <c r="Q39" s="340">
        <v>0</v>
      </c>
      <c r="R39" s="316">
        <f t="shared" si="2"/>
        <v>0.21</v>
      </c>
      <c r="S39" s="339">
        <f t="shared" si="3"/>
        <v>0.52500000000000002</v>
      </c>
    </row>
    <row r="40" spans="1:19" s="200" customFormat="1">
      <c r="A40" s="207" t="s">
        <v>1171</v>
      </c>
      <c r="B40" s="207" t="s">
        <v>171</v>
      </c>
      <c r="C40" s="302">
        <v>39</v>
      </c>
      <c r="D40" s="207" t="s">
        <v>1176</v>
      </c>
      <c r="E40" s="207" t="s">
        <v>413</v>
      </c>
      <c r="L40" s="317">
        <f t="shared" si="0"/>
        <v>0</v>
      </c>
      <c r="O40" s="317">
        <f t="shared" si="1"/>
        <v>0</v>
      </c>
      <c r="Q40" s="317"/>
      <c r="R40" s="316">
        <f t="shared" si="2"/>
        <v>0</v>
      </c>
      <c r="S40" s="339">
        <f t="shared" si="3"/>
        <v>0</v>
      </c>
    </row>
    <row r="41" spans="1:19" s="200" customFormat="1">
      <c r="A41" s="207" t="s">
        <v>1171</v>
      </c>
      <c r="B41" s="207" t="s">
        <v>174</v>
      </c>
      <c r="C41" s="302">
        <v>40</v>
      </c>
      <c r="D41" s="207" t="s">
        <v>1176</v>
      </c>
      <c r="E41" s="207" t="s">
        <v>413</v>
      </c>
      <c r="L41" s="317">
        <f t="shared" si="0"/>
        <v>0</v>
      </c>
      <c r="O41" s="317">
        <f t="shared" si="1"/>
        <v>0</v>
      </c>
      <c r="Q41" s="317"/>
      <c r="R41" s="316">
        <f t="shared" si="2"/>
        <v>0</v>
      </c>
      <c r="S41" s="339">
        <f t="shared" si="3"/>
        <v>0</v>
      </c>
    </row>
    <row r="42" spans="1:19" s="200" customFormat="1">
      <c r="A42" s="207" t="s">
        <v>1171</v>
      </c>
      <c r="B42" s="207" t="s">
        <v>177</v>
      </c>
      <c r="C42" s="302">
        <v>41</v>
      </c>
      <c r="D42" s="207" t="s">
        <v>1176</v>
      </c>
      <c r="E42" s="207" t="s">
        <v>413</v>
      </c>
      <c r="L42" s="317">
        <f t="shared" si="0"/>
        <v>0</v>
      </c>
      <c r="O42" s="317">
        <f t="shared" si="1"/>
        <v>0</v>
      </c>
      <c r="Q42" s="317"/>
      <c r="R42" s="316">
        <f t="shared" si="2"/>
        <v>0</v>
      </c>
      <c r="S42" s="339">
        <f t="shared" si="3"/>
        <v>0</v>
      </c>
    </row>
    <row r="43" spans="1:19" s="200" customFormat="1">
      <c r="A43" s="207" t="s">
        <v>1171</v>
      </c>
      <c r="B43" s="207" t="s">
        <v>180</v>
      </c>
      <c r="C43" s="302">
        <v>42</v>
      </c>
      <c r="D43" s="207" t="s">
        <v>1176</v>
      </c>
      <c r="E43" s="207" t="s">
        <v>413</v>
      </c>
      <c r="L43" s="317">
        <f t="shared" si="0"/>
        <v>0</v>
      </c>
      <c r="O43" s="317">
        <f t="shared" si="1"/>
        <v>0</v>
      </c>
      <c r="Q43" s="317"/>
      <c r="R43" s="316">
        <f t="shared" si="2"/>
        <v>0</v>
      </c>
      <c r="S43" s="339">
        <f t="shared" si="3"/>
        <v>0</v>
      </c>
    </row>
    <row r="44" spans="1:19" s="200" customFormat="1" ht="56">
      <c r="A44" s="207" t="s">
        <v>1171</v>
      </c>
      <c r="B44" s="207" t="s">
        <v>182</v>
      </c>
      <c r="C44" s="302">
        <v>43</v>
      </c>
      <c r="D44" s="207" t="s">
        <v>1174</v>
      </c>
      <c r="E44" s="207" t="s">
        <v>413</v>
      </c>
      <c r="F44" s="207" t="s">
        <v>2385</v>
      </c>
      <c r="G44" s="207" t="s">
        <v>2386</v>
      </c>
      <c r="H44" s="207" t="s">
        <v>1451</v>
      </c>
      <c r="I44" s="207" t="s">
        <v>1176</v>
      </c>
      <c r="J44" s="207" t="s">
        <v>1176</v>
      </c>
      <c r="K44" s="302">
        <v>1</v>
      </c>
      <c r="L44" s="317">
        <f t="shared" si="0"/>
        <v>0.21</v>
      </c>
      <c r="M44" s="207" t="s">
        <v>1174</v>
      </c>
      <c r="N44" s="207" t="s">
        <v>2387</v>
      </c>
      <c r="O44" s="317">
        <f t="shared" si="1"/>
        <v>0.5</v>
      </c>
      <c r="P44" s="207" t="s">
        <v>2388</v>
      </c>
      <c r="Q44" s="340">
        <v>0</v>
      </c>
      <c r="R44" s="316">
        <f t="shared" si="2"/>
        <v>0.71</v>
      </c>
      <c r="S44" s="339">
        <f t="shared" si="3"/>
        <v>1.7749999999999999</v>
      </c>
    </row>
    <row r="45" spans="1:19" s="200" customFormat="1">
      <c r="A45" s="207" t="s">
        <v>1171</v>
      </c>
      <c r="B45" s="207" t="s">
        <v>185</v>
      </c>
      <c r="C45" s="302">
        <v>44</v>
      </c>
      <c r="D45" s="207" t="s">
        <v>1176</v>
      </c>
      <c r="E45" s="207" t="s">
        <v>413</v>
      </c>
      <c r="L45" s="317">
        <f t="shared" si="0"/>
        <v>0</v>
      </c>
      <c r="O45" s="317">
        <f t="shared" si="1"/>
        <v>0</v>
      </c>
      <c r="Q45" s="317"/>
      <c r="R45" s="316">
        <f t="shared" si="2"/>
        <v>0</v>
      </c>
      <c r="S45" s="339">
        <f t="shared" si="3"/>
        <v>0</v>
      </c>
    </row>
    <row r="46" spans="1:19" s="200" customFormat="1">
      <c r="A46" s="207" t="s">
        <v>1171</v>
      </c>
      <c r="B46" s="207" t="s">
        <v>187</v>
      </c>
      <c r="C46" s="302">
        <v>45</v>
      </c>
      <c r="D46" s="207" t="s">
        <v>1176</v>
      </c>
      <c r="E46" s="207" t="s">
        <v>413</v>
      </c>
      <c r="L46" s="317">
        <f t="shared" si="0"/>
        <v>0</v>
      </c>
      <c r="O46" s="317">
        <f t="shared" si="1"/>
        <v>0</v>
      </c>
      <c r="Q46" s="317"/>
      <c r="R46" s="316">
        <f t="shared" si="2"/>
        <v>0</v>
      </c>
      <c r="S46" s="339">
        <f t="shared" si="3"/>
        <v>0</v>
      </c>
    </row>
    <row r="47" spans="1:19" s="200" customFormat="1">
      <c r="A47" s="207" t="s">
        <v>1171</v>
      </c>
      <c r="B47" s="207" t="s">
        <v>190</v>
      </c>
      <c r="C47" s="302">
        <v>46</v>
      </c>
      <c r="D47" s="207" t="s">
        <v>1176</v>
      </c>
      <c r="E47" s="207" t="s">
        <v>413</v>
      </c>
      <c r="L47" s="317">
        <f t="shared" si="0"/>
        <v>0</v>
      </c>
      <c r="O47" s="317">
        <f t="shared" si="1"/>
        <v>0</v>
      </c>
      <c r="Q47" s="317"/>
      <c r="R47" s="316">
        <f t="shared" si="2"/>
        <v>0</v>
      </c>
      <c r="S47" s="339">
        <f t="shared" si="3"/>
        <v>0</v>
      </c>
    </row>
    <row r="48" spans="1:19" s="200" customFormat="1">
      <c r="A48" s="207" t="s">
        <v>1171</v>
      </c>
      <c r="B48" s="207" t="s">
        <v>193</v>
      </c>
      <c r="C48" s="302">
        <v>47</v>
      </c>
      <c r="D48" s="207" t="s">
        <v>1176</v>
      </c>
      <c r="E48" s="207" t="s">
        <v>413</v>
      </c>
      <c r="L48" s="317">
        <f t="shared" si="0"/>
        <v>0</v>
      </c>
      <c r="O48" s="317">
        <f t="shared" si="1"/>
        <v>0</v>
      </c>
      <c r="Q48" s="317"/>
      <c r="R48" s="316">
        <f t="shared" si="2"/>
        <v>0</v>
      </c>
      <c r="S48" s="339">
        <f t="shared" si="3"/>
        <v>0</v>
      </c>
    </row>
    <row r="49" spans="1:19" s="200" customFormat="1">
      <c r="A49" s="207" t="s">
        <v>1171</v>
      </c>
      <c r="B49" s="207" t="s">
        <v>196</v>
      </c>
      <c r="C49" s="302">
        <v>48</v>
      </c>
      <c r="D49" s="207" t="s">
        <v>1176</v>
      </c>
      <c r="E49" s="207" t="s">
        <v>413</v>
      </c>
      <c r="L49" s="317">
        <f t="shared" si="0"/>
        <v>0</v>
      </c>
      <c r="O49" s="317">
        <f t="shared" si="1"/>
        <v>0</v>
      </c>
      <c r="Q49" s="317"/>
      <c r="R49" s="316">
        <f t="shared" si="2"/>
        <v>0</v>
      </c>
      <c r="S49" s="339">
        <f t="shared" si="3"/>
        <v>0</v>
      </c>
    </row>
    <row r="50" spans="1:19" s="200" customFormat="1">
      <c r="A50" s="207" t="s">
        <v>1171</v>
      </c>
      <c r="B50" s="207" t="s">
        <v>199</v>
      </c>
      <c r="C50" s="302">
        <v>49</v>
      </c>
      <c r="D50" s="207" t="s">
        <v>1176</v>
      </c>
      <c r="E50" s="207" t="s">
        <v>413</v>
      </c>
      <c r="L50" s="317">
        <f t="shared" si="0"/>
        <v>0</v>
      </c>
      <c r="O50" s="317">
        <f t="shared" si="1"/>
        <v>0</v>
      </c>
      <c r="Q50" s="317"/>
      <c r="R50" s="316">
        <f t="shared" si="2"/>
        <v>0</v>
      </c>
      <c r="S50" s="339">
        <f t="shared" si="3"/>
        <v>0</v>
      </c>
    </row>
    <row r="51" spans="1:19" s="200" customFormat="1" ht="42">
      <c r="A51" s="207" t="s">
        <v>1171</v>
      </c>
      <c r="B51" s="207" t="s">
        <v>201</v>
      </c>
      <c r="C51" s="302">
        <v>50</v>
      </c>
      <c r="D51" s="207" t="s">
        <v>1174</v>
      </c>
      <c r="E51" s="207" t="s">
        <v>413</v>
      </c>
      <c r="F51" s="207" t="s">
        <v>2389</v>
      </c>
      <c r="G51" s="207" t="s">
        <v>2390</v>
      </c>
      <c r="H51" s="207" t="s">
        <v>1451</v>
      </c>
      <c r="I51" s="207" t="s">
        <v>1176</v>
      </c>
      <c r="J51" s="207" t="s">
        <v>1176</v>
      </c>
      <c r="K51" s="302">
        <v>1</v>
      </c>
      <c r="L51" s="317">
        <f t="shared" si="0"/>
        <v>0.21</v>
      </c>
      <c r="M51" s="207" t="s">
        <v>1176</v>
      </c>
      <c r="O51" s="317">
        <f t="shared" si="1"/>
        <v>0</v>
      </c>
      <c r="P51" s="207" t="s">
        <v>2391</v>
      </c>
      <c r="Q51" s="340">
        <v>0.25</v>
      </c>
      <c r="R51" s="316">
        <f t="shared" si="2"/>
        <v>0.45999999999999996</v>
      </c>
      <c r="S51" s="339">
        <f t="shared" si="3"/>
        <v>1.1499999999999999</v>
      </c>
    </row>
    <row r="52" spans="1:19" s="200" customFormat="1">
      <c r="A52" s="207" t="s">
        <v>1171</v>
      </c>
      <c r="B52" s="207" t="s">
        <v>203</v>
      </c>
      <c r="C52" s="302">
        <v>51</v>
      </c>
      <c r="D52" s="207" t="s">
        <v>1176</v>
      </c>
      <c r="E52" s="207" t="s">
        <v>413</v>
      </c>
      <c r="L52" s="317">
        <f t="shared" si="0"/>
        <v>0</v>
      </c>
      <c r="O52" s="317">
        <f t="shared" si="1"/>
        <v>0</v>
      </c>
      <c r="Q52" s="317"/>
      <c r="R52" s="316">
        <f t="shared" si="2"/>
        <v>0</v>
      </c>
      <c r="S52" s="339">
        <f t="shared" si="3"/>
        <v>0</v>
      </c>
    </row>
    <row r="53" spans="1:19" s="200" customFormat="1">
      <c r="A53" s="207" t="s">
        <v>1171</v>
      </c>
      <c r="B53" s="207" t="s">
        <v>206</v>
      </c>
      <c r="C53" s="302">
        <v>52</v>
      </c>
      <c r="D53" s="207" t="s">
        <v>1176</v>
      </c>
      <c r="E53" s="207" t="s">
        <v>413</v>
      </c>
      <c r="L53" s="317">
        <f t="shared" si="0"/>
        <v>0</v>
      </c>
      <c r="O53" s="317">
        <f t="shared" si="1"/>
        <v>0</v>
      </c>
      <c r="Q53" s="317"/>
      <c r="R53" s="316">
        <f t="shared" si="2"/>
        <v>0</v>
      </c>
      <c r="S53" s="339">
        <f t="shared" si="3"/>
        <v>0</v>
      </c>
    </row>
    <row r="54" spans="1:19" s="200" customFormat="1">
      <c r="A54" s="207" t="s">
        <v>1171</v>
      </c>
      <c r="B54" s="207" t="s">
        <v>209</v>
      </c>
      <c r="C54" s="302">
        <v>53</v>
      </c>
      <c r="D54" s="207" t="s">
        <v>1176</v>
      </c>
      <c r="E54" s="207" t="s">
        <v>413</v>
      </c>
      <c r="L54" s="317">
        <f t="shared" si="0"/>
        <v>0</v>
      </c>
      <c r="O54" s="317">
        <f t="shared" si="1"/>
        <v>0</v>
      </c>
      <c r="Q54" s="317"/>
      <c r="R54" s="316">
        <f t="shared" si="2"/>
        <v>0</v>
      </c>
      <c r="S54" s="339">
        <f t="shared" si="3"/>
        <v>0</v>
      </c>
    </row>
    <row r="55" spans="1:19" s="200" customFormat="1">
      <c r="A55" s="207" t="s">
        <v>1171</v>
      </c>
      <c r="B55" s="207" t="s">
        <v>213</v>
      </c>
      <c r="C55" s="302">
        <v>54</v>
      </c>
      <c r="D55" s="207" t="s">
        <v>1176</v>
      </c>
      <c r="E55" s="207" t="s">
        <v>413</v>
      </c>
      <c r="L55" s="317">
        <f t="shared" si="0"/>
        <v>0</v>
      </c>
      <c r="O55" s="317">
        <f t="shared" si="1"/>
        <v>0</v>
      </c>
      <c r="Q55" s="317"/>
      <c r="R55" s="316">
        <f t="shared" si="2"/>
        <v>0</v>
      </c>
      <c r="S55" s="339">
        <f t="shared" si="3"/>
        <v>0</v>
      </c>
    </row>
    <row r="56" spans="1:19" s="200" customFormat="1">
      <c r="A56" s="207" t="s">
        <v>1171</v>
      </c>
      <c r="B56" s="207" t="s">
        <v>215</v>
      </c>
      <c r="C56" s="302">
        <v>55</v>
      </c>
      <c r="D56" s="207" t="s">
        <v>1176</v>
      </c>
      <c r="E56" s="207" t="s">
        <v>413</v>
      </c>
      <c r="L56" s="317">
        <f t="shared" si="0"/>
        <v>0</v>
      </c>
      <c r="O56" s="317">
        <f t="shared" si="1"/>
        <v>0</v>
      </c>
      <c r="Q56" s="317"/>
      <c r="R56" s="316">
        <f t="shared" si="2"/>
        <v>0</v>
      </c>
      <c r="S56" s="339">
        <f t="shared" si="3"/>
        <v>0</v>
      </c>
    </row>
    <row r="57" spans="1:19" s="200" customFormat="1" ht="56">
      <c r="A57" s="207" t="s">
        <v>1171</v>
      </c>
      <c r="B57" s="207" t="s">
        <v>218</v>
      </c>
      <c r="C57" s="302">
        <v>56</v>
      </c>
      <c r="D57" s="207" t="s">
        <v>1174</v>
      </c>
      <c r="E57" s="207" t="s">
        <v>413</v>
      </c>
      <c r="F57" s="207" t="s">
        <v>2392</v>
      </c>
      <c r="G57" s="207" t="s">
        <v>2393</v>
      </c>
      <c r="H57" s="207" t="s">
        <v>1451</v>
      </c>
      <c r="I57" s="207" t="s">
        <v>1176</v>
      </c>
      <c r="J57" s="207" t="s">
        <v>1176</v>
      </c>
      <c r="K57" s="302">
        <v>2</v>
      </c>
      <c r="L57" s="317">
        <f t="shared" si="0"/>
        <v>0.73</v>
      </c>
      <c r="M57" s="207" t="s">
        <v>1176</v>
      </c>
      <c r="O57" s="317">
        <f t="shared" si="1"/>
        <v>0</v>
      </c>
      <c r="P57" s="207" t="s">
        <v>2394</v>
      </c>
      <c r="Q57" s="340">
        <v>0.5</v>
      </c>
      <c r="R57" s="316">
        <f t="shared" si="2"/>
        <v>1.23</v>
      </c>
      <c r="S57" s="339">
        <f t="shared" si="3"/>
        <v>3.0750000000000002</v>
      </c>
    </row>
    <row r="58" spans="1:19" s="200" customFormat="1" ht="56">
      <c r="A58" s="207" t="s">
        <v>1171</v>
      </c>
      <c r="B58" s="207" t="s">
        <v>220</v>
      </c>
      <c r="C58" s="302">
        <v>57</v>
      </c>
      <c r="D58" s="207" t="s">
        <v>1174</v>
      </c>
      <c r="E58" s="207" t="s">
        <v>413</v>
      </c>
      <c r="F58" s="207" t="s">
        <v>2395</v>
      </c>
      <c r="G58" s="207" t="s">
        <v>2396</v>
      </c>
      <c r="H58" s="207" t="s">
        <v>1451</v>
      </c>
      <c r="I58" s="207" t="s">
        <v>1176</v>
      </c>
      <c r="J58" s="207" t="s">
        <v>1176</v>
      </c>
      <c r="K58" s="302">
        <v>0</v>
      </c>
      <c r="L58" s="317">
        <f t="shared" si="0"/>
        <v>0</v>
      </c>
      <c r="O58" s="317">
        <f t="shared" si="1"/>
        <v>0</v>
      </c>
      <c r="P58" s="207" t="s">
        <v>2397</v>
      </c>
      <c r="Q58" s="340">
        <v>0</v>
      </c>
      <c r="R58" s="316">
        <f t="shared" si="2"/>
        <v>0</v>
      </c>
      <c r="S58" s="339">
        <f t="shared" si="3"/>
        <v>0</v>
      </c>
    </row>
    <row r="59" spans="1:19" s="200" customFormat="1" ht="28">
      <c r="A59" s="223" t="s">
        <v>1171</v>
      </c>
      <c r="B59" s="223" t="s">
        <v>222</v>
      </c>
      <c r="C59" s="341">
        <v>58</v>
      </c>
      <c r="D59" s="223" t="s">
        <v>1174</v>
      </c>
      <c r="E59" s="223" t="s">
        <v>413</v>
      </c>
      <c r="F59" s="223" t="s">
        <v>2398</v>
      </c>
      <c r="G59" s="220" t="s">
        <v>2399</v>
      </c>
      <c r="H59" s="178" t="s">
        <v>2400</v>
      </c>
      <c r="I59" s="178" t="s">
        <v>1176</v>
      </c>
      <c r="J59" s="178" t="s">
        <v>1176</v>
      </c>
      <c r="K59" s="343">
        <v>1.42</v>
      </c>
      <c r="L59" s="317">
        <f t="shared" si="0"/>
        <v>0.63</v>
      </c>
      <c r="M59" s="194" t="s">
        <v>1174</v>
      </c>
      <c r="N59" s="194" t="s">
        <v>719</v>
      </c>
      <c r="O59" s="317">
        <f t="shared" si="1"/>
        <v>0.5</v>
      </c>
      <c r="P59" s="194">
        <v>0.5</v>
      </c>
      <c r="Q59" s="317"/>
      <c r="R59" s="316">
        <f t="shared" si="2"/>
        <v>1.1299999999999999</v>
      </c>
      <c r="S59" s="339">
        <f t="shared" si="3"/>
        <v>2.8249999999999997</v>
      </c>
    </row>
    <row r="60" spans="1:19" s="200" customFormat="1">
      <c r="A60" s="207" t="s">
        <v>1171</v>
      </c>
      <c r="B60" s="207" t="s">
        <v>225</v>
      </c>
      <c r="C60" s="302">
        <v>59</v>
      </c>
      <c r="D60" s="207" t="s">
        <v>1176</v>
      </c>
      <c r="E60" s="207" t="s">
        <v>413</v>
      </c>
      <c r="L60" s="317">
        <f t="shared" si="0"/>
        <v>0</v>
      </c>
      <c r="O60" s="317">
        <f t="shared" si="1"/>
        <v>0</v>
      </c>
      <c r="Q60" s="317"/>
      <c r="R60" s="316">
        <f t="shared" si="2"/>
        <v>0</v>
      </c>
      <c r="S60" s="339">
        <f t="shared" si="3"/>
        <v>0</v>
      </c>
    </row>
    <row r="61" spans="1:19" s="200" customFormat="1" ht="42">
      <c r="A61" s="207" t="s">
        <v>1171</v>
      </c>
      <c r="B61" s="207" t="s">
        <v>228</v>
      </c>
      <c r="C61" s="302">
        <v>60</v>
      </c>
      <c r="D61" s="207" t="s">
        <v>1174</v>
      </c>
      <c r="E61" s="207" t="s">
        <v>413</v>
      </c>
      <c r="F61" s="207" t="s">
        <v>2401</v>
      </c>
      <c r="G61" s="207" t="s">
        <v>228</v>
      </c>
      <c r="H61" s="207" t="s">
        <v>1451</v>
      </c>
      <c r="I61" s="207" t="s">
        <v>1176</v>
      </c>
      <c r="J61" s="207" t="s">
        <v>1176</v>
      </c>
      <c r="K61" s="302">
        <v>1</v>
      </c>
      <c r="L61" s="317">
        <f t="shared" si="0"/>
        <v>0.21</v>
      </c>
      <c r="M61" s="207" t="s">
        <v>1176</v>
      </c>
      <c r="O61" s="317">
        <f t="shared" si="1"/>
        <v>0</v>
      </c>
      <c r="P61" s="207" t="s">
        <v>2402</v>
      </c>
      <c r="Q61" s="340">
        <v>0</v>
      </c>
      <c r="R61" s="316">
        <f t="shared" si="2"/>
        <v>0.21</v>
      </c>
      <c r="S61" s="339">
        <f t="shared" si="3"/>
        <v>0.52500000000000002</v>
      </c>
    </row>
    <row r="62" spans="1:19" s="200" customFormat="1">
      <c r="A62" s="207" t="s">
        <v>1171</v>
      </c>
      <c r="B62" s="207" t="s">
        <v>229</v>
      </c>
      <c r="C62" s="302">
        <v>61</v>
      </c>
      <c r="D62" s="207" t="s">
        <v>1176</v>
      </c>
      <c r="E62" s="207" t="s">
        <v>413</v>
      </c>
      <c r="L62" s="317">
        <f t="shared" si="0"/>
        <v>0</v>
      </c>
      <c r="O62" s="317">
        <f t="shared" si="1"/>
        <v>0</v>
      </c>
      <c r="Q62" s="317"/>
      <c r="R62" s="316">
        <f t="shared" si="2"/>
        <v>0</v>
      </c>
      <c r="S62" s="339">
        <f t="shared" si="3"/>
        <v>0</v>
      </c>
    </row>
    <row r="63" spans="1:19" s="200" customFormat="1">
      <c r="A63" s="207" t="s">
        <v>1171</v>
      </c>
      <c r="B63" s="207" t="s">
        <v>231</v>
      </c>
      <c r="C63" s="302">
        <v>62</v>
      </c>
      <c r="D63" s="207" t="s">
        <v>1174</v>
      </c>
      <c r="E63" s="207" t="s">
        <v>413</v>
      </c>
      <c r="F63" s="207" t="s">
        <v>2403</v>
      </c>
      <c r="G63" s="207" t="s">
        <v>231</v>
      </c>
      <c r="H63" s="207" t="s">
        <v>1451</v>
      </c>
      <c r="I63" s="207" t="s">
        <v>1176</v>
      </c>
      <c r="J63" s="207" t="s">
        <v>1176</v>
      </c>
      <c r="K63" s="302">
        <v>2</v>
      </c>
      <c r="L63" s="317">
        <f t="shared" si="0"/>
        <v>0.73</v>
      </c>
      <c r="M63" s="207" t="s">
        <v>1176</v>
      </c>
      <c r="O63" s="317">
        <f t="shared" si="1"/>
        <v>0</v>
      </c>
      <c r="P63" s="207" t="s">
        <v>2404</v>
      </c>
      <c r="Q63" s="340">
        <v>0</v>
      </c>
      <c r="R63" s="316">
        <f t="shared" si="2"/>
        <v>0.73</v>
      </c>
      <c r="S63" s="339">
        <f t="shared" si="3"/>
        <v>1.825</v>
      </c>
    </row>
    <row r="64" spans="1:19" s="200" customFormat="1">
      <c r="A64" s="207" t="s">
        <v>1171</v>
      </c>
      <c r="B64" s="207" t="s">
        <v>234</v>
      </c>
      <c r="C64" s="302">
        <v>63</v>
      </c>
      <c r="D64" s="207" t="s">
        <v>1176</v>
      </c>
      <c r="E64" s="207" t="s">
        <v>413</v>
      </c>
      <c r="L64" s="317">
        <f t="shared" si="0"/>
        <v>0</v>
      </c>
      <c r="O64" s="317">
        <f t="shared" si="1"/>
        <v>0</v>
      </c>
      <c r="Q64" s="317"/>
      <c r="R64" s="316">
        <f t="shared" si="2"/>
        <v>0</v>
      </c>
      <c r="S64" s="339">
        <f t="shared" si="3"/>
        <v>0</v>
      </c>
    </row>
    <row r="68" spans="1:19" s="200" customFormat="1" ht="28">
      <c r="A68" s="223" t="s">
        <v>1171</v>
      </c>
      <c r="B68" s="223" t="s">
        <v>123</v>
      </c>
      <c r="C68" s="341">
        <v>19</v>
      </c>
      <c r="D68" s="223" t="s">
        <v>1174</v>
      </c>
      <c r="E68" s="223" t="s">
        <v>413</v>
      </c>
      <c r="F68" s="223" t="s">
        <v>2405</v>
      </c>
      <c r="G68" s="220" t="s">
        <v>2406</v>
      </c>
      <c r="H68" s="178" t="s">
        <v>2400</v>
      </c>
      <c r="I68" s="178" t="s">
        <v>1174</v>
      </c>
      <c r="J68" s="178" t="s">
        <v>1176</v>
      </c>
      <c r="K68" s="194">
        <v>0</v>
      </c>
      <c r="L68" s="317">
        <f>PERCENTRANK($K$2:$K$64,K68,2)</f>
        <v>0</v>
      </c>
      <c r="M68" s="194" t="s">
        <v>1174</v>
      </c>
      <c r="N68" s="194" t="s">
        <v>2387</v>
      </c>
      <c r="O68" s="317">
        <f>IF(M68="yes",0.5,0)</f>
        <v>0.5</v>
      </c>
      <c r="P68" s="194">
        <v>0.25</v>
      </c>
      <c r="Q68" s="317"/>
      <c r="R68" s="316">
        <f>SUM(Q68,O68,L68)</f>
        <v>0.5</v>
      </c>
      <c r="S68" s="339">
        <f>R68*(5/2)</f>
        <v>1.25</v>
      </c>
    </row>
  </sheetData>
  <autoFilter ref="A1:S1"/>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6"/>
  <sheetViews>
    <sheetView workbookViewId="0">
      <pane xSplit="3" ySplit="1" topLeftCell="F2" activePane="bottomRight" state="frozen"/>
      <selection activeCell="B33" sqref="B33"/>
      <selection pane="topRight" activeCell="B33" sqref="B33"/>
      <selection pane="bottomLeft" activeCell="B33" sqref="B33"/>
      <selection pane="bottomRight" activeCell="B33" sqref="B33"/>
    </sheetView>
  </sheetViews>
  <sheetFormatPr baseColWidth="10" defaultColWidth="21.83203125" defaultRowHeight="14" x14ac:dyDescent="0"/>
  <cols>
    <col min="1" max="16384" width="21.83203125" style="200"/>
  </cols>
  <sheetData>
    <row r="1" spans="1:20" ht="28">
      <c r="A1" s="195" t="s">
        <v>1100</v>
      </c>
      <c r="B1" s="195" t="s">
        <v>1660</v>
      </c>
      <c r="C1" s="195" t="s">
        <v>1405</v>
      </c>
      <c r="D1" s="195" t="s">
        <v>1101</v>
      </c>
      <c r="E1" s="195" t="s">
        <v>1102</v>
      </c>
      <c r="F1" s="195" t="s">
        <v>2185</v>
      </c>
      <c r="G1" s="195" t="s">
        <v>2186</v>
      </c>
      <c r="H1" s="148" t="s">
        <v>2187</v>
      </c>
      <c r="I1" s="195" t="s">
        <v>2188</v>
      </c>
      <c r="J1" s="146" t="s">
        <v>2189</v>
      </c>
      <c r="K1" s="147" t="s">
        <v>2190</v>
      </c>
      <c r="L1" s="146" t="s">
        <v>2191</v>
      </c>
      <c r="M1" s="147" t="s">
        <v>2192</v>
      </c>
      <c r="N1" s="146" t="s">
        <v>2193</v>
      </c>
      <c r="O1" s="147" t="s">
        <v>2194</v>
      </c>
      <c r="P1" s="146" t="s">
        <v>2195</v>
      </c>
      <c r="Q1" s="147" t="s">
        <v>2196</v>
      </c>
      <c r="R1" s="195" t="s">
        <v>2197</v>
      </c>
      <c r="S1" s="148" t="s">
        <v>2198</v>
      </c>
      <c r="T1" s="314" t="s">
        <v>2199</v>
      </c>
    </row>
    <row r="2" spans="1:20" ht="28">
      <c r="A2" s="302">
        <v>1</v>
      </c>
      <c r="B2" s="207" t="s">
        <v>1171</v>
      </c>
      <c r="C2" s="207" t="s">
        <v>63</v>
      </c>
      <c r="D2" s="207" t="s">
        <v>413</v>
      </c>
      <c r="E2" s="207" t="s">
        <v>1747</v>
      </c>
      <c r="F2" s="207" t="s">
        <v>1451</v>
      </c>
      <c r="G2" s="207" t="s">
        <v>415</v>
      </c>
      <c r="H2" s="315">
        <v>2.5</v>
      </c>
      <c r="I2" s="207" t="s">
        <v>1747</v>
      </c>
      <c r="J2" s="316"/>
      <c r="K2" s="317">
        <f>IF(J2="yes",1,0)</f>
        <v>0</v>
      </c>
      <c r="L2" s="316"/>
      <c r="M2" s="317">
        <f>IF(L2="yes",0.5,0)</f>
        <v>0</v>
      </c>
      <c r="N2" s="316"/>
      <c r="O2" s="317">
        <f>IF(N2="yes",0,0)</f>
        <v>0</v>
      </c>
      <c r="P2" s="316"/>
      <c r="Q2" s="317">
        <f>IF(P2="yes",0.5,0)</f>
        <v>0</v>
      </c>
      <c r="S2" s="318">
        <f>SUM(Q2,O2,M2,K2)</f>
        <v>0</v>
      </c>
      <c r="T2" s="319">
        <f>SUM(S2,H2)</f>
        <v>2.5</v>
      </c>
    </row>
    <row r="3" spans="1:20">
      <c r="A3" s="302">
        <v>2</v>
      </c>
      <c r="B3" s="207" t="s">
        <v>1171</v>
      </c>
      <c r="C3" s="207" t="s">
        <v>69</v>
      </c>
      <c r="D3" s="207" t="s">
        <v>74</v>
      </c>
      <c r="E3" s="207" t="s">
        <v>1182</v>
      </c>
      <c r="F3" s="207" t="s">
        <v>1451</v>
      </c>
      <c r="G3" s="207" t="s">
        <v>415</v>
      </c>
      <c r="H3" s="315">
        <v>2.5</v>
      </c>
      <c r="I3" s="207" t="s">
        <v>1182</v>
      </c>
      <c r="J3" s="316"/>
      <c r="K3" s="317">
        <f t="shared" ref="K3:K65" si="0">IF(J3="yes",1,0)</f>
        <v>0</v>
      </c>
      <c r="L3" s="316"/>
      <c r="M3" s="317">
        <f t="shared" ref="M3:M65" si="1">IF(L3="yes",0.5,0)</f>
        <v>0</v>
      </c>
      <c r="N3" s="316"/>
      <c r="O3" s="317">
        <f t="shared" ref="O3:O65" si="2">IF(N3="yes",0,0)</f>
        <v>0</v>
      </c>
      <c r="P3" s="316"/>
      <c r="Q3" s="317">
        <f t="shared" ref="Q3:Q65" si="3">IF(P3="yes",0.5,0)</f>
        <v>0</v>
      </c>
      <c r="S3" s="318">
        <f t="shared" ref="S3:S65" si="4">SUM(Q3,O3,M3,K3)</f>
        <v>0</v>
      </c>
      <c r="T3" s="319">
        <f t="shared" ref="T3:T65" si="5">SUM(S3,H3)</f>
        <v>2.5</v>
      </c>
    </row>
    <row r="4" spans="1:20" ht="28">
      <c r="A4" s="302">
        <v>3</v>
      </c>
      <c r="B4" s="207" t="s">
        <v>1171</v>
      </c>
      <c r="C4" s="207" t="s">
        <v>72</v>
      </c>
      <c r="D4" s="207" t="s">
        <v>413</v>
      </c>
      <c r="E4" s="207" t="s">
        <v>1184</v>
      </c>
      <c r="F4" s="207" t="s">
        <v>1451</v>
      </c>
      <c r="G4" s="207" t="s">
        <v>133</v>
      </c>
      <c r="H4" s="315">
        <v>0</v>
      </c>
      <c r="J4" s="316"/>
      <c r="K4" s="317">
        <f t="shared" si="0"/>
        <v>0</v>
      </c>
      <c r="L4" s="316"/>
      <c r="M4" s="317">
        <f t="shared" si="1"/>
        <v>0</v>
      </c>
      <c r="N4" s="316"/>
      <c r="O4" s="317">
        <f t="shared" si="2"/>
        <v>0</v>
      </c>
      <c r="P4" s="316"/>
      <c r="Q4" s="317">
        <f t="shared" si="3"/>
        <v>0</v>
      </c>
      <c r="S4" s="318">
        <f t="shared" si="4"/>
        <v>0</v>
      </c>
      <c r="T4" s="319">
        <f t="shared" si="5"/>
        <v>0</v>
      </c>
    </row>
    <row r="5" spans="1:20">
      <c r="A5" s="302">
        <v>4</v>
      </c>
      <c r="B5" s="207" t="s">
        <v>1171</v>
      </c>
      <c r="C5" s="207" t="s">
        <v>78</v>
      </c>
      <c r="D5" s="207" t="s">
        <v>413</v>
      </c>
      <c r="E5" s="207" t="s">
        <v>1752</v>
      </c>
      <c r="F5" s="207" t="s">
        <v>1451</v>
      </c>
      <c r="G5" s="207" t="s">
        <v>68</v>
      </c>
      <c r="H5" s="315">
        <v>3</v>
      </c>
      <c r="I5" s="207" t="s">
        <v>1752</v>
      </c>
      <c r="J5" s="316" t="s">
        <v>1174</v>
      </c>
      <c r="K5" s="317">
        <f t="shared" si="0"/>
        <v>1</v>
      </c>
      <c r="L5" s="316" t="s">
        <v>1174</v>
      </c>
      <c r="M5" s="317">
        <f t="shared" si="1"/>
        <v>0.5</v>
      </c>
      <c r="N5" s="316"/>
      <c r="O5" s="317">
        <f t="shared" si="2"/>
        <v>0</v>
      </c>
      <c r="P5" s="316" t="s">
        <v>1174</v>
      </c>
      <c r="Q5" s="317">
        <f t="shared" si="3"/>
        <v>0.5</v>
      </c>
      <c r="S5" s="318">
        <f t="shared" si="4"/>
        <v>2</v>
      </c>
      <c r="T5" s="319">
        <f t="shared" si="5"/>
        <v>5</v>
      </c>
    </row>
    <row r="6" spans="1:20">
      <c r="A6" s="302">
        <v>5</v>
      </c>
      <c r="B6" s="207" t="s">
        <v>1171</v>
      </c>
      <c r="C6" s="207" t="s">
        <v>82</v>
      </c>
      <c r="D6" s="207" t="s">
        <v>413</v>
      </c>
      <c r="E6" s="207" t="s">
        <v>1758</v>
      </c>
      <c r="F6" s="207" t="s">
        <v>1451</v>
      </c>
      <c r="G6" s="207" t="s">
        <v>2200</v>
      </c>
      <c r="H6" s="315">
        <v>1</v>
      </c>
      <c r="J6" s="316"/>
      <c r="K6" s="317">
        <f t="shared" si="0"/>
        <v>0</v>
      </c>
      <c r="L6" s="316"/>
      <c r="M6" s="317">
        <f t="shared" si="1"/>
        <v>0</v>
      </c>
      <c r="N6" s="316"/>
      <c r="O6" s="317">
        <f t="shared" si="2"/>
        <v>0</v>
      </c>
      <c r="P6" s="316"/>
      <c r="Q6" s="317">
        <f t="shared" si="3"/>
        <v>0</v>
      </c>
      <c r="S6" s="318">
        <f t="shared" si="4"/>
        <v>0</v>
      </c>
      <c r="T6" s="319">
        <f t="shared" si="5"/>
        <v>1</v>
      </c>
    </row>
    <row r="7" spans="1:20">
      <c r="A7" s="302">
        <v>6</v>
      </c>
      <c r="B7" s="207" t="s">
        <v>1171</v>
      </c>
      <c r="C7" s="207" t="s">
        <v>87</v>
      </c>
      <c r="D7" s="207" t="s">
        <v>413</v>
      </c>
      <c r="E7" s="207" t="s">
        <v>88</v>
      </c>
      <c r="F7" s="207" t="s">
        <v>1451</v>
      </c>
      <c r="G7" s="207" t="s">
        <v>415</v>
      </c>
      <c r="H7" s="315">
        <v>2.5</v>
      </c>
      <c r="I7" s="207" t="s">
        <v>88</v>
      </c>
      <c r="J7" s="316"/>
      <c r="K7" s="317">
        <f t="shared" si="0"/>
        <v>0</v>
      </c>
      <c r="L7" s="316"/>
      <c r="M7" s="317">
        <f t="shared" si="1"/>
        <v>0</v>
      </c>
      <c r="N7" s="316"/>
      <c r="O7" s="317">
        <f t="shared" si="2"/>
        <v>0</v>
      </c>
      <c r="P7" s="316"/>
      <c r="Q7" s="317">
        <f t="shared" si="3"/>
        <v>0</v>
      </c>
      <c r="S7" s="318">
        <f t="shared" si="4"/>
        <v>0</v>
      </c>
      <c r="T7" s="319">
        <f t="shared" si="5"/>
        <v>2.5</v>
      </c>
    </row>
    <row r="8" spans="1:20" ht="28">
      <c r="A8" s="302">
        <v>7</v>
      </c>
      <c r="B8" s="207" t="s">
        <v>1171</v>
      </c>
      <c r="C8" s="207" t="s">
        <v>90</v>
      </c>
      <c r="D8" s="207" t="s">
        <v>413</v>
      </c>
      <c r="E8" s="207" t="s">
        <v>1195</v>
      </c>
      <c r="F8" s="207" t="s">
        <v>1451</v>
      </c>
      <c r="G8" s="207" t="s">
        <v>415</v>
      </c>
      <c r="H8" s="315">
        <v>2.5</v>
      </c>
      <c r="I8" s="207" t="s">
        <v>1195</v>
      </c>
      <c r="J8" s="316"/>
      <c r="K8" s="317">
        <f t="shared" si="0"/>
        <v>0</v>
      </c>
      <c r="L8" s="316"/>
      <c r="M8" s="317">
        <f t="shared" si="1"/>
        <v>0</v>
      </c>
      <c r="N8" s="316"/>
      <c r="O8" s="317">
        <f t="shared" si="2"/>
        <v>0</v>
      </c>
      <c r="P8" s="316"/>
      <c r="Q8" s="317">
        <f t="shared" si="3"/>
        <v>0</v>
      </c>
      <c r="S8" s="318">
        <f t="shared" si="4"/>
        <v>0</v>
      </c>
      <c r="T8" s="319">
        <f t="shared" si="5"/>
        <v>2.5</v>
      </c>
    </row>
    <row r="9" spans="1:20" ht="42">
      <c r="A9" s="302">
        <v>8</v>
      </c>
      <c r="B9" s="207" t="s">
        <v>1171</v>
      </c>
      <c r="C9" s="207" t="s">
        <v>93</v>
      </c>
      <c r="D9" s="207" t="s">
        <v>413</v>
      </c>
      <c r="E9" s="207" t="s">
        <v>1761</v>
      </c>
      <c r="F9" s="207" t="s">
        <v>1451</v>
      </c>
      <c r="G9" s="207" t="s">
        <v>68</v>
      </c>
      <c r="H9" s="315">
        <v>3</v>
      </c>
      <c r="I9" s="207" t="s">
        <v>2201</v>
      </c>
      <c r="J9" s="320" t="s">
        <v>1174</v>
      </c>
      <c r="K9" s="317">
        <f t="shared" si="0"/>
        <v>1</v>
      </c>
      <c r="L9" s="320" t="s">
        <v>1176</v>
      </c>
      <c r="M9" s="317">
        <f t="shared" si="1"/>
        <v>0</v>
      </c>
      <c r="N9" s="320" t="s">
        <v>1174</v>
      </c>
      <c r="O9" s="317">
        <f t="shared" si="2"/>
        <v>0</v>
      </c>
      <c r="P9" s="320" t="s">
        <v>1174</v>
      </c>
      <c r="Q9" s="317">
        <f t="shared" si="3"/>
        <v>0.5</v>
      </c>
      <c r="S9" s="318">
        <f t="shared" si="4"/>
        <v>1.5</v>
      </c>
      <c r="T9" s="319">
        <f t="shared" si="5"/>
        <v>4.5</v>
      </c>
    </row>
    <row r="10" spans="1:20">
      <c r="A10" s="302">
        <v>9</v>
      </c>
      <c r="B10" s="207" t="s">
        <v>1171</v>
      </c>
      <c r="C10" s="207" t="s">
        <v>96</v>
      </c>
      <c r="D10" s="207" t="s">
        <v>413</v>
      </c>
      <c r="E10" s="207" t="s">
        <v>1202</v>
      </c>
      <c r="F10" s="207" t="s">
        <v>1451</v>
      </c>
      <c r="G10" s="207" t="s">
        <v>415</v>
      </c>
      <c r="H10" s="315">
        <v>2.5</v>
      </c>
      <c r="I10" s="207" t="s">
        <v>1202</v>
      </c>
      <c r="J10" s="316"/>
      <c r="K10" s="317">
        <f t="shared" si="0"/>
        <v>0</v>
      </c>
      <c r="L10" s="316"/>
      <c r="M10" s="317">
        <f t="shared" si="1"/>
        <v>0</v>
      </c>
      <c r="N10" s="316"/>
      <c r="O10" s="317">
        <f t="shared" si="2"/>
        <v>0</v>
      </c>
      <c r="P10" s="316"/>
      <c r="Q10" s="317">
        <f t="shared" si="3"/>
        <v>0</v>
      </c>
      <c r="S10" s="318">
        <f t="shared" si="4"/>
        <v>0</v>
      </c>
      <c r="T10" s="319">
        <f t="shared" si="5"/>
        <v>2.5</v>
      </c>
    </row>
    <row r="11" spans="1:20" ht="28">
      <c r="A11" s="302">
        <v>10</v>
      </c>
      <c r="B11" s="207" t="s">
        <v>1171</v>
      </c>
      <c r="C11" s="207" t="s">
        <v>100</v>
      </c>
      <c r="D11" s="207" t="s">
        <v>413</v>
      </c>
      <c r="E11" s="207" t="s">
        <v>1204</v>
      </c>
      <c r="F11" s="207" t="s">
        <v>1451</v>
      </c>
      <c r="G11" s="207" t="s">
        <v>415</v>
      </c>
      <c r="H11" s="315">
        <v>2.5</v>
      </c>
      <c r="I11" s="207" t="s">
        <v>1204</v>
      </c>
      <c r="J11" s="316"/>
      <c r="K11" s="317">
        <f t="shared" si="0"/>
        <v>0</v>
      </c>
      <c r="L11" s="316"/>
      <c r="M11" s="317">
        <f t="shared" si="1"/>
        <v>0</v>
      </c>
      <c r="N11" s="316"/>
      <c r="O11" s="317">
        <f t="shared" si="2"/>
        <v>0</v>
      </c>
      <c r="P11" s="316"/>
      <c r="Q11" s="317">
        <f t="shared" si="3"/>
        <v>0</v>
      </c>
      <c r="S11" s="318">
        <f t="shared" si="4"/>
        <v>0</v>
      </c>
      <c r="T11" s="319">
        <f t="shared" si="5"/>
        <v>2.5</v>
      </c>
    </row>
    <row r="12" spans="1:20" ht="56">
      <c r="A12" s="302">
        <v>11</v>
      </c>
      <c r="B12" s="207" t="s">
        <v>1171</v>
      </c>
      <c r="C12" s="207" t="s">
        <v>102</v>
      </c>
      <c r="D12" s="207" t="s">
        <v>413</v>
      </c>
      <c r="E12" s="207" t="s">
        <v>1207</v>
      </c>
      <c r="F12" s="207" t="s">
        <v>1451</v>
      </c>
      <c r="G12" s="207" t="s">
        <v>68</v>
      </c>
      <c r="H12" s="315">
        <v>3</v>
      </c>
      <c r="I12" s="207" t="s">
        <v>2202</v>
      </c>
      <c r="J12" s="320" t="s">
        <v>1174</v>
      </c>
      <c r="K12" s="317">
        <f t="shared" si="0"/>
        <v>1</v>
      </c>
      <c r="L12" s="320" t="s">
        <v>1174</v>
      </c>
      <c r="M12" s="317">
        <f t="shared" si="1"/>
        <v>0.5</v>
      </c>
      <c r="N12" s="320" t="s">
        <v>1174</v>
      </c>
      <c r="O12" s="317">
        <f t="shared" si="2"/>
        <v>0</v>
      </c>
      <c r="P12" s="320" t="s">
        <v>1174</v>
      </c>
      <c r="Q12" s="317">
        <f t="shared" si="3"/>
        <v>0.5</v>
      </c>
      <c r="R12" s="207" t="s">
        <v>2203</v>
      </c>
      <c r="S12" s="318">
        <f t="shared" si="4"/>
        <v>2</v>
      </c>
      <c r="T12" s="319">
        <f t="shared" si="5"/>
        <v>5</v>
      </c>
    </row>
    <row r="13" spans="1:20" ht="56">
      <c r="A13" s="302">
        <v>12</v>
      </c>
      <c r="B13" s="207" t="s">
        <v>1171</v>
      </c>
      <c r="C13" s="207" t="s">
        <v>104</v>
      </c>
      <c r="D13" s="207" t="s">
        <v>413</v>
      </c>
      <c r="E13" s="207" t="s">
        <v>1210</v>
      </c>
      <c r="F13" s="207" t="s">
        <v>1451</v>
      </c>
      <c r="G13" s="207" t="s">
        <v>68</v>
      </c>
      <c r="H13" s="315">
        <v>3</v>
      </c>
      <c r="I13" s="207" t="s">
        <v>2204</v>
      </c>
      <c r="J13" s="320" t="s">
        <v>1176</v>
      </c>
      <c r="K13" s="317">
        <f t="shared" si="0"/>
        <v>0</v>
      </c>
      <c r="L13" s="320" t="s">
        <v>1176</v>
      </c>
      <c r="M13" s="317">
        <f t="shared" si="1"/>
        <v>0</v>
      </c>
      <c r="N13" s="320" t="s">
        <v>1174</v>
      </c>
      <c r="O13" s="317">
        <f t="shared" si="2"/>
        <v>0</v>
      </c>
      <c r="P13" s="320" t="s">
        <v>1174</v>
      </c>
      <c r="Q13" s="317">
        <f t="shared" si="3"/>
        <v>0.5</v>
      </c>
      <c r="R13" s="207" t="s">
        <v>2205</v>
      </c>
      <c r="S13" s="318">
        <f t="shared" si="4"/>
        <v>0.5</v>
      </c>
      <c r="T13" s="319">
        <f t="shared" si="5"/>
        <v>3.5</v>
      </c>
    </row>
    <row r="14" spans="1:20">
      <c r="A14" s="302">
        <v>13</v>
      </c>
      <c r="B14" s="207" t="s">
        <v>1171</v>
      </c>
      <c r="C14" s="207" t="s">
        <v>106</v>
      </c>
      <c r="D14" s="207" t="s">
        <v>413</v>
      </c>
      <c r="E14" s="207" t="s">
        <v>1770</v>
      </c>
      <c r="F14" s="207" t="s">
        <v>1451</v>
      </c>
      <c r="G14" s="207" t="s">
        <v>2200</v>
      </c>
      <c r="H14" s="315">
        <v>1</v>
      </c>
      <c r="J14" s="316"/>
      <c r="K14" s="317">
        <f t="shared" si="0"/>
        <v>0</v>
      </c>
      <c r="L14" s="316"/>
      <c r="M14" s="317">
        <f t="shared" si="1"/>
        <v>0</v>
      </c>
      <c r="N14" s="316"/>
      <c r="O14" s="317">
        <f t="shared" si="2"/>
        <v>0</v>
      </c>
      <c r="P14" s="316"/>
      <c r="Q14" s="317">
        <f t="shared" si="3"/>
        <v>0</v>
      </c>
      <c r="S14" s="318">
        <f t="shared" si="4"/>
        <v>0</v>
      </c>
      <c r="T14" s="319">
        <f t="shared" si="5"/>
        <v>1</v>
      </c>
    </row>
    <row r="15" spans="1:20" ht="28">
      <c r="A15" s="302">
        <v>14</v>
      </c>
      <c r="B15" s="207" t="s">
        <v>1171</v>
      </c>
      <c r="C15" s="207" t="s">
        <v>109</v>
      </c>
      <c r="D15" s="207" t="s">
        <v>413</v>
      </c>
      <c r="E15" s="207" t="s">
        <v>1771</v>
      </c>
      <c r="F15" s="207" t="s">
        <v>1451</v>
      </c>
      <c r="G15" s="207" t="s">
        <v>415</v>
      </c>
      <c r="H15" s="315">
        <v>2.5</v>
      </c>
      <c r="I15" s="207" t="s">
        <v>1771</v>
      </c>
      <c r="J15" s="316"/>
      <c r="K15" s="317">
        <f t="shared" si="0"/>
        <v>0</v>
      </c>
      <c r="L15" s="316"/>
      <c r="M15" s="317">
        <f t="shared" si="1"/>
        <v>0</v>
      </c>
      <c r="N15" s="316"/>
      <c r="O15" s="317">
        <f t="shared" si="2"/>
        <v>0</v>
      </c>
      <c r="P15" s="316"/>
      <c r="Q15" s="317">
        <f t="shared" si="3"/>
        <v>0</v>
      </c>
      <c r="S15" s="318">
        <f t="shared" si="4"/>
        <v>0</v>
      </c>
      <c r="T15" s="319">
        <f t="shared" si="5"/>
        <v>2.5</v>
      </c>
    </row>
    <row r="16" spans="1:20" ht="70">
      <c r="A16" s="302">
        <v>15</v>
      </c>
      <c r="B16" s="207" t="s">
        <v>1171</v>
      </c>
      <c r="C16" s="207" t="s">
        <v>111</v>
      </c>
      <c r="D16" s="207" t="s">
        <v>413</v>
      </c>
      <c r="E16" s="207" t="s">
        <v>1224</v>
      </c>
      <c r="F16" s="207" t="s">
        <v>1451</v>
      </c>
      <c r="G16" s="207" t="s">
        <v>68</v>
      </c>
      <c r="H16" s="315">
        <v>3</v>
      </c>
      <c r="I16" s="207" t="s">
        <v>2206</v>
      </c>
      <c r="J16" s="320" t="s">
        <v>1174</v>
      </c>
      <c r="K16" s="317">
        <f t="shared" si="0"/>
        <v>1</v>
      </c>
      <c r="L16" s="320" t="s">
        <v>1174</v>
      </c>
      <c r="M16" s="317">
        <f t="shared" si="1"/>
        <v>0.5</v>
      </c>
      <c r="N16" s="320" t="s">
        <v>1174</v>
      </c>
      <c r="O16" s="317">
        <f t="shared" si="2"/>
        <v>0</v>
      </c>
      <c r="P16" s="320" t="s">
        <v>1174</v>
      </c>
      <c r="Q16" s="317">
        <f t="shared" si="3"/>
        <v>0.5</v>
      </c>
      <c r="R16" s="207" t="s">
        <v>2207</v>
      </c>
      <c r="S16" s="318">
        <f t="shared" si="4"/>
        <v>2</v>
      </c>
      <c r="T16" s="319">
        <f t="shared" si="5"/>
        <v>5</v>
      </c>
    </row>
    <row r="17" spans="1:20" ht="28">
      <c r="A17" s="302">
        <v>16</v>
      </c>
      <c r="B17" s="207" t="s">
        <v>1171</v>
      </c>
      <c r="C17" s="207" t="s">
        <v>114</v>
      </c>
      <c r="D17" s="207" t="s">
        <v>413</v>
      </c>
      <c r="E17" s="207" t="s">
        <v>1227</v>
      </c>
      <c r="F17" s="207" t="s">
        <v>1451</v>
      </c>
      <c r="G17" s="207" t="s">
        <v>68</v>
      </c>
      <c r="H17" s="315">
        <v>3</v>
      </c>
      <c r="I17" s="207" t="s">
        <v>2208</v>
      </c>
      <c r="J17" s="320" t="s">
        <v>1174</v>
      </c>
      <c r="K17" s="317">
        <f t="shared" si="0"/>
        <v>1</v>
      </c>
      <c r="L17" s="320" t="s">
        <v>1174</v>
      </c>
      <c r="M17" s="317">
        <f t="shared" si="1"/>
        <v>0.5</v>
      </c>
      <c r="N17" s="320" t="s">
        <v>1176</v>
      </c>
      <c r="O17" s="317">
        <f t="shared" si="2"/>
        <v>0</v>
      </c>
      <c r="P17" s="320" t="s">
        <v>1174</v>
      </c>
      <c r="Q17" s="317">
        <f t="shared" si="3"/>
        <v>0.5</v>
      </c>
      <c r="R17" s="207" t="s">
        <v>2209</v>
      </c>
      <c r="S17" s="318">
        <f t="shared" si="4"/>
        <v>2</v>
      </c>
      <c r="T17" s="319">
        <f t="shared" si="5"/>
        <v>5</v>
      </c>
    </row>
    <row r="18" spans="1:20" ht="42">
      <c r="A18" s="302">
        <v>17</v>
      </c>
      <c r="B18" s="207" t="s">
        <v>1171</v>
      </c>
      <c r="C18" s="207" t="s">
        <v>117</v>
      </c>
      <c r="D18" s="207" t="s">
        <v>413</v>
      </c>
      <c r="E18" s="207" t="s">
        <v>1230</v>
      </c>
      <c r="F18" s="207" t="s">
        <v>1451</v>
      </c>
      <c r="G18" s="207" t="s">
        <v>68</v>
      </c>
      <c r="H18" s="315">
        <v>3</v>
      </c>
      <c r="I18" s="207" t="s">
        <v>2210</v>
      </c>
      <c r="J18" s="320" t="s">
        <v>1174</v>
      </c>
      <c r="K18" s="317">
        <f t="shared" si="0"/>
        <v>1</v>
      </c>
      <c r="L18" s="320" t="s">
        <v>1174</v>
      </c>
      <c r="M18" s="317">
        <f t="shared" si="1"/>
        <v>0.5</v>
      </c>
      <c r="N18" s="320" t="s">
        <v>1174</v>
      </c>
      <c r="O18" s="317">
        <f t="shared" si="2"/>
        <v>0</v>
      </c>
      <c r="P18" s="320" t="s">
        <v>1174</v>
      </c>
      <c r="Q18" s="317">
        <f t="shared" si="3"/>
        <v>0.5</v>
      </c>
      <c r="R18" s="207" t="s">
        <v>2211</v>
      </c>
      <c r="S18" s="318">
        <f t="shared" si="4"/>
        <v>2</v>
      </c>
      <c r="T18" s="319">
        <f t="shared" si="5"/>
        <v>5</v>
      </c>
    </row>
    <row r="19" spans="1:20" ht="42">
      <c r="A19" s="302">
        <v>18</v>
      </c>
      <c r="B19" s="207" t="s">
        <v>1171</v>
      </c>
      <c r="C19" s="207" t="s">
        <v>120</v>
      </c>
      <c r="D19" s="207" t="s">
        <v>413</v>
      </c>
      <c r="E19" s="207" t="s">
        <v>1235</v>
      </c>
      <c r="F19" s="207" t="s">
        <v>1451</v>
      </c>
      <c r="G19" s="207" t="s">
        <v>68</v>
      </c>
      <c r="H19" s="315">
        <v>3</v>
      </c>
      <c r="I19" s="207" t="s">
        <v>2212</v>
      </c>
      <c r="J19" s="320" t="s">
        <v>1176</v>
      </c>
      <c r="K19" s="317">
        <f t="shared" si="0"/>
        <v>0</v>
      </c>
      <c r="L19" s="320" t="s">
        <v>1176</v>
      </c>
      <c r="M19" s="317">
        <f t="shared" si="1"/>
        <v>0</v>
      </c>
      <c r="N19" s="320" t="s">
        <v>1174</v>
      </c>
      <c r="O19" s="317">
        <f t="shared" si="2"/>
        <v>0</v>
      </c>
      <c r="P19" s="320" t="s">
        <v>1176</v>
      </c>
      <c r="Q19" s="317">
        <f t="shared" si="3"/>
        <v>0</v>
      </c>
      <c r="R19" s="207" t="s">
        <v>2213</v>
      </c>
      <c r="S19" s="318">
        <f t="shared" si="4"/>
        <v>0</v>
      </c>
      <c r="T19" s="319">
        <f t="shared" si="5"/>
        <v>3</v>
      </c>
    </row>
    <row r="20" spans="1:20" ht="28">
      <c r="A20" s="302">
        <v>19</v>
      </c>
      <c r="B20" s="207" t="s">
        <v>1171</v>
      </c>
      <c r="C20" s="207" t="s">
        <v>123</v>
      </c>
      <c r="D20" s="207" t="s">
        <v>413</v>
      </c>
      <c r="E20" s="207" t="s">
        <v>124</v>
      </c>
      <c r="F20" s="207" t="s">
        <v>1451</v>
      </c>
      <c r="G20" s="207" t="s">
        <v>415</v>
      </c>
      <c r="H20" s="315">
        <v>2.5</v>
      </c>
      <c r="I20" s="207" t="s">
        <v>124</v>
      </c>
      <c r="J20" s="316"/>
      <c r="K20" s="317">
        <f t="shared" si="0"/>
        <v>0</v>
      </c>
      <c r="L20" s="316"/>
      <c r="M20" s="317">
        <f t="shared" si="1"/>
        <v>0</v>
      </c>
      <c r="N20" s="316"/>
      <c r="O20" s="317">
        <f t="shared" si="2"/>
        <v>0</v>
      </c>
      <c r="P20" s="316"/>
      <c r="Q20" s="317">
        <f t="shared" si="3"/>
        <v>0</v>
      </c>
      <c r="S20" s="318">
        <f t="shared" si="4"/>
        <v>0</v>
      </c>
      <c r="T20" s="319">
        <f t="shared" si="5"/>
        <v>2.5</v>
      </c>
    </row>
    <row r="21" spans="1:20" ht="70">
      <c r="A21" s="302">
        <v>20</v>
      </c>
      <c r="B21" s="207" t="s">
        <v>1171</v>
      </c>
      <c r="C21" s="207" t="s">
        <v>125</v>
      </c>
      <c r="D21" s="207" t="s">
        <v>413</v>
      </c>
      <c r="E21" s="207" t="s">
        <v>126</v>
      </c>
      <c r="F21" s="207" t="s">
        <v>1451</v>
      </c>
      <c r="G21" s="207" t="s">
        <v>68</v>
      </c>
      <c r="H21" s="315">
        <v>3</v>
      </c>
      <c r="I21" s="207" t="s">
        <v>2214</v>
      </c>
      <c r="J21" s="320" t="s">
        <v>1174</v>
      </c>
      <c r="K21" s="317">
        <f t="shared" si="0"/>
        <v>1</v>
      </c>
      <c r="L21" s="320" t="s">
        <v>1176</v>
      </c>
      <c r="M21" s="317">
        <f t="shared" si="1"/>
        <v>0</v>
      </c>
      <c r="N21" s="320" t="s">
        <v>1174</v>
      </c>
      <c r="O21" s="317">
        <f t="shared" si="2"/>
        <v>0</v>
      </c>
      <c r="P21" s="320" t="s">
        <v>1174</v>
      </c>
      <c r="Q21" s="317">
        <f t="shared" si="3"/>
        <v>0.5</v>
      </c>
      <c r="R21" s="207" t="s">
        <v>2215</v>
      </c>
      <c r="S21" s="318">
        <f t="shared" si="4"/>
        <v>1.5</v>
      </c>
      <c r="T21" s="319">
        <f t="shared" si="5"/>
        <v>4.5</v>
      </c>
    </row>
    <row r="22" spans="1:20">
      <c r="A22" s="302">
        <v>21</v>
      </c>
      <c r="B22" s="207" t="s">
        <v>1171</v>
      </c>
      <c r="C22" s="207" t="s">
        <v>127</v>
      </c>
      <c r="D22" s="207" t="s">
        <v>413</v>
      </c>
      <c r="E22" s="207" t="s">
        <v>128</v>
      </c>
      <c r="F22" s="207" t="s">
        <v>1451</v>
      </c>
      <c r="G22" s="207" t="s">
        <v>415</v>
      </c>
      <c r="H22" s="315">
        <v>2.5</v>
      </c>
      <c r="I22" s="207" t="s">
        <v>128</v>
      </c>
      <c r="J22" s="316"/>
      <c r="K22" s="317">
        <f t="shared" si="0"/>
        <v>0</v>
      </c>
      <c r="L22" s="316"/>
      <c r="M22" s="317">
        <f t="shared" si="1"/>
        <v>0</v>
      </c>
      <c r="N22" s="316"/>
      <c r="O22" s="317">
        <f t="shared" si="2"/>
        <v>0</v>
      </c>
      <c r="P22" s="316"/>
      <c r="Q22" s="317">
        <f t="shared" si="3"/>
        <v>0</v>
      </c>
      <c r="S22" s="318">
        <f t="shared" si="4"/>
        <v>0</v>
      </c>
      <c r="T22" s="319">
        <f t="shared" si="5"/>
        <v>2.5</v>
      </c>
    </row>
    <row r="23" spans="1:20">
      <c r="A23" s="302">
        <v>22</v>
      </c>
      <c r="B23" s="207" t="s">
        <v>1171</v>
      </c>
      <c r="C23" s="207" t="s">
        <v>129</v>
      </c>
      <c r="D23" s="207" t="s">
        <v>413</v>
      </c>
      <c r="E23" s="207" t="s">
        <v>132</v>
      </c>
      <c r="F23" s="207" t="s">
        <v>1451</v>
      </c>
      <c r="G23" s="207" t="s">
        <v>415</v>
      </c>
      <c r="H23" s="315">
        <v>2.5</v>
      </c>
      <c r="I23" s="207" t="s">
        <v>132</v>
      </c>
      <c r="J23" s="316"/>
      <c r="K23" s="317">
        <f t="shared" si="0"/>
        <v>0</v>
      </c>
      <c r="L23" s="316"/>
      <c r="M23" s="317">
        <f t="shared" si="1"/>
        <v>0</v>
      </c>
      <c r="N23" s="316"/>
      <c r="O23" s="317">
        <f t="shared" si="2"/>
        <v>0</v>
      </c>
      <c r="P23" s="316"/>
      <c r="Q23" s="317">
        <f t="shared" si="3"/>
        <v>0</v>
      </c>
      <c r="S23" s="318">
        <f t="shared" si="4"/>
        <v>0</v>
      </c>
      <c r="T23" s="319">
        <f t="shared" si="5"/>
        <v>2.5</v>
      </c>
    </row>
    <row r="24" spans="1:20">
      <c r="A24" s="302">
        <v>23</v>
      </c>
      <c r="B24" s="207" t="s">
        <v>1171</v>
      </c>
      <c r="C24" s="207" t="s">
        <v>134</v>
      </c>
      <c r="D24" s="207" t="s">
        <v>413</v>
      </c>
      <c r="E24" s="207" t="s">
        <v>135</v>
      </c>
      <c r="F24" s="207" t="s">
        <v>1451</v>
      </c>
      <c r="G24" s="207" t="s">
        <v>68</v>
      </c>
      <c r="H24" s="315">
        <v>3</v>
      </c>
      <c r="I24" s="207" t="s">
        <v>2216</v>
      </c>
      <c r="J24" s="320" t="s">
        <v>1176</v>
      </c>
      <c r="K24" s="317">
        <f t="shared" si="0"/>
        <v>0</v>
      </c>
      <c r="L24" s="320" t="s">
        <v>1176</v>
      </c>
      <c r="M24" s="317">
        <f t="shared" si="1"/>
        <v>0</v>
      </c>
      <c r="N24" s="320" t="s">
        <v>1174</v>
      </c>
      <c r="O24" s="317">
        <f t="shared" si="2"/>
        <v>0</v>
      </c>
      <c r="P24" s="320" t="s">
        <v>1176</v>
      </c>
      <c r="Q24" s="317">
        <f t="shared" si="3"/>
        <v>0</v>
      </c>
      <c r="S24" s="318">
        <f t="shared" si="4"/>
        <v>0</v>
      </c>
      <c r="T24" s="319">
        <f t="shared" si="5"/>
        <v>3</v>
      </c>
    </row>
    <row r="25" spans="1:20">
      <c r="A25" s="302">
        <v>24</v>
      </c>
      <c r="B25" s="207" t="s">
        <v>1171</v>
      </c>
      <c r="C25" s="207" t="s">
        <v>136</v>
      </c>
      <c r="D25" s="207" t="s">
        <v>413</v>
      </c>
      <c r="E25" s="207" t="s">
        <v>138</v>
      </c>
      <c r="F25" s="207" t="s">
        <v>1451</v>
      </c>
      <c r="G25" s="207" t="s">
        <v>68</v>
      </c>
      <c r="H25" s="315">
        <v>3</v>
      </c>
      <c r="I25" s="207" t="s">
        <v>2217</v>
      </c>
      <c r="J25" s="320" t="s">
        <v>1174</v>
      </c>
      <c r="K25" s="317">
        <f t="shared" si="0"/>
        <v>1</v>
      </c>
      <c r="L25" s="320" t="s">
        <v>1176</v>
      </c>
      <c r="M25" s="317">
        <f t="shared" si="1"/>
        <v>0</v>
      </c>
      <c r="N25" s="320" t="s">
        <v>1176</v>
      </c>
      <c r="O25" s="317">
        <f t="shared" si="2"/>
        <v>0</v>
      </c>
      <c r="P25" s="320" t="s">
        <v>1176</v>
      </c>
      <c r="Q25" s="317">
        <f t="shared" si="3"/>
        <v>0</v>
      </c>
      <c r="S25" s="318">
        <f t="shared" si="4"/>
        <v>1</v>
      </c>
      <c r="T25" s="319">
        <f t="shared" si="5"/>
        <v>4</v>
      </c>
    </row>
    <row r="26" spans="1:20">
      <c r="A26" s="302">
        <v>25</v>
      </c>
      <c r="B26" s="207" t="s">
        <v>1171</v>
      </c>
      <c r="C26" s="207" t="s">
        <v>139</v>
      </c>
      <c r="D26" s="207" t="s">
        <v>413</v>
      </c>
      <c r="E26" s="207" t="s">
        <v>140</v>
      </c>
      <c r="F26" s="207" t="s">
        <v>1451</v>
      </c>
      <c r="G26" s="207" t="s">
        <v>133</v>
      </c>
      <c r="H26" s="315">
        <v>0</v>
      </c>
      <c r="J26" s="316"/>
      <c r="K26" s="317">
        <f t="shared" si="0"/>
        <v>0</v>
      </c>
      <c r="L26" s="316"/>
      <c r="M26" s="317">
        <f t="shared" si="1"/>
        <v>0</v>
      </c>
      <c r="N26" s="316"/>
      <c r="O26" s="317">
        <f t="shared" si="2"/>
        <v>0</v>
      </c>
      <c r="P26" s="316"/>
      <c r="Q26" s="317">
        <f t="shared" si="3"/>
        <v>0</v>
      </c>
      <c r="S26" s="318">
        <f t="shared" si="4"/>
        <v>0</v>
      </c>
      <c r="T26" s="319">
        <f t="shared" si="5"/>
        <v>0</v>
      </c>
    </row>
    <row r="27" spans="1:20">
      <c r="A27" s="302">
        <v>26</v>
      </c>
      <c r="B27" s="207" t="s">
        <v>1171</v>
      </c>
      <c r="C27" s="207" t="s">
        <v>141</v>
      </c>
      <c r="D27" s="207" t="s">
        <v>413</v>
      </c>
      <c r="E27" s="207" t="s">
        <v>142</v>
      </c>
      <c r="F27" s="207" t="s">
        <v>1451</v>
      </c>
      <c r="G27" s="207" t="s">
        <v>415</v>
      </c>
      <c r="H27" s="315">
        <v>2.5</v>
      </c>
      <c r="I27" s="207" t="s">
        <v>142</v>
      </c>
      <c r="J27" s="316"/>
      <c r="K27" s="317">
        <f t="shared" si="0"/>
        <v>0</v>
      </c>
      <c r="L27" s="316"/>
      <c r="M27" s="317">
        <f t="shared" si="1"/>
        <v>0</v>
      </c>
      <c r="N27" s="316"/>
      <c r="O27" s="317">
        <f t="shared" si="2"/>
        <v>0</v>
      </c>
      <c r="P27" s="316"/>
      <c r="Q27" s="317">
        <f t="shared" si="3"/>
        <v>0</v>
      </c>
      <c r="S27" s="318">
        <f t="shared" si="4"/>
        <v>0</v>
      </c>
      <c r="T27" s="319">
        <f t="shared" si="5"/>
        <v>2.5</v>
      </c>
    </row>
    <row r="28" spans="1:20">
      <c r="A28" s="302">
        <v>27</v>
      </c>
      <c r="B28" s="207" t="s">
        <v>1171</v>
      </c>
      <c r="C28" s="207" t="s">
        <v>143</v>
      </c>
      <c r="D28" s="207" t="s">
        <v>413</v>
      </c>
      <c r="E28" s="207" t="s">
        <v>144</v>
      </c>
      <c r="F28" s="207" t="s">
        <v>1451</v>
      </c>
      <c r="G28" s="207" t="s">
        <v>2200</v>
      </c>
      <c r="H28" s="315">
        <v>1</v>
      </c>
      <c r="J28" s="316"/>
      <c r="K28" s="317">
        <f t="shared" si="0"/>
        <v>0</v>
      </c>
      <c r="L28" s="316"/>
      <c r="M28" s="317">
        <f t="shared" si="1"/>
        <v>0</v>
      </c>
      <c r="N28" s="316"/>
      <c r="O28" s="317">
        <f t="shared" si="2"/>
        <v>0</v>
      </c>
      <c r="P28" s="316"/>
      <c r="Q28" s="317">
        <f t="shared" si="3"/>
        <v>0</v>
      </c>
      <c r="S28" s="318">
        <f t="shared" si="4"/>
        <v>0</v>
      </c>
      <c r="T28" s="319">
        <f t="shared" si="5"/>
        <v>1</v>
      </c>
    </row>
    <row r="29" spans="1:20" ht="70">
      <c r="A29" s="302">
        <v>28</v>
      </c>
      <c r="B29" s="207" t="s">
        <v>1171</v>
      </c>
      <c r="C29" s="207" t="s">
        <v>145</v>
      </c>
      <c r="D29" s="207" t="s">
        <v>413</v>
      </c>
      <c r="E29" s="207" t="s">
        <v>1797</v>
      </c>
      <c r="F29" s="207" t="s">
        <v>1451</v>
      </c>
      <c r="G29" s="207" t="s">
        <v>68</v>
      </c>
      <c r="H29" s="315">
        <v>3</v>
      </c>
      <c r="I29" s="207" t="s">
        <v>2218</v>
      </c>
      <c r="J29" s="320" t="s">
        <v>1176</v>
      </c>
      <c r="K29" s="317">
        <f t="shared" si="0"/>
        <v>0</v>
      </c>
      <c r="L29" s="320" t="s">
        <v>1176</v>
      </c>
      <c r="M29" s="317">
        <f t="shared" si="1"/>
        <v>0</v>
      </c>
      <c r="N29" s="320" t="s">
        <v>1174</v>
      </c>
      <c r="O29" s="317">
        <f t="shared" si="2"/>
        <v>0</v>
      </c>
      <c r="P29" s="320" t="s">
        <v>1176</v>
      </c>
      <c r="Q29" s="317">
        <f t="shared" si="3"/>
        <v>0</v>
      </c>
      <c r="S29" s="318">
        <f t="shared" si="4"/>
        <v>0</v>
      </c>
      <c r="T29" s="319">
        <f t="shared" si="5"/>
        <v>3</v>
      </c>
    </row>
    <row r="30" spans="1:20">
      <c r="A30" s="302">
        <v>29</v>
      </c>
      <c r="B30" s="207" t="s">
        <v>1171</v>
      </c>
      <c r="C30" s="207" t="s">
        <v>148</v>
      </c>
      <c r="D30" s="207" t="s">
        <v>413</v>
      </c>
      <c r="E30" s="207" t="s">
        <v>149</v>
      </c>
      <c r="F30" s="207" t="s">
        <v>1451</v>
      </c>
      <c r="G30" s="207" t="s">
        <v>2200</v>
      </c>
      <c r="H30" s="315">
        <v>1</v>
      </c>
      <c r="J30" s="316"/>
      <c r="K30" s="317">
        <f t="shared" si="0"/>
        <v>0</v>
      </c>
      <c r="L30" s="316"/>
      <c r="M30" s="317">
        <f t="shared" si="1"/>
        <v>0</v>
      </c>
      <c r="N30" s="316"/>
      <c r="O30" s="317">
        <f t="shared" si="2"/>
        <v>0</v>
      </c>
      <c r="P30" s="316"/>
      <c r="Q30" s="317">
        <f t="shared" si="3"/>
        <v>0</v>
      </c>
      <c r="S30" s="318">
        <f t="shared" si="4"/>
        <v>0</v>
      </c>
      <c r="T30" s="319">
        <f t="shared" si="5"/>
        <v>1</v>
      </c>
    </row>
    <row r="31" spans="1:20" ht="28">
      <c r="A31" s="302">
        <v>30</v>
      </c>
      <c r="B31" s="207" t="s">
        <v>1171</v>
      </c>
      <c r="C31" s="207" t="s">
        <v>150</v>
      </c>
      <c r="D31" s="207" t="s">
        <v>413</v>
      </c>
      <c r="E31" s="207" t="s">
        <v>152</v>
      </c>
      <c r="F31" s="207" t="s">
        <v>1451</v>
      </c>
      <c r="G31" s="207" t="s">
        <v>68</v>
      </c>
      <c r="H31" s="315">
        <v>3</v>
      </c>
      <c r="I31" s="207" t="s">
        <v>2219</v>
      </c>
      <c r="J31" s="320" t="s">
        <v>1174</v>
      </c>
      <c r="K31" s="317">
        <f t="shared" si="0"/>
        <v>1</v>
      </c>
      <c r="L31" s="320" t="s">
        <v>1174</v>
      </c>
      <c r="M31" s="317">
        <f t="shared" si="1"/>
        <v>0.5</v>
      </c>
      <c r="N31" s="320" t="s">
        <v>1174</v>
      </c>
      <c r="O31" s="317">
        <f t="shared" si="2"/>
        <v>0</v>
      </c>
      <c r="P31" s="320" t="s">
        <v>1174</v>
      </c>
      <c r="Q31" s="317">
        <f t="shared" si="3"/>
        <v>0.5</v>
      </c>
      <c r="S31" s="318">
        <f t="shared" si="4"/>
        <v>2</v>
      </c>
      <c r="T31" s="319">
        <f t="shared" si="5"/>
        <v>5</v>
      </c>
    </row>
    <row r="32" spans="1:20" ht="70">
      <c r="A32" s="302">
        <v>31</v>
      </c>
      <c r="B32" s="207" t="s">
        <v>1171</v>
      </c>
      <c r="C32" s="207" t="s">
        <v>153</v>
      </c>
      <c r="D32" s="207" t="s">
        <v>413</v>
      </c>
      <c r="E32" s="207" t="s">
        <v>1277</v>
      </c>
      <c r="F32" s="207" t="s">
        <v>1451</v>
      </c>
      <c r="G32" s="207" t="s">
        <v>68</v>
      </c>
      <c r="H32" s="315">
        <v>3</v>
      </c>
      <c r="I32" s="207" t="s">
        <v>2220</v>
      </c>
      <c r="J32" s="320" t="s">
        <v>1174</v>
      </c>
      <c r="K32" s="317">
        <f t="shared" si="0"/>
        <v>1</v>
      </c>
      <c r="L32" s="320" t="s">
        <v>1174</v>
      </c>
      <c r="M32" s="317">
        <f t="shared" si="1"/>
        <v>0.5</v>
      </c>
      <c r="N32" s="320" t="s">
        <v>1174</v>
      </c>
      <c r="O32" s="317">
        <f t="shared" si="2"/>
        <v>0</v>
      </c>
      <c r="P32" s="320" t="s">
        <v>1174</v>
      </c>
      <c r="Q32" s="317">
        <f t="shared" si="3"/>
        <v>0.5</v>
      </c>
      <c r="R32" s="207" t="s">
        <v>2221</v>
      </c>
      <c r="S32" s="318">
        <f t="shared" si="4"/>
        <v>2</v>
      </c>
      <c r="T32" s="319">
        <f t="shared" si="5"/>
        <v>5</v>
      </c>
    </row>
    <row r="33" spans="1:20" ht="84">
      <c r="A33" s="302">
        <v>32</v>
      </c>
      <c r="B33" s="207" t="s">
        <v>1171</v>
      </c>
      <c r="C33" s="207" t="s">
        <v>156</v>
      </c>
      <c r="D33" s="207" t="s">
        <v>413</v>
      </c>
      <c r="E33" s="207" t="s">
        <v>157</v>
      </c>
      <c r="F33" s="207" t="s">
        <v>1451</v>
      </c>
      <c r="G33" s="207" t="s">
        <v>68</v>
      </c>
      <c r="H33" s="315">
        <v>3</v>
      </c>
      <c r="I33" s="207" t="s">
        <v>2222</v>
      </c>
      <c r="J33" s="320" t="s">
        <v>1174</v>
      </c>
      <c r="K33" s="317">
        <f t="shared" si="0"/>
        <v>1</v>
      </c>
      <c r="L33" s="320" t="s">
        <v>1174</v>
      </c>
      <c r="M33" s="317">
        <f t="shared" si="1"/>
        <v>0.5</v>
      </c>
      <c r="N33" s="320" t="s">
        <v>1174</v>
      </c>
      <c r="O33" s="317">
        <f t="shared" si="2"/>
        <v>0</v>
      </c>
      <c r="P33" s="320" t="s">
        <v>1174</v>
      </c>
      <c r="Q33" s="317">
        <f t="shared" si="3"/>
        <v>0.5</v>
      </c>
      <c r="R33" s="207" t="s">
        <v>2223</v>
      </c>
      <c r="S33" s="318">
        <f t="shared" si="4"/>
        <v>2</v>
      </c>
      <c r="T33" s="319">
        <f t="shared" si="5"/>
        <v>5</v>
      </c>
    </row>
    <row r="34" spans="1:20">
      <c r="A34" s="302">
        <v>33</v>
      </c>
      <c r="B34" s="207" t="s">
        <v>1171</v>
      </c>
      <c r="C34" s="207" t="s">
        <v>158</v>
      </c>
      <c r="D34" s="207" t="s">
        <v>413</v>
      </c>
      <c r="E34" s="207" t="s">
        <v>160</v>
      </c>
      <c r="F34" s="207" t="s">
        <v>1451</v>
      </c>
      <c r="G34" s="207" t="s">
        <v>68</v>
      </c>
      <c r="H34" s="315">
        <v>3</v>
      </c>
      <c r="I34" s="207" t="s">
        <v>2224</v>
      </c>
      <c r="J34" s="320" t="s">
        <v>1176</v>
      </c>
      <c r="K34" s="317">
        <f t="shared" si="0"/>
        <v>0</v>
      </c>
      <c r="L34" s="320" t="s">
        <v>1176</v>
      </c>
      <c r="M34" s="317">
        <f t="shared" si="1"/>
        <v>0</v>
      </c>
      <c r="N34" s="320" t="s">
        <v>1174</v>
      </c>
      <c r="O34" s="317">
        <f t="shared" si="2"/>
        <v>0</v>
      </c>
      <c r="P34" s="320" t="s">
        <v>1176</v>
      </c>
      <c r="Q34" s="317">
        <f t="shared" si="3"/>
        <v>0</v>
      </c>
      <c r="S34" s="318">
        <f t="shared" si="4"/>
        <v>0</v>
      </c>
      <c r="T34" s="319">
        <f t="shared" si="5"/>
        <v>3</v>
      </c>
    </row>
    <row r="35" spans="1:20" ht="28">
      <c r="A35" s="302">
        <v>34</v>
      </c>
      <c r="B35" s="207" t="s">
        <v>1171</v>
      </c>
      <c r="C35" s="207" t="s">
        <v>161</v>
      </c>
      <c r="D35" s="207" t="s">
        <v>413</v>
      </c>
      <c r="E35" s="207" t="s">
        <v>162</v>
      </c>
      <c r="F35" s="207" t="s">
        <v>1451</v>
      </c>
      <c r="G35" s="207" t="s">
        <v>68</v>
      </c>
      <c r="H35" s="315">
        <v>3</v>
      </c>
      <c r="I35" s="207" t="s">
        <v>2225</v>
      </c>
      <c r="J35" s="320" t="s">
        <v>1176</v>
      </c>
      <c r="K35" s="317">
        <f t="shared" si="0"/>
        <v>0</v>
      </c>
      <c r="L35" s="320" t="s">
        <v>1176</v>
      </c>
      <c r="M35" s="317">
        <f t="shared" si="1"/>
        <v>0</v>
      </c>
      <c r="N35" s="320" t="s">
        <v>1174</v>
      </c>
      <c r="O35" s="317">
        <f t="shared" si="2"/>
        <v>0</v>
      </c>
      <c r="P35" s="320" t="s">
        <v>1174</v>
      </c>
      <c r="Q35" s="317">
        <f t="shared" si="3"/>
        <v>0.5</v>
      </c>
      <c r="R35" s="207" t="s">
        <v>2226</v>
      </c>
      <c r="S35" s="318">
        <f t="shared" si="4"/>
        <v>0.5</v>
      </c>
      <c r="T35" s="319">
        <f t="shared" si="5"/>
        <v>3.5</v>
      </c>
    </row>
    <row r="36" spans="1:20">
      <c r="A36" s="302">
        <v>35</v>
      </c>
      <c r="B36" s="207" t="s">
        <v>1171</v>
      </c>
      <c r="C36" s="207" t="s">
        <v>163</v>
      </c>
      <c r="D36" s="207" t="s">
        <v>413</v>
      </c>
      <c r="E36" s="207" t="s">
        <v>164</v>
      </c>
      <c r="F36" s="207" t="s">
        <v>1451</v>
      </c>
      <c r="G36" s="207" t="s">
        <v>2200</v>
      </c>
      <c r="H36" s="315">
        <v>1</v>
      </c>
      <c r="J36" s="316"/>
      <c r="K36" s="317">
        <f t="shared" si="0"/>
        <v>0</v>
      </c>
      <c r="L36" s="316"/>
      <c r="M36" s="317">
        <f t="shared" si="1"/>
        <v>0</v>
      </c>
      <c r="N36" s="316"/>
      <c r="O36" s="317">
        <f t="shared" si="2"/>
        <v>0</v>
      </c>
      <c r="P36" s="316"/>
      <c r="Q36" s="317">
        <f t="shared" si="3"/>
        <v>0</v>
      </c>
      <c r="S36" s="318">
        <f t="shared" si="4"/>
        <v>0</v>
      </c>
      <c r="T36" s="319">
        <f t="shared" si="5"/>
        <v>1</v>
      </c>
    </row>
    <row r="37" spans="1:20" ht="70">
      <c r="A37" s="302">
        <v>36</v>
      </c>
      <c r="B37" s="207" t="s">
        <v>1171</v>
      </c>
      <c r="C37" s="207" t="s">
        <v>165</v>
      </c>
      <c r="D37" s="207" t="s">
        <v>413</v>
      </c>
      <c r="E37" s="207" t="s">
        <v>166</v>
      </c>
      <c r="F37" s="207" t="s">
        <v>1451</v>
      </c>
      <c r="G37" s="207" t="s">
        <v>68</v>
      </c>
      <c r="H37" s="315">
        <v>3</v>
      </c>
      <c r="I37" s="207" t="s">
        <v>2227</v>
      </c>
      <c r="J37" s="320" t="s">
        <v>1176</v>
      </c>
      <c r="K37" s="317">
        <f t="shared" si="0"/>
        <v>0</v>
      </c>
      <c r="L37" s="320" t="s">
        <v>1176</v>
      </c>
      <c r="M37" s="317">
        <f t="shared" si="1"/>
        <v>0</v>
      </c>
      <c r="N37" s="320" t="s">
        <v>1174</v>
      </c>
      <c r="O37" s="317">
        <f t="shared" si="2"/>
        <v>0</v>
      </c>
      <c r="P37" s="320" t="s">
        <v>1174</v>
      </c>
      <c r="Q37" s="317">
        <f t="shared" si="3"/>
        <v>0.5</v>
      </c>
      <c r="R37" s="207" t="s">
        <v>2228</v>
      </c>
      <c r="S37" s="318">
        <f t="shared" si="4"/>
        <v>0.5</v>
      </c>
      <c r="T37" s="319">
        <f t="shared" si="5"/>
        <v>3.5</v>
      </c>
    </row>
    <row r="38" spans="1:20" ht="28">
      <c r="A38" s="302">
        <v>37</v>
      </c>
      <c r="B38" s="207" t="s">
        <v>1171</v>
      </c>
      <c r="C38" s="207" t="s">
        <v>167</v>
      </c>
      <c r="D38" s="207" t="s">
        <v>413</v>
      </c>
      <c r="E38" s="207" t="s">
        <v>168</v>
      </c>
      <c r="F38" s="207" t="s">
        <v>1451</v>
      </c>
      <c r="G38" s="207" t="s">
        <v>133</v>
      </c>
      <c r="H38" s="315">
        <v>0</v>
      </c>
      <c r="J38" s="316"/>
      <c r="K38" s="317">
        <f t="shared" si="0"/>
        <v>0</v>
      </c>
      <c r="L38" s="316"/>
      <c r="M38" s="317">
        <f t="shared" si="1"/>
        <v>0</v>
      </c>
      <c r="N38" s="316"/>
      <c r="O38" s="317">
        <f t="shared" si="2"/>
        <v>0</v>
      </c>
      <c r="P38" s="316"/>
      <c r="Q38" s="317">
        <f t="shared" si="3"/>
        <v>0</v>
      </c>
      <c r="S38" s="318">
        <f t="shared" si="4"/>
        <v>0</v>
      </c>
      <c r="T38" s="319">
        <f t="shared" si="5"/>
        <v>0</v>
      </c>
    </row>
    <row r="39" spans="1:20">
      <c r="A39" s="302">
        <v>38</v>
      </c>
      <c r="B39" s="207" t="s">
        <v>1171</v>
      </c>
      <c r="C39" s="207" t="s">
        <v>169</v>
      </c>
      <c r="D39" s="207" t="s">
        <v>413</v>
      </c>
      <c r="E39" s="207" t="s">
        <v>170</v>
      </c>
      <c r="F39" s="207" t="s">
        <v>1451</v>
      </c>
      <c r="G39" s="207" t="s">
        <v>2200</v>
      </c>
      <c r="H39" s="315">
        <v>1</v>
      </c>
      <c r="J39" s="316"/>
      <c r="K39" s="317">
        <f t="shared" si="0"/>
        <v>0</v>
      </c>
      <c r="L39" s="316"/>
      <c r="M39" s="317">
        <f t="shared" si="1"/>
        <v>0</v>
      </c>
      <c r="N39" s="316"/>
      <c r="O39" s="317">
        <f t="shared" si="2"/>
        <v>0</v>
      </c>
      <c r="P39" s="316"/>
      <c r="Q39" s="317">
        <f t="shared" si="3"/>
        <v>0</v>
      </c>
      <c r="S39" s="318">
        <f t="shared" si="4"/>
        <v>0</v>
      </c>
      <c r="T39" s="319">
        <f t="shared" si="5"/>
        <v>1</v>
      </c>
    </row>
    <row r="40" spans="1:20">
      <c r="A40" s="302">
        <v>39</v>
      </c>
      <c r="B40" s="207" t="s">
        <v>1171</v>
      </c>
      <c r="C40" s="207" t="s">
        <v>171</v>
      </c>
      <c r="D40" s="207" t="s">
        <v>413</v>
      </c>
      <c r="E40" s="207" t="s">
        <v>173</v>
      </c>
      <c r="F40" s="207" t="s">
        <v>1451</v>
      </c>
      <c r="G40" s="207" t="s">
        <v>2200</v>
      </c>
      <c r="H40" s="315">
        <v>1</v>
      </c>
      <c r="J40" s="316"/>
      <c r="K40" s="317">
        <f t="shared" si="0"/>
        <v>0</v>
      </c>
      <c r="L40" s="316"/>
      <c r="M40" s="317">
        <f t="shared" si="1"/>
        <v>0</v>
      </c>
      <c r="N40" s="316"/>
      <c r="O40" s="317">
        <f t="shared" si="2"/>
        <v>0</v>
      </c>
      <c r="P40" s="316"/>
      <c r="Q40" s="317">
        <f t="shared" si="3"/>
        <v>0</v>
      </c>
      <c r="S40" s="318">
        <f t="shared" si="4"/>
        <v>0</v>
      </c>
      <c r="T40" s="319">
        <f t="shared" si="5"/>
        <v>1</v>
      </c>
    </row>
    <row r="41" spans="1:20" ht="28">
      <c r="A41" s="302">
        <v>40</v>
      </c>
      <c r="B41" s="207" t="s">
        <v>1171</v>
      </c>
      <c r="C41" s="207" t="s">
        <v>174</v>
      </c>
      <c r="D41" s="207" t="s">
        <v>74</v>
      </c>
      <c r="E41" s="207" t="s">
        <v>176</v>
      </c>
      <c r="F41" s="207" t="s">
        <v>1451</v>
      </c>
      <c r="G41" s="207" t="s">
        <v>2200</v>
      </c>
      <c r="H41" s="315">
        <v>1</v>
      </c>
      <c r="J41" s="316"/>
      <c r="K41" s="317">
        <f t="shared" si="0"/>
        <v>0</v>
      </c>
      <c r="L41" s="316"/>
      <c r="M41" s="317">
        <f t="shared" si="1"/>
        <v>0</v>
      </c>
      <c r="N41" s="316"/>
      <c r="O41" s="317">
        <f t="shared" si="2"/>
        <v>0</v>
      </c>
      <c r="P41" s="316"/>
      <c r="Q41" s="317">
        <f t="shared" si="3"/>
        <v>0</v>
      </c>
      <c r="S41" s="318">
        <f t="shared" si="4"/>
        <v>0</v>
      </c>
      <c r="T41" s="319">
        <f t="shared" si="5"/>
        <v>1</v>
      </c>
    </row>
    <row r="42" spans="1:20">
      <c r="A42" s="302">
        <v>41</v>
      </c>
      <c r="B42" s="207" t="s">
        <v>1171</v>
      </c>
      <c r="C42" s="207" t="s">
        <v>177</v>
      </c>
      <c r="D42" s="207" t="s">
        <v>413</v>
      </c>
      <c r="E42" s="207" t="s">
        <v>179</v>
      </c>
      <c r="F42" s="207" t="s">
        <v>1451</v>
      </c>
      <c r="G42" s="207" t="s">
        <v>133</v>
      </c>
      <c r="H42" s="315">
        <v>0</v>
      </c>
      <c r="J42" s="316"/>
      <c r="K42" s="317">
        <f t="shared" si="0"/>
        <v>0</v>
      </c>
      <c r="L42" s="316"/>
      <c r="M42" s="317">
        <f t="shared" si="1"/>
        <v>0</v>
      </c>
      <c r="N42" s="316"/>
      <c r="O42" s="317">
        <f t="shared" si="2"/>
        <v>0</v>
      </c>
      <c r="P42" s="316"/>
      <c r="Q42" s="317">
        <f t="shared" si="3"/>
        <v>0</v>
      </c>
      <c r="S42" s="318">
        <f t="shared" si="4"/>
        <v>0</v>
      </c>
      <c r="T42" s="319">
        <f t="shared" si="5"/>
        <v>0</v>
      </c>
    </row>
    <row r="43" spans="1:20">
      <c r="A43" s="302">
        <v>42</v>
      </c>
      <c r="B43" s="207" t="s">
        <v>1171</v>
      </c>
      <c r="C43" s="207" t="s">
        <v>180</v>
      </c>
      <c r="D43" s="207" t="s">
        <v>413</v>
      </c>
      <c r="E43" s="207" t="s">
        <v>181</v>
      </c>
      <c r="F43" s="207" t="s">
        <v>1451</v>
      </c>
      <c r="G43" s="207" t="s">
        <v>2200</v>
      </c>
      <c r="H43" s="315">
        <v>1</v>
      </c>
      <c r="J43" s="316"/>
      <c r="K43" s="317">
        <f t="shared" si="0"/>
        <v>0</v>
      </c>
      <c r="L43" s="316"/>
      <c r="M43" s="317">
        <f t="shared" si="1"/>
        <v>0</v>
      </c>
      <c r="N43" s="316"/>
      <c r="O43" s="317">
        <f t="shared" si="2"/>
        <v>0</v>
      </c>
      <c r="P43" s="316"/>
      <c r="Q43" s="317">
        <f t="shared" si="3"/>
        <v>0</v>
      </c>
      <c r="S43" s="318">
        <f t="shared" si="4"/>
        <v>0</v>
      </c>
      <c r="T43" s="319">
        <f t="shared" si="5"/>
        <v>1</v>
      </c>
    </row>
    <row r="44" spans="1:20" ht="28">
      <c r="A44" s="302">
        <v>43</v>
      </c>
      <c r="B44" s="207" t="s">
        <v>1171</v>
      </c>
      <c r="C44" s="207" t="s">
        <v>182</v>
      </c>
      <c r="D44" s="207" t="s">
        <v>413</v>
      </c>
      <c r="E44" s="207" t="s">
        <v>184</v>
      </c>
      <c r="F44" s="207" t="s">
        <v>1451</v>
      </c>
      <c r="G44" s="207" t="s">
        <v>415</v>
      </c>
      <c r="H44" s="315">
        <v>2.5</v>
      </c>
      <c r="J44" s="316"/>
      <c r="K44" s="317">
        <f t="shared" si="0"/>
        <v>0</v>
      </c>
      <c r="L44" s="316"/>
      <c r="M44" s="317">
        <f t="shared" si="1"/>
        <v>0</v>
      </c>
      <c r="N44" s="316"/>
      <c r="O44" s="317">
        <f t="shared" si="2"/>
        <v>0</v>
      </c>
      <c r="P44" s="316"/>
      <c r="Q44" s="317">
        <f t="shared" si="3"/>
        <v>0</v>
      </c>
      <c r="S44" s="318">
        <f t="shared" si="4"/>
        <v>0</v>
      </c>
      <c r="T44" s="319">
        <f t="shared" si="5"/>
        <v>2.5</v>
      </c>
    </row>
    <row r="45" spans="1:20" ht="28">
      <c r="A45" s="302">
        <v>44</v>
      </c>
      <c r="B45" s="207" t="s">
        <v>1171</v>
      </c>
      <c r="C45" s="207" t="s">
        <v>185</v>
      </c>
      <c r="D45" s="207" t="s">
        <v>413</v>
      </c>
      <c r="E45" s="207" t="s">
        <v>186</v>
      </c>
      <c r="F45" s="207" t="s">
        <v>1451</v>
      </c>
      <c r="G45" s="207" t="s">
        <v>68</v>
      </c>
      <c r="H45" s="315">
        <v>3</v>
      </c>
      <c r="I45" s="207" t="s">
        <v>2229</v>
      </c>
      <c r="J45" s="320" t="s">
        <v>1174</v>
      </c>
      <c r="K45" s="317">
        <f t="shared" si="0"/>
        <v>1</v>
      </c>
      <c r="L45" s="320" t="s">
        <v>1174</v>
      </c>
      <c r="M45" s="317">
        <f t="shared" si="1"/>
        <v>0.5</v>
      </c>
      <c r="N45" s="320" t="s">
        <v>1174</v>
      </c>
      <c r="O45" s="317">
        <f t="shared" si="2"/>
        <v>0</v>
      </c>
      <c r="P45" s="320"/>
      <c r="Q45" s="317">
        <f t="shared" si="3"/>
        <v>0</v>
      </c>
      <c r="R45" s="207" t="s">
        <v>2230</v>
      </c>
      <c r="S45" s="318">
        <f t="shared" si="4"/>
        <v>1.5</v>
      </c>
      <c r="T45" s="319">
        <f t="shared" si="5"/>
        <v>4.5</v>
      </c>
    </row>
    <row r="46" spans="1:20">
      <c r="A46" s="302">
        <v>45</v>
      </c>
      <c r="B46" s="207" t="s">
        <v>1171</v>
      </c>
      <c r="C46" s="207" t="s">
        <v>187</v>
      </c>
      <c r="D46" s="207" t="s">
        <v>413</v>
      </c>
      <c r="E46" s="207" t="s">
        <v>189</v>
      </c>
      <c r="F46" s="207" t="s">
        <v>1451</v>
      </c>
      <c r="G46" s="207" t="s">
        <v>415</v>
      </c>
      <c r="H46" s="315">
        <v>2.5</v>
      </c>
      <c r="I46" s="207" t="s">
        <v>189</v>
      </c>
      <c r="J46" s="316"/>
      <c r="K46" s="317">
        <f t="shared" si="0"/>
        <v>0</v>
      </c>
      <c r="L46" s="316"/>
      <c r="M46" s="317">
        <f t="shared" si="1"/>
        <v>0</v>
      </c>
      <c r="N46" s="316"/>
      <c r="O46" s="317">
        <f t="shared" si="2"/>
        <v>0</v>
      </c>
      <c r="P46" s="316"/>
      <c r="Q46" s="317">
        <f t="shared" si="3"/>
        <v>0</v>
      </c>
      <c r="S46" s="318">
        <f t="shared" si="4"/>
        <v>0</v>
      </c>
      <c r="T46" s="319">
        <f t="shared" si="5"/>
        <v>2.5</v>
      </c>
    </row>
    <row r="47" spans="1:20" ht="70">
      <c r="A47" s="302">
        <v>46</v>
      </c>
      <c r="B47" s="207" t="s">
        <v>1171</v>
      </c>
      <c r="C47" s="207" t="s">
        <v>190</v>
      </c>
      <c r="D47" s="207" t="s">
        <v>413</v>
      </c>
      <c r="E47" s="207" t="s">
        <v>1322</v>
      </c>
      <c r="F47" s="207" t="s">
        <v>1451</v>
      </c>
      <c r="G47" s="207" t="s">
        <v>68</v>
      </c>
      <c r="H47" s="315">
        <v>3</v>
      </c>
      <c r="I47" s="207" t="s">
        <v>2231</v>
      </c>
      <c r="J47" s="320" t="s">
        <v>1174</v>
      </c>
      <c r="K47" s="317">
        <f t="shared" si="0"/>
        <v>1</v>
      </c>
      <c r="L47" s="320" t="s">
        <v>1174</v>
      </c>
      <c r="M47" s="317">
        <f t="shared" si="1"/>
        <v>0.5</v>
      </c>
      <c r="N47" s="320" t="s">
        <v>1174</v>
      </c>
      <c r="O47" s="317">
        <f t="shared" si="2"/>
        <v>0</v>
      </c>
      <c r="P47" s="320" t="s">
        <v>1174</v>
      </c>
      <c r="Q47" s="317">
        <f t="shared" si="3"/>
        <v>0.5</v>
      </c>
      <c r="R47" s="207" t="s">
        <v>2232</v>
      </c>
      <c r="S47" s="318">
        <f t="shared" si="4"/>
        <v>2</v>
      </c>
      <c r="T47" s="319">
        <f t="shared" si="5"/>
        <v>5</v>
      </c>
    </row>
    <row r="48" spans="1:20" ht="42">
      <c r="A48" s="302">
        <v>47</v>
      </c>
      <c r="B48" s="207" t="s">
        <v>1171</v>
      </c>
      <c r="C48" s="207" t="s">
        <v>193</v>
      </c>
      <c r="D48" s="207" t="s">
        <v>413</v>
      </c>
      <c r="E48" s="207" t="s">
        <v>195</v>
      </c>
      <c r="F48" s="207" t="s">
        <v>1451</v>
      </c>
      <c r="G48" s="207" t="s">
        <v>68</v>
      </c>
      <c r="H48" s="315">
        <v>3</v>
      </c>
      <c r="I48" s="207" t="s">
        <v>2233</v>
      </c>
      <c r="J48" s="320" t="s">
        <v>1176</v>
      </c>
      <c r="K48" s="317">
        <f t="shared" si="0"/>
        <v>0</v>
      </c>
      <c r="L48" s="320" t="s">
        <v>1176</v>
      </c>
      <c r="M48" s="317">
        <f t="shared" si="1"/>
        <v>0</v>
      </c>
      <c r="N48" s="320" t="s">
        <v>1174</v>
      </c>
      <c r="O48" s="317">
        <f t="shared" si="2"/>
        <v>0</v>
      </c>
      <c r="P48" s="320" t="s">
        <v>1174</v>
      </c>
      <c r="Q48" s="317">
        <f t="shared" si="3"/>
        <v>0.5</v>
      </c>
      <c r="R48" s="207" t="s">
        <v>2234</v>
      </c>
      <c r="S48" s="318">
        <f t="shared" si="4"/>
        <v>0.5</v>
      </c>
      <c r="T48" s="319">
        <f t="shared" si="5"/>
        <v>3.5</v>
      </c>
    </row>
    <row r="49" spans="1:20" ht="84">
      <c r="A49" s="302">
        <v>48</v>
      </c>
      <c r="B49" s="207" t="s">
        <v>1171</v>
      </c>
      <c r="C49" s="207" t="s">
        <v>196</v>
      </c>
      <c r="D49" s="207" t="s">
        <v>413</v>
      </c>
      <c r="E49" s="207" t="s">
        <v>198</v>
      </c>
      <c r="F49" s="207" t="s">
        <v>1451</v>
      </c>
      <c r="G49" s="207" t="s">
        <v>68</v>
      </c>
      <c r="H49" s="315">
        <v>3</v>
      </c>
      <c r="I49" s="207" t="s">
        <v>2235</v>
      </c>
      <c r="J49" s="320" t="s">
        <v>1174</v>
      </c>
      <c r="K49" s="317">
        <f t="shared" si="0"/>
        <v>1</v>
      </c>
      <c r="L49" s="320" t="s">
        <v>1174</v>
      </c>
      <c r="M49" s="317">
        <f t="shared" si="1"/>
        <v>0.5</v>
      </c>
      <c r="N49" s="320" t="s">
        <v>1174</v>
      </c>
      <c r="O49" s="317">
        <f t="shared" si="2"/>
        <v>0</v>
      </c>
      <c r="P49" s="320" t="s">
        <v>1174</v>
      </c>
      <c r="Q49" s="317">
        <f t="shared" si="3"/>
        <v>0.5</v>
      </c>
      <c r="R49" s="207" t="s">
        <v>2236</v>
      </c>
      <c r="S49" s="318">
        <f t="shared" si="4"/>
        <v>2</v>
      </c>
      <c r="T49" s="319">
        <f t="shared" si="5"/>
        <v>5</v>
      </c>
    </row>
    <row r="50" spans="1:20">
      <c r="A50" s="302">
        <v>49</v>
      </c>
      <c r="B50" s="207" t="s">
        <v>1171</v>
      </c>
      <c r="C50" s="207" t="s">
        <v>199</v>
      </c>
      <c r="D50" s="207" t="s">
        <v>413</v>
      </c>
      <c r="E50" s="207" t="s">
        <v>200</v>
      </c>
      <c r="F50" s="207" t="s">
        <v>1451</v>
      </c>
      <c r="G50" s="207" t="s">
        <v>68</v>
      </c>
      <c r="H50" s="315">
        <v>3</v>
      </c>
      <c r="J50" s="316" t="s">
        <v>1174</v>
      </c>
      <c r="K50" s="317">
        <f t="shared" si="0"/>
        <v>1</v>
      </c>
      <c r="L50" s="316" t="s">
        <v>1174</v>
      </c>
      <c r="M50" s="317">
        <f t="shared" si="1"/>
        <v>0.5</v>
      </c>
      <c r="N50" s="316" t="s">
        <v>1176</v>
      </c>
      <c r="O50" s="317">
        <f t="shared" si="2"/>
        <v>0</v>
      </c>
      <c r="P50" s="316" t="s">
        <v>1174</v>
      </c>
      <c r="Q50" s="317">
        <f t="shared" si="3"/>
        <v>0.5</v>
      </c>
      <c r="S50" s="318">
        <f t="shared" si="4"/>
        <v>2</v>
      </c>
      <c r="T50" s="319">
        <f t="shared" si="5"/>
        <v>5</v>
      </c>
    </row>
    <row r="51" spans="1:20" ht="56">
      <c r="A51" s="302">
        <v>50</v>
      </c>
      <c r="B51" s="207" t="s">
        <v>1171</v>
      </c>
      <c r="C51" s="207" t="s">
        <v>201</v>
      </c>
      <c r="D51" s="207" t="s">
        <v>413</v>
      </c>
      <c r="E51" s="207" t="s">
        <v>202</v>
      </c>
      <c r="F51" s="207" t="s">
        <v>1451</v>
      </c>
      <c r="G51" s="207" t="s">
        <v>68</v>
      </c>
      <c r="H51" s="315">
        <v>3</v>
      </c>
      <c r="I51" s="207" t="s">
        <v>2237</v>
      </c>
      <c r="J51" s="320" t="s">
        <v>1174</v>
      </c>
      <c r="K51" s="317">
        <f t="shared" si="0"/>
        <v>1</v>
      </c>
      <c r="L51" s="320" t="s">
        <v>1174</v>
      </c>
      <c r="M51" s="317">
        <f t="shared" si="1"/>
        <v>0.5</v>
      </c>
      <c r="N51" s="320" t="s">
        <v>1174</v>
      </c>
      <c r="O51" s="317">
        <f t="shared" si="2"/>
        <v>0</v>
      </c>
      <c r="P51" s="320" t="s">
        <v>1174</v>
      </c>
      <c r="Q51" s="317">
        <f t="shared" si="3"/>
        <v>0.5</v>
      </c>
      <c r="R51" s="207" t="s">
        <v>2238</v>
      </c>
      <c r="S51" s="318">
        <f t="shared" si="4"/>
        <v>2</v>
      </c>
      <c r="T51" s="319">
        <f t="shared" si="5"/>
        <v>5</v>
      </c>
    </row>
    <row r="52" spans="1:20" ht="28">
      <c r="A52" s="302">
        <v>51</v>
      </c>
      <c r="B52" s="207" t="s">
        <v>1171</v>
      </c>
      <c r="C52" s="207" t="s">
        <v>203</v>
      </c>
      <c r="D52" s="207" t="s">
        <v>413</v>
      </c>
      <c r="E52" s="207" t="s">
        <v>1827</v>
      </c>
      <c r="F52" s="207" t="s">
        <v>1451</v>
      </c>
      <c r="G52" s="207" t="s">
        <v>68</v>
      </c>
      <c r="H52" s="315">
        <v>3</v>
      </c>
      <c r="I52" s="207" t="s">
        <v>2239</v>
      </c>
      <c r="J52" s="320" t="s">
        <v>1174</v>
      </c>
      <c r="K52" s="317">
        <f t="shared" si="0"/>
        <v>1</v>
      </c>
      <c r="L52" s="320" t="s">
        <v>1176</v>
      </c>
      <c r="M52" s="317">
        <f t="shared" si="1"/>
        <v>0</v>
      </c>
      <c r="N52" s="320" t="s">
        <v>1174</v>
      </c>
      <c r="O52" s="317">
        <f t="shared" si="2"/>
        <v>0</v>
      </c>
      <c r="P52" s="320" t="s">
        <v>1174</v>
      </c>
      <c r="Q52" s="317">
        <f t="shared" si="3"/>
        <v>0.5</v>
      </c>
      <c r="S52" s="318">
        <f t="shared" si="4"/>
        <v>1.5</v>
      </c>
      <c r="T52" s="319">
        <f t="shared" si="5"/>
        <v>4.5</v>
      </c>
    </row>
    <row r="53" spans="1:20" ht="28">
      <c r="A53" s="302">
        <v>52</v>
      </c>
      <c r="B53" s="207" t="s">
        <v>1171</v>
      </c>
      <c r="C53" s="207" t="s">
        <v>206</v>
      </c>
      <c r="D53" s="207" t="s">
        <v>413</v>
      </c>
      <c r="E53" s="207" t="s">
        <v>208</v>
      </c>
      <c r="F53" s="207" t="s">
        <v>1451</v>
      </c>
      <c r="G53" s="207" t="s">
        <v>68</v>
      </c>
      <c r="H53" s="315">
        <v>3</v>
      </c>
      <c r="I53" s="207" t="s">
        <v>2240</v>
      </c>
      <c r="J53" s="320" t="s">
        <v>1174</v>
      </c>
      <c r="K53" s="317">
        <f t="shared" si="0"/>
        <v>1</v>
      </c>
      <c r="L53" s="320" t="s">
        <v>1174</v>
      </c>
      <c r="M53" s="317">
        <f t="shared" si="1"/>
        <v>0.5</v>
      </c>
      <c r="N53" s="320" t="s">
        <v>1174</v>
      </c>
      <c r="O53" s="317">
        <f t="shared" si="2"/>
        <v>0</v>
      </c>
      <c r="P53" s="320" t="s">
        <v>1174</v>
      </c>
      <c r="Q53" s="317">
        <f t="shared" si="3"/>
        <v>0.5</v>
      </c>
      <c r="R53" s="207" t="s">
        <v>2241</v>
      </c>
      <c r="S53" s="318">
        <f t="shared" si="4"/>
        <v>2</v>
      </c>
      <c r="T53" s="319">
        <f t="shared" si="5"/>
        <v>5</v>
      </c>
    </row>
    <row r="54" spans="1:20">
      <c r="A54" s="302">
        <v>53</v>
      </c>
      <c r="B54" s="207" t="s">
        <v>1171</v>
      </c>
      <c r="C54" s="207" t="s">
        <v>209</v>
      </c>
      <c r="D54" s="207" t="s">
        <v>413</v>
      </c>
      <c r="E54" s="207" t="s">
        <v>212</v>
      </c>
      <c r="F54" s="207" t="s">
        <v>1451</v>
      </c>
      <c r="G54" s="207" t="s">
        <v>2200</v>
      </c>
      <c r="H54" s="315">
        <v>1</v>
      </c>
      <c r="J54" s="316"/>
      <c r="K54" s="317">
        <f t="shared" si="0"/>
        <v>0</v>
      </c>
      <c r="L54" s="316"/>
      <c r="M54" s="317">
        <f t="shared" si="1"/>
        <v>0</v>
      </c>
      <c r="N54" s="316"/>
      <c r="O54" s="317">
        <f t="shared" si="2"/>
        <v>0</v>
      </c>
      <c r="P54" s="316"/>
      <c r="Q54" s="317">
        <f t="shared" si="3"/>
        <v>0</v>
      </c>
      <c r="S54" s="318">
        <f t="shared" si="4"/>
        <v>0</v>
      </c>
      <c r="T54" s="319">
        <f t="shared" si="5"/>
        <v>1</v>
      </c>
    </row>
    <row r="55" spans="1:20" ht="28">
      <c r="A55" s="302">
        <v>54</v>
      </c>
      <c r="B55" s="207" t="s">
        <v>1171</v>
      </c>
      <c r="C55" s="207" t="s">
        <v>213</v>
      </c>
      <c r="D55" s="207" t="s">
        <v>413</v>
      </c>
      <c r="E55" s="207" t="s">
        <v>214</v>
      </c>
      <c r="F55" s="207" t="s">
        <v>1451</v>
      </c>
      <c r="G55" s="207" t="s">
        <v>415</v>
      </c>
      <c r="H55" s="315">
        <v>2.5</v>
      </c>
      <c r="I55" s="207" t="s">
        <v>214</v>
      </c>
      <c r="J55" s="316"/>
      <c r="K55" s="317">
        <f t="shared" si="0"/>
        <v>0</v>
      </c>
      <c r="L55" s="316"/>
      <c r="M55" s="317">
        <f t="shared" si="1"/>
        <v>0</v>
      </c>
      <c r="N55" s="316"/>
      <c r="O55" s="317">
        <f t="shared" si="2"/>
        <v>0</v>
      </c>
      <c r="P55" s="316"/>
      <c r="Q55" s="317">
        <f t="shared" si="3"/>
        <v>0</v>
      </c>
      <c r="S55" s="318">
        <f t="shared" si="4"/>
        <v>0</v>
      </c>
      <c r="T55" s="319">
        <f t="shared" si="5"/>
        <v>2.5</v>
      </c>
    </row>
    <row r="56" spans="1:20">
      <c r="A56" s="302">
        <v>55</v>
      </c>
      <c r="B56" s="207" t="s">
        <v>1171</v>
      </c>
      <c r="C56" s="207" t="s">
        <v>215</v>
      </c>
      <c r="D56" s="207" t="s">
        <v>413</v>
      </c>
      <c r="E56" s="207" t="s">
        <v>217</v>
      </c>
      <c r="F56" s="207" t="s">
        <v>1451</v>
      </c>
      <c r="G56" s="207" t="s">
        <v>2200</v>
      </c>
      <c r="H56" s="315">
        <v>1</v>
      </c>
      <c r="J56" s="316"/>
      <c r="K56" s="317">
        <f t="shared" si="0"/>
        <v>0</v>
      </c>
      <c r="L56" s="316"/>
      <c r="M56" s="317">
        <f t="shared" si="1"/>
        <v>0</v>
      </c>
      <c r="N56" s="316"/>
      <c r="O56" s="317">
        <f t="shared" si="2"/>
        <v>0</v>
      </c>
      <c r="P56" s="316"/>
      <c r="Q56" s="317">
        <f t="shared" si="3"/>
        <v>0</v>
      </c>
      <c r="S56" s="318">
        <f t="shared" si="4"/>
        <v>0</v>
      </c>
      <c r="T56" s="319">
        <f t="shared" si="5"/>
        <v>1</v>
      </c>
    </row>
    <row r="57" spans="1:20">
      <c r="A57" s="302">
        <v>56</v>
      </c>
      <c r="B57" s="207" t="s">
        <v>1171</v>
      </c>
      <c r="C57" s="207" t="s">
        <v>218</v>
      </c>
      <c r="D57" s="207" t="s">
        <v>413</v>
      </c>
      <c r="E57" s="207" t="s">
        <v>1833</v>
      </c>
      <c r="F57" s="207" t="s">
        <v>1451</v>
      </c>
      <c r="G57" s="207" t="s">
        <v>68</v>
      </c>
      <c r="H57" s="315">
        <v>3</v>
      </c>
      <c r="J57" s="316" t="s">
        <v>1174</v>
      </c>
      <c r="K57" s="317">
        <f t="shared" si="0"/>
        <v>1</v>
      </c>
      <c r="L57" s="316" t="s">
        <v>1174</v>
      </c>
      <c r="M57" s="317">
        <f t="shared" si="1"/>
        <v>0.5</v>
      </c>
      <c r="N57" s="316" t="s">
        <v>1176</v>
      </c>
      <c r="O57" s="317">
        <f t="shared" si="2"/>
        <v>0</v>
      </c>
      <c r="P57" s="316" t="s">
        <v>1174</v>
      </c>
      <c r="Q57" s="317">
        <f t="shared" si="3"/>
        <v>0.5</v>
      </c>
      <c r="S57" s="318">
        <f t="shared" si="4"/>
        <v>2</v>
      </c>
      <c r="T57" s="319">
        <f t="shared" si="5"/>
        <v>5</v>
      </c>
    </row>
    <row r="58" spans="1:20" ht="84">
      <c r="A58" s="302">
        <v>57</v>
      </c>
      <c r="B58" s="207" t="s">
        <v>1171</v>
      </c>
      <c r="C58" s="207" t="s">
        <v>220</v>
      </c>
      <c r="D58" s="207" t="s">
        <v>413</v>
      </c>
      <c r="E58" s="207" t="s">
        <v>221</v>
      </c>
      <c r="F58" s="207" t="s">
        <v>1451</v>
      </c>
      <c r="G58" s="207" t="s">
        <v>68</v>
      </c>
      <c r="H58" s="315">
        <v>3</v>
      </c>
      <c r="I58" s="207" t="s">
        <v>2242</v>
      </c>
      <c r="J58" s="320" t="s">
        <v>1174</v>
      </c>
      <c r="K58" s="317">
        <f t="shared" si="0"/>
        <v>1</v>
      </c>
      <c r="L58" s="320" t="s">
        <v>1174</v>
      </c>
      <c r="M58" s="317">
        <f t="shared" si="1"/>
        <v>0.5</v>
      </c>
      <c r="N58" s="320" t="s">
        <v>1174</v>
      </c>
      <c r="O58" s="317">
        <f t="shared" si="2"/>
        <v>0</v>
      </c>
      <c r="P58" s="320" t="s">
        <v>1174</v>
      </c>
      <c r="Q58" s="317">
        <f t="shared" si="3"/>
        <v>0.5</v>
      </c>
      <c r="R58" s="207" t="s">
        <v>2243</v>
      </c>
      <c r="S58" s="318">
        <f t="shared" si="4"/>
        <v>2</v>
      </c>
      <c r="T58" s="319">
        <f t="shared" si="5"/>
        <v>5</v>
      </c>
    </row>
    <row r="59" spans="1:20">
      <c r="A59" s="302">
        <v>58</v>
      </c>
      <c r="B59" s="207" t="s">
        <v>1171</v>
      </c>
      <c r="C59" s="207" t="s">
        <v>222</v>
      </c>
      <c r="D59" s="207" t="s">
        <v>413</v>
      </c>
      <c r="E59" s="207" t="s">
        <v>224</v>
      </c>
      <c r="F59" s="207" t="s">
        <v>1451</v>
      </c>
      <c r="G59" s="207" t="s">
        <v>415</v>
      </c>
      <c r="H59" s="315">
        <v>2.5</v>
      </c>
      <c r="I59" s="207" t="s">
        <v>224</v>
      </c>
      <c r="J59" s="316"/>
      <c r="K59" s="317">
        <f t="shared" si="0"/>
        <v>0</v>
      </c>
      <c r="L59" s="316"/>
      <c r="M59" s="317">
        <f t="shared" si="1"/>
        <v>0</v>
      </c>
      <c r="N59" s="316"/>
      <c r="O59" s="317">
        <f t="shared" si="2"/>
        <v>0</v>
      </c>
      <c r="P59" s="316"/>
      <c r="Q59" s="317">
        <f t="shared" si="3"/>
        <v>0</v>
      </c>
      <c r="S59" s="318">
        <f t="shared" si="4"/>
        <v>0</v>
      </c>
      <c r="T59" s="319">
        <f t="shared" si="5"/>
        <v>2.5</v>
      </c>
    </row>
    <row r="60" spans="1:20">
      <c r="A60" s="302">
        <v>59</v>
      </c>
      <c r="B60" s="207" t="s">
        <v>1171</v>
      </c>
      <c r="C60" s="207" t="s">
        <v>225</v>
      </c>
      <c r="D60" s="207" t="s">
        <v>413</v>
      </c>
      <c r="E60" s="207" t="s">
        <v>227</v>
      </c>
      <c r="F60" s="207" t="s">
        <v>1451</v>
      </c>
      <c r="G60" s="207" t="s">
        <v>415</v>
      </c>
      <c r="H60" s="315">
        <v>2.5</v>
      </c>
      <c r="I60" s="207" t="s">
        <v>227</v>
      </c>
      <c r="J60" s="316"/>
      <c r="K60" s="317">
        <f t="shared" si="0"/>
        <v>0</v>
      </c>
      <c r="L60" s="316"/>
      <c r="M60" s="317">
        <f t="shared" si="1"/>
        <v>0</v>
      </c>
      <c r="N60" s="316"/>
      <c r="O60" s="317">
        <f t="shared" si="2"/>
        <v>0</v>
      </c>
      <c r="P60" s="316"/>
      <c r="Q60" s="317">
        <f t="shared" si="3"/>
        <v>0</v>
      </c>
      <c r="S60" s="318">
        <f t="shared" si="4"/>
        <v>0</v>
      </c>
      <c r="T60" s="319">
        <f t="shared" si="5"/>
        <v>2.5</v>
      </c>
    </row>
    <row r="61" spans="1:20" ht="56">
      <c r="A61" s="302">
        <v>60</v>
      </c>
      <c r="B61" s="207" t="s">
        <v>1171</v>
      </c>
      <c r="C61" s="207" t="s">
        <v>228</v>
      </c>
      <c r="D61" s="207" t="s">
        <v>413</v>
      </c>
      <c r="E61" s="207" t="s">
        <v>1378</v>
      </c>
      <c r="F61" s="207" t="s">
        <v>1451</v>
      </c>
      <c r="G61" s="207" t="s">
        <v>68</v>
      </c>
      <c r="H61" s="315">
        <v>3</v>
      </c>
      <c r="I61" s="207" t="s">
        <v>2244</v>
      </c>
      <c r="J61" s="320" t="s">
        <v>1174</v>
      </c>
      <c r="K61" s="317">
        <f t="shared" si="0"/>
        <v>1</v>
      </c>
      <c r="L61" s="320" t="s">
        <v>1174</v>
      </c>
      <c r="M61" s="317">
        <f t="shared" si="1"/>
        <v>0.5</v>
      </c>
      <c r="N61" s="320" t="s">
        <v>1174</v>
      </c>
      <c r="O61" s="317">
        <f t="shared" si="2"/>
        <v>0</v>
      </c>
      <c r="P61" s="320" t="s">
        <v>1174</v>
      </c>
      <c r="Q61" s="317">
        <f t="shared" si="3"/>
        <v>0.5</v>
      </c>
      <c r="R61" s="207" t="s">
        <v>2245</v>
      </c>
      <c r="S61" s="318">
        <f t="shared" si="4"/>
        <v>2</v>
      </c>
      <c r="T61" s="319">
        <f t="shared" si="5"/>
        <v>5</v>
      </c>
    </row>
    <row r="62" spans="1:20" ht="56">
      <c r="A62" s="302">
        <v>61</v>
      </c>
      <c r="B62" s="207" t="s">
        <v>1171</v>
      </c>
      <c r="C62" s="207" t="s">
        <v>229</v>
      </c>
      <c r="D62" s="207" t="s">
        <v>413</v>
      </c>
      <c r="E62" s="207" t="s">
        <v>230</v>
      </c>
      <c r="F62" s="207" t="s">
        <v>1451</v>
      </c>
      <c r="G62" s="207" t="s">
        <v>68</v>
      </c>
      <c r="H62" s="315">
        <v>3</v>
      </c>
      <c r="I62" s="207" t="s">
        <v>2246</v>
      </c>
      <c r="J62" s="320" t="s">
        <v>1174</v>
      </c>
      <c r="K62" s="317">
        <f t="shared" si="0"/>
        <v>1</v>
      </c>
      <c r="L62" s="320" t="s">
        <v>1174</v>
      </c>
      <c r="M62" s="317">
        <f t="shared" si="1"/>
        <v>0.5</v>
      </c>
      <c r="N62" s="320" t="s">
        <v>1174</v>
      </c>
      <c r="O62" s="317">
        <f t="shared" si="2"/>
        <v>0</v>
      </c>
      <c r="P62" s="320" t="s">
        <v>1174</v>
      </c>
      <c r="Q62" s="317">
        <f t="shared" si="3"/>
        <v>0.5</v>
      </c>
      <c r="R62" s="207" t="s">
        <v>2247</v>
      </c>
      <c r="S62" s="318">
        <f t="shared" si="4"/>
        <v>2</v>
      </c>
      <c r="T62" s="319">
        <f t="shared" si="5"/>
        <v>5</v>
      </c>
    </row>
    <row r="63" spans="1:20">
      <c r="A63" s="302">
        <v>62</v>
      </c>
      <c r="B63" s="207" t="s">
        <v>1171</v>
      </c>
      <c r="C63" s="207" t="s">
        <v>231</v>
      </c>
      <c r="D63" s="207" t="s">
        <v>413</v>
      </c>
      <c r="E63" s="207" t="s">
        <v>1384</v>
      </c>
      <c r="F63" s="207" t="s">
        <v>1451</v>
      </c>
      <c r="G63" s="207" t="s">
        <v>133</v>
      </c>
      <c r="H63" s="315">
        <v>0</v>
      </c>
      <c r="J63" s="316"/>
      <c r="K63" s="317">
        <f t="shared" si="0"/>
        <v>0</v>
      </c>
      <c r="L63" s="316"/>
      <c r="M63" s="317">
        <f t="shared" si="1"/>
        <v>0</v>
      </c>
      <c r="N63" s="316"/>
      <c r="O63" s="317">
        <f t="shared" si="2"/>
        <v>0</v>
      </c>
      <c r="P63" s="316"/>
      <c r="Q63" s="317">
        <f t="shared" si="3"/>
        <v>0</v>
      </c>
      <c r="S63" s="318">
        <f t="shared" si="4"/>
        <v>0</v>
      </c>
      <c r="T63" s="319">
        <f t="shared" si="5"/>
        <v>0</v>
      </c>
    </row>
    <row r="64" spans="1:20">
      <c r="A64" s="302">
        <v>63</v>
      </c>
      <c r="B64" s="207" t="s">
        <v>1171</v>
      </c>
      <c r="C64" s="207" t="s">
        <v>234</v>
      </c>
      <c r="D64" s="207" t="s">
        <v>413</v>
      </c>
      <c r="E64" s="207" t="s">
        <v>235</v>
      </c>
      <c r="F64" s="207" t="s">
        <v>1451</v>
      </c>
      <c r="G64" s="207" t="s">
        <v>2200</v>
      </c>
      <c r="H64" s="315">
        <v>1</v>
      </c>
      <c r="J64" s="316"/>
      <c r="K64" s="317">
        <f t="shared" si="0"/>
        <v>0</v>
      </c>
      <c r="L64" s="316"/>
      <c r="M64" s="317">
        <f t="shared" si="1"/>
        <v>0</v>
      </c>
      <c r="N64" s="316"/>
      <c r="O64" s="317">
        <f t="shared" si="2"/>
        <v>0</v>
      </c>
      <c r="P64" s="316"/>
      <c r="Q64" s="317">
        <f t="shared" si="3"/>
        <v>0</v>
      </c>
      <c r="S64" s="318">
        <f t="shared" si="4"/>
        <v>0</v>
      </c>
      <c r="T64" s="319">
        <f t="shared" si="5"/>
        <v>1</v>
      </c>
    </row>
    <row r="65" spans="1:20">
      <c r="A65" s="200">
        <v>64</v>
      </c>
      <c r="B65" s="207" t="s">
        <v>2248</v>
      </c>
      <c r="C65" s="200" t="s">
        <v>236</v>
      </c>
      <c r="G65" s="200" t="s">
        <v>68</v>
      </c>
      <c r="H65" s="200">
        <v>3</v>
      </c>
      <c r="J65" s="200" t="s">
        <v>1174</v>
      </c>
      <c r="K65" s="317">
        <f t="shared" si="0"/>
        <v>1</v>
      </c>
      <c r="L65" s="200" t="s">
        <v>1174</v>
      </c>
      <c r="M65" s="317">
        <f t="shared" si="1"/>
        <v>0.5</v>
      </c>
      <c r="O65" s="317">
        <f t="shared" si="2"/>
        <v>0</v>
      </c>
      <c r="P65" s="200" t="s">
        <v>1174</v>
      </c>
      <c r="Q65" s="317">
        <f t="shared" si="3"/>
        <v>0.5</v>
      </c>
      <c r="S65" s="318">
        <f t="shared" si="4"/>
        <v>2</v>
      </c>
      <c r="T65" s="319">
        <f t="shared" si="5"/>
        <v>5</v>
      </c>
    </row>
    <row r="66" spans="1:20" s="181" customFormat="1">
      <c r="C66" s="181" t="s">
        <v>2249</v>
      </c>
      <c r="J66" s="321">
        <f>COUNTIF(J2:J65,"yes")/64</f>
        <v>0.359375</v>
      </c>
      <c r="L66" s="321">
        <f>COUNTIF(L2:L65,"yes")/64</f>
        <v>0.296875</v>
      </c>
      <c r="N66" s="321">
        <f>COUNTIF(N2:N65,"yes")/64</f>
        <v>0.390625</v>
      </c>
      <c r="P66" s="321">
        <f>COUNTIF(P2:P65,"yes")/64</f>
        <v>0.390625</v>
      </c>
    </row>
  </sheetData>
  <autoFilter ref="A1:T66"/>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6"/>
  <sheetViews>
    <sheetView workbookViewId="0">
      <selection activeCell="B33" sqref="B33"/>
    </sheetView>
  </sheetViews>
  <sheetFormatPr baseColWidth="10" defaultColWidth="21.83203125" defaultRowHeight="14" x14ac:dyDescent="0"/>
  <cols>
    <col min="1" max="16384" width="21.83203125" style="194"/>
  </cols>
  <sheetData>
    <row r="1" spans="1:15">
      <c r="A1" s="234" t="s">
        <v>1100</v>
      </c>
      <c r="B1" s="234" t="s">
        <v>1660</v>
      </c>
      <c r="C1" s="234" t="s">
        <v>1405</v>
      </c>
      <c r="D1" s="234" t="s">
        <v>1101</v>
      </c>
      <c r="E1" s="234" t="s">
        <v>1852</v>
      </c>
      <c r="F1" s="234" t="s">
        <v>1853</v>
      </c>
      <c r="G1" s="234" t="s">
        <v>1854</v>
      </c>
      <c r="H1" s="234" t="s">
        <v>1855</v>
      </c>
      <c r="I1" s="234" t="s">
        <v>1856</v>
      </c>
      <c r="J1" s="234" t="s">
        <v>1857</v>
      </c>
      <c r="K1" s="234" t="s">
        <v>1858</v>
      </c>
      <c r="L1" s="234" t="s">
        <v>1859</v>
      </c>
      <c r="M1" s="234" t="s">
        <v>1860</v>
      </c>
      <c r="N1" s="234" t="s">
        <v>1861</v>
      </c>
      <c r="O1" s="234" t="s">
        <v>1862</v>
      </c>
    </row>
    <row r="2" spans="1:15">
      <c r="A2" s="279">
        <v>1</v>
      </c>
      <c r="B2" s="280" t="s">
        <v>1171</v>
      </c>
      <c r="C2" s="280" t="s">
        <v>63</v>
      </c>
      <c r="D2" s="280" t="s">
        <v>74</v>
      </c>
      <c r="E2" s="280" t="s">
        <v>1451</v>
      </c>
      <c r="F2" s="280" t="s">
        <v>1863</v>
      </c>
      <c r="G2" s="281"/>
      <c r="H2" s="281"/>
      <c r="I2" s="281"/>
      <c r="J2" s="281"/>
      <c r="K2" s="281"/>
      <c r="L2" s="281"/>
      <c r="M2" s="281"/>
      <c r="N2" s="281"/>
      <c r="O2" s="281">
        <v>0</v>
      </c>
    </row>
    <row r="3" spans="1:15">
      <c r="A3" s="282">
        <v>2</v>
      </c>
      <c r="B3" s="282"/>
      <c r="C3" s="283" t="s">
        <v>69</v>
      </c>
      <c r="D3" s="282"/>
      <c r="E3" s="282"/>
      <c r="F3" s="282"/>
      <c r="G3" s="282"/>
      <c r="H3" s="282"/>
      <c r="I3" s="282"/>
      <c r="J3" s="282"/>
      <c r="K3" s="282"/>
      <c r="L3" s="282"/>
      <c r="M3" s="282"/>
      <c r="N3" s="282"/>
      <c r="O3" s="282">
        <f>AVERAGE(O65:O66)</f>
        <v>0.625</v>
      </c>
    </row>
    <row r="4" spans="1:15">
      <c r="A4" s="279">
        <v>3</v>
      </c>
      <c r="B4" s="280" t="s">
        <v>1171</v>
      </c>
      <c r="C4" s="280" t="s">
        <v>72</v>
      </c>
      <c r="D4" s="280" t="s">
        <v>413</v>
      </c>
      <c r="E4" s="280" t="s">
        <v>1451</v>
      </c>
      <c r="F4" s="280" t="s">
        <v>1863</v>
      </c>
      <c r="G4" s="281"/>
      <c r="H4" s="281"/>
      <c r="I4" s="281"/>
      <c r="J4" s="281"/>
      <c r="K4" s="281"/>
      <c r="L4" s="281"/>
      <c r="M4" s="281"/>
      <c r="N4" s="281"/>
      <c r="O4" s="281">
        <v>0</v>
      </c>
    </row>
    <row r="5" spans="1:15">
      <c r="A5" s="279">
        <v>4</v>
      </c>
      <c r="B5" s="280" t="s">
        <v>1171</v>
      </c>
      <c r="C5" s="280" t="s">
        <v>78</v>
      </c>
      <c r="D5" s="280" t="s">
        <v>74</v>
      </c>
      <c r="E5" s="280" t="s">
        <v>1451</v>
      </c>
      <c r="F5" s="280" t="s">
        <v>1863</v>
      </c>
      <c r="G5" s="281"/>
      <c r="H5" s="281"/>
      <c r="I5" s="281"/>
      <c r="J5" s="281"/>
      <c r="K5" s="281"/>
      <c r="L5" s="281"/>
      <c r="M5" s="281"/>
      <c r="N5" s="281"/>
      <c r="O5" s="281">
        <v>0</v>
      </c>
    </row>
    <row r="6" spans="1:15">
      <c r="A6" s="279">
        <v>5</v>
      </c>
      <c r="B6" s="280" t="s">
        <v>1171</v>
      </c>
      <c r="C6" s="280" t="s">
        <v>82</v>
      </c>
      <c r="D6" s="280" t="s">
        <v>74</v>
      </c>
      <c r="E6" s="280" t="s">
        <v>1451</v>
      </c>
      <c r="F6" s="280" t="s">
        <v>1863</v>
      </c>
      <c r="G6" s="281"/>
      <c r="H6" s="281"/>
      <c r="I6" s="281"/>
      <c r="J6" s="281"/>
      <c r="K6" s="281"/>
      <c r="L6" s="281"/>
      <c r="M6" s="281"/>
      <c r="N6" s="281"/>
      <c r="O6" s="281">
        <v>0</v>
      </c>
    </row>
    <row r="7" spans="1:15">
      <c r="A7" s="279">
        <v>6</v>
      </c>
      <c r="B7" s="280" t="s">
        <v>1171</v>
      </c>
      <c r="C7" s="280" t="s">
        <v>87</v>
      </c>
      <c r="D7" s="280" t="s">
        <v>413</v>
      </c>
      <c r="E7" s="280" t="s">
        <v>1451</v>
      </c>
      <c r="F7" s="280" t="s">
        <v>1863</v>
      </c>
      <c r="G7" s="281"/>
      <c r="H7" s="281"/>
      <c r="I7" s="281"/>
      <c r="J7" s="281"/>
      <c r="K7" s="281"/>
      <c r="L7" s="281"/>
      <c r="M7" s="281"/>
      <c r="N7" s="281"/>
      <c r="O7" s="281">
        <v>0</v>
      </c>
    </row>
    <row r="8" spans="1:15">
      <c r="A8" s="279">
        <v>7</v>
      </c>
      <c r="B8" s="280" t="s">
        <v>1171</v>
      </c>
      <c r="C8" s="280" t="s">
        <v>90</v>
      </c>
      <c r="D8" s="280" t="s">
        <v>413</v>
      </c>
      <c r="E8" s="280" t="s">
        <v>1451</v>
      </c>
      <c r="F8" s="280" t="s">
        <v>1863</v>
      </c>
      <c r="G8" s="281"/>
      <c r="H8" s="281"/>
      <c r="I8" s="281"/>
      <c r="J8" s="281"/>
      <c r="K8" s="281"/>
      <c r="L8" s="281"/>
      <c r="M8" s="281"/>
      <c r="N8" s="281"/>
      <c r="O8" s="281">
        <v>0</v>
      </c>
    </row>
    <row r="9" spans="1:15">
      <c r="A9" s="279">
        <v>8</v>
      </c>
      <c r="B9" s="280" t="s">
        <v>1171</v>
      </c>
      <c r="C9" s="280" t="s">
        <v>93</v>
      </c>
      <c r="D9" s="280" t="s">
        <v>74</v>
      </c>
      <c r="E9" s="280" t="s">
        <v>1451</v>
      </c>
      <c r="F9" s="280" t="s">
        <v>1863</v>
      </c>
      <c r="G9" s="281"/>
      <c r="H9" s="281"/>
      <c r="I9" s="281"/>
      <c r="J9" s="281"/>
      <c r="K9" s="281"/>
      <c r="L9" s="281"/>
      <c r="M9" s="281"/>
      <c r="N9" s="281"/>
      <c r="O9" s="281">
        <v>0</v>
      </c>
    </row>
    <row r="10" spans="1:15">
      <c r="A10" s="279">
        <v>9</v>
      </c>
      <c r="B10" s="280" t="s">
        <v>1171</v>
      </c>
      <c r="C10" s="280" t="s">
        <v>96</v>
      </c>
      <c r="D10" s="280" t="s">
        <v>74</v>
      </c>
      <c r="E10" s="280" t="s">
        <v>1451</v>
      </c>
      <c r="F10" s="280" t="s">
        <v>1863</v>
      </c>
      <c r="G10" s="281"/>
      <c r="H10" s="281"/>
      <c r="I10" s="281"/>
      <c r="J10" s="281"/>
      <c r="K10" s="281"/>
      <c r="L10" s="281"/>
      <c r="M10" s="281"/>
      <c r="N10" s="281"/>
      <c r="O10" s="281">
        <v>0</v>
      </c>
    </row>
    <row r="11" spans="1:15">
      <c r="A11" s="279">
        <v>10</v>
      </c>
      <c r="B11" s="280" t="s">
        <v>1171</v>
      </c>
      <c r="C11" s="280" t="s">
        <v>100</v>
      </c>
      <c r="D11" s="280" t="s">
        <v>413</v>
      </c>
      <c r="E11" s="280" t="s">
        <v>1451</v>
      </c>
      <c r="F11" s="280" t="s">
        <v>1863</v>
      </c>
      <c r="G11" s="281"/>
      <c r="H11" s="281"/>
      <c r="I11" s="281"/>
      <c r="J11" s="281"/>
      <c r="K11" s="281"/>
      <c r="L11" s="281"/>
      <c r="M11" s="281"/>
      <c r="N11" s="281"/>
      <c r="O11" s="281">
        <v>0</v>
      </c>
    </row>
    <row r="12" spans="1:15">
      <c r="A12" s="282">
        <v>11</v>
      </c>
      <c r="B12" s="282"/>
      <c r="C12" s="283" t="s">
        <v>102</v>
      </c>
      <c r="D12" s="282"/>
      <c r="E12" s="282"/>
      <c r="F12" s="282"/>
      <c r="G12" s="282"/>
      <c r="H12" s="282"/>
      <c r="I12" s="282"/>
      <c r="J12" s="282"/>
      <c r="K12" s="282"/>
      <c r="L12" s="282"/>
      <c r="M12" s="282"/>
      <c r="N12" s="282"/>
      <c r="O12" s="282">
        <f>AVERAGE(O67:O68)</f>
        <v>0.375</v>
      </c>
    </row>
    <row r="13" spans="1:15">
      <c r="A13" s="279">
        <v>12</v>
      </c>
      <c r="B13" s="280" t="s">
        <v>1171</v>
      </c>
      <c r="C13" s="280" t="s">
        <v>104</v>
      </c>
      <c r="D13" s="280" t="s">
        <v>413</v>
      </c>
      <c r="E13" s="280" t="s">
        <v>1451</v>
      </c>
      <c r="F13" s="280" t="s">
        <v>1863</v>
      </c>
      <c r="G13" s="281"/>
      <c r="H13" s="281"/>
      <c r="I13" s="281"/>
      <c r="J13" s="281"/>
      <c r="K13" s="281"/>
      <c r="L13" s="281"/>
      <c r="M13" s="281"/>
      <c r="N13" s="281"/>
      <c r="O13" s="281">
        <v>0</v>
      </c>
    </row>
    <row r="14" spans="1:15">
      <c r="A14" s="284">
        <v>13</v>
      </c>
      <c r="B14" s="285" t="s">
        <v>1171</v>
      </c>
      <c r="C14" s="285" t="s">
        <v>106</v>
      </c>
      <c r="D14" s="285" t="s">
        <v>74</v>
      </c>
      <c r="E14" s="285" t="s">
        <v>1451</v>
      </c>
      <c r="F14" s="285" t="s">
        <v>1864</v>
      </c>
      <c r="G14" s="285" t="s">
        <v>1174</v>
      </c>
      <c r="H14" s="284">
        <v>0.25</v>
      </c>
      <c r="I14" s="285" t="s">
        <v>1176</v>
      </c>
      <c r="J14" s="284">
        <v>0</v>
      </c>
      <c r="K14" s="285" t="s">
        <v>1176</v>
      </c>
      <c r="L14" s="284">
        <v>0</v>
      </c>
      <c r="M14" s="285" t="s">
        <v>1174</v>
      </c>
      <c r="N14" s="284">
        <v>0.25</v>
      </c>
      <c r="O14" s="284">
        <v>0.5</v>
      </c>
    </row>
    <row r="15" spans="1:15">
      <c r="A15" s="284">
        <v>14</v>
      </c>
      <c r="B15" s="285" t="s">
        <v>1171</v>
      </c>
      <c r="C15" s="285" t="s">
        <v>109</v>
      </c>
      <c r="D15" s="285" t="s">
        <v>74</v>
      </c>
      <c r="E15" s="285" t="s">
        <v>1451</v>
      </c>
      <c r="F15" s="285" t="s">
        <v>1864</v>
      </c>
      <c r="G15" s="285" t="s">
        <v>1174</v>
      </c>
      <c r="H15" s="284">
        <v>0.25</v>
      </c>
      <c r="I15" s="285" t="s">
        <v>1176</v>
      </c>
      <c r="J15" s="284">
        <v>0</v>
      </c>
      <c r="K15" s="285" t="s">
        <v>1176</v>
      </c>
      <c r="L15" s="284">
        <v>0</v>
      </c>
      <c r="M15" s="285" t="s">
        <v>1174</v>
      </c>
      <c r="N15" s="284">
        <v>0.25</v>
      </c>
      <c r="O15" s="284">
        <v>0.5</v>
      </c>
    </row>
    <row r="16" spans="1:15">
      <c r="A16" s="279">
        <v>15</v>
      </c>
      <c r="B16" s="280" t="s">
        <v>1171</v>
      </c>
      <c r="C16" s="280" t="s">
        <v>111</v>
      </c>
      <c r="D16" s="280" t="s">
        <v>413</v>
      </c>
      <c r="E16" s="280" t="s">
        <v>1451</v>
      </c>
      <c r="F16" s="280" t="s">
        <v>1863</v>
      </c>
      <c r="G16" s="281"/>
      <c r="H16" s="281"/>
      <c r="I16" s="281"/>
      <c r="J16" s="281"/>
      <c r="K16" s="281"/>
      <c r="L16" s="281"/>
      <c r="M16" s="281"/>
      <c r="N16" s="281"/>
      <c r="O16" s="281">
        <v>0</v>
      </c>
    </row>
    <row r="17" spans="1:15">
      <c r="A17" s="279">
        <v>16</v>
      </c>
      <c r="B17" s="280" t="s">
        <v>1171</v>
      </c>
      <c r="C17" s="280" t="s">
        <v>114</v>
      </c>
      <c r="D17" s="280" t="s">
        <v>413</v>
      </c>
      <c r="E17" s="280" t="s">
        <v>1451</v>
      </c>
      <c r="F17" s="280" t="s">
        <v>1863</v>
      </c>
      <c r="G17" s="281"/>
      <c r="H17" s="281"/>
      <c r="I17" s="281"/>
      <c r="J17" s="281"/>
      <c r="K17" s="281"/>
      <c r="L17" s="281"/>
      <c r="M17" s="281"/>
      <c r="N17" s="281"/>
      <c r="O17" s="281">
        <v>0</v>
      </c>
    </row>
    <row r="18" spans="1:15">
      <c r="A18" s="279">
        <v>17</v>
      </c>
      <c r="B18" s="280" t="s">
        <v>1171</v>
      </c>
      <c r="C18" s="280" t="s">
        <v>117</v>
      </c>
      <c r="D18" s="280" t="s">
        <v>413</v>
      </c>
      <c r="E18" s="280" t="s">
        <v>1451</v>
      </c>
      <c r="F18" s="280" t="s">
        <v>1863</v>
      </c>
      <c r="G18" s="281"/>
      <c r="H18" s="281"/>
      <c r="I18" s="281"/>
      <c r="J18" s="281"/>
      <c r="K18" s="281"/>
      <c r="L18" s="281"/>
      <c r="M18" s="281"/>
      <c r="N18" s="281"/>
      <c r="O18" s="281">
        <v>0</v>
      </c>
    </row>
    <row r="19" spans="1:15">
      <c r="A19" s="282">
        <v>18</v>
      </c>
      <c r="B19" s="282"/>
      <c r="C19" s="283" t="s">
        <v>120</v>
      </c>
      <c r="D19" s="282"/>
      <c r="E19" s="282"/>
      <c r="F19" s="282"/>
      <c r="G19" s="282"/>
      <c r="H19" s="282"/>
      <c r="I19" s="282"/>
      <c r="J19" s="282"/>
      <c r="K19" s="282"/>
      <c r="L19" s="282"/>
      <c r="M19" s="282"/>
      <c r="N19" s="282"/>
      <c r="O19" s="282">
        <f>AVERAGE(O70:O71)</f>
        <v>0.25</v>
      </c>
    </row>
    <row r="20" spans="1:15">
      <c r="A20" s="282">
        <v>19</v>
      </c>
      <c r="B20" s="282"/>
      <c r="C20" s="283" t="s">
        <v>123</v>
      </c>
      <c r="D20" s="282"/>
      <c r="E20" s="282"/>
      <c r="F20" s="282"/>
      <c r="G20" s="282"/>
      <c r="H20" s="282"/>
      <c r="I20" s="282"/>
      <c r="J20" s="282"/>
      <c r="K20" s="282"/>
      <c r="L20" s="282"/>
      <c r="M20" s="282"/>
      <c r="N20" s="282"/>
      <c r="O20" s="282">
        <f>AVERAGE(O71:O73)</f>
        <v>0.41666666666666669</v>
      </c>
    </row>
    <row r="21" spans="1:15">
      <c r="A21" s="279">
        <v>20</v>
      </c>
      <c r="B21" s="280" t="s">
        <v>1171</v>
      </c>
      <c r="C21" s="280" t="s">
        <v>125</v>
      </c>
      <c r="D21" s="280" t="s">
        <v>74</v>
      </c>
      <c r="E21" s="280" t="s">
        <v>1451</v>
      </c>
      <c r="F21" s="280" t="s">
        <v>1863</v>
      </c>
      <c r="G21" s="281"/>
      <c r="H21" s="281"/>
      <c r="I21" s="281"/>
      <c r="J21" s="281"/>
      <c r="K21" s="281"/>
      <c r="L21" s="281"/>
      <c r="M21" s="281"/>
      <c r="N21" s="281"/>
      <c r="O21" s="281">
        <v>0</v>
      </c>
    </row>
    <row r="22" spans="1:15">
      <c r="A22" s="282">
        <v>21</v>
      </c>
      <c r="B22" s="282"/>
      <c r="C22" s="283" t="s">
        <v>127</v>
      </c>
      <c r="D22" s="282"/>
      <c r="E22" s="282"/>
      <c r="F22" s="282"/>
      <c r="G22" s="282"/>
      <c r="H22" s="282"/>
      <c r="I22" s="282"/>
      <c r="J22" s="282"/>
      <c r="K22" s="282"/>
      <c r="L22" s="282"/>
      <c r="M22" s="282"/>
      <c r="N22" s="282"/>
      <c r="O22" s="282">
        <f>AVERAGE(O74:O75)</f>
        <v>0.25</v>
      </c>
    </row>
    <row r="23" spans="1:15">
      <c r="A23" s="279">
        <v>22</v>
      </c>
      <c r="B23" s="280" t="s">
        <v>1171</v>
      </c>
      <c r="C23" s="280" t="s">
        <v>129</v>
      </c>
      <c r="D23" s="280" t="s">
        <v>74</v>
      </c>
      <c r="E23" s="280" t="s">
        <v>1451</v>
      </c>
      <c r="F23" s="280" t="s">
        <v>1863</v>
      </c>
      <c r="G23" s="281"/>
      <c r="H23" s="281"/>
      <c r="I23" s="281"/>
      <c r="J23" s="281"/>
      <c r="K23" s="281"/>
      <c r="L23" s="281"/>
      <c r="M23" s="281"/>
      <c r="N23" s="281"/>
      <c r="O23" s="281">
        <v>0</v>
      </c>
    </row>
    <row r="24" spans="1:15">
      <c r="A24" s="279">
        <v>23</v>
      </c>
      <c r="B24" s="280" t="s">
        <v>1171</v>
      </c>
      <c r="C24" s="280" t="s">
        <v>134</v>
      </c>
      <c r="D24" s="280" t="s">
        <v>74</v>
      </c>
      <c r="E24" s="280" t="s">
        <v>1451</v>
      </c>
      <c r="F24" s="280" t="s">
        <v>1863</v>
      </c>
      <c r="G24" s="281"/>
      <c r="H24" s="281"/>
      <c r="I24" s="281"/>
      <c r="J24" s="281"/>
      <c r="K24" s="281"/>
      <c r="L24" s="281"/>
      <c r="M24" s="281"/>
      <c r="N24" s="281"/>
      <c r="O24" s="281">
        <v>0</v>
      </c>
    </row>
    <row r="25" spans="1:15">
      <c r="A25" s="282">
        <v>24</v>
      </c>
      <c r="B25" s="282"/>
      <c r="C25" s="283" t="s">
        <v>136</v>
      </c>
      <c r="D25" s="282"/>
      <c r="E25" s="282"/>
      <c r="F25" s="282"/>
      <c r="G25" s="282"/>
      <c r="H25" s="282"/>
      <c r="I25" s="282"/>
      <c r="J25" s="282"/>
      <c r="K25" s="282"/>
      <c r="L25" s="282"/>
      <c r="M25" s="282"/>
      <c r="N25" s="282"/>
      <c r="O25" s="282">
        <f>AVERAGE(O76:O78)</f>
        <v>8.3333333333333329E-2</v>
      </c>
    </row>
    <row r="26" spans="1:15">
      <c r="A26" s="279">
        <v>25</v>
      </c>
      <c r="B26" s="280" t="s">
        <v>1171</v>
      </c>
      <c r="C26" s="280" t="s">
        <v>139</v>
      </c>
      <c r="D26" s="280" t="s">
        <v>74</v>
      </c>
      <c r="E26" s="280" t="s">
        <v>1451</v>
      </c>
      <c r="F26" s="280" t="s">
        <v>1863</v>
      </c>
      <c r="G26" s="281"/>
      <c r="H26" s="281"/>
      <c r="I26" s="281"/>
      <c r="J26" s="281"/>
      <c r="K26" s="281"/>
      <c r="L26" s="281"/>
      <c r="M26" s="281"/>
      <c r="N26" s="281"/>
      <c r="O26" s="281">
        <v>0</v>
      </c>
    </row>
    <row r="27" spans="1:15">
      <c r="A27" s="284">
        <v>26</v>
      </c>
      <c r="B27" s="285" t="s">
        <v>1171</v>
      </c>
      <c r="C27" s="285" t="s">
        <v>141</v>
      </c>
      <c r="D27" s="285" t="s">
        <v>74</v>
      </c>
      <c r="E27" s="285" t="s">
        <v>1451</v>
      </c>
      <c r="F27" s="285"/>
      <c r="G27" s="285"/>
      <c r="H27" s="284"/>
      <c r="I27" s="285"/>
      <c r="J27" s="284"/>
      <c r="K27" s="285"/>
      <c r="L27" s="284"/>
      <c r="M27" s="285"/>
      <c r="N27" s="284"/>
      <c r="O27" s="284"/>
    </row>
    <row r="28" spans="1:15">
      <c r="A28" s="279">
        <v>27</v>
      </c>
      <c r="B28" s="280" t="s">
        <v>1171</v>
      </c>
      <c r="C28" s="280" t="s">
        <v>143</v>
      </c>
      <c r="D28" s="280" t="s">
        <v>74</v>
      </c>
      <c r="E28" s="280" t="s">
        <v>1451</v>
      </c>
      <c r="F28" s="280" t="s">
        <v>1863</v>
      </c>
      <c r="G28" s="281"/>
      <c r="H28" s="281"/>
      <c r="I28" s="281"/>
      <c r="J28" s="281"/>
      <c r="K28" s="281"/>
      <c r="L28" s="281"/>
      <c r="M28" s="281"/>
      <c r="N28" s="281"/>
      <c r="O28" s="281">
        <v>0</v>
      </c>
    </row>
    <row r="29" spans="1:15">
      <c r="A29" s="282">
        <v>28</v>
      </c>
      <c r="B29" s="282"/>
      <c r="C29" s="283" t="s">
        <v>145</v>
      </c>
      <c r="D29" s="282"/>
      <c r="E29" s="282"/>
      <c r="F29" s="282"/>
      <c r="G29" s="282"/>
      <c r="H29" s="282"/>
      <c r="I29" s="282"/>
      <c r="J29" s="282"/>
      <c r="K29" s="282"/>
      <c r="L29" s="282"/>
      <c r="M29" s="282"/>
      <c r="N29" s="282"/>
      <c r="O29" s="282">
        <f>AVERAGE(O79:O81)</f>
        <v>0.33333333333333331</v>
      </c>
    </row>
    <row r="30" spans="1:15">
      <c r="A30" s="279">
        <v>29</v>
      </c>
      <c r="B30" s="280" t="s">
        <v>1171</v>
      </c>
      <c r="C30" s="280" t="s">
        <v>148</v>
      </c>
      <c r="D30" s="280" t="s">
        <v>74</v>
      </c>
      <c r="E30" s="280" t="s">
        <v>1451</v>
      </c>
      <c r="F30" s="280" t="s">
        <v>1863</v>
      </c>
      <c r="G30" s="281"/>
      <c r="H30" s="281"/>
      <c r="I30" s="281"/>
      <c r="J30" s="281"/>
      <c r="K30" s="281"/>
      <c r="L30" s="281"/>
      <c r="M30" s="281"/>
      <c r="N30" s="281"/>
      <c r="O30" s="281">
        <v>0</v>
      </c>
    </row>
    <row r="31" spans="1:15">
      <c r="A31" s="279">
        <v>30</v>
      </c>
      <c r="B31" s="280" t="s">
        <v>1171</v>
      </c>
      <c r="C31" s="280" t="s">
        <v>150</v>
      </c>
      <c r="D31" s="280" t="s">
        <v>413</v>
      </c>
      <c r="E31" s="280" t="s">
        <v>1451</v>
      </c>
      <c r="F31" s="280" t="s">
        <v>1863</v>
      </c>
      <c r="G31" s="281"/>
      <c r="H31" s="281"/>
      <c r="I31" s="281"/>
      <c r="J31" s="281"/>
      <c r="K31" s="281"/>
      <c r="L31" s="281"/>
      <c r="M31" s="281"/>
      <c r="N31" s="281"/>
      <c r="O31" s="281">
        <v>0</v>
      </c>
    </row>
    <row r="32" spans="1:15">
      <c r="A32" s="279">
        <v>31</v>
      </c>
      <c r="B32" s="280" t="s">
        <v>1171</v>
      </c>
      <c r="C32" s="280" t="s">
        <v>153</v>
      </c>
      <c r="D32" s="280" t="s">
        <v>413</v>
      </c>
      <c r="E32" s="280" t="s">
        <v>1451</v>
      </c>
      <c r="F32" s="280" t="s">
        <v>1863</v>
      </c>
      <c r="G32" s="281"/>
      <c r="H32" s="281"/>
      <c r="I32" s="281"/>
      <c r="J32" s="281"/>
      <c r="K32" s="281"/>
      <c r="L32" s="281"/>
      <c r="M32" s="281"/>
      <c r="N32" s="281"/>
      <c r="O32" s="281">
        <v>0</v>
      </c>
    </row>
    <row r="33" spans="1:15">
      <c r="A33" s="282">
        <v>32</v>
      </c>
      <c r="B33" s="282"/>
      <c r="C33" s="283" t="s">
        <v>156</v>
      </c>
      <c r="D33" s="282"/>
      <c r="E33" s="282"/>
      <c r="F33" s="282"/>
      <c r="G33" s="282"/>
      <c r="H33" s="282"/>
      <c r="I33" s="282"/>
      <c r="J33" s="282"/>
      <c r="K33" s="282"/>
      <c r="L33" s="282"/>
      <c r="M33" s="282"/>
      <c r="N33" s="282"/>
      <c r="O33" s="282">
        <f>AVERAGE(O82:O83)</f>
        <v>0.375</v>
      </c>
    </row>
    <row r="34" spans="1:15">
      <c r="A34" s="284">
        <v>33</v>
      </c>
      <c r="B34" s="285" t="s">
        <v>1171</v>
      </c>
      <c r="C34" s="285" t="s">
        <v>158</v>
      </c>
      <c r="D34" s="285" t="s">
        <v>74</v>
      </c>
      <c r="E34" s="285" t="s">
        <v>1451</v>
      </c>
      <c r="F34" s="285"/>
      <c r="G34" s="285" t="s">
        <v>1176</v>
      </c>
      <c r="H34" s="284">
        <v>0</v>
      </c>
      <c r="I34" s="285"/>
      <c r="J34" s="284"/>
      <c r="K34" s="285"/>
      <c r="L34" s="284"/>
      <c r="M34" s="285"/>
      <c r="N34" s="284"/>
      <c r="O34" s="284">
        <v>0</v>
      </c>
    </row>
    <row r="35" spans="1:15">
      <c r="A35" s="279">
        <v>34</v>
      </c>
      <c r="B35" s="280" t="s">
        <v>1171</v>
      </c>
      <c r="C35" s="280" t="s">
        <v>161</v>
      </c>
      <c r="D35" s="280" t="s">
        <v>74</v>
      </c>
      <c r="E35" s="280" t="s">
        <v>1451</v>
      </c>
      <c r="F35" s="280" t="s">
        <v>1863</v>
      </c>
      <c r="G35" s="281"/>
      <c r="H35" s="281"/>
      <c r="I35" s="281"/>
      <c r="J35" s="281"/>
      <c r="K35" s="281"/>
      <c r="L35" s="281"/>
      <c r="M35" s="281"/>
      <c r="N35" s="281"/>
      <c r="O35" s="281">
        <v>0</v>
      </c>
    </row>
    <row r="36" spans="1:15">
      <c r="A36" s="284">
        <v>35</v>
      </c>
      <c r="B36" s="285" t="s">
        <v>1171</v>
      </c>
      <c r="C36" s="285" t="s">
        <v>163</v>
      </c>
      <c r="D36" s="285" t="s">
        <v>74</v>
      </c>
      <c r="E36" s="285" t="s">
        <v>1451</v>
      </c>
      <c r="F36" s="285" t="s">
        <v>1864</v>
      </c>
      <c r="G36" s="285" t="s">
        <v>1176</v>
      </c>
      <c r="H36" s="284">
        <v>0</v>
      </c>
      <c r="I36" s="285" t="s">
        <v>1176</v>
      </c>
      <c r="J36" s="284">
        <v>0</v>
      </c>
      <c r="K36" s="285" t="s">
        <v>1176</v>
      </c>
      <c r="L36" s="284">
        <v>0</v>
      </c>
      <c r="M36" s="285" t="s">
        <v>1174</v>
      </c>
      <c r="N36" s="284">
        <v>0.25</v>
      </c>
      <c r="O36" s="284">
        <v>0.25</v>
      </c>
    </row>
    <row r="37" spans="1:15">
      <c r="A37" s="282">
        <v>36</v>
      </c>
      <c r="B37" s="282"/>
      <c r="C37" s="283" t="s">
        <v>165</v>
      </c>
      <c r="D37" s="282"/>
      <c r="E37" s="282"/>
      <c r="F37" s="282"/>
      <c r="G37" s="282"/>
      <c r="H37" s="282"/>
      <c r="I37" s="282"/>
      <c r="J37" s="282"/>
      <c r="K37" s="282"/>
      <c r="L37" s="282"/>
      <c r="M37" s="282"/>
      <c r="N37" s="282"/>
      <c r="O37" s="282">
        <f>AVERAGE(O84:O86)</f>
        <v>0.25</v>
      </c>
    </row>
    <row r="38" spans="1:15">
      <c r="A38" s="279">
        <v>37</v>
      </c>
      <c r="B38" s="280" t="s">
        <v>1171</v>
      </c>
      <c r="C38" s="280" t="s">
        <v>167</v>
      </c>
      <c r="D38" s="280" t="s">
        <v>413</v>
      </c>
      <c r="E38" s="280" t="s">
        <v>1451</v>
      </c>
      <c r="F38" s="280" t="s">
        <v>1863</v>
      </c>
      <c r="G38" s="281"/>
      <c r="H38" s="281"/>
      <c r="I38" s="281"/>
      <c r="J38" s="281"/>
      <c r="K38" s="281"/>
      <c r="L38" s="281"/>
      <c r="M38" s="281"/>
      <c r="N38" s="281"/>
      <c r="O38" s="281">
        <v>0</v>
      </c>
    </row>
    <row r="39" spans="1:15">
      <c r="A39" s="279">
        <v>38</v>
      </c>
      <c r="B39" s="280" t="s">
        <v>1171</v>
      </c>
      <c r="C39" s="280" t="s">
        <v>169</v>
      </c>
      <c r="D39" s="280" t="s">
        <v>413</v>
      </c>
      <c r="E39" s="280" t="s">
        <v>1451</v>
      </c>
      <c r="F39" s="280" t="s">
        <v>1863</v>
      </c>
      <c r="G39" s="281"/>
      <c r="H39" s="281"/>
      <c r="I39" s="281"/>
      <c r="J39" s="281"/>
      <c r="K39" s="281"/>
      <c r="L39" s="281"/>
      <c r="M39" s="281"/>
      <c r="N39" s="281"/>
      <c r="O39" s="281">
        <v>0</v>
      </c>
    </row>
    <row r="40" spans="1:15">
      <c r="A40" s="284">
        <v>39</v>
      </c>
      <c r="B40" s="285" t="s">
        <v>1171</v>
      </c>
      <c r="C40" s="285" t="s">
        <v>171</v>
      </c>
      <c r="D40" s="285" t="s">
        <v>74</v>
      </c>
      <c r="E40" s="285" t="s">
        <v>1451</v>
      </c>
      <c r="F40" s="285" t="s">
        <v>1865</v>
      </c>
      <c r="G40" s="285" t="s">
        <v>1174</v>
      </c>
      <c r="H40" s="284">
        <v>0.25</v>
      </c>
      <c r="I40" s="285" t="s">
        <v>1176</v>
      </c>
      <c r="J40" s="284">
        <v>0</v>
      </c>
      <c r="K40" s="285" t="s">
        <v>1176</v>
      </c>
      <c r="L40" s="284">
        <v>0</v>
      </c>
      <c r="M40" s="285" t="s">
        <v>1174</v>
      </c>
      <c r="N40" s="284">
        <v>0.25</v>
      </c>
      <c r="O40" s="284">
        <v>0.5</v>
      </c>
    </row>
    <row r="41" spans="1:15">
      <c r="A41" s="279">
        <v>40</v>
      </c>
      <c r="B41" s="280" t="s">
        <v>1171</v>
      </c>
      <c r="C41" s="280" t="s">
        <v>174</v>
      </c>
      <c r="D41" s="280" t="s">
        <v>74</v>
      </c>
      <c r="E41" s="280" t="s">
        <v>1451</v>
      </c>
      <c r="F41" s="280" t="s">
        <v>1863</v>
      </c>
      <c r="G41" s="281"/>
      <c r="H41" s="281"/>
      <c r="I41" s="281"/>
      <c r="J41" s="281"/>
      <c r="K41" s="281"/>
      <c r="L41" s="281"/>
      <c r="M41" s="281"/>
      <c r="N41" s="281"/>
      <c r="O41" s="281">
        <v>0</v>
      </c>
    </row>
    <row r="42" spans="1:15">
      <c r="A42" s="282">
        <v>41</v>
      </c>
      <c r="B42" s="282"/>
      <c r="C42" s="283" t="s">
        <v>177</v>
      </c>
      <c r="D42" s="282"/>
      <c r="E42" s="282"/>
      <c r="F42" s="282"/>
      <c r="G42" s="282"/>
      <c r="H42" s="282"/>
      <c r="I42" s="282"/>
      <c r="J42" s="282"/>
      <c r="K42" s="282"/>
      <c r="L42" s="282"/>
      <c r="M42" s="282"/>
      <c r="N42" s="282"/>
      <c r="O42" s="282">
        <f>AVERAGE(O87:O90)</f>
        <v>0.3125</v>
      </c>
    </row>
    <row r="43" spans="1:15">
      <c r="A43" s="284">
        <v>42</v>
      </c>
      <c r="B43" s="285" t="s">
        <v>1171</v>
      </c>
      <c r="C43" s="285" t="s">
        <v>180</v>
      </c>
      <c r="D43" s="285" t="s">
        <v>413</v>
      </c>
      <c r="E43" s="285" t="s">
        <v>1451</v>
      </c>
      <c r="F43" s="285" t="s">
        <v>1865</v>
      </c>
      <c r="G43" s="285" t="s">
        <v>1174</v>
      </c>
      <c r="H43" s="284">
        <v>0.25</v>
      </c>
      <c r="I43" s="285" t="s">
        <v>1174</v>
      </c>
      <c r="J43" s="284">
        <v>0.25</v>
      </c>
      <c r="K43" s="285" t="s">
        <v>1176</v>
      </c>
      <c r="L43" s="284">
        <v>0</v>
      </c>
      <c r="M43" s="285" t="s">
        <v>1174</v>
      </c>
      <c r="N43" s="284">
        <v>0.25</v>
      </c>
      <c r="O43" s="284">
        <v>0.75</v>
      </c>
    </row>
    <row r="44" spans="1:15">
      <c r="A44" s="279">
        <v>43</v>
      </c>
      <c r="B44" s="280" t="s">
        <v>1171</v>
      </c>
      <c r="C44" s="280" t="s">
        <v>182</v>
      </c>
      <c r="D44" s="280" t="s">
        <v>413</v>
      </c>
      <c r="E44" s="280" t="s">
        <v>1451</v>
      </c>
      <c r="F44" s="280" t="s">
        <v>1863</v>
      </c>
      <c r="G44" s="281"/>
      <c r="H44" s="281"/>
      <c r="I44" s="281"/>
      <c r="J44" s="281"/>
      <c r="K44" s="281"/>
      <c r="L44" s="281"/>
      <c r="M44" s="281"/>
      <c r="N44" s="281"/>
      <c r="O44" s="281">
        <v>0</v>
      </c>
    </row>
    <row r="45" spans="1:15">
      <c r="A45" s="279">
        <v>44</v>
      </c>
      <c r="B45" s="280" t="s">
        <v>1171</v>
      </c>
      <c r="C45" s="280" t="s">
        <v>185</v>
      </c>
      <c r="D45" s="280" t="s">
        <v>413</v>
      </c>
      <c r="E45" s="280" t="s">
        <v>1451</v>
      </c>
      <c r="F45" s="280" t="s">
        <v>1863</v>
      </c>
      <c r="G45" s="281"/>
      <c r="H45" s="281"/>
      <c r="I45" s="281"/>
      <c r="J45" s="281"/>
      <c r="K45" s="281"/>
      <c r="L45" s="281"/>
      <c r="M45" s="281"/>
      <c r="N45" s="281"/>
      <c r="O45" s="281">
        <v>0</v>
      </c>
    </row>
    <row r="46" spans="1:15">
      <c r="A46" s="279">
        <v>45</v>
      </c>
      <c r="B46" s="280" t="s">
        <v>1171</v>
      </c>
      <c r="C46" s="280" t="s">
        <v>187</v>
      </c>
      <c r="D46" s="280" t="s">
        <v>74</v>
      </c>
      <c r="E46" s="280" t="s">
        <v>1451</v>
      </c>
      <c r="F46" s="280" t="s">
        <v>1863</v>
      </c>
      <c r="G46" s="281"/>
      <c r="H46" s="281"/>
      <c r="I46" s="281"/>
      <c r="J46" s="281"/>
      <c r="K46" s="281"/>
      <c r="L46" s="281"/>
      <c r="M46" s="281"/>
      <c r="N46" s="281"/>
      <c r="O46" s="281">
        <v>0</v>
      </c>
    </row>
    <row r="47" spans="1:15">
      <c r="A47" s="282">
        <v>46</v>
      </c>
      <c r="B47" s="282"/>
      <c r="C47" s="283" t="s">
        <v>190</v>
      </c>
      <c r="D47" s="282"/>
      <c r="E47" s="282"/>
      <c r="F47" s="282"/>
      <c r="G47" s="282"/>
      <c r="H47" s="282"/>
      <c r="I47" s="282"/>
      <c r="J47" s="282"/>
      <c r="K47" s="282"/>
      <c r="L47" s="282"/>
      <c r="M47" s="282"/>
      <c r="N47" s="282"/>
      <c r="O47" s="282">
        <f>AVERAGE(O91:O92)</f>
        <v>0.625</v>
      </c>
    </row>
    <row r="48" spans="1:15">
      <c r="A48" s="279">
        <v>47</v>
      </c>
      <c r="B48" s="280" t="s">
        <v>1171</v>
      </c>
      <c r="C48" s="280" t="s">
        <v>193</v>
      </c>
      <c r="D48" s="280" t="s">
        <v>74</v>
      </c>
      <c r="E48" s="280" t="s">
        <v>1451</v>
      </c>
      <c r="F48" s="280" t="s">
        <v>1863</v>
      </c>
      <c r="G48" s="281"/>
      <c r="H48" s="281"/>
      <c r="I48" s="281"/>
      <c r="J48" s="281"/>
      <c r="K48" s="281"/>
      <c r="L48" s="281"/>
      <c r="M48" s="281"/>
      <c r="N48" s="281"/>
      <c r="O48" s="281">
        <v>0</v>
      </c>
    </row>
    <row r="49" spans="1:15">
      <c r="A49" s="279">
        <v>48</v>
      </c>
      <c r="B49" s="280" t="s">
        <v>1171</v>
      </c>
      <c r="C49" s="280" t="s">
        <v>196</v>
      </c>
      <c r="D49" s="280" t="s">
        <v>74</v>
      </c>
      <c r="E49" s="280" t="s">
        <v>1451</v>
      </c>
      <c r="F49" s="280" t="s">
        <v>1863</v>
      </c>
      <c r="G49" s="281"/>
      <c r="H49" s="281"/>
      <c r="I49" s="281"/>
      <c r="J49" s="281"/>
      <c r="K49" s="281"/>
      <c r="L49" s="281"/>
      <c r="M49" s="281"/>
      <c r="N49" s="281"/>
      <c r="O49" s="281">
        <v>0</v>
      </c>
    </row>
    <row r="50" spans="1:15">
      <c r="A50" s="279">
        <v>49</v>
      </c>
      <c r="B50" s="280" t="s">
        <v>1171</v>
      </c>
      <c r="C50" s="280" t="s">
        <v>199</v>
      </c>
      <c r="D50" s="280" t="s">
        <v>74</v>
      </c>
      <c r="E50" s="280" t="s">
        <v>1451</v>
      </c>
      <c r="F50" s="280" t="s">
        <v>1863</v>
      </c>
      <c r="G50" s="281"/>
      <c r="H50" s="281"/>
      <c r="I50" s="281"/>
      <c r="J50" s="281"/>
      <c r="K50" s="281"/>
      <c r="L50" s="281"/>
      <c r="M50" s="281"/>
      <c r="N50" s="281"/>
      <c r="O50" s="281">
        <v>0</v>
      </c>
    </row>
    <row r="51" spans="1:15">
      <c r="A51" s="284">
        <v>50</v>
      </c>
      <c r="B51" s="285" t="s">
        <v>1171</v>
      </c>
      <c r="C51" s="285" t="s">
        <v>201</v>
      </c>
      <c r="D51" s="285" t="s">
        <v>74</v>
      </c>
      <c r="E51" s="285" t="s">
        <v>1451</v>
      </c>
      <c r="F51" s="285" t="s">
        <v>1865</v>
      </c>
      <c r="G51" s="285" t="s">
        <v>1174</v>
      </c>
      <c r="H51" s="284">
        <v>0.25</v>
      </c>
      <c r="I51" s="285" t="s">
        <v>1176</v>
      </c>
      <c r="J51" s="284">
        <v>0</v>
      </c>
      <c r="K51" s="285" t="s">
        <v>1176</v>
      </c>
      <c r="L51" s="284">
        <v>0</v>
      </c>
      <c r="M51" s="285" t="s">
        <v>1174</v>
      </c>
      <c r="N51" s="284">
        <v>0.25</v>
      </c>
      <c r="O51" s="284">
        <v>0.5</v>
      </c>
    </row>
    <row r="52" spans="1:15">
      <c r="A52" s="279">
        <v>51</v>
      </c>
      <c r="B52" s="280" t="s">
        <v>1171</v>
      </c>
      <c r="C52" s="280" t="s">
        <v>203</v>
      </c>
      <c r="D52" s="280" t="s">
        <v>74</v>
      </c>
      <c r="E52" s="280" t="s">
        <v>1451</v>
      </c>
      <c r="F52" s="280" t="s">
        <v>1863</v>
      </c>
      <c r="G52" s="281"/>
      <c r="H52" s="281"/>
      <c r="I52" s="281"/>
      <c r="J52" s="281"/>
      <c r="K52" s="281"/>
      <c r="L52" s="281"/>
      <c r="M52" s="281"/>
      <c r="N52" s="281"/>
      <c r="O52" s="281">
        <v>0</v>
      </c>
    </row>
    <row r="53" spans="1:15">
      <c r="A53" s="279">
        <v>52</v>
      </c>
      <c r="B53" s="280" t="s">
        <v>1171</v>
      </c>
      <c r="C53" s="280" t="s">
        <v>206</v>
      </c>
      <c r="D53" s="280" t="s">
        <v>74</v>
      </c>
      <c r="E53" s="280" t="s">
        <v>1451</v>
      </c>
      <c r="F53" s="280" t="s">
        <v>1863</v>
      </c>
      <c r="G53" s="281"/>
      <c r="H53" s="281"/>
      <c r="I53" s="281"/>
      <c r="J53" s="281"/>
      <c r="K53" s="281"/>
      <c r="L53" s="281"/>
      <c r="M53" s="281"/>
      <c r="N53" s="281"/>
      <c r="O53" s="281">
        <v>0</v>
      </c>
    </row>
    <row r="54" spans="1:15">
      <c r="A54" s="279">
        <v>53</v>
      </c>
      <c r="B54" s="280" t="s">
        <v>1171</v>
      </c>
      <c r="C54" s="280" t="s">
        <v>209</v>
      </c>
      <c r="D54" s="280"/>
      <c r="E54" s="280"/>
      <c r="F54" s="280"/>
      <c r="G54" s="281"/>
      <c r="H54" s="281"/>
      <c r="I54" s="281"/>
      <c r="J54" s="281"/>
      <c r="K54" s="281"/>
      <c r="L54" s="281"/>
      <c r="M54" s="281"/>
      <c r="N54" s="281"/>
      <c r="O54" s="281">
        <v>0</v>
      </c>
    </row>
    <row r="55" spans="1:15">
      <c r="A55" s="279">
        <v>54</v>
      </c>
      <c r="B55" s="280" t="s">
        <v>1171</v>
      </c>
      <c r="C55" s="280" t="s">
        <v>213</v>
      </c>
      <c r="D55" s="280" t="s">
        <v>74</v>
      </c>
      <c r="E55" s="280" t="s">
        <v>1451</v>
      </c>
      <c r="F55" s="280" t="s">
        <v>1863</v>
      </c>
      <c r="G55" s="281"/>
      <c r="H55" s="281"/>
      <c r="I55" s="281"/>
      <c r="J55" s="281"/>
      <c r="K55" s="281"/>
      <c r="L55" s="281"/>
      <c r="M55" s="281"/>
      <c r="N55" s="281"/>
      <c r="O55" s="281">
        <v>0</v>
      </c>
    </row>
    <row r="56" spans="1:15">
      <c r="A56" s="282">
        <v>55</v>
      </c>
      <c r="B56" s="282"/>
      <c r="C56" s="283" t="s">
        <v>215</v>
      </c>
      <c r="D56" s="282"/>
      <c r="E56" s="282"/>
      <c r="F56" s="282"/>
      <c r="G56" s="282"/>
      <c r="H56" s="282"/>
      <c r="I56" s="282"/>
      <c r="J56" s="282"/>
      <c r="K56" s="282"/>
      <c r="L56" s="282"/>
      <c r="M56" s="282"/>
      <c r="N56" s="282"/>
      <c r="O56" s="282">
        <f>AVERAGE(O93:O94)</f>
        <v>0.375</v>
      </c>
    </row>
    <row r="57" spans="1:15">
      <c r="A57" s="282">
        <v>56</v>
      </c>
      <c r="B57" s="282"/>
      <c r="C57" s="283" t="s">
        <v>218</v>
      </c>
      <c r="D57" s="282"/>
      <c r="E57" s="282"/>
      <c r="F57" s="282"/>
      <c r="G57" s="282"/>
      <c r="H57" s="282"/>
      <c r="I57" s="282"/>
      <c r="J57" s="282"/>
      <c r="K57" s="282"/>
      <c r="L57" s="282"/>
      <c r="M57" s="282"/>
      <c r="N57" s="282"/>
      <c r="O57" s="282">
        <f>AVERAGE(O95:O96)</f>
        <v>0</v>
      </c>
    </row>
    <row r="58" spans="1:15">
      <c r="A58" s="284">
        <v>57</v>
      </c>
      <c r="B58" s="285" t="s">
        <v>1171</v>
      </c>
      <c r="C58" s="285" t="s">
        <v>220</v>
      </c>
      <c r="D58" s="285" t="s">
        <v>74</v>
      </c>
      <c r="E58" s="285" t="s">
        <v>1451</v>
      </c>
      <c r="F58" s="285"/>
      <c r="G58" s="285" t="s">
        <v>1174</v>
      </c>
      <c r="H58" s="284">
        <v>0.25</v>
      </c>
      <c r="I58" s="285" t="s">
        <v>1174</v>
      </c>
      <c r="J58" s="284">
        <v>0.25</v>
      </c>
      <c r="K58" s="285" t="s">
        <v>1174</v>
      </c>
      <c r="L58" s="284">
        <v>0.25</v>
      </c>
      <c r="M58" s="285" t="s">
        <v>1176</v>
      </c>
      <c r="N58" s="284">
        <v>0</v>
      </c>
      <c r="O58" s="284">
        <v>0.75</v>
      </c>
    </row>
    <row r="59" spans="1:15">
      <c r="A59" s="284">
        <v>58</v>
      </c>
      <c r="B59" s="285" t="s">
        <v>1171</v>
      </c>
      <c r="C59" s="285" t="s">
        <v>222</v>
      </c>
      <c r="D59" s="285" t="s">
        <v>74</v>
      </c>
      <c r="E59" s="285" t="s">
        <v>1451</v>
      </c>
      <c r="F59" s="285" t="s">
        <v>1865</v>
      </c>
      <c r="G59" s="285" t="s">
        <v>1174</v>
      </c>
      <c r="H59" s="284">
        <v>0.25</v>
      </c>
      <c r="I59" s="285" t="s">
        <v>1176</v>
      </c>
      <c r="J59" s="284">
        <v>0</v>
      </c>
      <c r="K59" s="285" t="s">
        <v>1176</v>
      </c>
      <c r="L59" s="284">
        <v>0</v>
      </c>
      <c r="M59" s="285" t="s">
        <v>1174</v>
      </c>
      <c r="N59" s="284">
        <v>0.25</v>
      </c>
      <c r="O59" s="284">
        <v>0.5</v>
      </c>
    </row>
    <row r="60" spans="1:15">
      <c r="A60" s="284">
        <v>59</v>
      </c>
      <c r="B60" s="285" t="s">
        <v>1171</v>
      </c>
      <c r="C60" s="285" t="s">
        <v>225</v>
      </c>
      <c r="D60" s="285" t="s">
        <v>413</v>
      </c>
      <c r="E60" s="285" t="s">
        <v>1451</v>
      </c>
      <c r="F60" s="285" t="s">
        <v>1865</v>
      </c>
      <c r="G60" s="285" t="s">
        <v>1176</v>
      </c>
      <c r="H60" s="284">
        <v>0</v>
      </c>
      <c r="I60" s="285" t="s">
        <v>1176</v>
      </c>
      <c r="J60" s="284">
        <v>0</v>
      </c>
      <c r="K60" s="285" t="s">
        <v>1176</v>
      </c>
      <c r="L60" s="284">
        <v>0</v>
      </c>
      <c r="M60" s="285" t="s">
        <v>1176</v>
      </c>
      <c r="N60" s="284">
        <v>0</v>
      </c>
      <c r="O60" s="284">
        <v>0</v>
      </c>
    </row>
    <row r="61" spans="1:15">
      <c r="A61" s="279">
        <v>60</v>
      </c>
      <c r="B61" s="280" t="s">
        <v>1171</v>
      </c>
      <c r="C61" s="280" t="s">
        <v>228</v>
      </c>
      <c r="D61" s="280" t="s">
        <v>74</v>
      </c>
      <c r="E61" s="280" t="s">
        <v>1451</v>
      </c>
      <c r="F61" s="280" t="s">
        <v>1863</v>
      </c>
      <c r="G61" s="281"/>
      <c r="H61" s="281"/>
      <c r="I61" s="281"/>
      <c r="J61" s="281"/>
      <c r="K61" s="281"/>
      <c r="L61" s="281"/>
      <c r="M61" s="281"/>
      <c r="N61" s="281"/>
      <c r="O61" s="281">
        <v>0</v>
      </c>
    </row>
    <row r="62" spans="1:15">
      <c r="A62" s="284">
        <v>61</v>
      </c>
      <c r="B62" s="285" t="s">
        <v>1171</v>
      </c>
      <c r="C62" s="285" t="s">
        <v>229</v>
      </c>
      <c r="D62" s="285" t="s">
        <v>74</v>
      </c>
      <c r="E62" s="285" t="s">
        <v>1451</v>
      </c>
      <c r="F62" s="285" t="s">
        <v>1864</v>
      </c>
      <c r="G62" s="285" t="s">
        <v>1176</v>
      </c>
      <c r="H62" s="284">
        <v>0</v>
      </c>
      <c r="I62" s="285" t="s">
        <v>1176</v>
      </c>
      <c r="J62" s="284">
        <v>0</v>
      </c>
      <c r="K62" s="285" t="s">
        <v>1176</v>
      </c>
      <c r="L62" s="284">
        <v>0</v>
      </c>
      <c r="M62" s="285" t="s">
        <v>1174</v>
      </c>
      <c r="N62" s="284">
        <v>0.25</v>
      </c>
      <c r="O62" s="284">
        <v>0.25</v>
      </c>
    </row>
    <row r="63" spans="1:15">
      <c r="A63" s="279">
        <v>62</v>
      </c>
      <c r="B63" s="280" t="s">
        <v>1171</v>
      </c>
      <c r="C63" s="280" t="s">
        <v>231</v>
      </c>
      <c r="D63" s="280" t="s">
        <v>413</v>
      </c>
      <c r="E63" s="280" t="s">
        <v>1451</v>
      </c>
      <c r="F63" s="280" t="s">
        <v>1863</v>
      </c>
      <c r="G63" s="281"/>
      <c r="H63" s="281"/>
      <c r="I63" s="281"/>
      <c r="J63" s="281"/>
      <c r="K63" s="281"/>
      <c r="L63" s="281"/>
      <c r="M63" s="281"/>
      <c r="N63" s="281"/>
      <c r="O63" s="281">
        <v>0</v>
      </c>
    </row>
    <row r="64" spans="1:15">
      <c r="A64" s="279">
        <v>63</v>
      </c>
      <c r="B64" s="280" t="s">
        <v>1171</v>
      </c>
      <c r="C64" s="280" t="s">
        <v>234</v>
      </c>
      <c r="D64" s="280" t="s">
        <v>413</v>
      </c>
      <c r="E64" s="280" t="s">
        <v>1451</v>
      </c>
      <c r="F64" s="280" t="s">
        <v>1863</v>
      </c>
      <c r="G64" s="281"/>
      <c r="H64" s="281"/>
      <c r="I64" s="281"/>
      <c r="J64" s="281"/>
      <c r="K64" s="281"/>
      <c r="L64" s="281"/>
      <c r="M64" s="281"/>
      <c r="N64" s="281"/>
      <c r="O64" s="281">
        <v>0</v>
      </c>
    </row>
    <row r="65" spans="1:15">
      <c r="A65" s="205">
        <v>2</v>
      </c>
      <c r="B65" s="178" t="s">
        <v>1171</v>
      </c>
      <c r="C65" s="178" t="s">
        <v>69</v>
      </c>
      <c r="D65" s="178" t="s">
        <v>74</v>
      </c>
      <c r="E65" s="178" t="s">
        <v>1451</v>
      </c>
      <c r="F65" s="178" t="s">
        <v>1865</v>
      </c>
      <c r="G65" s="178" t="s">
        <v>1174</v>
      </c>
      <c r="H65" s="205">
        <v>0.25</v>
      </c>
      <c r="I65" s="178" t="s">
        <v>1174</v>
      </c>
      <c r="J65" s="205">
        <v>0.25</v>
      </c>
      <c r="K65" s="178" t="s">
        <v>1174</v>
      </c>
      <c r="L65" s="205">
        <v>0.25</v>
      </c>
      <c r="M65" s="178" t="s">
        <v>1174</v>
      </c>
      <c r="N65" s="205">
        <v>0.25</v>
      </c>
      <c r="O65" s="205">
        <v>1</v>
      </c>
    </row>
    <row r="66" spans="1:15">
      <c r="A66" s="205">
        <v>2</v>
      </c>
      <c r="B66" s="178" t="s">
        <v>1171</v>
      </c>
      <c r="C66" s="178" t="s">
        <v>69</v>
      </c>
      <c r="D66" s="178" t="s">
        <v>413</v>
      </c>
      <c r="E66" s="178" t="s">
        <v>1866</v>
      </c>
      <c r="F66" s="178" t="s">
        <v>1865</v>
      </c>
      <c r="G66" s="178" t="s">
        <v>1176</v>
      </c>
      <c r="H66" s="205">
        <v>0</v>
      </c>
      <c r="I66" s="178" t="s">
        <v>1176</v>
      </c>
      <c r="J66" s="205">
        <v>0</v>
      </c>
      <c r="K66" s="178" t="s">
        <v>1176</v>
      </c>
      <c r="L66" s="205">
        <v>0</v>
      </c>
      <c r="M66" s="178" t="s">
        <v>1174</v>
      </c>
      <c r="N66" s="205">
        <v>0.25</v>
      </c>
      <c r="O66" s="205">
        <v>0.25</v>
      </c>
    </row>
    <row r="67" spans="1:15">
      <c r="A67" s="205">
        <v>11</v>
      </c>
      <c r="B67" s="178" t="s">
        <v>1171</v>
      </c>
      <c r="C67" s="178" t="s">
        <v>102</v>
      </c>
      <c r="D67" s="178" t="s">
        <v>413</v>
      </c>
      <c r="E67" s="178" t="s">
        <v>1866</v>
      </c>
      <c r="F67" s="178" t="s">
        <v>1865</v>
      </c>
      <c r="I67" s="178" t="s">
        <v>1176</v>
      </c>
      <c r="J67" s="205">
        <v>0</v>
      </c>
      <c r="K67" s="178" t="s">
        <v>1176</v>
      </c>
      <c r="L67" s="205">
        <v>0</v>
      </c>
      <c r="M67" s="178" t="s">
        <v>1174</v>
      </c>
      <c r="N67" s="205">
        <v>0.25</v>
      </c>
      <c r="O67" s="205">
        <v>0.25</v>
      </c>
    </row>
    <row r="68" spans="1:15">
      <c r="A68" s="205">
        <v>11</v>
      </c>
      <c r="B68" s="178" t="s">
        <v>1171</v>
      </c>
      <c r="C68" s="178" t="s">
        <v>102</v>
      </c>
      <c r="D68" s="178" t="s">
        <v>413</v>
      </c>
      <c r="E68" s="178" t="s">
        <v>1451</v>
      </c>
      <c r="F68" s="178" t="s">
        <v>1864</v>
      </c>
      <c r="G68" s="178" t="s">
        <v>1174</v>
      </c>
      <c r="H68" s="205">
        <v>0.25</v>
      </c>
      <c r="I68" s="178" t="s">
        <v>1176</v>
      </c>
      <c r="J68" s="205">
        <v>0</v>
      </c>
      <c r="K68" s="178" t="s">
        <v>1176</v>
      </c>
      <c r="L68" s="205">
        <v>0</v>
      </c>
      <c r="M68" s="178" t="s">
        <v>1174</v>
      </c>
      <c r="N68" s="205">
        <v>0.25</v>
      </c>
      <c r="O68" s="205">
        <v>0.5</v>
      </c>
    </row>
    <row r="69" spans="1:15">
      <c r="A69" s="205">
        <v>18</v>
      </c>
      <c r="B69" s="178" t="s">
        <v>1171</v>
      </c>
      <c r="C69" s="178" t="s">
        <v>120</v>
      </c>
      <c r="D69" s="178" t="s">
        <v>413</v>
      </c>
      <c r="E69" s="178" t="s">
        <v>1451</v>
      </c>
      <c r="F69" s="178" t="s">
        <v>1864</v>
      </c>
      <c r="G69" s="178" t="s">
        <v>1174</v>
      </c>
      <c r="H69" s="205">
        <v>0.25</v>
      </c>
      <c r="I69" s="178" t="s">
        <v>1174</v>
      </c>
      <c r="J69" s="205">
        <v>0.25</v>
      </c>
      <c r="K69" s="178" t="s">
        <v>1176</v>
      </c>
      <c r="L69" s="205">
        <v>0</v>
      </c>
      <c r="M69" s="178" t="s">
        <v>1176</v>
      </c>
      <c r="N69" s="205">
        <v>0</v>
      </c>
      <c r="O69" s="205">
        <v>0.5</v>
      </c>
    </row>
    <row r="70" spans="1:15">
      <c r="A70" s="205">
        <v>18</v>
      </c>
      <c r="B70" s="178" t="s">
        <v>1171</v>
      </c>
      <c r="C70" s="178" t="s">
        <v>120</v>
      </c>
      <c r="D70" s="178" t="s">
        <v>413</v>
      </c>
      <c r="E70" s="178" t="s">
        <v>1866</v>
      </c>
      <c r="F70" s="178" t="s">
        <v>1864</v>
      </c>
      <c r="G70" s="178" t="s">
        <v>1176</v>
      </c>
      <c r="H70" s="205">
        <v>0</v>
      </c>
      <c r="I70" s="178" t="s">
        <v>1176</v>
      </c>
      <c r="J70" s="205">
        <v>0</v>
      </c>
      <c r="K70" s="178" t="s">
        <v>1176</v>
      </c>
      <c r="L70" s="205">
        <v>0</v>
      </c>
      <c r="M70" s="178" t="s">
        <v>1174</v>
      </c>
      <c r="N70" s="205">
        <v>0.25</v>
      </c>
      <c r="O70" s="205">
        <v>0.25</v>
      </c>
    </row>
    <row r="71" spans="1:15">
      <c r="A71" s="205">
        <v>19</v>
      </c>
      <c r="B71" s="178" t="s">
        <v>1171</v>
      </c>
      <c r="C71" s="178" t="s">
        <v>123</v>
      </c>
      <c r="D71" s="178" t="s">
        <v>413</v>
      </c>
      <c r="E71" s="178" t="s">
        <v>1451</v>
      </c>
      <c r="F71" s="178" t="s">
        <v>1865</v>
      </c>
      <c r="G71" s="178" t="s">
        <v>1176</v>
      </c>
      <c r="H71" s="205">
        <v>0</v>
      </c>
      <c r="I71" s="178" t="s">
        <v>1176</v>
      </c>
      <c r="J71" s="205">
        <v>0</v>
      </c>
      <c r="K71" s="178" t="s">
        <v>1176</v>
      </c>
      <c r="L71" s="205">
        <v>0</v>
      </c>
      <c r="M71" s="178" t="s">
        <v>1174</v>
      </c>
      <c r="N71" s="205">
        <v>0.25</v>
      </c>
      <c r="O71" s="205">
        <v>0.25</v>
      </c>
    </row>
    <row r="72" spans="1:15">
      <c r="A72" s="205">
        <v>19</v>
      </c>
      <c r="B72" s="178" t="s">
        <v>1171</v>
      </c>
      <c r="C72" s="178" t="s">
        <v>123</v>
      </c>
      <c r="D72" s="178" t="s">
        <v>413</v>
      </c>
      <c r="E72" s="178" t="s">
        <v>1866</v>
      </c>
      <c r="F72" s="178" t="s">
        <v>1864</v>
      </c>
      <c r="G72" s="178" t="s">
        <v>1174</v>
      </c>
      <c r="H72" s="205">
        <v>0.25</v>
      </c>
      <c r="I72" s="178" t="s">
        <v>1176</v>
      </c>
      <c r="J72" s="205">
        <v>0</v>
      </c>
      <c r="K72" s="178" t="s">
        <v>1176</v>
      </c>
      <c r="L72" s="205">
        <v>0</v>
      </c>
      <c r="M72" s="178" t="s">
        <v>1174</v>
      </c>
      <c r="N72" s="205">
        <v>0.25</v>
      </c>
      <c r="O72" s="205">
        <v>0.5</v>
      </c>
    </row>
    <row r="73" spans="1:15">
      <c r="A73" s="205">
        <v>19</v>
      </c>
      <c r="B73" s="178" t="s">
        <v>1171</v>
      </c>
      <c r="C73" s="178" t="s">
        <v>123</v>
      </c>
      <c r="D73" s="178" t="s">
        <v>413</v>
      </c>
      <c r="E73" s="178" t="s">
        <v>1866</v>
      </c>
      <c r="F73" s="178" t="s">
        <v>1864</v>
      </c>
      <c r="G73" s="178" t="s">
        <v>1174</v>
      </c>
      <c r="H73" s="205">
        <v>0.25</v>
      </c>
      <c r="I73" s="178" t="s">
        <v>1176</v>
      </c>
      <c r="J73" s="205">
        <v>0</v>
      </c>
      <c r="K73" s="178" t="s">
        <v>1176</v>
      </c>
      <c r="L73" s="205">
        <v>0</v>
      </c>
      <c r="M73" s="178" t="s">
        <v>1174</v>
      </c>
      <c r="N73" s="205">
        <v>0.25</v>
      </c>
      <c r="O73" s="205">
        <v>0.5</v>
      </c>
    </row>
    <row r="74" spans="1:15">
      <c r="A74" s="205">
        <v>21</v>
      </c>
      <c r="B74" s="178" t="s">
        <v>1171</v>
      </c>
      <c r="C74" s="178" t="s">
        <v>127</v>
      </c>
      <c r="D74" s="178" t="s">
        <v>74</v>
      </c>
      <c r="E74" s="178" t="s">
        <v>1451</v>
      </c>
      <c r="F74" s="178" t="s">
        <v>1865</v>
      </c>
      <c r="G74" s="178" t="s">
        <v>1176</v>
      </c>
      <c r="H74" s="205">
        <v>0</v>
      </c>
      <c r="I74" s="178" t="s">
        <v>1176</v>
      </c>
      <c r="J74" s="205">
        <v>0</v>
      </c>
      <c r="K74" s="178" t="s">
        <v>1176</v>
      </c>
      <c r="L74" s="205">
        <v>0</v>
      </c>
      <c r="M74" s="178" t="s">
        <v>1174</v>
      </c>
      <c r="N74" s="205">
        <v>0.25</v>
      </c>
      <c r="O74" s="205">
        <v>0.25</v>
      </c>
    </row>
    <row r="75" spans="1:15">
      <c r="A75" s="205">
        <v>21</v>
      </c>
      <c r="B75" s="178" t="s">
        <v>1171</v>
      </c>
      <c r="C75" s="178" t="s">
        <v>127</v>
      </c>
      <c r="D75" s="178" t="s">
        <v>413</v>
      </c>
      <c r="E75" s="178" t="s">
        <v>1866</v>
      </c>
      <c r="F75" s="178" t="s">
        <v>1865</v>
      </c>
      <c r="G75" s="178" t="s">
        <v>1176</v>
      </c>
      <c r="H75" s="205">
        <v>0</v>
      </c>
      <c r="I75" s="178" t="s">
        <v>1176</v>
      </c>
      <c r="J75" s="205">
        <v>0</v>
      </c>
      <c r="K75" s="178" t="s">
        <v>1176</v>
      </c>
      <c r="L75" s="205">
        <v>0</v>
      </c>
      <c r="M75" s="178" t="s">
        <v>1174</v>
      </c>
      <c r="N75" s="205">
        <v>0.25</v>
      </c>
      <c r="O75" s="205">
        <v>0.25</v>
      </c>
    </row>
    <row r="76" spans="1:15">
      <c r="A76" s="205">
        <v>24</v>
      </c>
      <c r="B76" s="178" t="s">
        <v>1171</v>
      </c>
      <c r="C76" s="178" t="s">
        <v>136</v>
      </c>
      <c r="D76" s="178" t="s">
        <v>74</v>
      </c>
      <c r="E76" s="178" t="s">
        <v>1451</v>
      </c>
      <c r="F76" s="178" t="s">
        <v>1865</v>
      </c>
      <c r="G76" s="178" t="s">
        <v>1176</v>
      </c>
      <c r="H76" s="205">
        <v>0</v>
      </c>
      <c r="I76" s="178" t="s">
        <v>1176</v>
      </c>
      <c r="J76" s="205">
        <v>0</v>
      </c>
      <c r="K76" s="178" t="s">
        <v>1176</v>
      </c>
      <c r="L76" s="205">
        <v>0</v>
      </c>
      <c r="M76" s="178" t="s">
        <v>1176</v>
      </c>
      <c r="N76" s="205">
        <v>0</v>
      </c>
      <c r="O76" s="205">
        <v>0</v>
      </c>
    </row>
    <row r="77" spans="1:15">
      <c r="A77" s="205">
        <v>24</v>
      </c>
      <c r="B77" s="178" t="s">
        <v>1171</v>
      </c>
      <c r="C77" s="178" t="s">
        <v>136</v>
      </c>
      <c r="D77" s="178" t="s">
        <v>74</v>
      </c>
      <c r="E77" s="178" t="s">
        <v>1866</v>
      </c>
      <c r="F77" s="178" t="s">
        <v>1864</v>
      </c>
      <c r="G77" s="178" t="s">
        <v>1176</v>
      </c>
      <c r="H77" s="205">
        <v>0</v>
      </c>
      <c r="I77" s="178" t="s">
        <v>1176</v>
      </c>
      <c r="J77" s="205">
        <v>0</v>
      </c>
      <c r="K77" s="178" t="s">
        <v>1176</v>
      </c>
      <c r="L77" s="205">
        <v>0</v>
      </c>
      <c r="M77" s="178" t="s">
        <v>1176</v>
      </c>
      <c r="N77" s="205">
        <v>0</v>
      </c>
      <c r="O77" s="205">
        <v>0</v>
      </c>
    </row>
    <row r="78" spans="1:15">
      <c r="A78" s="205">
        <v>24</v>
      </c>
      <c r="B78" s="178" t="s">
        <v>1171</v>
      </c>
      <c r="C78" s="178" t="s">
        <v>136</v>
      </c>
      <c r="D78" s="178" t="s">
        <v>74</v>
      </c>
      <c r="E78" s="178" t="s">
        <v>1866</v>
      </c>
      <c r="F78" s="178" t="s">
        <v>1864</v>
      </c>
      <c r="G78" s="178" t="s">
        <v>1176</v>
      </c>
      <c r="H78" s="205">
        <v>0</v>
      </c>
      <c r="I78" s="178" t="s">
        <v>1176</v>
      </c>
      <c r="J78" s="205">
        <v>0</v>
      </c>
      <c r="K78" s="178" t="s">
        <v>1176</v>
      </c>
      <c r="L78" s="205">
        <v>0</v>
      </c>
      <c r="M78" s="178" t="s">
        <v>1174</v>
      </c>
      <c r="N78" s="205">
        <v>0.25</v>
      </c>
      <c r="O78" s="205">
        <v>0.25</v>
      </c>
    </row>
    <row r="79" spans="1:15">
      <c r="A79" s="205">
        <v>28</v>
      </c>
      <c r="B79" s="178" t="s">
        <v>1171</v>
      </c>
      <c r="C79" s="178" t="s">
        <v>145</v>
      </c>
      <c r="D79" s="178" t="s">
        <v>74</v>
      </c>
      <c r="E79" s="178" t="s">
        <v>1866</v>
      </c>
      <c r="F79" s="178" t="s">
        <v>1865</v>
      </c>
      <c r="G79" s="178" t="s">
        <v>1176</v>
      </c>
      <c r="H79" s="205">
        <v>0</v>
      </c>
      <c r="I79" s="178" t="s">
        <v>1176</v>
      </c>
      <c r="J79" s="205">
        <v>0</v>
      </c>
      <c r="K79" s="178" t="s">
        <v>1176</v>
      </c>
      <c r="L79" s="205">
        <v>0</v>
      </c>
      <c r="M79" s="178" t="s">
        <v>1174</v>
      </c>
      <c r="N79" s="205">
        <v>0.25</v>
      </c>
      <c r="O79" s="205">
        <v>0.25</v>
      </c>
    </row>
    <row r="80" spans="1:15">
      <c r="A80" s="205">
        <v>28</v>
      </c>
      <c r="B80" s="178" t="s">
        <v>1171</v>
      </c>
      <c r="C80" s="178" t="s">
        <v>145</v>
      </c>
      <c r="D80" s="178" t="s">
        <v>74</v>
      </c>
      <c r="E80" s="178" t="s">
        <v>1866</v>
      </c>
      <c r="F80" s="178" t="s">
        <v>1865</v>
      </c>
      <c r="G80" s="178" t="s">
        <v>1176</v>
      </c>
      <c r="H80" s="205">
        <v>0</v>
      </c>
      <c r="I80" s="178" t="s">
        <v>1176</v>
      </c>
      <c r="J80" s="205">
        <v>0</v>
      </c>
      <c r="K80" s="178" t="s">
        <v>1176</v>
      </c>
      <c r="L80" s="205">
        <v>0</v>
      </c>
      <c r="M80" s="178" t="s">
        <v>1174</v>
      </c>
      <c r="N80" s="205">
        <v>0.25</v>
      </c>
      <c r="O80" s="205">
        <v>0.25</v>
      </c>
    </row>
    <row r="81" spans="1:16">
      <c r="A81" s="205">
        <v>28</v>
      </c>
      <c r="B81" s="178" t="s">
        <v>1171</v>
      </c>
      <c r="C81" s="178" t="s">
        <v>145</v>
      </c>
      <c r="D81" s="178" t="s">
        <v>74</v>
      </c>
      <c r="E81" s="178" t="s">
        <v>1451</v>
      </c>
      <c r="F81" s="178" t="s">
        <v>1864</v>
      </c>
      <c r="G81" s="178" t="s">
        <v>1174</v>
      </c>
      <c r="H81" s="205">
        <v>0.25</v>
      </c>
      <c r="I81" s="178" t="s">
        <v>1176</v>
      </c>
      <c r="J81" s="205">
        <v>0</v>
      </c>
      <c r="K81" s="178" t="s">
        <v>1176</v>
      </c>
      <c r="L81" s="205">
        <v>0</v>
      </c>
      <c r="M81" s="178" t="s">
        <v>1174</v>
      </c>
      <c r="N81" s="205">
        <v>0.25</v>
      </c>
      <c r="O81" s="205">
        <v>0.5</v>
      </c>
    </row>
    <row r="82" spans="1:16">
      <c r="A82" s="205">
        <v>32</v>
      </c>
      <c r="B82" s="178" t="s">
        <v>1171</v>
      </c>
      <c r="C82" s="178" t="s">
        <v>156</v>
      </c>
      <c r="D82" s="178" t="s">
        <v>74</v>
      </c>
      <c r="E82" s="178" t="s">
        <v>1866</v>
      </c>
      <c r="F82" s="178" t="s">
        <v>1865</v>
      </c>
      <c r="G82" s="178" t="s">
        <v>1176</v>
      </c>
      <c r="H82" s="205">
        <v>0</v>
      </c>
      <c r="I82" s="178" t="s">
        <v>1176</v>
      </c>
      <c r="J82" s="205">
        <v>0</v>
      </c>
      <c r="K82" s="178" t="s">
        <v>1176</v>
      </c>
      <c r="L82" s="205">
        <v>0</v>
      </c>
      <c r="M82" s="178" t="s">
        <v>1174</v>
      </c>
      <c r="N82" s="205">
        <v>0.25</v>
      </c>
      <c r="O82" s="205">
        <v>0.25</v>
      </c>
    </row>
    <row r="83" spans="1:16">
      <c r="A83" s="205">
        <v>32</v>
      </c>
      <c r="B83" s="178" t="s">
        <v>1171</v>
      </c>
      <c r="C83" s="178" t="s">
        <v>156</v>
      </c>
      <c r="D83" s="178" t="s">
        <v>74</v>
      </c>
      <c r="E83" s="178" t="s">
        <v>1451</v>
      </c>
      <c r="F83" s="178" t="s">
        <v>1864</v>
      </c>
      <c r="G83" s="178" t="s">
        <v>1176</v>
      </c>
      <c r="H83" s="205">
        <v>0</v>
      </c>
      <c r="I83" s="178" t="s">
        <v>1174</v>
      </c>
      <c r="J83" s="205">
        <v>0.25</v>
      </c>
      <c r="K83" s="178" t="s">
        <v>1174</v>
      </c>
      <c r="L83" s="205">
        <v>0.25</v>
      </c>
      <c r="M83" s="178" t="s">
        <v>1176</v>
      </c>
      <c r="N83" s="205">
        <v>0</v>
      </c>
      <c r="O83" s="205">
        <v>0.5</v>
      </c>
    </row>
    <row r="84" spans="1:16">
      <c r="A84" s="205">
        <v>36</v>
      </c>
      <c r="B84" s="178" t="s">
        <v>1171</v>
      </c>
      <c r="C84" s="178" t="s">
        <v>165</v>
      </c>
      <c r="D84" s="178" t="s">
        <v>74</v>
      </c>
      <c r="E84" s="178" t="s">
        <v>1866</v>
      </c>
      <c r="F84" s="178" t="s">
        <v>1865</v>
      </c>
      <c r="G84" s="178" t="s">
        <v>1176</v>
      </c>
      <c r="H84" s="205">
        <v>0</v>
      </c>
      <c r="I84" s="178" t="s">
        <v>1176</v>
      </c>
      <c r="J84" s="205">
        <v>0</v>
      </c>
      <c r="K84" s="178" t="s">
        <v>1176</v>
      </c>
      <c r="L84" s="205">
        <v>0</v>
      </c>
      <c r="M84" s="178" t="s">
        <v>1174</v>
      </c>
      <c r="N84" s="205">
        <v>0.25</v>
      </c>
      <c r="O84" s="205">
        <v>0.25</v>
      </c>
      <c r="P84" s="194" t="e">
        <f>AVERAGE(#REF!)</f>
        <v>#REF!</v>
      </c>
    </row>
    <row r="85" spans="1:16">
      <c r="A85" s="205">
        <v>36</v>
      </c>
      <c r="B85" s="178" t="s">
        <v>1171</v>
      </c>
      <c r="C85" s="178" t="s">
        <v>165</v>
      </c>
      <c r="D85" s="178" t="s">
        <v>74</v>
      </c>
      <c r="E85" s="178" t="s">
        <v>1451</v>
      </c>
      <c r="F85" s="178" t="s">
        <v>1864</v>
      </c>
      <c r="G85" s="178" t="s">
        <v>1176</v>
      </c>
      <c r="H85" s="205">
        <v>0</v>
      </c>
      <c r="I85" s="178" t="s">
        <v>1176</v>
      </c>
      <c r="J85" s="205">
        <v>0</v>
      </c>
      <c r="K85" s="178" t="s">
        <v>1176</v>
      </c>
      <c r="L85" s="205">
        <v>0</v>
      </c>
      <c r="M85" s="178" t="s">
        <v>1174</v>
      </c>
      <c r="N85" s="205">
        <v>0.25</v>
      </c>
      <c r="O85" s="205">
        <v>0.25</v>
      </c>
    </row>
    <row r="86" spans="1:16">
      <c r="A86" s="205">
        <v>36</v>
      </c>
      <c r="B86" s="178" t="s">
        <v>1171</v>
      </c>
      <c r="C86" s="178" t="s">
        <v>165</v>
      </c>
      <c r="D86" s="178" t="s">
        <v>74</v>
      </c>
      <c r="E86" s="178" t="s">
        <v>1866</v>
      </c>
      <c r="F86" s="178" t="s">
        <v>1864</v>
      </c>
      <c r="G86" s="178" t="s">
        <v>1176</v>
      </c>
      <c r="H86" s="205">
        <v>0</v>
      </c>
      <c r="I86" s="178" t="s">
        <v>1176</v>
      </c>
      <c r="J86" s="205">
        <v>0</v>
      </c>
      <c r="K86" s="178" t="s">
        <v>1176</v>
      </c>
      <c r="L86" s="205">
        <v>0</v>
      </c>
      <c r="M86" s="178" t="s">
        <v>1174</v>
      </c>
      <c r="N86" s="205">
        <v>0.25</v>
      </c>
      <c r="O86" s="205">
        <v>0.25</v>
      </c>
    </row>
    <row r="87" spans="1:16">
      <c r="A87" s="205">
        <v>41</v>
      </c>
      <c r="B87" s="178" t="s">
        <v>1171</v>
      </c>
      <c r="C87" s="178" t="s">
        <v>177</v>
      </c>
      <c r="D87" s="178" t="s">
        <v>74</v>
      </c>
      <c r="E87" s="178" t="s">
        <v>1451</v>
      </c>
      <c r="F87" s="178" t="s">
        <v>1865</v>
      </c>
      <c r="G87" s="178" t="s">
        <v>1176</v>
      </c>
      <c r="H87" s="205">
        <v>0</v>
      </c>
      <c r="I87" s="178" t="s">
        <v>1176</v>
      </c>
      <c r="J87" s="205">
        <v>0</v>
      </c>
      <c r="K87" s="178" t="s">
        <v>1176</v>
      </c>
      <c r="L87" s="205">
        <v>0</v>
      </c>
      <c r="M87" s="178" t="s">
        <v>1174</v>
      </c>
      <c r="N87" s="205">
        <v>0.25</v>
      </c>
      <c r="O87" s="205">
        <v>0.25</v>
      </c>
      <c r="P87" s="194" t="e">
        <f>AVERAGE(#REF!)</f>
        <v>#REF!</v>
      </c>
    </row>
    <row r="88" spans="1:16">
      <c r="A88" s="205">
        <v>41</v>
      </c>
      <c r="B88" s="178" t="s">
        <v>1171</v>
      </c>
      <c r="C88" s="178" t="s">
        <v>177</v>
      </c>
      <c r="D88" s="178" t="s">
        <v>74</v>
      </c>
      <c r="E88" s="178" t="s">
        <v>1866</v>
      </c>
      <c r="F88" s="178" t="s">
        <v>1865</v>
      </c>
      <c r="G88" s="178" t="s">
        <v>1176</v>
      </c>
      <c r="H88" s="205">
        <v>0</v>
      </c>
      <c r="I88" s="178" t="s">
        <v>1176</v>
      </c>
      <c r="J88" s="205">
        <v>0</v>
      </c>
      <c r="K88" s="178" t="s">
        <v>1174</v>
      </c>
      <c r="L88" s="205">
        <v>0.25</v>
      </c>
      <c r="M88" s="178" t="s">
        <v>1176</v>
      </c>
      <c r="N88" s="205">
        <v>0</v>
      </c>
      <c r="O88" s="205">
        <v>0.25</v>
      </c>
    </row>
    <row r="89" spans="1:16">
      <c r="A89" s="205">
        <v>41</v>
      </c>
      <c r="B89" s="178" t="s">
        <v>1171</v>
      </c>
      <c r="C89" s="178" t="s">
        <v>177</v>
      </c>
      <c r="D89" s="178" t="s">
        <v>74</v>
      </c>
      <c r="E89" s="178" t="s">
        <v>1451</v>
      </c>
      <c r="F89" s="178" t="s">
        <v>1864</v>
      </c>
      <c r="G89" s="178" t="s">
        <v>1176</v>
      </c>
      <c r="H89" s="205">
        <v>0</v>
      </c>
      <c r="I89" s="178" t="s">
        <v>1176</v>
      </c>
      <c r="J89" s="205">
        <v>0</v>
      </c>
      <c r="K89" s="178" t="s">
        <v>1176</v>
      </c>
      <c r="L89" s="205">
        <v>0</v>
      </c>
      <c r="M89" s="178" t="s">
        <v>1174</v>
      </c>
      <c r="N89" s="205">
        <v>0.25</v>
      </c>
      <c r="O89" s="205">
        <v>0.25</v>
      </c>
    </row>
    <row r="90" spans="1:16">
      <c r="A90" s="205">
        <v>41</v>
      </c>
      <c r="B90" s="178" t="s">
        <v>1171</v>
      </c>
      <c r="C90" s="178" t="s">
        <v>177</v>
      </c>
      <c r="D90" s="178" t="s">
        <v>74</v>
      </c>
      <c r="E90" s="178" t="s">
        <v>1866</v>
      </c>
      <c r="F90" s="178" t="s">
        <v>1864</v>
      </c>
      <c r="G90" s="178" t="s">
        <v>1174</v>
      </c>
      <c r="H90" s="205">
        <v>0.25</v>
      </c>
      <c r="I90" s="178" t="s">
        <v>1176</v>
      </c>
      <c r="J90" s="205">
        <v>0</v>
      </c>
      <c r="K90" s="178" t="s">
        <v>1176</v>
      </c>
      <c r="L90" s="205">
        <v>0</v>
      </c>
      <c r="M90" s="178" t="s">
        <v>1174</v>
      </c>
      <c r="N90" s="205">
        <v>0.25</v>
      </c>
      <c r="O90" s="205">
        <v>0.5</v>
      </c>
    </row>
    <row r="91" spans="1:16">
      <c r="A91" s="205">
        <v>46</v>
      </c>
      <c r="B91" s="178" t="s">
        <v>1171</v>
      </c>
      <c r="C91" s="178" t="s">
        <v>190</v>
      </c>
      <c r="D91" s="178" t="s">
        <v>74</v>
      </c>
      <c r="E91" s="178" t="s">
        <v>1451</v>
      </c>
      <c r="F91" s="178" t="s">
        <v>1864</v>
      </c>
      <c r="G91" s="178" t="s">
        <v>1176</v>
      </c>
      <c r="H91" s="205">
        <v>0</v>
      </c>
      <c r="I91" s="178" t="s">
        <v>1176</v>
      </c>
      <c r="J91" s="205">
        <v>0</v>
      </c>
      <c r="K91" s="178" t="s">
        <v>1176</v>
      </c>
      <c r="L91" s="205">
        <v>0</v>
      </c>
      <c r="M91" s="178" t="s">
        <v>1174</v>
      </c>
      <c r="N91" s="205">
        <v>0.25</v>
      </c>
      <c r="O91" s="205">
        <v>0.25</v>
      </c>
      <c r="P91" s="194" t="e">
        <f>AVERAGE(#REF!)</f>
        <v>#REF!</v>
      </c>
    </row>
    <row r="92" spans="1:16">
      <c r="A92" s="205">
        <v>46</v>
      </c>
      <c r="B92" s="178" t="s">
        <v>1171</v>
      </c>
      <c r="C92" s="178" t="s">
        <v>190</v>
      </c>
      <c r="D92" s="178" t="s">
        <v>74</v>
      </c>
      <c r="E92" s="178" t="s">
        <v>1866</v>
      </c>
      <c r="F92" s="178" t="s">
        <v>1864</v>
      </c>
      <c r="G92" s="178" t="s">
        <v>1174</v>
      </c>
      <c r="H92" s="205">
        <v>0.25</v>
      </c>
      <c r="I92" s="178" t="s">
        <v>1174</v>
      </c>
      <c r="J92" s="205">
        <v>0.25</v>
      </c>
      <c r="K92" s="178" t="s">
        <v>1174</v>
      </c>
      <c r="L92" s="205">
        <v>0.25</v>
      </c>
      <c r="M92" s="178" t="s">
        <v>1174</v>
      </c>
      <c r="N92" s="205">
        <v>0.25</v>
      </c>
      <c r="O92" s="205">
        <v>1</v>
      </c>
    </row>
    <row r="93" spans="1:16">
      <c r="A93" s="205">
        <v>55</v>
      </c>
      <c r="B93" s="178" t="s">
        <v>1171</v>
      </c>
      <c r="C93" s="178" t="s">
        <v>215</v>
      </c>
      <c r="D93" s="178" t="s">
        <v>74</v>
      </c>
      <c r="E93" s="178" t="s">
        <v>1451</v>
      </c>
      <c r="F93" s="178" t="s">
        <v>1865</v>
      </c>
      <c r="G93" s="178" t="s">
        <v>1176</v>
      </c>
      <c r="H93" s="205">
        <v>0</v>
      </c>
      <c r="I93" s="178" t="s">
        <v>1176</v>
      </c>
      <c r="J93" s="205">
        <v>0</v>
      </c>
      <c r="K93" s="178" t="s">
        <v>1176</v>
      </c>
      <c r="L93" s="205">
        <v>0</v>
      </c>
      <c r="M93" s="178" t="s">
        <v>1174</v>
      </c>
      <c r="N93" s="205">
        <v>0.25</v>
      </c>
      <c r="O93" s="205">
        <v>0.25</v>
      </c>
      <c r="P93" s="194" t="e">
        <f>AVERAGE(#REF!)</f>
        <v>#REF!</v>
      </c>
    </row>
    <row r="94" spans="1:16">
      <c r="A94" s="205">
        <v>55</v>
      </c>
      <c r="B94" s="178" t="s">
        <v>1171</v>
      </c>
      <c r="C94" s="178" t="s">
        <v>215</v>
      </c>
      <c r="D94" s="178" t="s">
        <v>74</v>
      </c>
      <c r="E94" s="178" t="s">
        <v>1866</v>
      </c>
      <c r="F94" s="178" t="s">
        <v>1865</v>
      </c>
      <c r="G94" s="178" t="s">
        <v>1174</v>
      </c>
      <c r="H94" s="205">
        <v>0.25</v>
      </c>
      <c r="I94" s="178" t="s">
        <v>1176</v>
      </c>
      <c r="J94" s="205">
        <v>0</v>
      </c>
      <c r="K94" s="178" t="s">
        <v>1176</v>
      </c>
      <c r="L94" s="205">
        <v>0</v>
      </c>
      <c r="M94" s="178" t="s">
        <v>1174</v>
      </c>
      <c r="N94" s="205">
        <v>0.25</v>
      </c>
      <c r="O94" s="205">
        <v>0.5</v>
      </c>
    </row>
    <row r="95" spans="1:16">
      <c r="A95" s="205">
        <v>56</v>
      </c>
      <c r="B95" s="178" t="s">
        <v>1171</v>
      </c>
      <c r="C95" s="178" t="s">
        <v>218</v>
      </c>
      <c r="D95" s="178" t="s">
        <v>74</v>
      </c>
      <c r="E95" s="178" t="s">
        <v>1451</v>
      </c>
      <c r="F95" s="178" t="s">
        <v>1865</v>
      </c>
      <c r="G95" s="178" t="s">
        <v>1176</v>
      </c>
      <c r="H95" s="205">
        <v>0</v>
      </c>
      <c r="I95" s="178" t="s">
        <v>1176</v>
      </c>
      <c r="J95" s="205">
        <v>0</v>
      </c>
      <c r="K95" s="178" t="s">
        <v>1176</v>
      </c>
      <c r="L95" s="205">
        <v>0</v>
      </c>
      <c r="M95" s="178" t="s">
        <v>1176</v>
      </c>
      <c r="N95" s="205">
        <v>0</v>
      </c>
      <c r="O95" s="205">
        <v>0</v>
      </c>
      <c r="P95" s="194" t="e">
        <f>AVERAGE(#REF!)</f>
        <v>#REF!</v>
      </c>
    </row>
    <row r="96" spans="1:16">
      <c r="A96" s="205">
        <v>56</v>
      </c>
      <c r="B96" s="178" t="s">
        <v>1171</v>
      </c>
      <c r="C96" s="178" t="s">
        <v>218</v>
      </c>
      <c r="D96" s="178" t="s">
        <v>74</v>
      </c>
      <c r="E96" s="178" t="s">
        <v>1866</v>
      </c>
      <c r="F96" s="178" t="s">
        <v>1865</v>
      </c>
      <c r="G96" s="178" t="s">
        <v>1176</v>
      </c>
      <c r="H96" s="205">
        <v>0</v>
      </c>
      <c r="I96" s="178" t="s">
        <v>1176</v>
      </c>
      <c r="J96" s="205">
        <v>0</v>
      </c>
      <c r="K96" s="178" t="s">
        <v>1176</v>
      </c>
      <c r="L96" s="205">
        <v>0</v>
      </c>
      <c r="M96" s="178" t="s">
        <v>1176</v>
      </c>
      <c r="N96" s="205">
        <v>0</v>
      </c>
      <c r="O96" s="205">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5"/>
  <sheetViews>
    <sheetView workbookViewId="0">
      <pane xSplit="3" ySplit="1" topLeftCell="R53" activePane="bottomRight" state="frozen"/>
      <selection activeCell="B33" sqref="B33"/>
      <selection pane="topRight" activeCell="B33" sqref="B33"/>
      <selection pane="bottomLeft" activeCell="B33" sqref="B33"/>
      <selection pane="bottomRight" activeCell="B33" sqref="B33"/>
    </sheetView>
  </sheetViews>
  <sheetFormatPr baseColWidth="10" defaultColWidth="21.83203125" defaultRowHeight="14" x14ac:dyDescent="0"/>
  <cols>
    <col min="1" max="16384" width="21.83203125" style="194"/>
  </cols>
  <sheetData>
    <row r="1" spans="1:26">
      <c r="A1" s="234" t="s">
        <v>1100</v>
      </c>
      <c r="B1" s="234" t="s">
        <v>1660</v>
      </c>
      <c r="C1" s="234" t="s">
        <v>1405</v>
      </c>
      <c r="D1" s="234" t="s">
        <v>1101</v>
      </c>
      <c r="E1" s="234" t="s">
        <v>1867</v>
      </c>
      <c r="F1" s="234" t="s">
        <v>1868</v>
      </c>
      <c r="G1" s="234" t="s">
        <v>1869</v>
      </c>
      <c r="H1" s="234" t="s">
        <v>1870</v>
      </c>
      <c r="I1" s="234" t="s">
        <v>1871</v>
      </c>
      <c r="J1" s="234" t="s">
        <v>1872</v>
      </c>
      <c r="K1" s="234" t="s">
        <v>1873</v>
      </c>
      <c r="L1" s="234" t="s">
        <v>1874</v>
      </c>
      <c r="M1" s="234" t="s">
        <v>1875</v>
      </c>
      <c r="N1" s="234" t="s">
        <v>1876</v>
      </c>
      <c r="O1" s="234" t="s">
        <v>1877</v>
      </c>
      <c r="P1" s="234" t="s">
        <v>1878</v>
      </c>
      <c r="Q1" s="234" t="s">
        <v>1879</v>
      </c>
      <c r="R1" s="234" t="s">
        <v>1880</v>
      </c>
      <c r="S1" s="234" t="s">
        <v>1881</v>
      </c>
      <c r="T1" s="234" t="s">
        <v>1882</v>
      </c>
      <c r="U1" s="234" t="s">
        <v>1883</v>
      </c>
      <c r="V1" s="234" t="s">
        <v>1884</v>
      </c>
      <c r="W1" s="234" t="s">
        <v>1885</v>
      </c>
      <c r="X1" s="234" t="s">
        <v>1886</v>
      </c>
      <c r="Y1" s="234" t="s">
        <v>1887</v>
      </c>
      <c r="Z1" s="234" t="s">
        <v>1888</v>
      </c>
    </row>
    <row r="2" spans="1:26">
      <c r="A2" s="279">
        <v>1</v>
      </c>
      <c r="B2" s="280" t="s">
        <v>1171</v>
      </c>
      <c r="C2" s="280" t="s">
        <v>63</v>
      </c>
      <c r="D2" s="280" t="s">
        <v>74</v>
      </c>
      <c r="E2" s="280" t="s">
        <v>1451</v>
      </c>
      <c r="F2" s="280" t="s">
        <v>1176</v>
      </c>
      <c r="G2" s="281"/>
      <c r="H2" s="279">
        <v>0</v>
      </c>
      <c r="I2" s="281"/>
      <c r="J2" s="281"/>
      <c r="K2" s="281"/>
      <c r="L2" s="281"/>
      <c r="M2" s="281"/>
      <c r="N2" s="281"/>
      <c r="O2" s="281"/>
      <c r="P2" s="281"/>
      <c r="Q2" s="281"/>
      <c r="R2" s="281"/>
      <c r="S2" s="281"/>
      <c r="T2" s="280" t="s">
        <v>1889</v>
      </c>
      <c r="U2" s="281"/>
      <c r="V2" s="279">
        <v>0</v>
      </c>
      <c r="W2" s="281"/>
      <c r="X2" s="281"/>
      <c r="Y2" s="281">
        <v>0</v>
      </c>
      <c r="Z2" s="281"/>
    </row>
    <row r="3" spans="1:26">
      <c r="A3" s="286">
        <v>2</v>
      </c>
      <c r="B3" s="283"/>
      <c r="C3" s="283" t="s">
        <v>69</v>
      </c>
      <c r="D3" s="283"/>
      <c r="E3" s="283"/>
      <c r="F3" s="283"/>
      <c r="G3" s="283"/>
      <c r="H3" s="286"/>
      <c r="I3" s="287"/>
      <c r="J3" s="283"/>
      <c r="K3" s="287"/>
      <c r="L3" s="287"/>
      <c r="M3" s="288"/>
      <c r="N3" s="283"/>
      <c r="O3" s="287"/>
      <c r="P3" s="287"/>
      <c r="Q3" s="283"/>
      <c r="R3" s="283"/>
      <c r="S3" s="286"/>
      <c r="T3" s="283"/>
      <c r="U3" s="286"/>
      <c r="V3" s="286"/>
      <c r="W3" s="286"/>
      <c r="X3" s="283"/>
      <c r="Y3" s="287">
        <v>1.125</v>
      </c>
      <c r="Z3" s="289"/>
    </row>
    <row r="4" spans="1:26">
      <c r="A4" s="279">
        <v>3</v>
      </c>
      <c r="B4" s="280" t="s">
        <v>1171</v>
      </c>
      <c r="C4" s="280" t="s">
        <v>72</v>
      </c>
      <c r="D4" s="280" t="s">
        <v>413</v>
      </c>
      <c r="E4" s="280" t="s">
        <v>1451</v>
      </c>
      <c r="F4" s="280" t="s">
        <v>1176</v>
      </c>
      <c r="G4" s="281"/>
      <c r="H4" s="279">
        <v>0</v>
      </c>
      <c r="I4" s="281"/>
      <c r="J4" s="281"/>
      <c r="K4" s="281"/>
      <c r="L4" s="281"/>
      <c r="M4" s="281"/>
      <c r="N4" s="281"/>
      <c r="O4" s="281"/>
      <c r="P4" s="281"/>
      <c r="Q4" s="281"/>
      <c r="R4" s="281"/>
      <c r="S4" s="281"/>
      <c r="T4" s="280" t="s">
        <v>1889</v>
      </c>
      <c r="U4" s="281"/>
      <c r="V4" s="279">
        <v>0</v>
      </c>
      <c r="W4" s="281"/>
      <c r="X4" s="281"/>
      <c r="Y4" s="281">
        <v>0</v>
      </c>
      <c r="Z4" s="281"/>
    </row>
    <row r="5" spans="1:26">
      <c r="A5" s="279">
        <v>4</v>
      </c>
      <c r="B5" s="280" t="s">
        <v>1171</v>
      </c>
      <c r="C5" s="280" t="s">
        <v>78</v>
      </c>
      <c r="D5" s="280" t="s">
        <v>74</v>
      </c>
      <c r="E5" s="280" t="s">
        <v>1451</v>
      </c>
      <c r="F5" s="280" t="s">
        <v>1176</v>
      </c>
      <c r="G5" s="281"/>
      <c r="H5" s="279">
        <v>0</v>
      </c>
      <c r="I5" s="281"/>
      <c r="J5" s="281"/>
      <c r="K5" s="281"/>
      <c r="L5" s="281"/>
      <c r="M5" s="281"/>
      <c r="N5" s="281"/>
      <c r="O5" s="281"/>
      <c r="P5" s="281"/>
      <c r="Q5" s="281"/>
      <c r="R5" s="281"/>
      <c r="S5" s="281"/>
      <c r="T5" s="280" t="s">
        <v>1889</v>
      </c>
      <c r="U5" s="281"/>
      <c r="V5" s="279">
        <v>0</v>
      </c>
      <c r="W5" s="281"/>
      <c r="X5" s="281"/>
      <c r="Y5" s="281">
        <v>0</v>
      </c>
      <c r="Z5" s="281"/>
    </row>
    <row r="6" spans="1:26">
      <c r="A6" s="279">
        <v>5</v>
      </c>
      <c r="B6" s="280" t="s">
        <v>1171</v>
      </c>
      <c r="C6" s="280" t="s">
        <v>82</v>
      </c>
      <c r="D6" s="280" t="s">
        <v>74</v>
      </c>
      <c r="E6" s="280" t="s">
        <v>1451</v>
      </c>
      <c r="F6" s="280" t="s">
        <v>1176</v>
      </c>
      <c r="G6" s="281"/>
      <c r="H6" s="279">
        <v>0</v>
      </c>
      <c r="I6" s="281"/>
      <c r="J6" s="281"/>
      <c r="K6" s="281"/>
      <c r="L6" s="281"/>
      <c r="M6" s="281"/>
      <c r="N6" s="281"/>
      <c r="O6" s="281"/>
      <c r="P6" s="281"/>
      <c r="Q6" s="281"/>
      <c r="R6" s="281"/>
      <c r="S6" s="281"/>
      <c r="T6" s="280" t="s">
        <v>1889</v>
      </c>
      <c r="U6" s="281"/>
      <c r="V6" s="279">
        <v>0</v>
      </c>
      <c r="W6" s="281"/>
      <c r="X6" s="281"/>
      <c r="Y6" s="281">
        <v>0</v>
      </c>
      <c r="Z6" s="281"/>
    </row>
    <row r="7" spans="1:26">
      <c r="A7" s="279">
        <v>6</v>
      </c>
      <c r="B7" s="280" t="s">
        <v>1171</v>
      </c>
      <c r="C7" s="280" t="s">
        <v>87</v>
      </c>
      <c r="D7" s="280" t="s">
        <v>413</v>
      </c>
      <c r="E7" s="280" t="s">
        <v>1451</v>
      </c>
      <c r="F7" s="280" t="s">
        <v>1176</v>
      </c>
      <c r="G7" s="281"/>
      <c r="H7" s="279">
        <v>0</v>
      </c>
      <c r="I7" s="281"/>
      <c r="J7" s="281"/>
      <c r="K7" s="281"/>
      <c r="L7" s="281"/>
      <c r="M7" s="281"/>
      <c r="N7" s="281"/>
      <c r="O7" s="281"/>
      <c r="P7" s="281"/>
      <c r="Q7" s="281"/>
      <c r="R7" s="281"/>
      <c r="S7" s="281"/>
      <c r="T7" s="280" t="s">
        <v>1889</v>
      </c>
      <c r="U7" s="281"/>
      <c r="V7" s="279">
        <v>0</v>
      </c>
      <c r="W7" s="281"/>
      <c r="X7" s="281"/>
      <c r="Y7" s="281">
        <v>0</v>
      </c>
      <c r="Z7" s="281"/>
    </row>
    <row r="8" spans="1:26">
      <c r="A8" s="279">
        <v>7</v>
      </c>
      <c r="B8" s="280" t="s">
        <v>1171</v>
      </c>
      <c r="C8" s="280" t="s">
        <v>90</v>
      </c>
      <c r="D8" s="280" t="s">
        <v>413</v>
      </c>
      <c r="E8" s="280" t="s">
        <v>1451</v>
      </c>
      <c r="F8" s="280" t="s">
        <v>1176</v>
      </c>
      <c r="G8" s="281"/>
      <c r="H8" s="279">
        <v>0</v>
      </c>
      <c r="I8" s="281"/>
      <c r="J8" s="281"/>
      <c r="K8" s="281"/>
      <c r="L8" s="281"/>
      <c r="M8" s="281"/>
      <c r="N8" s="281"/>
      <c r="O8" s="281"/>
      <c r="P8" s="281"/>
      <c r="Q8" s="281"/>
      <c r="R8" s="281"/>
      <c r="S8" s="281"/>
      <c r="T8" s="280" t="s">
        <v>1889</v>
      </c>
      <c r="U8" s="281"/>
      <c r="V8" s="279">
        <v>0</v>
      </c>
      <c r="W8" s="281"/>
      <c r="X8" s="281"/>
      <c r="Y8" s="281">
        <v>0</v>
      </c>
      <c r="Z8" s="281"/>
    </row>
    <row r="9" spans="1:26">
      <c r="A9" s="279">
        <v>8</v>
      </c>
      <c r="B9" s="280" t="s">
        <v>1171</v>
      </c>
      <c r="C9" s="280" t="s">
        <v>93</v>
      </c>
      <c r="D9" s="280" t="s">
        <v>74</v>
      </c>
      <c r="E9" s="280" t="s">
        <v>1451</v>
      </c>
      <c r="F9" s="280" t="s">
        <v>1176</v>
      </c>
      <c r="G9" s="281"/>
      <c r="H9" s="279">
        <v>0</v>
      </c>
      <c r="I9" s="281"/>
      <c r="J9" s="281"/>
      <c r="K9" s="281"/>
      <c r="L9" s="281"/>
      <c r="M9" s="281"/>
      <c r="N9" s="281"/>
      <c r="O9" s="281"/>
      <c r="P9" s="281"/>
      <c r="Q9" s="281"/>
      <c r="R9" s="281"/>
      <c r="S9" s="281"/>
      <c r="T9" s="280" t="s">
        <v>1889</v>
      </c>
      <c r="U9" s="281"/>
      <c r="V9" s="279">
        <v>0</v>
      </c>
      <c r="W9" s="281"/>
      <c r="X9" s="281"/>
      <c r="Y9" s="281">
        <v>0</v>
      </c>
      <c r="Z9" s="281"/>
    </row>
    <row r="10" spans="1:26">
      <c r="A10" s="279">
        <v>9</v>
      </c>
      <c r="B10" s="280" t="s">
        <v>1171</v>
      </c>
      <c r="C10" s="280" t="s">
        <v>96</v>
      </c>
      <c r="D10" s="280" t="s">
        <v>74</v>
      </c>
      <c r="E10" s="280" t="s">
        <v>1451</v>
      </c>
      <c r="F10" s="280" t="s">
        <v>1176</v>
      </c>
      <c r="G10" s="281"/>
      <c r="H10" s="279">
        <v>0</v>
      </c>
      <c r="I10" s="281"/>
      <c r="J10" s="281"/>
      <c r="K10" s="281"/>
      <c r="L10" s="281"/>
      <c r="M10" s="281"/>
      <c r="N10" s="281"/>
      <c r="O10" s="281"/>
      <c r="P10" s="281"/>
      <c r="Q10" s="281"/>
      <c r="R10" s="281"/>
      <c r="S10" s="281"/>
      <c r="T10" s="280" t="s">
        <v>1889</v>
      </c>
      <c r="U10" s="281"/>
      <c r="V10" s="279">
        <v>0</v>
      </c>
      <c r="W10" s="281"/>
      <c r="X10" s="281"/>
      <c r="Y10" s="281">
        <v>0</v>
      </c>
      <c r="Z10" s="281"/>
    </row>
    <row r="11" spans="1:26">
      <c r="A11" s="279">
        <v>10</v>
      </c>
      <c r="B11" s="280" t="s">
        <v>1171</v>
      </c>
      <c r="C11" s="280" t="s">
        <v>100</v>
      </c>
      <c r="D11" s="280" t="s">
        <v>413</v>
      </c>
      <c r="E11" s="280" t="s">
        <v>1451</v>
      </c>
      <c r="F11" s="280" t="s">
        <v>1176</v>
      </c>
      <c r="G11" s="281"/>
      <c r="H11" s="279">
        <v>0</v>
      </c>
      <c r="I11" s="281"/>
      <c r="J11" s="281"/>
      <c r="K11" s="281"/>
      <c r="L11" s="281"/>
      <c r="M11" s="281"/>
      <c r="N11" s="281"/>
      <c r="O11" s="281"/>
      <c r="P11" s="281"/>
      <c r="Q11" s="281"/>
      <c r="R11" s="281"/>
      <c r="S11" s="281"/>
      <c r="T11" s="280" t="s">
        <v>1889</v>
      </c>
      <c r="U11" s="281"/>
      <c r="V11" s="279">
        <v>0</v>
      </c>
      <c r="W11" s="281"/>
      <c r="X11" s="281"/>
      <c r="Y11" s="281">
        <v>0</v>
      </c>
      <c r="Z11" s="281"/>
    </row>
    <row r="12" spans="1:26" ht="84">
      <c r="A12" s="284">
        <v>11</v>
      </c>
      <c r="B12" s="285" t="s">
        <v>1171</v>
      </c>
      <c r="C12" s="285" t="s">
        <v>102</v>
      </c>
      <c r="D12" s="285" t="s">
        <v>413</v>
      </c>
      <c r="E12" s="285" t="s">
        <v>1451</v>
      </c>
      <c r="F12" s="285" t="s">
        <v>1174</v>
      </c>
      <c r="G12" s="285" t="s">
        <v>1890</v>
      </c>
      <c r="H12" s="284">
        <v>1</v>
      </c>
      <c r="I12" s="290"/>
      <c r="J12" s="285" t="s">
        <v>1891</v>
      </c>
      <c r="K12" s="290"/>
      <c r="L12" s="290"/>
      <c r="M12" s="291">
        <v>0</v>
      </c>
      <c r="N12" s="285" t="s">
        <v>1892</v>
      </c>
      <c r="O12" s="290" t="s">
        <v>1176</v>
      </c>
      <c r="P12" s="290">
        <v>0</v>
      </c>
      <c r="Q12" s="285" t="s">
        <v>1893</v>
      </c>
      <c r="R12" s="285" t="s">
        <v>1889</v>
      </c>
      <c r="S12" s="284">
        <v>0</v>
      </c>
      <c r="T12" s="285" t="s">
        <v>1889</v>
      </c>
      <c r="U12" s="284">
        <v>0</v>
      </c>
      <c r="V12" s="284">
        <v>0</v>
      </c>
      <c r="W12" s="284">
        <v>0</v>
      </c>
      <c r="X12" s="285" t="s">
        <v>1176</v>
      </c>
      <c r="Y12" s="290">
        <v>1</v>
      </c>
      <c r="Z12" s="292" t="s">
        <v>1894</v>
      </c>
    </row>
    <row r="13" spans="1:26">
      <c r="A13" s="279">
        <v>12</v>
      </c>
      <c r="B13" s="280" t="s">
        <v>1171</v>
      </c>
      <c r="C13" s="280" t="s">
        <v>104</v>
      </c>
      <c r="D13" s="280" t="s">
        <v>413</v>
      </c>
      <c r="E13" s="280" t="s">
        <v>1451</v>
      </c>
      <c r="F13" s="280" t="s">
        <v>1176</v>
      </c>
      <c r="G13" s="281"/>
      <c r="H13" s="279">
        <v>0</v>
      </c>
      <c r="I13" s="281"/>
      <c r="J13" s="281"/>
      <c r="K13" s="281"/>
      <c r="L13" s="281"/>
      <c r="M13" s="281"/>
      <c r="N13" s="281"/>
      <c r="O13" s="281"/>
      <c r="P13" s="281"/>
      <c r="Q13" s="281"/>
      <c r="R13" s="281"/>
      <c r="S13" s="281"/>
      <c r="T13" s="280" t="s">
        <v>1889</v>
      </c>
      <c r="U13" s="281"/>
      <c r="V13" s="279">
        <v>0</v>
      </c>
      <c r="W13" s="281"/>
      <c r="X13" s="281"/>
      <c r="Y13" s="281">
        <v>0</v>
      </c>
      <c r="Z13" s="281"/>
    </row>
    <row r="14" spans="1:26">
      <c r="A14" s="279">
        <v>13</v>
      </c>
      <c r="B14" s="280" t="s">
        <v>1171</v>
      </c>
      <c r="C14" s="280" t="s">
        <v>106</v>
      </c>
      <c r="D14" s="280" t="s">
        <v>74</v>
      </c>
      <c r="E14" s="280" t="s">
        <v>1451</v>
      </c>
      <c r="F14" s="280" t="s">
        <v>1176</v>
      </c>
      <c r="G14" s="281"/>
      <c r="H14" s="279">
        <v>0</v>
      </c>
      <c r="I14" s="281"/>
      <c r="J14" s="281"/>
      <c r="K14" s="281"/>
      <c r="L14" s="281"/>
      <c r="M14" s="281"/>
      <c r="N14" s="281"/>
      <c r="O14" s="281"/>
      <c r="P14" s="281"/>
      <c r="Q14" s="281"/>
      <c r="R14" s="281"/>
      <c r="S14" s="281"/>
      <c r="T14" s="280" t="s">
        <v>1889</v>
      </c>
      <c r="U14" s="281"/>
      <c r="V14" s="279">
        <v>0</v>
      </c>
      <c r="W14" s="281"/>
      <c r="X14" s="281"/>
      <c r="Y14" s="281">
        <v>0</v>
      </c>
      <c r="Z14" s="281"/>
    </row>
    <row r="15" spans="1:26">
      <c r="A15" s="279">
        <v>14</v>
      </c>
      <c r="B15" s="280" t="s">
        <v>1171</v>
      </c>
      <c r="C15" s="280" t="s">
        <v>109</v>
      </c>
      <c r="D15" s="280" t="s">
        <v>74</v>
      </c>
      <c r="E15" s="280" t="s">
        <v>1451</v>
      </c>
      <c r="F15" s="280" t="s">
        <v>1176</v>
      </c>
      <c r="G15" s="281"/>
      <c r="H15" s="279">
        <v>0</v>
      </c>
      <c r="I15" s="281"/>
      <c r="J15" s="281"/>
      <c r="K15" s="281"/>
      <c r="L15" s="281"/>
      <c r="M15" s="281"/>
      <c r="N15" s="281"/>
      <c r="O15" s="281"/>
      <c r="P15" s="281"/>
      <c r="Q15" s="281"/>
      <c r="R15" s="281"/>
      <c r="S15" s="281"/>
      <c r="T15" s="280" t="s">
        <v>1889</v>
      </c>
      <c r="U15" s="281"/>
      <c r="V15" s="279">
        <v>0</v>
      </c>
      <c r="W15" s="281"/>
      <c r="X15" s="281"/>
      <c r="Y15" s="281">
        <v>0</v>
      </c>
      <c r="Z15" s="281"/>
    </row>
    <row r="16" spans="1:26">
      <c r="A16" s="279">
        <v>15</v>
      </c>
      <c r="B16" s="280" t="s">
        <v>1171</v>
      </c>
      <c r="C16" s="280" t="s">
        <v>111</v>
      </c>
      <c r="D16" s="280" t="s">
        <v>413</v>
      </c>
      <c r="E16" s="280" t="s">
        <v>1451</v>
      </c>
      <c r="F16" s="280" t="s">
        <v>1176</v>
      </c>
      <c r="G16" s="281"/>
      <c r="H16" s="279">
        <v>0</v>
      </c>
      <c r="I16" s="281"/>
      <c r="J16" s="281"/>
      <c r="K16" s="281"/>
      <c r="L16" s="281"/>
      <c r="M16" s="281"/>
      <c r="N16" s="281"/>
      <c r="O16" s="281"/>
      <c r="P16" s="281"/>
      <c r="Q16" s="281"/>
      <c r="R16" s="281"/>
      <c r="S16" s="281"/>
      <c r="T16" s="280" t="s">
        <v>1889</v>
      </c>
      <c r="U16" s="281"/>
      <c r="V16" s="279">
        <v>0</v>
      </c>
      <c r="W16" s="281"/>
      <c r="X16" s="281"/>
      <c r="Y16" s="281">
        <v>0</v>
      </c>
      <c r="Z16" s="281"/>
    </row>
    <row r="17" spans="1:26">
      <c r="A17" s="279">
        <v>16</v>
      </c>
      <c r="B17" s="280" t="s">
        <v>1171</v>
      </c>
      <c r="C17" s="280" t="s">
        <v>114</v>
      </c>
      <c r="D17" s="280" t="s">
        <v>413</v>
      </c>
      <c r="E17" s="280" t="s">
        <v>1451</v>
      </c>
      <c r="F17" s="280" t="s">
        <v>1176</v>
      </c>
      <c r="G17" s="281"/>
      <c r="H17" s="279">
        <v>0</v>
      </c>
      <c r="I17" s="281"/>
      <c r="J17" s="281"/>
      <c r="K17" s="281"/>
      <c r="L17" s="281"/>
      <c r="M17" s="281"/>
      <c r="N17" s="281"/>
      <c r="O17" s="281"/>
      <c r="P17" s="281"/>
      <c r="Q17" s="281"/>
      <c r="R17" s="281"/>
      <c r="S17" s="281"/>
      <c r="T17" s="280" t="s">
        <v>1889</v>
      </c>
      <c r="U17" s="281"/>
      <c r="V17" s="279">
        <v>0</v>
      </c>
      <c r="W17" s="281"/>
      <c r="X17" s="281"/>
      <c r="Y17" s="281">
        <v>0</v>
      </c>
      <c r="Z17" s="281"/>
    </row>
    <row r="18" spans="1:26">
      <c r="A18" s="279">
        <v>17</v>
      </c>
      <c r="B18" s="280" t="s">
        <v>1171</v>
      </c>
      <c r="C18" s="280" t="s">
        <v>117</v>
      </c>
      <c r="D18" s="280" t="s">
        <v>413</v>
      </c>
      <c r="E18" s="280" t="s">
        <v>1451</v>
      </c>
      <c r="F18" s="280" t="s">
        <v>1176</v>
      </c>
      <c r="G18" s="281"/>
      <c r="H18" s="279">
        <v>0</v>
      </c>
      <c r="I18" s="281"/>
      <c r="J18" s="281"/>
      <c r="K18" s="281"/>
      <c r="L18" s="281"/>
      <c r="M18" s="281"/>
      <c r="N18" s="281"/>
      <c r="O18" s="281"/>
      <c r="P18" s="281"/>
      <c r="Q18" s="281"/>
      <c r="R18" s="281"/>
      <c r="S18" s="281"/>
      <c r="T18" s="280" t="s">
        <v>1889</v>
      </c>
      <c r="U18" s="281"/>
      <c r="V18" s="279">
        <v>0</v>
      </c>
      <c r="W18" s="281"/>
      <c r="X18" s="281"/>
      <c r="Y18" s="281">
        <v>0</v>
      </c>
      <c r="Z18" s="281"/>
    </row>
    <row r="19" spans="1:26">
      <c r="A19" s="279">
        <v>18</v>
      </c>
      <c r="B19" s="280" t="s">
        <v>1171</v>
      </c>
      <c r="C19" s="280" t="s">
        <v>120</v>
      </c>
      <c r="D19" s="280" t="s">
        <v>413</v>
      </c>
      <c r="E19" s="280" t="s">
        <v>1451</v>
      </c>
      <c r="F19" s="280" t="s">
        <v>1176</v>
      </c>
      <c r="G19" s="281"/>
      <c r="H19" s="279">
        <v>0</v>
      </c>
      <c r="I19" s="281"/>
      <c r="J19" s="281"/>
      <c r="K19" s="281"/>
      <c r="L19" s="281"/>
      <c r="M19" s="281"/>
      <c r="N19" s="281"/>
      <c r="O19" s="281"/>
      <c r="P19" s="281"/>
      <c r="Q19" s="281"/>
      <c r="R19" s="281"/>
      <c r="S19" s="281"/>
      <c r="T19" s="280" t="s">
        <v>1889</v>
      </c>
      <c r="U19" s="281"/>
      <c r="V19" s="279">
        <v>0</v>
      </c>
      <c r="W19" s="281"/>
      <c r="X19" s="281"/>
      <c r="Y19" s="281">
        <v>0</v>
      </c>
      <c r="Z19" s="281"/>
    </row>
    <row r="20" spans="1:26" ht="42">
      <c r="A20" s="284">
        <v>19</v>
      </c>
      <c r="B20" s="285" t="s">
        <v>1171</v>
      </c>
      <c r="C20" s="285" t="s">
        <v>123</v>
      </c>
      <c r="D20" s="285" t="s">
        <v>413</v>
      </c>
      <c r="E20" s="285" t="s">
        <v>1451</v>
      </c>
      <c r="F20" s="285" t="s">
        <v>1174</v>
      </c>
      <c r="G20" s="285" t="s">
        <v>1895</v>
      </c>
      <c r="H20" s="284">
        <v>1</v>
      </c>
      <c r="I20" s="290"/>
      <c r="J20" s="285" t="s">
        <v>1896</v>
      </c>
      <c r="K20" s="290"/>
      <c r="L20" s="290"/>
      <c r="M20" s="291">
        <v>0</v>
      </c>
      <c r="N20" s="285" t="s">
        <v>1897</v>
      </c>
      <c r="O20" s="290" t="s">
        <v>1176</v>
      </c>
      <c r="P20" s="290">
        <v>0</v>
      </c>
      <c r="Q20" s="285" t="s">
        <v>1893</v>
      </c>
      <c r="R20" s="285" t="s">
        <v>1889</v>
      </c>
      <c r="S20" s="284">
        <v>0</v>
      </c>
      <c r="T20" s="285" t="s">
        <v>1889</v>
      </c>
      <c r="U20" s="284">
        <v>0</v>
      </c>
      <c r="V20" s="284">
        <v>0</v>
      </c>
      <c r="W20" s="284">
        <v>0</v>
      </c>
      <c r="X20" s="285" t="s">
        <v>1176</v>
      </c>
      <c r="Y20" s="290">
        <v>1</v>
      </c>
      <c r="Z20" s="292" t="s">
        <v>1898</v>
      </c>
    </row>
    <row r="21" spans="1:26">
      <c r="A21" s="279">
        <v>20</v>
      </c>
      <c r="B21" s="280" t="s">
        <v>1171</v>
      </c>
      <c r="C21" s="280" t="s">
        <v>125</v>
      </c>
      <c r="D21" s="280" t="s">
        <v>74</v>
      </c>
      <c r="E21" s="280" t="s">
        <v>1451</v>
      </c>
      <c r="F21" s="280" t="s">
        <v>1176</v>
      </c>
      <c r="G21" s="281"/>
      <c r="H21" s="279">
        <v>0</v>
      </c>
      <c r="I21" s="281"/>
      <c r="J21" s="281"/>
      <c r="K21" s="281"/>
      <c r="L21" s="281"/>
      <c r="M21" s="281"/>
      <c r="N21" s="281"/>
      <c r="O21" s="281"/>
      <c r="P21" s="281"/>
      <c r="Q21" s="281"/>
      <c r="R21" s="281"/>
      <c r="S21" s="281"/>
      <c r="T21" s="280" t="s">
        <v>1889</v>
      </c>
      <c r="U21" s="281"/>
      <c r="V21" s="279">
        <v>0</v>
      </c>
      <c r="W21" s="281"/>
      <c r="X21" s="281"/>
      <c r="Y21" s="281">
        <v>0</v>
      </c>
      <c r="Z21" s="281"/>
    </row>
    <row r="22" spans="1:26">
      <c r="A22" s="286">
        <v>21</v>
      </c>
      <c r="B22" s="283"/>
      <c r="C22" s="283" t="s">
        <v>127</v>
      </c>
      <c r="D22" s="283"/>
      <c r="E22" s="283"/>
      <c r="F22" s="283"/>
      <c r="G22" s="283"/>
      <c r="H22" s="286"/>
      <c r="I22" s="287"/>
      <c r="J22" s="283"/>
      <c r="K22" s="287"/>
      <c r="L22" s="287"/>
      <c r="M22" s="288"/>
      <c r="N22" s="283"/>
      <c r="O22" s="287"/>
      <c r="P22" s="287"/>
      <c r="Q22" s="283"/>
      <c r="R22" s="283"/>
      <c r="S22" s="286"/>
      <c r="T22" s="283"/>
      <c r="U22" s="286"/>
      <c r="V22" s="286"/>
      <c r="W22" s="286"/>
      <c r="X22" s="283"/>
      <c r="Y22" s="287">
        <v>1.125</v>
      </c>
      <c r="Z22" s="289"/>
    </row>
    <row r="23" spans="1:26">
      <c r="A23" s="279">
        <v>22</v>
      </c>
      <c r="B23" s="280" t="s">
        <v>1171</v>
      </c>
      <c r="C23" s="280" t="s">
        <v>129</v>
      </c>
      <c r="D23" s="280" t="s">
        <v>74</v>
      </c>
      <c r="E23" s="280" t="s">
        <v>1451</v>
      </c>
      <c r="F23" s="280" t="s">
        <v>1176</v>
      </c>
      <c r="G23" s="281"/>
      <c r="H23" s="279">
        <v>0</v>
      </c>
      <c r="I23" s="281"/>
      <c r="J23" s="281"/>
      <c r="K23" s="281"/>
      <c r="L23" s="281"/>
      <c r="M23" s="281"/>
      <c r="N23" s="281"/>
      <c r="O23" s="281"/>
      <c r="P23" s="281"/>
      <c r="Q23" s="281"/>
      <c r="R23" s="281"/>
      <c r="S23" s="281"/>
      <c r="T23" s="280" t="s">
        <v>1889</v>
      </c>
      <c r="U23" s="281"/>
      <c r="V23" s="279">
        <v>0</v>
      </c>
      <c r="W23" s="281"/>
      <c r="X23" s="281"/>
      <c r="Y23" s="281">
        <v>0</v>
      </c>
      <c r="Z23" s="281"/>
    </row>
    <row r="24" spans="1:26">
      <c r="A24" s="279">
        <v>23</v>
      </c>
      <c r="B24" s="280" t="s">
        <v>1171</v>
      </c>
      <c r="C24" s="280" t="s">
        <v>134</v>
      </c>
      <c r="D24" s="280" t="s">
        <v>74</v>
      </c>
      <c r="E24" s="280" t="s">
        <v>1451</v>
      </c>
      <c r="F24" s="280" t="s">
        <v>1176</v>
      </c>
      <c r="G24" s="281"/>
      <c r="H24" s="279">
        <v>0</v>
      </c>
      <c r="I24" s="281"/>
      <c r="J24" s="281"/>
      <c r="K24" s="281"/>
      <c r="L24" s="281"/>
      <c r="M24" s="281"/>
      <c r="N24" s="281"/>
      <c r="O24" s="281"/>
      <c r="P24" s="281"/>
      <c r="Q24" s="281"/>
      <c r="R24" s="281"/>
      <c r="S24" s="281"/>
      <c r="T24" s="280" t="s">
        <v>1889</v>
      </c>
      <c r="U24" s="281"/>
      <c r="V24" s="279">
        <v>0</v>
      </c>
      <c r="W24" s="281"/>
      <c r="X24" s="281"/>
      <c r="Y24" s="281">
        <v>0</v>
      </c>
      <c r="Z24" s="281"/>
    </row>
    <row r="25" spans="1:26" ht="70">
      <c r="A25" s="284">
        <v>24</v>
      </c>
      <c r="B25" s="285" t="s">
        <v>1171</v>
      </c>
      <c r="C25" s="285" t="s">
        <v>136</v>
      </c>
      <c r="D25" s="285" t="s">
        <v>74</v>
      </c>
      <c r="E25" s="285" t="s">
        <v>1451</v>
      </c>
      <c r="F25" s="285" t="s">
        <v>1174</v>
      </c>
      <c r="G25" s="285" t="s">
        <v>1899</v>
      </c>
      <c r="H25" s="284">
        <v>1</v>
      </c>
      <c r="I25" s="290"/>
      <c r="J25" s="285" t="s">
        <v>1900</v>
      </c>
      <c r="K25" s="290"/>
      <c r="L25" s="290"/>
      <c r="M25" s="291">
        <v>0</v>
      </c>
      <c r="N25" s="285" t="s">
        <v>1901</v>
      </c>
      <c r="O25" s="290" t="s">
        <v>1176</v>
      </c>
      <c r="P25" s="290">
        <v>0</v>
      </c>
      <c r="Q25" s="285" t="s">
        <v>1902</v>
      </c>
      <c r="R25" s="285" t="s">
        <v>1889</v>
      </c>
      <c r="S25" s="284">
        <v>8</v>
      </c>
      <c r="T25" s="285" t="s">
        <v>1889</v>
      </c>
      <c r="U25" s="284">
        <v>3</v>
      </c>
      <c r="V25" s="284">
        <v>0</v>
      </c>
      <c r="W25" s="284">
        <v>0</v>
      </c>
      <c r="X25" s="285" t="s">
        <v>1176</v>
      </c>
      <c r="Y25" s="290">
        <v>1</v>
      </c>
      <c r="Z25" s="292" t="s">
        <v>1903</v>
      </c>
    </row>
    <row r="26" spans="1:26">
      <c r="A26" s="279">
        <v>25</v>
      </c>
      <c r="B26" s="280" t="s">
        <v>1171</v>
      </c>
      <c r="C26" s="280" t="s">
        <v>139</v>
      </c>
      <c r="D26" s="280" t="s">
        <v>74</v>
      </c>
      <c r="E26" s="280" t="s">
        <v>1451</v>
      </c>
      <c r="F26" s="280" t="s">
        <v>1176</v>
      </c>
      <c r="G26" s="281"/>
      <c r="H26" s="279">
        <v>0</v>
      </c>
      <c r="I26" s="281"/>
      <c r="J26" s="281"/>
      <c r="K26" s="281"/>
      <c r="L26" s="281"/>
      <c r="M26" s="281"/>
      <c r="N26" s="281"/>
      <c r="O26" s="281"/>
      <c r="P26" s="281"/>
      <c r="Q26" s="281"/>
      <c r="R26" s="281"/>
      <c r="S26" s="281"/>
      <c r="T26" s="280" t="s">
        <v>1889</v>
      </c>
      <c r="U26" s="281"/>
      <c r="V26" s="279">
        <v>0</v>
      </c>
      <c r="W26" s="281"/>
      <c r="X26" s="281"/>
      <c r="Y26" s="281">
        <v>0</v>
      </c>
      <c r="Z26" s="281"/>
    </row>
    <row r="27" spans="1:26">
      <c r="A27" s="284">
        <v>26</v>
      </c>
      <c r="B27" s="285" t="s">
        <v>1171</v>
      </c>
      <c r="C27" s="285" t="s">
        <v>141</v>
      </c>
      <c r="D27" s="285" t="s">
        <v>74</v>
      </c>
      <c r="E27" s="285" t="s">
        <v>1451</v>
      </c>
      <c r="F27" s="285" t="s">
        <v>1174</v>
      </c>
      <c r="G27" s="285" t="s">
        <v>1904</v>
      </c>
      <c r="H27" s="284">
        <v>1</v>
      </c>
      <c r="I27" s="290"/>
      <c r="J27" s="285" t="s">
        <v>1905</v>
      </c>
      <c r="K27" s="290"/>
      <c r="L27" s="290"/>
      <c r="M27" s="291">
        <v>0</v>
      </c>
      <c r="N27" s="285" t="s">
        <v>1906</v>
      </c>
      <c r="O27" s="290"/>
      <c r="P27" s="290"/>
      <c r="Q27" s="285" t="s">
        <v>1902</v>
      </c>
      <c r="R27" s="285" t="s">
        <v>1889</v>
      </c>
      <c r="S27" s="284">
        <v>11684</v>
      </c>
      <c r="T27" s="285" t="s">
        <v>1907</v>
      </c>
      <c r="U27" s="284">
        <v>99</v>
      </c>
      <c r="V27" s="284">
        <v>0</v>
      </c>
      <c r="W27" s="284">
        <v>0</v>
      </c>
      <c r="X27" s="285" t="s">
        <v>1176</v>
      </c>
      <c r="Y27" s="290">
        <v>1</v>
      </c>
      <c r="Z27" s="292"/>
    </row>
    <row r="28" spans="1:26">
      <c r="A28" s="279">
        <v>27</v>
      </c>
      <c r="B28" s="280" t="s">
        <v>1171</v>
      </c>
      <c r="C28" s="280" t="s">
        <v>143</v>
      </c>
      <c r="D28" s="280" t="s">
        <v>74</v>
      </c>
      <c r="E28" s="280" t="s">
        <v>1451</v>
      </c>
      <c r="F28" s="280" t="s">
        <v>1176</v>
      </c>
      <c r="G28" s="281"/>
      <c r="H28" s="279">
        <v>0</v>
      </c>
      <c r="I28" s="281"/>
      <c r="J28" s="281"/>
      <c r="K28" s="281"/>
      <c r="L28" s="281"/>
      <c r="M28" s="281"/>
      <c r="N28" s="281"/>
      <c r="O28" s="281"/>
      <c r="P28" s="281"/>
      <c r="Q28" s="281"/>
      <c r="R28" s="281"/>
      <c r="S28" s="281"/>
      <c r="T28" s="280" t="s">
        <v>1889</v>
      </c>
      <c r="U28" s="281"/>
      <c r="V28" s="279">
        <v>0</v>
      </c>
      <c r="W28" s="281"/>
      <c r="X28" s="281"/>
      <c r="Y28" s="281">
        <v>0</v>
      </c>
      <c r="Z28" s="281"/>
    </row>
    <row r="29" spans="1:26">
      <c r="A29" s="286">
        <v>28</v>
      </c>
      <c r="B29" s="283"/>
      <c r="C29" s="283" t="s">
        <v>145</v>
      </c>
      <c r="D29" s="283"/>
      <c r="E29" s="283"/>
      <c r="F29" s="283"/>
      <c r="G29" s="283"/>
      <c r="H29" s="286"/>
      <c r="I29" s="287"/>
      <c r="J29" s="283"/>
      <c r="K29" s="287"/>
      <c r="L29" s="287"/>
      <c r="M29" s="288"/>
      <c r="N29" s="283"/>
      <c r="O29" s="287"/>
      <c r="P29" s="287"/>
      <c r="Q29" s="283"/>
      <c r="R29" s="283"/>
      <c r="S29" s="286"/>
      <c r="T29" s="283"/>
      <c r="U29" s="286"/>
      <c r="V29" s="286"/>
      <c r="W29" s="286"/>
      <c r="X29" s="283"/>
      <c r="Y29" s="287">
        <v>1</v>
      </c>
      <c r="Z29" s="289"/>
    </row>
    <row r="30" spans="1:26">
      <c r="A30" s="279">
        <v>29</v>
      </c>
      <c r="B30" s="280" t="s">
        <v>1171</v>
      </c>
      <c r="C30" s="280" t="s">
        <v>148</v>
      </c>
      <c r="D30" s="280" t="s">
        <v>74</v>
      </c>
      <c r="E30" s="280" t="s">
        <v>1451</v>
      </c>
      <c r="F30" s="280" t="s">
        <v>1176</v>
      </c>
      <c r="G30" s="281"/>
      <c r="H30" s="279">
        <v>0</v>
      </c>
      <c r="I30" s="281"/>
      <c r="J30" s="281"/>
      <c r="K30" s="281"/>
      <c r="L30" s="281"/>
      <c r="M30" s="281"/>
      <c r="N30" s="281"/>
      <c r="O30" s="281"/>
      <c r="P30" s="281"/>
      <c r="Q30" s="281"/>
      <c r="R30" s="281"/>
      <c r="S30" s="281"/>
      <c r="T30" s="280" t="s">
        <v>1889</v>
      </c>
      <c r="U30" s="281"/>
      <c r="V30" s="279">
        <v>0</v>
      </c>
      <c r="W30" s="281"/>
      <c r="X30" s="281"/>
      <c r="Y30" s="281">
        <v>0</v>
      </c>
      <c r="Z30" s="281"/>
    </row>
    <row r="31" spans="1:26">
      <c r="A31" s="279">
        <v>30</v>
      </c>
      <c r="B31" s="280" t="s">
        <v>1171</v>
      </c>
      <c r="C31" s="280" t="s">
        <v>150</v>
      </c>
      <c r="D31" s="280" t="s">
        <v>413</v>
      </c>
      <c r="E31" s="280" t="s">
        <v>1451</v>
      </c>
      <c r="F31" s="280" t="s">
        <v>1176</v>
      </c>
      <c r="G31" s="281"/>
      <c r="H31" s="279">
        <v>0</v>
      </c>
      <c r="I31" s="281"/>
      <c r="J31" s="281"/>
      <c r="K31" s="281"/>
      <c r="L31" s="281"/>
      <c r="M31" s="281"/>
      <c r="N31" s="281"/>
      <c r="O31" s="281"/>
      <c r="P31" s="281"/>
      <c r="Q31" s="281"/>
      <c r="R31" s="281"/>
      <c r="S31" s="281"/>
      <c r="T31" s="280" t="s">
        <v>1889</v>
      </c>
      <c r="U31" s="281"/>
      <c r="V31" s="279">
        <v>0</v>
      </c>
      <c r="W31" s="281"/>
      <c r="X31" s="281"/>
      <c r="Y31" s="281">
        <v>0</v>
      </c>
      <c r="Z31" s="281"/>
    </row>
    <row r="32" spans="1:26">
      <c r="A32" s="279">
        <v>31</v>
      </c>
      <c r="B32" s="280" t="s">
        <v>1171</v>
      </c>
      <c r="C32" s="280" t="s">
        <v>153</v>
      </c>
      <c r="D32" s="280" t="s">
        <v>413</v>
      </c>
      <c r="E32" s="280" t="s">
        <v>1451</v>
      </c>
      <c r="F32" s="280" t="s">
        <v>1176</v>
      </c>
      <c r="G32" s="281"/>
      <c r="H32" s="279">
        <v>0</v>
      </c>
      <c r="I32" s="281"/>
      <c r="J32" s="281"/>
      <c r="K32" s="281"/>
      <c r="L32" s="281"/>
      <c r="M32" s="281"/>
      <c r="N32" s="281"/>
      <c r="O32" s="281"/>
      <c r="P32" s="281"/>
      <c r="Q32" s="281"/>
      <c r="R32" s="281"/>
      <c r="S32" s="281"/>
      <c r="T32" s="280" t="s">
        <v>1889</v>
      </c>
      <c r="U32" s="281"/>
      <c r="V32" s="279">
        <v>0</v>
      </c>
      <c r="W32" s="281"/>
      <c r="X32" s="281"/>
      <c r="Y32" s="281">
        <v>0</v>
      </c>
      <c r="Z32" s="281"/>
    </row>
    <row r="33" spans="1:26" ht="42">
      <c r="A33" s="284">
        <v>32</v>
      </c>
      <c r="B33" s="285" t="s">
        <v>1171</v>
      </c>
      <c r="C33" s="285" t="s">
        <v>156</v>
      </c>
      <c r="D33" s="285" t="s">
        <v>74</v>
      </c>
      <c r="E33" s="285" t="s">
        <v>1451</v>
      </c>
      <c r="F33" s="285" t="s">
        <v>1174</v>
      </c>
      <c r="G33" s="285" t="s">
        <v>1908</v>
      </c>
      <c r="H33" s="284">
        <v>1</v>
      </c>
      <c r="I33" s="290"/>
      <c r="J33" s="285" t="s">
        <v>1909</v>
      </c>
      <c r="K33" s="290"/>
      <c r="L33" s="290"/>
      <c r="M33" s="291">
        <v>0</v>
      </c>
      <c r="N33" s="285" t="s">
        <v>1910</v>
      </c>
      <c r="O33" s="290" t="s">
        <v>1176</v>
      </c>
      <c r="P33" s="290">
        <v>0</v>
      </c>
      <c r="Q33" s="285" t="s">
        <v>1893</v>
      </c>
      <c r="R33" s="285" t="s">
        <v>1889</v>
      </c>
      <c r="S33" s="284">
        <v>0</v>
      </c>
      <c r="T33" s="285" t="s">
        <v>1889</v>
      </c>
      <c r="U33" s="284">
        <v>0</v>
      </c>
      <c r="V33" s="284">
        <v>0</v>
      </c>
      <c r="W33" s="284">
        <v>0</v>
      </c>
      <c r="X33" s="285" t="s">
        <v>1176</v>
      </c>
      <c r="Y33" s="290">
        <v>1</v>
      </c>
      <c r="Z33" s="292" t="s">
        <v>1911</v>
      </c>
    </row>
    <row r="34" spans="1:26">
      <c r="A34" s="279">
        <v>33</v>
      </c>
      <c r="B34" s="280" t="s">
        <v>1171</v>
      </c>
      <c r="C34" s="280" t="s">
        <v>158</v>
      </c>
      <c r="D34" s="280" t="s">
        <v>74</v>
      </c>
      <c r="E34" s="280" t="s">
        <v>1451</v>
      </c>
      <c r="F34" s="280" t="s">
        <v>1176</v>
      </c>
      <c r="G34" s="281"/>
      <c r="H34" s="279">
        <v>0</v>
      </c>
      <c r="I34" s="281"/>
      <c r="J34" s="281"/>
      <c r="K34" s="281"/>
      <c r="L34" s="281"/>
      <c r="M34" s="281"/>
      <c r="N34" s="281"/>
      <c r="O34" s="281"/>
      <c r="P34" s="281"/>
      <c r="Q34" s="281"/>
      <c r="R34" s="281"/>
      <c r="S34" s="281"/>
      <c r="T34" s="280" t="s">
        <v>1889</v>
      </c>
      <c r="U34" s="281"/>
      <c r="V34" s="279">
        <v>0</v>
      </c>
      <c r="W34" s="281"/>
      <c r="X34" s="281"/>
      <c r="Y34" s="281">
        <v>0</v>
      </c>
      <c r="Z34" s="281"/>
    </row>
    <row r="35" spans="1:26">
      <c r="A35" s="279">
        <v>34</v>
      </c>
      <c r="B35" s="280" t="s">
        <v>1171</v>
      </c>
      <c r="C35" s="280" t="s">
        <v>161</v>
      </c>
      <c r="D35" s="280" t="s">
        <v>74</v>
      </c>
      <c r="E35" s="280" t="s">
        <v>1451</v>
      </c>
      <c r="F35" s="280" t="s">
        <v>1176</v>
      </c>
      <c r="G35" s="281"/>
      <c r="H35" s="279">
        <v>0</v>
      </c>
      <c r="I35" s="281"/>
      <c r="J35" s="281"/>
      <c r="K35" s="281"/>
      <c r="L35" s="281"/>
      <c r="M35" s="281"/>
      <c r="N35" s="281"/>
      <c r="O35" s="281"/>
      <c r="P35" s="281"/>
      <c r="Q35" s="281"/>
      <c r="R35" s="281"/>
      <c r="S35" s="281"/>
      <c r="T35" s="280" t="s">
        <v>1889</v>
      </c>
      <c r="U35" s="281"/>
      <c r="V35" s="279">
        <v>0</v>
      </c>
      <c r="W35" s="281"/>
      <c r="X35" s="281"/>
      <c r="Y35" s="281">
        <v>0</v>
      </c>
      <c r="Z35" s="281"/>
    </row>
    <row r="36" spans="1:26">
      <c r="A36" s="279">
        <v>35</v>
      </c>
      <c r="B36" s="280" t="s">
        <v>1171</v>
      </c>
      <c r="C36" s="280" t="s">
        <v>163</v>
      </c>
      <c r="D36" s="280" t="s">
        <v>74</v>
      </c>
      <c r="E36" s="280" t="s">
        <v>1451</v>
      </c>
      <c r="F36" s="280" t="s">
        <v>1176</v>
      </c>
      <c r="G36" s="281"/>
      <c r="H36" s="279">
        <v>0</v>
      </c>
      <c r="I36" s="281"/>
      <c r="J36" s="281"/>
      <c r="K36" s="281"/>
      <c r="L36" s="281"/>
      <c r="M36" s="281"/>
      <c r="N36" s="281"/>
      <c r="O36" s="281"/>
      <c r="P36" s="281"/>
      <c r="Q36" s="281"/>
      <c r="R36" s="281"/>
      <c r="S36" s="281"/>
      <c r="T36" s="280" t="s">
        <v>1889</v>
      </c>
      <c r="U36" s="281"/>
      <c r="V36" s="279">
        <v>0</v>
      </c>
      <c r="W36" s="281"/>
      <c r="X36" s="281"/>
      <c r="Y36" s="281">
        <v>0</v>
      </c>
      <c r="Z36" s="281"/>
    </row>
    <row r="37" spans="1:26" ht="42">
      <c r="A37" s="284">
        <v>36</v>
      </c>
      <c r="B37" s="285" t="s">
        <v>1171</v>
      </c>
      <c r="C37" s="285" t="s">
        <v>165</v>
      </c>
      <c r="D37" s="285" t="s">
        <v>74</v>
      </c>
      <c r="E37" s="285" t="s">
        <v>1451</v>
      </c>
      <c r="F37" s="285" t="s">
        <v>1174</v>
      </c>
      <c r="G37" s="285" t="s">
        <v>1912</v>
      </c>
      <c r="H37" s="284">
        <v>1</v>
      </c>
      <c r="I37" s="290"/>
      <c r="J37" s="285" t="s">
        <v>1913</v>
      </c>
      <c r="K37" s="290"/>
      <c r="L37" s="290"/>
      <c r="M37" s="291">
        <v>18.989999999999998</v>
      </c>
      <c r="N37" s="285" t="s">
        <v>1914</v>
      </c>
      <c r="O37" s="290" t="s">
        <v>1176</v>
      </c>
      <c r="P37" s="290">
        <v>0</v>
      </c>
      <c r="Q37" s="285" t="s">
        <v>1915</v>
      </c>
      <c r="R37" s="285" t="s">
        <v>1907</v>
      </c>
      <c r="S37" s="284">
        <v>9</v>
      </c>
      <c r="T37" s="285" t="s">
        <v>1889</v>
      </c>
      <c r="U37" s="284">
        <v>0</v>
      </c>
      <c r="V37" s="284">
        <v>0</v>
      </c>
      <c r="W37" s="284">
        <v>0.25</v>
      </c>
      <c r="X37" s="285" t="s">
        <v>1176</v>
      </c>
      <c r="Y37" s="290">
        <v>1.25</v>
      </c>
      <c r="Z37" s="292" t="s">
        <v>1916</v>
      </c>
    </row>
    <row r="38" spans="1:26">
      <c r="A38" s="279">
        <v>37</v>
      </c>
      <c r="B38" s="280" t="s">
        <v>1171</v>
      </c>
      <c r="C38" s="280" t="s">
        <v>167</v>
      </c>
      <c r="D38" s="280" t="s">
        <v>413</v>
      </c>
      <c r="E38" s="280" t="s">
        <v>1451</v>
      </c>
      <c r="F38" s="280" t="s">
        <v>1176</v>
      </c>
      <c r="G38" s="281"/>
      <c r="H38" s="279">
        <v>0</v>
      </c>
      <c r="I38" s="281"/>
      <c r="J38" s="281"/>
      <c r="K38" s="281"/>
      <c r="L38" s="281"/>
      <c r="M38" s="281"/>
      <c r="N38" s="281"/>
      <c r="O38" s="281"/>
      <c r="P38" s="281"/>
      <c r="Q38" s="281"/>
      <c r="R38" s="281"/>
      <c r="S38" s="281"/>
      <c r="T38" s="280" t="s">
        <v>1889</v>
      </c>
      <c r="U38" s="281"/>
      <c r="V38" s="279">
        <v>0</v>
      </c>
      <c r="W38" s="281"/>
      <c r="X38" s="281"/>
      <c r="Y38" s="281">
        <v>0</v>
      </c>
      <c r="Z38" s="281"/>
    </row>
    <row r="39" spans="1:26">
      <c r="A39" s="279">
        <v>38</v>
      </c>
      <c r="B39" s="280" t="s">
        <v>1171</v>
      </c>
      <c r="C39" s="280" t="s">
        <v>169</v>
      </c>
      <c r="D39" s="280" t="s">
        <v>413</v>
      </c>
      <c r="E39" s="280" t="s">
        <v>1451</v>
      </c>
      <c r="F39" s="280" t="s">
        <v>1176</v>
      </c>
      <c r="G39" s="281"/>
      <c r="H39" s="279">
        <v>0</v>
      </c>
      <c r="I39" s="281"/>
      <c r="J39" s="281"/>
      <c r="K39" s="281"/>
      <c r="L39" s="281"/>
      <c r="M39" s="281"/>
      <c r="N39" s="281"/>
      <c r="O39" s="281"/>
      <c r="P39" s="281"/>
      <c r="Q39" s="281"/>
      <c r="R39" s="281"/>
      <c r="S39" s="281"/>
      <c r="T39" s="280" t="s">
        <v>1889</v>
      </c>
      <c r="U39" s="281"/>
      <c r="V39" s="279">
        <v>0</v>
      </c>
      <c r="W39" s="281"/>
      <c r="X39" s="281"/>
      <c r="Y39" s="281">
        <v>0</v>
      </c>
      <c r="Z39" s="281"/>
    </row>
    <row r="40" spans="1:26" ht="70">
      <c r="A40" s="284">
        <v>39</v>
      </c>
      <c r="B40" s="285" t="s">
        <v>1171</v>
      </c>
      <c r="C40" s="285" t="s">
        <v>171</v>
      </c>
      <c r="D40" s="285" t="s">
        <v>74</v>
      </c>
      <c r="E40" s="285" t="s">
        <v>1451</v>
      </c>
      <c r="F40" s="285" t="s">
        <v>1174</v>
      </c>
      <c r="G40" s="285" t="s">
        <v>1917</v>
      </c>
      <c r="H40" s="284">
        <v>1</v>
      </c>
      <c r="I40" s="290"/>
      <c r="J40" s="285" t="s">
        <v>1918</v>
      </c>
      <c r="K40" s="290"/>
      <c r="L40" s="290"/>
      <c r="M40" s="291">
        <v>0</v>
      </c>
      <c r="N40" s="285" t="s">
        <v>1919</v>
      </c>
      <c r="O40" s="290" t="s">
        <v>1176</v>
      </c>
      <c r="P40" s="290">
        <v>0</v>
      </c>
      <c r="Q40" s="285" t="s">
        <v>1920</v>
      </c>
      <c r="R40" s="285" t="s">
        <v>1921</v>
      </c>
      <c r="S40" s="284">
        <v>61</v>
      </c>
      <c r="T40" s="285" t="s">
        <v>1889</v>
      </c>
      <c r="U40" s="284">
        <v>1</v>
      </c>
      <c r="V40" s="284">
        <v>0</v>
      </c>
      <c r="W40" s="284">
        <v>0</v>
      </c>
      <c r="X40" s="285" t="s">
        <v>1176</v>
      </c>
      <c r="Y40" s="290">
        <v>1</v>
      </c>
      <c r="Z40" s="292" t="s">
        <v>1922</v>
      </c>
    </row>
    <row r="41" spans="1:26">
      <c r="A41" s="279">
        <v>40</v>
      </c>
      <c r="B41" s="280" t="s">
        <v>1171</v>
      </c>
      <c r="C41" s="280" t="s">
        <v>174</v>
      </c>
      <c r="D41" s="280" t="s">
        <v>74</v>
      </c>
      <c r="E41" s="280" t="s">
        <v>1451</v>
      </c>
      <c r="F41" s="280" t="s">
        <v>1176</v>
      </c>
      <c r="G41" s="281"/>
      <c r="H41" s="279">
        <v>0</v>
      </c>
      <c r="I41" s="281"/>
      <c r="J41" s="281"/>
      <c r="K41" s="281"/>
      <c r="L41" s="281"/>
      <c r="M41" s="281"/>
      <c r="N41" s="281"/>
      <c r="O41" s="281"/>
      <c r="P41" s="281"/>
      <c r="Q41" s="281"/>
      <c r="R41" s="281"/>
      <c r="S41" s="281"/>
      <c r="T41" s="280" t="s">
        <v>1889</v>
      </c>
      <c r="U41" s="281"/>
      <c r="V41" s="279">
        <v>0</v>
      </c>
      <c r="W41" s="281"/>
      <c r="X41" s="281"/>
      <c r="Y41" s="281">
        <v>0</v>
      </c>
      <c r="Z41" s="281"/>
    </row>
    <row r="42" spans="1:26">
      <c r="A42" s="286">
        <v>41</v>
      </c>
      <c r="B42" s="283"/>
      <c r="C42" s="283" t="s">
        <v>177</v>
      </c>
      <c r="D42" s="283"/>
      <c r="E42" s="283"/>
      <c r="F42" s="283"/>
      <c r="G42" s="283"/>
      <c r="H42" s="286"/>
      <c r="I42" s="287"/>
      <c r="J42" s="283"/>
      <c r="K42" s="287"/>
      <c r="L42" s="287"/>
      <c r="M42" s="288"/>
      <c r="N42" s="283"/>
      <c r="O42" s="287"/>
      <c r="P42" s="287"/>
      <c r="Q42" s="283"/>
      <c r="R42" s="283"/>
      <c r="S42" s="286"/>
      <c r="T42" s="283"/>
      <c r="U42" s="286"/>
      <c r="V42" s="286"/>
      <c r="W42" s="286"/>
      <c r="X42" s="283"/>
      <c r="Y42" s="287">
        <v>1.125</v>
      </c>
      <c r="Z42" s="289"/>
    </row>
    <row r="43" spans="1:26" ht="28">
      <c r="A43" s="284">
        <v>42</v>
      </c>
      <c r="B43" s="285" t="s">
        <v>1171</v>
      </c>
      <c r="C43" s="285" t="s">
        <v>180</v>
      </c>
      <c r="D43" s="285" t="s">
        <v>413</v>
      </c>
      <c r="E43" s="285" t="s">
        <v>1451</v>
      </c>
      <c r="F43" s="285" t="s">
        <v>1174</v>
      </c>
      <c r="G43" s="285" t="s">
        <v>1923</v>
      </c>
      <c r="H43" s="284">
        <v>1</v>
      </c>
      <c r="I43" s="290"/>
      <c r="J43" s="285" t="s">
        <v>180</v>
      </c>
      <c r="K43" s="290"/>
      <c r="L43" s="290"/>
      <c r="M43" s="291">
        <v>0</v>
      </c>
      <c r="N43" s="285" t="s">
        <v>1924</v>
      </c>
      <c r="O43" s="290" t="s">
        <v>1174</v>
      </c>
      <c r="P43" s="290">
        <v>0.25</v>
      </c>
      <c r="Q43" s="285" t="s">
        <v>1925</v>
      </c>
      <c r="R43" s="285" t="s">
        <v>1907</v>
      </c>
      <c r="S43" s="284">
        <v>15</v>
      </c>
      <c r="T43" s="285" t="s">
        <v>1889</v>
      </c>
      <c r="U43" s="284">
        <v>7</v>
      </c>
      <c r="V43" s="284">
        <v>0</v>
      </c>
      <c r="W43" s="284">
        <v>0.25</v>
      </c>
      <c r="X43" s="285" t="s">
        <v>1176</v>
      </c>
      <c r="Y43" s="290">
        <v>1.5</v>
      </c>
      <c r="Z43" s="292" t="s">
        <v>1926</v>
      </c>
    </row>
    <row r="44" spans="1:26">
      <c r="A44" s="279">
        <v>43</v>
      </c>
      <c r="B44" s="280" t="s">
        <v>1171</v>
      </c>
      <c r="C44" s="280" t="s">
        <v>182</v>
      </c>
      <c r="D44" s="280" t="s">
        <v>413</v>
      </c>
      <c r="E44" s="280" t="s">
        <v>1451</v>
      </c>
      <c r="F44" s="280" t="s">
        <v>1176</v>
      </c>
      <c r="G44" s="281"/>
      <c r="H44" s="279">
        <v>0</v>
      </c>
      <c r="I44" s="281"/>
      <c r="J44" s="281"/>
      <c r="K44" s="281"/>
      <c r="L44" s="281"/>
      <c r="M44" s="281"/>
      <c r="N44" s="281"/>
      <c r="O44" s="281"/>
      <c r="P44" s="281"/>
      <c r="Q44" s="281"/>
      <c r="R44" s="281"/>
      <c r="S44" s="281"/>
      <c r="T44" s="280" t="s">
        <v>1889</v>
      </c>
      <c r="U44" s="281"/>
      <c r="V44" s="279">
        <v>0</v>
      </c>
      <c r="W44" s="281"/>
      <c r="X44" s="281"/>
      <c r="Y44" s="281">
        <v>0</v>
      </c>
      <c r="Z44" s="281"/>
    </row>
    <row r="45" spans="1:26">
      <c r="A45" s="279">
        <v>44</v>
      </c>
      <c r="B45" s="280" t="s">
        <v>1171</v>
      </c>
      <c r="C45" s="280" t="s">
        <v>185</v>
      </c>
      <c r="D45" s="280" t="s">
        <v>413</v>
      </c>
      <c r="E45" s="280" t="s">
        <v>1451</v>
      </c>
      <c r="F45" s="280" t="s">
        <v>1176</v>
      </c>
      <c r="G45" s="281"/>
      <c r="H45" s="279">
        <v>0</v>
      </c>
      <c r="I45" s="281"/>
      <c r="J45" s="281"/>
      <c r="K45" s="281"/>
      <c r="L45" s="281"/>
      <c r="M45" s="281"/>
      <c r="N45" s="281"/>
      <c r="O45" s="281"/>
      <c r="P45" s="281"/>
      <c r="Q45" s="281"/>
      <c r="R45" s="281"/>
      <c r="S45" s="281"/>
      <c r="T45" s="280" t="s">
        <v>1889</v>
      </c>
      <c r="U45" s="281"/>
      <c r="V45" s="279">
        <v>0</v>
      </c>
      <c r="W45" s="281"/>
      <c r="X45" s="281"/>
      <c r="Y45" s="281">
        <v>0</v>
      </c>
      <c r="Z45" s="281"/>
    </row>
    <row r="46" spans="1:26">
      <c r="A46" s="279">
        <v>45</v>
      </c>
      <c r="B46" s="280" t="s">
        <v>1171</v>
      </c>
      <c r="C46" s="280" t="s">
        <v>187</v>
      </c>
      <c r="D46" s="280" t="s">
        <v>74</v>
      </c>
      <c r="E46" s="280" t="s">
        <v>1451</v>
      </c>
      <c r="F46" s="280" t="s">
        <v>1176</v>
      </c>
      <c r="G46" s="281"/>
      <c r="H46" s="279">
        <v>0</v>
      </c>
      <c r="I46" s="281"/>
      <c r="J46" s="281"/>
      <c r="K46" s="281"/>
      <c r="L46" s="281"/>
      <c r="M46" s="281"/>
      <c r="N46" s="281"/>
      <c r="O46" s="281"/>
      <c r="P46" s="281"/>
      <c r="Q46" s="281"/>
      <c r="R46" s="281"/>
      <c r="S46" s="281"/>
      <c r="T46" s="280" t="s">
        <v>1889</v>
      </c>
      <c r="U46" s="281"/>
      <c r="V46" s="279">
        <v>0</v>
      </c>
      <c r="W46" s="281"/>
      <c r="X46" s="281"/>
      <c r="Y46" s="281">
        <v>0</v>
      </c>
      <c r="Z46" s="281"/>
    </row>
    <row r="47" spans="1:26">
      <c r="A47" s="284">
        <v>46</v>
      </c>
      <c r="B47" s="285" t="s">
        <v>1171</v>
      </c>
      <c r="C47" s="285" t="s">
        <v>190</v>
      </c>
      <c r="D47" s="285" t="s">
        <v>74</v>
      </c>
      <c r="E47" s="285" t="s">
        <v>1451</v>
      </c>
      <c r="F47" s="285" t="s">
        <v>1174</v>
      </c>
      <c r="G47" s="285" t="s">
        <v>1927</v>
      </c>
      <c r="H47" s="284">
        <v>1</v>
      </c>
      <c r="I47" s="290"/>
      <c r="J47" s="285" t="s">
        <v>1928</v>
      </c>
      <c r="K47" s="290"/>
      <c r="L47" s="290"/>
      <c r="M47" s="291">
        <v>0</v>
      </c>
      <c r="N47" s="285" t="s">
        <v>1929</v>
      </c>
      <c r="O47" s="290"/>
      <c r="P47" s="290"/>
      <c r="Q47" s="285" t="s">
        <v>1930</v>
      </c>
      <c r="R47" s="285" t="s">
        <v>1907</v>
      </c>
      <c r="S47" s="284">
        <v>38</v>
      </c>
      <c r="T47" s="285" t="s">
        <v>1889</v>
      </c>
      <c r="U47" s="284">
        <v>9</v>
      </c>
      <c r="V47" s="284">
        <v>0</v>
      </c>
      <c r="W47" s="284">
        <v>0.25</v>
      </c>
      <c r="X47" s="285" t="s">
        <v>1176</v>
      </c>
      <c r="Y47" s="290">
        <v>1.25</v>
      </c>
      <c r="Z47" s="292"/>
    </row>
    <row r="48" spans="1:26">
      <c r="A48" s="279">
        <v>47</v>
      </c>
      <c r="B48" s="280" t="s">
        <v>1171</v>
      </c>
      <c r="C48" s="280" t="s">
        <v>193</v>
      </c>
      <c r="D48" s="280" t="s">
        <v>74</v>
      </c>
      <c r="E48" s="280" t="s">
        <v>1451</v>
      </c>
      <c r="F48" s="280" t="s">
        <v>1176</v>
      </c>
      <c r="G48" s="281"/>
      <c r="H48" s="279">
        <v>0</v>
      </c>
      <c r="I48" s="281"/>
      <c r="J48" s="281"/>
      <c r="K48" s="281"/>
      <c r="L48" s="281"/>
      <c r="M48" s="281"/>
      <c r="N48" s="281"/>
      <c r="O48" s="281"/>
      <c r="P48" s="281"/>
      <c r="Q48" s="281"/>
      <c r="R48" s="281"/>
      <c r="S48" s="281"/>
      <c r="T48" s="280" t="s">
        <v>1889</v>
      </c>
      <c r="U48" s="281"/>
      <c r="V48" s="279">
        <v>0</v>
      </c>
      <c r="W48" s="281"/>
      <c r="X48" s="281"/>
      <c r="Y48" s="281">
        <v>0</v>
      </c>
      <c r="Z48" s="281"/>
    </row>
    <row r="49" spans="1:26">
      <c r="A49" s="279">
        <v>48</v>
      </c>
      <c r="B49" s="280" t="s">
        <v>1171</v>
      </c>
      <c r="C49" s="280" t="s">
        <v>196</v>
      </c>
      <c r="D49" s="280" t="s">
        <v>74</v>
      </c>
      <c r="E49" s="280" t="s">
        <v>1451</v>
      </c>
      <c r="F49" s="280" t="s">
        <v>1176</v>
      </c>
      <c r="G49" s="281"/>
      <c r="H49" s="279">
        <v>0</v>
      </c>
      <c r="I49" s="281"/>
      <c r="J49" s="281"/>
      <c r="K49" s="281"/>
      <c r="L49" s="281"/>
      <c r="M49" s="281"/>
      <c r="N49" s="281"/>
      <c r="O49" s="281"/>
      <c r="P49" s="281"/>
      <c r="Q49" s="281"/>
      <c r="R49" s="281"/>
      <c r="S49" s="281"/>
      <c r="T49" s="280" t="s">
        <v>1889</v>
      </c>
      <c r="U49" s="281"/>
      <c r="V49" s="279">
        <v>0</v>
      </c>
      <c r="W49" s="281"/>
      <c r="X49" s="281"/>
      <c r="Y49" s="281">
        <v>0</v>
      </c>
      <c r="Z49" s="281"/>
    </row>
    <row r="50" spans="1:26">
      <c r="A50" s="279">
        <v>49</v>
      </c>
      <c r="B50" s="280" t="s">
        <v>1171</v>
      </c>
      <c r="C50" s="280" t="s">
        <v>199</v>
      </c>
      <c r="D50" s="280" t="s">
        <v>74</v>
      </c>
      <c r="E50" s="280" t="s">
        <v>1451</v>
      </c>
      <c r="F50" s="280" t="s">
        <v>1176</v>
      </c>
      <c r="G50" s="281"/>
      <c r="H50" s="279">
        <v>0</v>
      </c>
      <c r="I50" s="281"/>
      <c r="J50" s="281"/>
      <c r="K50" s="281"/>
      <c r="L50" s="281"/>
      <c r="M50" s="281"/>
      <c r="N50" s="281"/>
      <c r="O50" s="281"/>
      <c r="P50" s="281"/>
      <c r="Q50" s="281"/>
      <c r="R50" s="281"/>
      <c r="S50" s="281"/>
      <c r="T50" s="280" t="s">
        <v>1889</v>
      </c>
      <c r="U50" s="281"/>
      <c r="V50" s="279">
        <v>0</v>
      </c>
      <c r="W50" s="281"/>
      <c r="X50" s="281"/>
      <c r="Y50" s="281">
        <v>0</v>
      </c>
      <c r="Z50" s="281"/>
    </row>
    <row r="51" spans="1:26" ht="42">
      <c r="A51" s="284">
        <v>50</v>
      </c>
      <c r="B51" s="285" t="s">
        <v>1171</v>
      </c>
      <c r="C51" s="285" t="s">
        <v>201</v>
      </c>
      <c r="D51" s="285" t="s">
        <v>74</v>
      </c>
      <c r="E51" s="285" t="s">
        <v>1451</v>
      </c>
      <c r="F51" s="285" t="s">
        <v>1174</v>
      </c>
      <c r="G51" s="285" t="s">
        <v>1931</v>
      </c>
      <c r="H51" s="284">
        <v>1</v>
      </c>
      <c r="I51" s="290"/>
      <c r="J51" s="285" t="s">
        <v>1932</v>
      </c>
      <c r="K51" s="290"/>
      <c r="L51" s="290"/>
      <c r="M51" s="291">
        <v>0</v>
      </c>
      <c r="N51" s="285" t="s">
        <v>1933</v>
      </c>
      <c r="O51" s="290"/>
      <c r="P51" s="290"/>
      <c r="Q51" s="285" t="s">
        <v>1934</v>
      </c>
      <c r="R51" s="285" t="s">
        <v>1907</v>
      </c>
      <c r="S51" s="284">
        <v>14</v>
      </c>
      <c r="T51" s="285" t="s">
        <v>1889</v>
      </c>
      <c r="U51" s="284">
        <v>3</v>
      </c>
      <c r="V51" s="284">
        <v>0</v>
      </c>
      <c r="W51" s="284">
        <v>0.25</v>
      </c>
      <c r="X51" s="285" t="s">
        <v>1176</v>
      </c>
      <c r="Y51" s="290">
        <v>1.25</v>
      </c>
      <c r="Z51" s="292" t="s">
        <v>1935</v>
      </c>
    </row>
    <row r="52" spans="1:26">
      <c r="A52" s="279">
        <v>51</v>
      </c>
      <c r="B52" s="280" t="s">
        <v>1171</v>
      </c>
      <c r="C52" s="280" t="s">
        <v>203</v>
      </c>
      <c r="D52" s="280" t="s">
        <v>74</v>
      </c>
      <c r="E52" s="280" t="s">
        <v>1451</v>
      </c>
      <c r="F52" s="280" t="s">
        <v>1176</v>
      </c>
      <c r="G52" s="281"/>
      <c r="H52" s="279">
        <v>0</v>
      </c>
      <c r="I52" s="281"/>
      <c r="J52" s="281"/>
      <c r="K52" s="281"/>
      <c r="L52" s="281"/>
      <c r="M52" s="281"/>
      <c r="N52" s="281"/>
      <c r="O52" s="281"/>
      <c r="P52" s="281"/>
      <c r="Q52" s="281"/>
      <c r="R52" s="281"/>
      <c r="S52" s="281"/>
      <c r="T52" s="280" t="s">
        <v>1889</v>
      </c>
      <c r="U52" s="281"/>
      <c r="V52" s="279">
        <v>0</v>
      </c>
      <c r="W52" s="281"/>
      <c r="X52" s="281"/>
      <c r="Y52" s="281">
        <v>0</v>
      </c>
      <c r="Z52" s="281"/>
    </row>
    <row r="53" spans="1:26">
      <c r="A53" s="279">
        <v>52</v>
      </c>
      <c r="B53" s="280" t="s">
        <v>1171</v>
      </c>
      <c r="C53" s="280" t="s">
        <v>206</v>
      </c>
      <c r="D53" s="280" t="s">
        <v>74</v>
      </c>
      <c r="E53" s="280" t="s">
        <v>1451</v>
      </c>
      <c r="F53" s="280" t="s">
        <v>1176</v>
      </c>
      <c r="G53" s="281"/>
      <c r="H53" s="279">
        <v>0</v>
      </c>
      <c r="I53" s="281"/>
      <c r="J53" s="281"/>
      <c r="K53" s="281"/>
      <c r="L53" s="281"/>
      <c r="M53" s="281"/>
      <c r="N53" s="281"/>
      <c r="O53" s="281"/>
      <c r="P53" s="281"/>
      <c r="Q53" s="281"/>
      <c r="R53" s="281"/>
      <c r="S53" s="281"/>
      <c r="T53" s="280" t="s">
        <v>1889</v>
      </c>
      <c r="U53" s="281"/>
      <c r="V53" s="279">
        <v>0</v>
      </c>
      <c r="W53" s="281"/>
      <c r="X53" s="281"/>
      <c r="Y53" s="281">
        <v>0</v>
      </c>
      <c r="Z53" s="281"/>
    </row>
    <row r="54" spans="1:26">
      <c r="A54" s="279">
        <v>53</v>
      </c>
      <c r="B54" s="280" t="s">
        <v>1171</v>
      </c>
      <c r="C54" s="280" t="s">
        <v>209</v>
      </c>
      <c r="D54" s="280" t="s">
        <v>74</v>
      </c>
      <c r="E54" s="280" t="s">
        <v>1451</v>
      </c>
      <c r="F54" s="280" t="s">
        <v>1176</v>
      </c>
      <c r="G54" s="281"/>
      <c r="H54" s="279">
        <v>0</v>
      </c>
      <c r="I54" s="281"/>
      <c r="J54" s="281"/>
      <c r="K54" s="281"/>
      <c r="L54" s="281"/>
      <c r="M54" s="281"/>
      <c r="N54" s="281"/>
      <c r="O54" s="281"/>
      <c r="P54" s="281"/>
      <c r="Q54" s="281"/>
      <c r="R54" s="281"/>
      <c r="S54" s="281"/>
      <c r="T54" s="280" t="s">
        <v>1889</v>
      </c>
      <c r="U54" s="281"/>
      <c r="V54" s="279">
        <v>0</v>
      </c>
      <c r="W54" s="281"/>
      <c r="X54" s="281"/>
      <c r="Y54" s="281">
        <v>0</v>
      </c>
      <c r="Z54" s="281"/>
    </row>
    <row r="55" spans="1:26">
      <c r="A55" s="279">
        <v>54</v>
      </c>
      <c r="B55" s="280" t="s">
        <v>1171</v>
      </c>
      <c r="C55" s="280" t="s">
        <v>213</v>
      </c>
      <c r="D55" s="280" t="s">
        <v>74</v>
      </c>
      <c r="E55" s="280" t="s">
        <v>1451</v>
      </c>
      <c r="F55" s="280" t="s">
        <v>1176</v>
      </c>
      <c r="G55" s="281"/>
      <c r="H55" s="279">
        <v>0</v>
      </c>
      <c r="I55" s="281"/>
      <c r="J55" s="281"/>
      <c r="K55" s="281"/>
      <c r="L55" s="281"/>
      <c r="M55" s="281"/>
      <c r="N55" s="281"/>
      <c r="O55" s="281"/>
      <c r="P55" s="281"/>
      <c r="Q55" s="281"/>
      <c r="R55" s="281"/>
      <c r="S55" s="281"/>
      <c r="T55" s="280" t="s">
        <v>1889</v>
      </c>
      <c r="U55" s="281"/>
      <c r="V55" s="279">
        <v>0</v>
      </c>
      <c r="W55" s="281"/>
      <c r="X55" s="281"/>
      <c r="Y55" s="281">
        <v>0</v>
      </c>
      <c r="Z55" s="281"/>
    </row>
    <row r="56" spans="1:26">
      <c r="A56" s="286">
        <v>55</v>
      </c>
      <c r="B56" s="283"/>
      <c r="C56" s="283" t="s">
        <v>215</v>
      </c>
      <c r="D56" s="283"/>
      <c r="E56" s="283"/>
      <c r="F56" s="283"/>
      <c r="G56" s="283"/>
      <c r="H56" s="286"/>
      <c r="I56" s="287"/>
      <c r="J56" s="283"/>
      <c r="K56" s="287"/>
      <c r="L56" s="287"/>
      <c r="M56" s="288"/>
      <c r="N56" s="283"/>
      <c r="O56" s="287"/>
      <c r="P56" s="287"/>
      <c r="Q56" s="283"/>
      <c r="R56" s="283"/>
      <c r="S56" s="286"/>
      <c r="T56" s="283"/>
      <c r="U56" s="286"/>
      <c r="V56" s="286"/>
      <c r="W56" s="286"/>
      <c r="X56" s="283"/>
      <c r="Y56" s="287">
        <v>1</v>
      </c>
      <c r="Z56" s="289"/>
    </row>
    <row r="57" spans="1:26" ht="98">
      <c r="A57" s="284">
        <v>56</v>
      </c>
      <c r="B57" s="285" t="s">
        <v>1171</v>
      </c>
      <c r="C57" s="285" t="s">
        <v>218</v>
      </c>
      <c r="D57" s="285" t="s">
        <v>74</v>
      </c>
      <c r="E57" s="285" t="s">
        <v>1451</v>
      </c>
      <c r="F57" s="285" t="s">
        <v>1174</v>
      </c>
      <c r="G57" s="285" t="s">
        <v>1936</v>
      </c>
      <c r="H57" s="284">
        <v>1</v>
      </c>
      <c r="I57" s="290"/>
      <c r="J57" s="285" t="s">
        <v>1937</v>
      </c>
      <c r="K57" s="290"/>
      <c r="L57" s="290"/>
      <c r="M57" s="291">
        <v>0</v>
      </c>
      <c r="N57" s="285" t="s">
        <v>1938</v>
      </c>
      <c r="O57" s="290"/>
      <c r="P57" s="290"/>
      <c r="Q57" s="285" t="s">
        <v>1893</v>
      </c>
      <c r="R57" s="285" t="s">
        <v>1889</v>
      </c>
      <c r="S57" s="284">
        <v>0</v>
      </c>
      <c r="T57" s="285" t="s">
        <v>1889</v>
      </c>
      <c r="U57" s="284">
        <v>0</v>
      </c>
      <c r="V57" s="284">
        <v>0</v>
      </c>
      <c r="W57" s="284">
        <v>0</v>
      </c>
      <c r="X57" s="285" t="s">
        <v>1174</v>
      </c>
      <c r="Y57" s="284">
        <v>1</v>
      </c>
      <c r="Z57" s="292" t="s">
        <v>1939</v>
      </c>
    </row>
    <row r="58" spans="1:26" ht="70">
      <c r="A58" s="284">
        <v>56</v>
      </c>
      <c r="B58" s="285" t="s">
        <v>1171</v>
      </c>
      <c r="C58" s="285" t="s">
        <v>218</v>
      </c>
      <c r="D58" s="285" t="s">
        <v>74</v>
      </c>
      <c r="E58" s="285" t="s">
        <v>1866</v>
      </c>
      <c r="F58" s="285" t="s">
        <v>1174</v>
      </c>
      <c r="G58" s="285" t="s">
        <v>1940</v>
      </c>
      <c r="H58" s="284">
        <v>1</v>
      </c>
      <c r="I58" s="290"/>
      <c r="J58" s="285" t="s">
        <v>1941</v>
      </c>
      <c r="K58" s="290"/>
      <c r="L58" s="290"/>
      <c r="M58" s="291">
        <v>0</v>
      </c>
      <c r="N58" s="285" t="s">
        <v>1942</v>
      </c>
      <c r="O58" s="290" t="s">
        <v>1176</v>
      </c>
      <c r="P58" s="290">
        <v>0</v>
      </c>
      <c r="Q58" s="285" t="s">
        <v>1893</v>
      </c>
      <c r="R58" s="285" t="s">
        <v>1889</v>
      </c>
      <c r="S58" s="284">
        <v>0</v>
      </c>
      <c r="T58" s="285" t="s">
        <v>1889</v>
      </c>
      <c r="U58" s="284">
        <v>0</v>
      </c>
      <c r="V58" s="284">
        <v>0</v>
      </c>
      <c r="W58" s="284">
        <v>0</v>
      </c>
      <c r="X58" s="285" t="s">
        <v>1174</v>
      </c>
      <c r="Y58" s="290">
        <v>1</v>
      </c>
      <c r="Z58" s="292" t="s">
        <v>1943</v>
      </c>
    </row>
    <row r="59" spans="1:26" ht="56">
      <c r="A59" s="284">
        <v>57</v>
      </c>
      <c r="B59" s="285" t="s">
        <v>1171</v>
      </c>
      <c r="C59" s="285" t="s">
        <v>220</v>
      </c>
      <c r="D59" s="285" t="s">
        <v>74</v>
      </c>
      <c r="E59" s="285" t="s">
        <v>1451</v>
      </c>
      <c r="F59" s="285" t="s">
        <v>1174</v>
      </c>
      <c r="G59" s="285" t="s">
        <v>1944</v>
      </c>
      <c r="H59" s="284">
        <v>1</v>
      </c>
      <c r="I59" s="290"/>
      <c r="J59" s="285" t="s">
        <v>1945</v>
      </c>
      <c r="K59" s="290"/>
      <c r="L59" s="290"/>
      <c r="M59" s="291">
        <v>0</v>
      </c>
      <c r="N59" s="285" t="s">
        <v>1946</v>
      </c>
      <c r="O59" s="290" t="s">
        <v>1174</v>
      </c>
      <c r="P59" s="290">
        <v>0.25</v>
      </c>
      <c r="Q59" s="285" t="s">
        <v>1930</v>
      </c>
      <c r="R59" s="285" t="s">
        <v>1907</v>
      </c>
      <c r="S59" s="284">
        <v>29</v>
      </c>
      <c r="T59" s="285" t="s">
        <v>1889</v>
      </c>
      <c r="U59" s="284">
        <v>8</v>
      </c>
      <c r="V59" s="284">
        <v>0</v>
      </c>
      <c r="W59" s="284">
        <v>0.25</v>
      </c>
      <c r="X59" s="285" t="s">
        <v>1176</v>
      </c>
      <c r="Y59" s="290">
        <v>1.5</v>
      </c>
      <c r="Z59" s="292" t="s">
        <v>1947</v>
      </c>
    </row>
    <row r="60" spans="1:26" ht="70">
      <c r="A60" s="284">
        <v>58</v>
      </c>
      <c r="B60" s="285" t="s">
        <v>1171</v>
      </c>
      <c r="C60" s="285" t="s">
        <v>222</v>
      </c>
      <c r="D60" s="285" t="s">
        <v>74</v>
      </c>
      <c r="E60" s="285" t="s">
        <v>1451</v>
      </c>
      <c r="F60" s="285" t="s">
        <v>1174</v>
      </c>
      <c r="G60" s="285" t="s">
        <v>1948</v>
      </c>
      <c r="H60" s="284">
        <v>1</v>
      </c>
      <c r="I60" s="290"/>
      <c r="J60" s="285" t="s">
        <v>222</v>
      </c>
      <c r="K60" s="290"/>
      <c r="L60" s="290"/>
      <c r="M60" s="291">
        <v>0</v>
      </c>
      <c r="N60" s="285" t="s">
        <v>1949</v>
      </c>
      <c r="O60" s="290" t="s">
        <v>1176</v>
      </c>
      <c r="P60" s="290">
        <v>0</v>
      </c>
      <c r="Q60" s="285" t="s">
        <v>1920</v>
      </c>
      <c r="R60" s="285" t="s">
        <v>1921</v>
      </c>
      <c r="S60" s="284">
        <v>119</v>
      </c>
      <c r="T60" s="285" t="s">
        <v>1889</v>
      </c>
      <c r="U60" s="284">
        <v>0</v>
      </c>
      <c r="V60" s="284">
        <v>0</v>
      </c>
      <c r="W60" s="284">
        <v>0</v>
      </c>
      <c r="X60" s="285" t="s">
        <v>1176</v>
      </c>
      <c r="Y60" s="290">
        <v>1</v>
      </c>
      <c r="Z60" s="292" t="s">
        <v>1950</v>
      </c>
    </row>
    <row r="61" spans="1:26" ht="42">
      <c r="A61" s="284">
        <v>59</v>
      </c>
      <c r="B61" s="285" t="s">
        <v>1171</v>
      </c>
      <c r="C61" s="285" t="s">
        <v>225</v>
      </c>
      <c r="D61" s="285" t="s">
        <v>413</v>
      </c>
      <c r="E61" s="285" t="s">
        <v>1451</v>
      </c>
      <c r="F61" s="285" t="s">
        <v>1174</v>
      </c>
      <c r="G61" s="285" t="s">
        <v>1951</v>
      </c>
      <c r="H61" s="284">
        <v>1</v>
      </c>
      <c r="I61" s="290"/>
      <c r="J61" s="285" t="s">
        <v>1952</v>
      </c>
      <c r="K61" s="290"/>
      <c r="L61" s="290"/>
      <c r="M61" s="291">
        <v>0</v>
      </c>
      <c r="N61" s="285" t="s">
        <v>1953</v>
      </c>
      <c r="O61" s="290"/>
      <c r="P61" s="290"/>
      <c r="Q61" s="285" t="s">
        <v>1893</v>
      </c>
      <c r="R61" s="285" t="s">
        <v>1889</v>
      </c>
      <c r="S61" s="284">
        <v>0</v>
      </c>
      <c r="T61" s="285" t="s">
        <v>1889</v>
      </c>
      <c r="U61" s="284">
        <v>0</v>
      </c>
      <c r="V61" s="284">
        <v>0</v>
      </c>
      <c r="W61" s="284">
        <v>0</v>
      </c>
      <c r="X61" s="285" t="s">
        <v>1176</v>
      </c>
      <c r="Y61" s="290">
        <v>1</v>
      </c>
      <c r="Z61" s="292" t="s">
        <v>1954</v>
      </c>
    </row>
    <row r="62" spans="1:26">
      <c r="A62" s="279">
        <v>60</v>
      </c>
      <c r="B62" s="280" t="s">
        <v>1171</v>
      </c>
      <c r="C62" s="280" t="s">
        <v>228</v>
      </c>
      <c r="D62" s="280" t="s">
        <v>74</v>
      </c>
      <c r="E62" s="280" t="s">
        <v>1451</v>
      </c>
      <c r="F62" s="280" t="s">
        <v>1176</v>
      </c>
      <c r="G62" s="281"/>
      <c r="H62" s="279">
        <v>0</v>
      </c>
      <c r="I62" s="281"/>
      <c r="J62" s="281"/>
      <c r="K62" s="281"/>
      <c r="L62" s="281"/>
      <c r="M62" s="281"/>
      <c r="N62" s="281"/>
      <c r="O62" s="281"/>
      <c r="P62" s="281"/>
      <c r="Q62" s="281"/>
      <c r="R62" s="281"/>
      <c r="S62" s="281"/>
      <c r="T62" s="280" t="s">
        <v>1889</v>
      </c>
      <c r="U62" s="281"/>
      <c r="V62" s="279">
        <v>0</v>
      </c>
      <c r="W62" s="281"/>
      <c r="X62" s="281"/>
      <c r="Y62" s="281">
        <v>0</v>
      </c>
      <c r="Z62" s="281"/>
    </row>
    <row r="63" spans="1:26">
      <c r="A63" s="279">
        <v>61</v>
      </c>
      <c r="B63" s="280" t="s">
        <v>1171</v>
      </c>
      <c r="C63" s="280" t="s">
        <v>229</v>
      </c>
      <c r="D63" s="280" t="s">
        <v>74</v>
      </c>
      <c r="E63" s="280" t="s">
        <v>1451</v>
      </c>
      <c r="F63" s="280" t="s">
        <v>1176</v>
      </c>
      <c r="G63" s="281"/>
      <c r="H63" s="279">
        <v>0</v>
      </c>
      <c r="I63" s="281"/>
      <c r="J63" s="281"/>
      <c r="K63" s="281"/>
      <c r="L63" s="281"/>
      <c r="M63" s="281"/>
      <c r="N63" s="281"/>
      <c r="O63" s="281"/>
      <c r="P63" s="281"/>
      <c r="Q63" s="281"/>
      <c r="R63" s="281"/>
      <c r="S63" s="281"/>
      <c r="T63" s="280" t="s">
        <v>1889</v>
      </c>
      <c r="U63" s="281"/>
      <c r="V63" s="279">
        <v>0</v>
      </c>
      <c r="W63" s="281"/>
      <c r="X63" s="281"/>
      <c r="Y63" s="281">
        <v>0</v>
      </c>
      <c r="Z63" s="281"/>
    </row>
    <row r="64" spans="1:26">
      <c r="A64" s="279">
        <v>62</v>
      </c>
      <c r="B64" s="280" t="s">
        <v>1171</v>
      </c>
      <c r="C64" s="280" t="s">
        <v>231</v>
      </c>
      <c r="D64" s="280" t="s">
        <v>413</v>
      </c>
      <c r="E64" s="280" t="s">
        <v>1451</v>
      </c>
      <c r="F64" s="280" t="s">
        <v>1176</v>
      </c>
      <c r="G64" s="281"/>
      <c r="H64" s="279">
        <v>0</v>
      </c>
      <c r="I64" s="281"/>
      <c r="J64" s="281"/>
      <c r="K64" s="281"/>
      <c r="L64" s="281"/>
      <c r="M64" s="281"/>
      <c r="N64" s="281"/>
      <c r="O64" s="281"/>
      <c r="P64" s="281"/>
      <c r="Q64" s="281"/>
      <c r="R64" s="281"/>
      <c r="S64" s="281"/>
      <c r="T64" s="280" t="s">
        <v>1889</v>
      </c>
      <c r="U64" s="281"/>
      <c r="V64" s="279">
        <v>0</v>
      </c>
      <c r="W64" s="281"/>
      <c r="X64" s="281"/>
      <c r="Y64" s="281">
        <v>0</v>
      </c>
      <c r="Z64" s="281"/>
    </row>
    <row r="65" spans="1:26">
      <c r="A65" s="279">
        <v>63</v>
      </c>
      <c r="B65" s="280" t="s">
        <v>1171</v>
      </c>
      <c r="C65" s="280" t="s">
        <v>234</v>
      </c>
      <c r="D65" s="280" t="s">
        <v>413</v>
      </c>
      <c r="E65" s="280" t="s">
        <v>1451</v>
      </c>
      <c r="F65" s="280" t="s">
        <v>1176</v>
      </c>
      <c r="G65" s="281"/>
      <c r="H65" s="279">
        <v>0</v>
      </c>
      <c r="I65" s="281"/>
      <c r="J65" s="281"/>
      <c r="K65" s="281"/>
      <c r="L65" s="281"/>
      <c r="M65" s="281"/>
      <c r="N65" s="281"/>
      <c r="O65" s="281"/>
      <c r="P65" s="281"/>
      <c r="Q65" s="281"/>
      <c r="R65" s="281"/>
      <c r="S65" s="281"/>
      <c r="T65" s="280" t="s">
        <v>1889</v>
      </c>
      <c r="U65" s="281"/>
      <c r="V65" s="279">
        <v>0</v>
      </c>
      <c r="W65" s="281"/>
      <c r="X65" s="281"/>
      <c r="Y65" s="281">
        <v>0</v>
      </c>
      <c r="Z65" s="281"/>
    </row>
    <row r="66" spans="1:26" ht="98">
      <c r="A66" s="205">
        <v>2</v>
      </c>
      <c r="B66" s="178" t="s">
        <v>1171</v>
      </c>
      <c r="C66" s="178" t="s">
        <v>69</v>
      </c>
      <c r="D66" s="178" t="s">
        <v>74</v>
      </c>
      <c r="E66" s="178" t="s">
        <v>1451</v>
      </c>
      <c r="F66" s="178" t="s">
        <v>1174</v>
      </c>
      <c r="G66" s="178" t="s">
        <v>1955</v>
      </c>
      <c r="H66" s="205">
        <v>1</v>
      </c>
      <c r="J66" s="178" t="s">
        <v>1956</v>
      </c>
      <c r="M66" s="293">
        <v>0</v>
      </c>
      <c r="N66" s="178" t="s">
        <v>1957</v>
      </c>
      <c r="O66" s="178" t="s">
        <v>1174</v>
      </c>
      <c r="P66" s="205">
        <v>0.25</v>
      </c>
      <c r="Q66" s="178" t="s">
        <v>1893</v>
      </c>
      <c r="R66" s="178" t="s">
        <v>1889</v>
      </c>
      <c r="S66" s="205">
        <v>0</v>
      </c>
      <c r="T66" s="178" t="s">
        <v>1889</v>
      </c>
      <c r="U66" s="205">
        <v>0</v>
      </c>
      <c r="V66" s="205">
        <v>0</v>
      </c>
      <c r="W66" s="205">
        <v>0</v>
      </c>
      <c r="X66" s="178" t="s">
        <v>1174</v>
      </c>
      <c r="Y66" s="205">
        <v>1.25</v>
      </c>
      <c r="Z66" s="207" t="s">
        <v>1958</v>
      </c>
    </row>
    <row r="67" spans="1:26" ht="56">
      <c r="A67" s="205">
        <v>2</v>
      </c>
      <c r="B67" s="178" t="s">
        <v>1171</v>
      </c>
      <c r="C67" s="178" t="s">
        <v>69</v>
      </c>
      <c r="D67" s="178" t="s">
        <v>413</v>
      </c>
      <c r="E67" s="178" t="s">
        <v>1866</v>
      </c>
      <c r="F67" s="178" t="s">
        <v>1174</v>
      </c>
      <c r="G67" s="178" t="s">
        <v>1959</v>
      </c>
      <c r="H67" s="205">
        <v>1</v>
      </c>
      <c r="J67" s="178" t="s">
        <v>1960</v>
      </c>
      <c r="M67" s="293">
        <v>0</v>
      </c>
      <c r="N67" s="178" t="s">
        <v>1961</v>
      </c>
      <c r="O67" s="178" t="s">
        <v>1176</v>
      </c>
      <c r="P67" s="205">
        <v>0</v>
      </c>
      <c r="Q67" s="178" t="s">
        <v>1893</v>
      </c>
      <c r="R67" s="178" t="s">
        <v>1889</v>
      </c>
      <c r="S67" s="205">
        <v>0</v>
      </c>
      <c r="T67" s="178" t="s">
        <v>1889</v>
      </c>
      <c r="U67" s="205">
        <v>0</v>
      </c>
      <c r="V67" s="205">
        <v>0</v>
      </c>
      <c r="W67" s="205">
        <v>0</v>
      </c>
      <c r="X67" s="178" t="s">
        <v>1174</v>
      </c>
      <c r="Y67" s="205">
        <v>1</v>
      </c>
      <c r="Z67" s="207" t="s">
        <v>1962</v>
      </c>
    </row>
    <row r="68" spans="1:26" ht="98">
      <c r="A68" s="205">
        <v>21</v>
      </c>
      <c r="B68" s="178" t="s">
        <v>1171</v>
      </c>
      <c r="C68" s="178" t="s">
        <v>127</v>
      </c>
      <c r="D68" s="178" t="s">
        <v>74</v>
      </c>
      <c r="E68" s="178" t="s">
        <v>1451</v>
      </c>
      <c r="F68" s="178" t="s">
        <v>1174</v>
      </c>
      <c r="G68" s="178" t="s">
        <v>1963</v>
      </c>
      <c r="H68" s="205">
        <v>1</v>
      </c>
      <c r="J68" s="178" t="s">
        <v>1964</v>
      </c>
      <c r="M68" s="293">
        <v>0</v>
      </c>
      <c r="N68" s="178" t="s">
        <v>1965</v>
      </c>
      <c r="O68" s="178" t="s">
        <v>1176</v>
      </c>
      <c r="P68" s="205">
        <v>0</v>
      </c>
      <c r="Q68" s="178" t="s">
        <v>1893</v>
      </c>
      <c r="R68" s="178" t="s">
        <v>1889</v>
      </c>
      <c r="S68" s="205">
        <v>0</v>
      </c>
      <c r="T68" s="178" t="s">
        <v>1889</v>
      </c>
      <c r="U68" s="205">
        <v>1</v>
      </c>
      <c r="V68" s="205">
        <v>0</v>
      </c>
      <c r="W68" s="205">
        <v>0</v>
      </c>
      <c r="X68" s="178" t="s">
        <v>1174</v>
      </c>
      <c r="Y68" s="205">
        <v>1</v>
      </c>
      <c r="Z68" s="207" t="s">
        <v>1966</v>
      </c>
    </row>
    <row r="69" spans="1:26" ht="98">
      <c r="A69" s="205">
        <v>21</v>
      </c>
      <c r="B69" s="178" t="s">
        <v>1171</v>
      </c>
      <c r="C69" s="178" t="s">
        <v>127</v>
      </c>
      <c r="D69" s="178" t="s">
        <v>413</v>
      </c>
      <c r="E69" s="178" t="s">
        <v>1866</v>
      </c>
      <c r="F69" s="178" t="s">
        <v>1174</v>
      </c>
      <c r="G69" s="178" t="s">
        <v>1967</v>
      </c>
      <c r="H69" s="205">
        <v>1</v>
      </c>
      <c r="J69" s="178" t="s">
        <v>1968</v>
      </c>
      <c r="M69" s="293">
        <v>0</v>
      </c>
      <c r="N69" s="178" t="s">
        <v>1969</v>
      </c>
      <c r="O69" s="178" t="s">
        <v>1174</v>
      </c>
      <c r="P69" s="205">
        <v>0.25</v>
      </c>
      <c r="Q69" s="178" t="s">
        <v>1920</v>
      </c>
      <c r="R69" s="178" t="s">
        <v>1921</v>
      </c>
      <c r="S69" s="205">
        <v>36</v>
      </c>
      <c r="T69" s="178" t="s">
        <v>1889</v>
      </c>
      <c r="U69" s="205">
        <v>7</v>
      </c>
      <c r="V69" s="205">
        <v>0</v>
      </c>
      <c r="W69" s="205">
        <v>0</v>
      </c>
      <c r="X69" s="178" t="s">
        <v>1174</v>
      </c>
      <c r="Y69" s="205">
        <v>1.25</v>
      </c>
      <c r="Z69" s="207" t="s">
        <v>1970</v>
      </c>
    </row>
    <row r="70" spans="1:26" ht="70">
      <c r="A70" s="205">
        <v>28</v>
      </c>
      <c r="B70" s="178" t="s">
        <v>1171</v>
      </c>
      <c r="C70" s="178" t="s">
        <v>145</v>
      </c>
      <c r="D70" s="178" t="s">
        <v>74</v>
      </c>
      <c r="E70" s="178" t="s">
        <v>1451</v>
      </c>
      <c r="F70" s="178" t="s">
        <v>1174</v>
      </c>
      <c r="G70" s="178" t="s">
        <v>1971</v>
      </c>
      <c r="H70" s="205">
        <v>1</v>
      </c>
      <c r="J70" s="178" t="s">
        <v>1972</v>
      </c>
      <c r="M70" s="293">
        <v>0</v>
      </c>
      <c r="N70" s="178" t="s">
        <v>1973</v>
      </c>
      <c r="O70" s="178" t="s">
        <v>1176</v>
      </c>
      <c r="P70" s="205">
        <v>0</v>
      </c>
      <c r="Q70" s="178" t="s">
        <v>1974</v>
      </c>
      <c r="R70" s="178" t="s">
        <v>1889</v>
      </c>
      <c r="S70" s="205">
        <v>5</v>
      </c>
      <c r="T70" s="178" t="s">
        <v>1889</v>
      </c>
      <c r="U70" s="205">
        <v>1</v>
      </c>
      <c r="V70" s="205">
        <v>0</v>
      </c>
      <c r="W70" s="205">
        <v>0</v>
      </c>
      <c r="X70" s="178" t="s">
        <v>1174</v>
      </c>
      <c r="Y70" s="205">
        <v>1</v>
      </c>
      <c r="Z70" s="207" t="s">
        <v>1975</v>
      </c>
    </row>
    <row r="71" spans="1:26" ht="84">
      <c r="A71" s="205">
        <v>28</v>
      </c>
      <c r="B71" s="178" t="s">
        <v>1171</v>
      </c>
      <c r="C71" s="178" t="s">
        <v>145</v>
      </c>
      <c r="D71" s="178" t="s">
        <v>74</v>
      </c>
      <c r="E71" s="178" t="s">
        <v>1866</v>
      </c>
      <c r="F71" s="178" t="s">
        <v>1174</v>
      </c>
      <c r="G71" s="178" t="s">
        <v>1976</v>
      </c>
      <c r="H71" s="205">
        <v>1</v>
      </c>
      <c r="J71" s="178" t="s">
        <v>1977</v>
      </c>
      <c r="M71" s="293">
        <v>0</v>
      </c>
      <c r="N71" s="178" t="s">
        <v>1978</v>
      </c>
      <c r="O71" s="178" t="s">
        <v>1176</v>
      </c>
      <c r="P71" s="205">
        <v>0</v>
      </c>
      <c r="Q71" s="178" t="s">
        <v>1893</v>
      </c>
      <c r="R71" s="178" t="s">
        <v>1889</v>
      </c>
      <c r="S71" s="205">
        <v>0</v>
      </c>
      <c r="T71" s="178" t="s">
        <v>1889</v>
      </c>
      <c r="U71" s="205">
        <v>0</v>
      </c>
      <c r="V71" s="205">
        <v>0</v>
      </c>
      <c r="W71" s="205">
        <v>0</v>
      </c>
      <c r="X71" s="178" t="s">
        <v>1174</v>
      </c>
      <c r="Y71" s="205">
        <v>1</v>
      </c>
      <c r="Z71" s="207" t="s">
        <v>1979</v>
      </c>
    </row>
    <row r="72" spans="1:26" ht="70">
      <c r="A72" s="205">
        <v>41</v>
      </c>
      <c r="B72" s="178" t="s">
        <v>1171</v>
      </c>
      <c r="C72" s="178" t="s">
        <v>177</v>
      </c>
      <c r="D72" s="178" t="s">
        <v>74</v>
      </c>
      <c r="E72" s="178" t="s">
        <v>1451</v>
      </c>
      <c r="F72" s="178" t="s">
        <v>1174</v>
      </c>
      <c r="G72" s="178" t="s">
        <v>1980</v>
      </c>
      <c r="H72" s="205">
        <v>1</v>
      </c>
      <c r="J72" s="178" t="s">
        <v>1981</v>
      </c>
      <c r="M72" s="293">
        <v>0</v>
      </c>
      <c r="N72" s="178" t="s">
        <v>1982</v>
      </c>
      <c r="Q72" s="178" t="s">
        <v>1893</v>
      </c>
      <c r="R72" s="178" t="s">
        <v>1889</v>
      </c>
      <c r="S72" s="205">
        <v>0</v>
      </c>
      <c r="T72" s="178" t="s">
        <v>1889</v>
      </c>
      <c r="U72" s="205">
        <v>0</v>
      </c>
      <c r="V72" s="205">
        <v>0</v>
      </c>
      <c r="W72" s="205">
        <v>0</v>
      </c>
      <c r="X72" s="178" t="s">
        <v>1174</v>
      </c>
      <c r="Y72" s="205">
        <v>1</v>
      </c>
      <c r="Z72" s="207" t="s">
        <v>1983</v>
      </c>
    </row>
    <row r="73" spans="1:26" ht="154">
      <c r="A73" s="205">
        <v>41</v>
      </c>
      <c r="B73" s="178" t="s">
        <v>1171</v>
      </c>
      <c r="C73" s="178" t="s">
        <v>177</v>
      </c>
      <c r="D73" s="178" t="s">
        <v>74</v>
      </c>
      <c r="E73" s="178" t="s">
        <v>1866</v>
      </c>
      <c r="F73" s="178" t="s">
        <v>1174</v>
      </c>
      <c r="G73" s="178" t="s">
        <v>1984</v>
      </c>
      <c r="H73" s="205">
        <v>1</v>
      </c>
      <c r="J73" s="178" t="s">
        <v>1985</v>
      </c>
      <c r="M73" s="293">
        <v>0</v>
      </c>
      <c r="N73" s="178" t="s">
        <v>1986</v>
      </c>
      <c r="O73" s="178" t="s">
        <v>1174</v>
      </c>
      <c r="P73" s="205">
        <v>0.25</v>
      </c>
      <c r="Q73" s="178" t="s">
        <v>1893</v>
      </c>
      <c r="R73" s="178" t="s">
        <v>1889</v>
      </c>
      <c r="S73" s="205">
        <v>0</v>
      </c>
      <c r="T73" s="178" t="s">
        <v>1889</v>
      </c>
      <c r="U73" s="205">
        <v>0</v>
      </c>
      <c r="V73" s="205">
        <v>0</v>
      </c>
      <c r="W73" s="205">
        <v>0</v>
      </c>
      <c r="X73" s="178" t="s">
        <v>1174</v>
      </c>
      <c r="Y73" s="205">
        <v>1.25</v>
      </c>
      <c r="Z73" s="207" t="s">
        <v>1987</v>
      </c>
    </row>
    <row r="74" spans="1:26" ht="56">
      <c r="A74" s="205">
        <v>55</v>
      </c>
      <c r="B74" s="178" t="s">
        <v>1171</v>
      </c>
      <c r="C74" s="178" t="s">
        <v>215</v>
      </c>
      <c r="D74" s="178" t="s">
        <v>74</v>
      </c>
      <c r="E74" s="178" t="s">
        <v>1451</v>
      </c>
      <c r="F74" s="178" t="s">
        <v>1174</v>
      </c>
      <c r="G74" s="178" t="s">
        <v>1988</v>
      </c>
      <c r="H74" s="205">
        <v>1</v>
      </c>
      <c r="J74" s="178" t="s">
        <v>1989</v>
      </c>
      <c r="M74" s="293">
        <v>0</v>
      </c>
      <c r="N74" s="178" t="s">
        <v>1990</v>
      </c>
      <c r="Q74" s="178" t="s">
        <v>1920</v>
      </c>
      <c r="R74" s="178" t="s">
        <v>1921</v>
      </c>
      <c r="S74" s="205">
        <v>26</v>
      </c>
      <c r="T74" s="178" t="s">
        <v>1889</v>
      </c>
      <c r="U74" s="205">
        <v>0</v>
      </c>
      <c r="V74" s="205">
        <v>0</v>
      </c>
      <c r="W74" s="205">
        <v>0</v>
      </c>
      <c r="X74" s="178" t="s">
        <v>1174</v>
      </c>
      <c r="Y74" s="205">
        <v>1</v>
      </c>
      <c r="Z74" s="207" t="s">
        <v>1991</v>
      </c>
    </row>
    <row r="75" spans="1:26" ht="84">
      <c r="A75" s="205">
        <v>55</v>
      </c>
      <c r="B75" s="178" t="s">
        <v>1171</v>
      </c>
      <c r="C75" s="178" t="s">
        <v>215</v>
      </c>
      <c r="D75" s="178" t="s">
        <v>74</v>
      </c>
      <c r="E75" s="178" t="s">
        <v>1866</v>
      </c>
      <c r="F75" s="178" t="s">
        <v>1174</v>
      </c>
      <c r="G75" s="178" t="s">
        <v>1992</v>
      </c>
      <c r="H75" s="205">
        <v>1</v>
      </c>
      <c r="J75" s="178" t="s">
        <v>1993</v>
      </c>
      <c r="M75" s="293">
        <v>0</v>
      </c>
      <c r="N75" s="178" t="s">
        <v>1994</v>
      </c>
      <c r="O75" s="178" t="s">
        <v>1176</v>
      </c>
      <c r="P75" s="205">
        <v>0</v>
      </c>
      <c r="Q75" s="178" t="s">
        <v>1920</v>
      </c>
      <c r="R75" s="178" t="s">
        <v>1921</v>
      </c>
      <c r="S75" s="205">
        <v>35</v>
      </c>
      <c r="T75" s="178" t="s">
        <v>1889</v>
      </c>
      <c r="U75" s="205">
        <v>0</v>
      </c>
      <c r="V75" s="205">
        <v>0</v>
      </c>
      <c r="W75" s="205">
        <v>0</v>
      </c>
      <c r="X75" s="178" t="s">
        <v>1174</v>
      </c>
      <c r="Y75" s="205">
        <v>1</v>
      </c>
      <c r="Z75" s="207" t="s">
        <v>1995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4"/>
  <sheetViews>
    <sheetView workbookViewId="0">
      <pane xSplit="3" ySplit="1" topLeftCell="Y59" activePane="bottomRight" state="frozen"/>
      <selection activeCell="B33" sqref="B33"/>
      <selection pane="topRight" activeCell="B33" sqref="B33"/>
      <selection pane="bottomLeft" activeCell="B33" sqref="B33"/>
      <selection pane="bottomRight" activeCell="B33" sqref="B33"/>
    </sheetView>
  </sheetViews>
  <sheetFormatPr baseColWidth="10" defaultColWidth="21.83203125" defaultRowHeight="14" x14ac:dyDescent="0"/>
  <cols>
    <col min="1" max="16384" width="21.83203125" style="200"/>
  </cols>
  <sheetData>
    <row r="1" spans="1:27" ht="42">
      <c r="A1" s="195" t="s">
        <v>1100</v>
      </c>
      <c r="B1" s="195" t="s">
        <v>1660</v>
      </c>
      <c r="C1" s="195" t="s">
        <v>1405</v>
      </c>
      <c r="D1" s="195" t="s">
        <v>1101</v>
      </c>
      <c r="E1" s="195" t="s">
        <v>1996</v>
      </c>
      <c r="F1" s="195" t="s">
        <v>1997</v>
      </c>
      <c r="G1" s="195" t="s">
        <v>1998</v>
      </c>
      <c r="H1" s="195" t="s">
        <v>1999</v>
      </c>
      <c r="I1" s="195" t="s">
        <v>2000</v>
      </c>
      <c r="J1" s="195" t="s">
        <v>2001</v>
      </c>
      <c r="K1" s="195" t="s">
        <v>2002</v>
      </c>
      <c r="L1" s="195" t="s">
        <v>2003</v>
      </c>
      <c r="M1" s="195" t="s">
        <v>2004</v>
      </c>
      <c r="N1" s="195" t="s">
        <v>2005</v>
      </c>
      <c r="O1" s="195" t="s">
        <v>2006</v>
      </c>
      <c r="P1" s="195" t="s">
        <v>2007</v>
      </c>
      <c r="Q1" s="195" t="s">
        <v>2008</v>
      </c>
      <c r="R1" s="195" t="s">
        <v>2009</v>
      </c>
      <c r="S1" s="195" t="s">
        <v>2010</v>
      </c>
      <c r="T1" s="195" t="s">
        <v>2011</v>
      </c>
      <c r="U1" s="195" t="s">
        <v>2012</v>
      </c>
      <c r="V1" s="195" t="s">
        <v>2013</v>
      </c>
      <c r="W1" s="195" t="s">
        <v>2014</v>
      </c>
      <c r="X1" s="195" t="s">
        <v>2015</v>
      </c>
      <c r="Y1" s="195" t="s">
        <v>2016</v>
      </c>
      <c r="Z1" s="195" t="s">
        <v>2017</v>
      </c>
      <c r="AA1" s="195" t="s">
        <v>2006</v>
      </c>
    </row>
    <row r="2" spans="1:27">
      <c r="A2" s="294">
        <v>1</v>
      </c>
      <c r="B2" s="295" t="s">
        <v>1171</v>
      </c>
      <c r="C2" s="295" t="s">
        <v>63</v>
      </c>
      <c r="D2" s="295" t="s">
        <v>74</v>
      </c>
      <c r="E2" s="295" t="s">
        <v>1451</v>
      </c>
      <c r="F2" s="295" t="s">
        <v>1176</v>
      </c>
      <c r="G2" s="296"/>
      <c r="H2" s="294">
        <v>0</v>
      </c>
      <c r="I2" s="296"/>
      <c r="J2" s="296"/>
      <c r="K2" s="296"/>
      <c r="L2" s="296"/>
      <c r="M2" s="296"/>
      <c r="N2" s="296"/>
      <c r="O2" s="296"/>
      <c r="P2" s="296"/>
      <c r="Q2" s="296"/>
      <c r="R2" s="296"/>
      <c r="S2" s="295" t="s">
        <v>414</v>
      </c>
      <c r="T2" s="296"/>
      <c r="U2" s="295" t="s">
        <v>1889</v>
      </c>
      <c r="V2" s="296"/>
      <c r="W2" s="294">
        <v>0</v>
      </c>
      <c r="X2" s="296"/>
      <c r="Y2" s="296"/>
      <c r="Z2" s="296">
        <v>0</v>
      </c>
    </row>
    <row r="3" spans="1:27" ht="112">
      <c r="A3" s="297">
        <v>2</v>
      </c>
      <c r="B3" s="292" t="s">
        <v>1171</v>
      </c>
      <c r="C3" s="292" t="s">
        <v>69</v>
      </c>
      <c r="D3" s="292" t="s">
        <v>74</v>
      </c>
      <c r="E3" s="292" t="s">
        <v>1451</v>
      </c>
      <c r="F3" s="292" t="s">
        <v>1174</v>
      </c>
      <c r="G3" s="292" t="s">
        <v>1955</v>
      </c>
      <c r="H3" s="297">
        <v>1</v>
      </c>
      <c r="I3" s="298"/>
      <c r="J3" s="292" t="s">
        <v>1956</v>
      </c>
      <c r="K3" s="298"/>
      <c r="L3" s="298"/>
      <c r="M3" s="298"/>
      <c r="N3" s="299">
        <v>0</v>
      </c>
      <c r="O3" s="292" t="s">
        <v>1957</v>
      </c>
      <c r="P3" s="292" t="s">
        <v>1174</v>
      </c>
      <c r="Q3" s="297">
        <v>0.25</v>
      </c>
      <c r="R3" s="292" t="s">
        <v>1893</v>
      </c>
      <c r="S3" s="292" t="s">
        <v>1889</v>
      </c>
      <c r="T3" s="297">
        <v>0</v>
      </c>
      <c r="U3" s="292" t="s">
        <v>1889</v>
      </c>
      <c r="V3" s="297">
        <v>0</v>
      </c>
      <c r="W3" s="297">
        <v>0</v>
      </c>
      <c r="X3" s="297">
        <v>0</v>
      </c>
      <c r="Y3" s="292" t="s">
        <v>1176</v>
      </c>
      <c r="Z3" s="297">
        <v>1.25</v>
      </c>
      <c r="AA3" s="292" t="s">
        <v>1957</v>
      </c>
    </row>
    <row r="4" spans="1:27">
      <c r="A4" s="294">
        <v>3</v>
      </c>
      <c r="B4" s="295" t="s">
        <v>1171</v>
      </c>
      <c r="C4" s="295" t="s">
        <v>72</v>
      </c>
      <c r="D4" s="295" t="s">
        <v>413</v>
      </c>
      <c r="E4" s="295" t="s">
        <v>1451</v>
      </c>
      <c r="F4" s="295" t="s">
        <v>1176</v>
      </c>
      <c r="G4" s="296"/>
      <c r="H4" s="294">
        <v>0</v>
      </c>
      <c r="I4" s="296"/>
      <c r="J4" s="296"/>
      <c r="K4" s="296"/>
      <c r="L4" s="296"/>
      <c r="M4" s="296"/>
      <c r="N4" s="296"/>
      <c r="O4" s="296"/>
      <c r="P4" s="296"/>
      <c r="Q4" s="296"/>
      <c r="R4" s="296"/>
      <c r="S4" s="295" t="s">
        <v>414</v>
      </c>
      <c r="T4" s="296"/>
      <c r="U4" s="295" t="s">
        <v>1889</v>
      </c>
      <c r="V4" s="296"/>
      <c r="W4" s="294">
        <v>0</v>
      </c>
      <c r="X4" s="296"/>
      <c r="Y4" s="296"/>
      <c r="Z4" s="296">
        <v>0</v>
      </c>
    </row>
    <row r="5" spans="1:27">
      <c r="A5" s="294">
        <v>4</v>
      </c>
      <c r="B5" s="295" t="s">
        <v>1171</v>
      </c>
      <c r="C5" s="295" t="s">
        <v>78</v>
      </c>
      <c r="D5" s="295" t="s">
        <v>74</v>
      </c>
      <c r="E5" s="295" t="s">
        <v>1451</v>
      </c>
      <c r="F5" s="295" t="s">
        <v>1176</v>
      </c>
      <c r="G5" s="296"/>
      <c r="H5" s="294">
        <v>0</v>
      </c>
      <c r="I5" s="296"/>
      <c r="J5" s="296"/>
      <c r="K5" s="296"/>
      <c r="L5" s="296"/>
      <c r="M5" s="296"/>
      <c r="N5" s="296"/>
      <c r="O5" s="296"/>
      <c r="P5" s="296"/>
      <c r="Q5" s="296"/>
      <c r="R5" s="296"/>
      <c r="S5" s="295" t="s">
        <v>414</v>
      </c>
      <c r="T5" s="296"/>
      <c r="U5" s="295" t="s">
        <v>1889</v>
      </c>
      <c r="V5" s="296"/>
      <c r="W5" s="294">
        <v>0</v>
      </c>
      <c r="X5" s="296"/>
      <c r="Y5" s="296"/>
      <c r="Z5" s="296">
        <v>0</v>
      </c>
    </row>
    <row r="6" spans="1:27">
      <c r="A6" s="294">
        <v>5</v>
      </c>
      <c r="B6" s="295" t="s">
        <v>1171</v>
      </c>
      <c r="C6" s="295" t="s">
        <v>82</v>
      </c>
      <c r="D6" s="295" t="s">
        <v>74</v>
      </c>
      <c r="E6" s="295" t="s">
        <v>1451</v>
      </c>
      <c r="F6" s="295" t="s">
        <v>1176</v>
      </c>
      <c r="G6" s="296"/>
      <c r="H6" s="294">
        <v>0</v>
      </c>
      <c r="I6" s="296"/>
      <c r="J6" s="296"/>
      <c r="K6" s="296"/>
      <c r="L6" s="296"/>
      <c r="M6" s="296"/>
      <c r="N6" s="296"/>
      <c r="O6" s="296"/>
      <c r="P6" s="296"/>
      <c r="Q6" s="296"/>
      <c r="R6" s="296"/>
      <c r="S6" s="295" t="s">
        <v>414</v>
      </c>
      <c r="T6" s="296"/>
      <c r="U6" s="295" t="s">
        <v>1889</v>
      </c>
      <c r="V6" s="296"/>
      <c r="W6" s="294">
        <v>0</v>
      </c>
      <c r="X6" s="296"/>
      <c r="Y6" s="296"/>
      <c r="Z6" s="296">
        <v>0</v>
      </c>
    </row>
    <row r="7" spans="1:27">
      <c r="A7" s="294">
        <v>6</v>
      </c>
      <c r="B7" s="295" t="s">
        <v>1171</v>
      </c>
      <c r="C7" s="295" t="s">
        <v>87</v>
      </c>
      <c r="D7" s="295" t="s">
        <v>413</v>
      </c>
      <c r="E7" s="295" t="s">
        <v>1451</v>
      </c>
      <c r="F7" s="295" t="s">
        <v>1176</v>
      </c>
      <c r="G7" s="296"/>
      <c r="H7" s="294">
        <v>0</v>
      </c>
      <c r="I7" s="296"/>
      <c r="J7" s="296"/>
      <c r="K7" s="296"/>
      <c r="L7" s="296"/>
      <c r="M7" s="296"/>
      <c r="N7" s="296"/>
      <c r="O7" s="296"/>
      <c r="P7" s="296"/>
      <c r="Q7" s="296"/>
      <c r="R7" s="296"/>
      <c r="S7" s="295" t="s">
        <v>414</v>
      </c>
      <c r="T7" s="296"/>
      <c r="U7" s="295" t="s">
        <v>1889</v>
      </c>
      <c r="V7" s="296"/>
      <c r="W7" s="294">
        <v>0</v>
      </c>
      <c r="X7" s="296"/>
      <c r="Y7" s="296"/>
      <c r="Z7" s="296">
        <v>0</v>
      </c>
    </row>
    <row r="8" spans="1:27">
      <c r="A8" s="294">
        <v>7</v>
      </c>
      <c r="B8" s="295" t="s">
        <v>1171</v>
      </c>
      <c r="C8" s="295" t="s">
        <v>90</v>
      </c>
      <c r="D8" s="295" t="s">
        <v>413</v>
      </c>
      <c r="E8" s="295" t="s">
        <v>1451</v>
      </c>
      <c r="F8" s="295" t="s">
        <v>1176</v>
      </c>
      <c r="G8" s="296"/>
      <c r="H8" s="294">
        <v>0</v>
      </c>
      <c r="I8" s="296"/>
      <c r="J8" s="296"/>
      <c r="K8" s="296"/>
      <c r="L8" s="296"/>
      <c r="M8" s="296"/>
      <c r="N8" s="296"/>
      <c r="O8" s="296"/>
      <c r="P8" s="296"/>
      <c r="Q8" s="296"/>
      <c r="R8" s="296"/>
      <c r="S8" s="295" t="s">
        <v>414</v>
      </c>
      <c r="T8" s="296"/>
      <c r="U8" s="295" t="s">
        <v>1889</v>
      </c>
      <c r="V8" s="296"/>
      <c r="W8" s="294">
        <v>0</v>
      </c>
      <c r="X8" s="296"/>
      <c r="Y8" s="296"/>
      <c r="Z8" s="296">
        <v>0</v>
      </c>
    </row>
    <row r="9" spans="1:27">
      <c r="A9" s="294">
        <v>8</v>
      </c>
      <c r="B9" s="295" t="s">
        <v>1171</v>
      </c>
      <c r="C9" s="295" t="s">
        <v>93</v>
      </c>
      <c r="D9" s="295" t="s">
        <v>74</v>
      </c>
      <c r="E9" s="295" t="s">
        <v>1451</v>
      </c>
      <c r="F9" s="295" t="s">
        <v>1176</v>
      </c>
      <c r="G9" s="296"/>
      <c r="H9" s="294">
        <v>0</v>
      </c>
      <c r="I9" s="296"/>
      <c r="J9" s="296"/>
      <c r="K9" s="296"/>
      <c r="L9" s="296"/>
      <c r="M9" s="296"/>
      <c r="N9" s="296"/>
      <c r="O9" s="296"/>
      <c r="P9" s="296"/>
      <c r="Q9" s="296"/>
      <c r="R9" s="296"/>
      <c r="S9" s="295" t="s">
        <v>414</v>
      </c>
      <c r="T9" s="296"/>
      <c r="U9" s="295" t="s">
        <v>1889</v>
      </c>
      <c r="V9" s="296"/>
      <c r="W9" s="294">
        <v>0</v>
      </c>
      <c r="X9" s="296"/>
      <c r="Y9" s="296"/>
      <c r="Z9" s="296">
        <v>0</v>
      </c>
    </row>
    <row r="10" spans="1:27">
      <c r="A10" s="294">
        <v>9</v>
      </c>
      <c r="B10" s="295" t="s">
        <v>1171</v>
      </c>
      <c r="C10" s="295" t="s">
        <v>96</v>
      </c>
      <c r="D10" s="295" t="s">
        <v>74</v>
      </c>
      <c r="E10" s="295" t="s">
        <v>1451</v>
      </c>
      <c r="F10" s="295" t="s">
        <v>1176</v>
      </c>
      <c r="G10" s="296"/>
      <c r="H10" s="294">
        <v>0</v>
      </c>
      <c r="I10" s="296"/>
      <c r="J10" s="296"/>
      <c r="K10" s="296"/>
      <c r="L10" s="296"/>
      <c r="M10" s="296"/>
      <c r="N10" s="296"/>
      <c r="O10" s="296"/>
      <c r="P10" s="296"/>
      <c r="Q10" s="296"/>
      <c r="R10" s="296"/>
      <c r="S10" s="295" t="s">
        <v>414</v>
      </c>
      <c r="T10" s="296"/>
      <c r="U10" s="295" t="s">
        <v>1889</v>
      </c>
      <c r="V10" s="296"/>
      <c r="W10" s="294">
        <v>0</v>
      </c>
      <c r="X10" s="296"/>
      <c r="Y10" s="296"/>
      <c r="Z10" s="296">
        <v>0</v>
      </c>
    </row>
    <row r="11" spans="1:27">
      <c r="A11" s="294">
        <v>10</v>
      </c>
      <c r="B11" s="295" t="s">
        <v>1171</v>
      </c>
      <c r="C11" s="295" t="s">
        <v>100</v>
      </c>
      <c r="D11" s="295" t="s">
        <v>413</v>
      </c>
      <c r="E11" s="295" t="s">
        <v>1451</v>
      </c>
      <c r="F11" s="295" t="s">
        <v>1176</v>
      </c>
      <c r="G11" s="296"/>
      <c r="H11" s="294">
        <v>0</v>
      </c>
      <c r="I11" s="296"/>
      <c r="J11" s="296"/>
      <c r="K11" s="296"/>
      <c r="L11" s="296"/>
      <c r="M11" s="296"/>
      <c r="N11" s="296"/>
      <c r="O11" s="296"/>
      <c r="P11" s="296"/>
      <c r="Q11" s="296"/>
      <c r="R11" s="296"/>
      <c r="S11" s="295" t="s">
        <v>414</v>
      </c>
      <c r="T11" s="296"/>
      <c r="U11" s="295" t="s">
        <v>1889</v>
      </c>
      <c r="V11" s="296"/>
      <c r="W11" s="294">
        <v>0</v>
      </c>
      <c r="X11" s="296"/>
      <c r="Y11" s="296"/>
      <c r="Z11" s="296">
        <v>0</v>
      </c>
    </row>
    <row r="12" spans="1:27">
      <c r="A12" s="300">
        <v>11</v>
      </c>
      <c r="B12" s="289"/>
      <c r="C12" s="289" t="s">
        <v>102</v>
      </c>
      <c r="D12" s="289"/>
      <c r="E12" s="289"/>
      <c r="F12" s="289"/>
      <c r="G12" s="301"/>
      <c r="H12" s="300"/>
      <c r="I12" s="301"/>
      <c r="J12" s="301"/>
      <c r="K12" s="301"/>
      <c r="L12" s="301"/>
      <c r="M12" s="301"/>
      <c r="N12" s="301"/>
      <c r="O12" s="301"/>
      <c r="P12" s="301"/>
      <c r="Q12" s="301"/>
      <c r="R12" s="301"/>
      <c r="S12" s="289"/>
      <c r="T12" s="301"/>
      <c r="U12" s="289"/>
      <c r="V12" s="301"/>
      <c r="W12" s="300"/>
      <c r="X12" s="301"/>
      <c r="Y12" s="301"/>
      <c r="Z12" s="301">
        <v>1.125</v>
      </c>
    </row>
    <row r="13" spans="1:27">
      <c r="A13" s="294">
        <v>12</v>
      </c>
      <c r="B13" s="295" t="s">
        <v>1171</v>
      </c>
      <c r="C13" s="295" t="s">
        <v>104</v>
      </c>
      <c r="D13" s="295" t="s">
        <v>413</v>
      </c>
      <c r="E13" s="295" t="s">
        <v>1451</v>
      </c>
      <c r="F13" s="295" t="s">
        <v>1176</v>
      </c>
      <c r="G13" s="296"/>
      <c r="H13" s="294">
        <v>0</v>
      </c>
      <c r="I13" s="296"/>
      <c r="J13" s="296"/>
      <c r="K13" s="296"/>
      <c r="L13" s="296"/>
      <c r="M13" s="296"/>
      <c r="N13" s="296"/>
      <c r="O13" s="296"/>
      <c r="P13" s="296"/>
      <c r="Q13" s="296"/>
      <c r="R13" s="296"/>
      <c r="S13" s="295" t="s">
        <v>414</v>
      </c>
      <c r="T13" s="296"/>
      <c r="U13" s="295" t="s">
        <v>1889</v>
      </c>
      <c r="V13" s="296"/>
      <c r="W13" s="294">
        <v>0</v>
      </c>
      <c r="X13" s="296"/>
      <c r="Y13" s="296"/>
      <c r="Z13" s="296">
        <v>0</v>
      </c>
    </row>
    <row r="14" spans="1:27" ht="266">
      <c r="A14" s="297">
        <v>13</v>
      </c>
      <c r="B14" s="292" t="s">
        <v>1171</v>
      </c>
      <c r="C14" s="292" t="s">
        <v>106</v>
      </c>
      <c r="D14" s="292" t="s">
        <v>74</v>
      </c>
      <c r="E14" s="292" t="s">
        <v>1451</v>
      </c>
      <c r="F14" s="292" t="s">
        <v>1174</v>
      </c>
      <c r="G14" s="292" t="s">
        <v>2018</v>
      </c>
      <c r="H14" s="297">
        <v>1</v>
      </c>
      <c r="I14" s="298"/>
      <c r="J14" s="292" t="s">
        <v>1494</v>
      </c>
      <c r="K14" s="298"/>
      <c r="L14" s="298"/>
      <c r="M14" s="298"/>
      <c r="N14" s="299">
        <v>0</v>
      </c>
      <c r="O14" s="292" t="s">
        <v>2019</v>
      </c>
      <c r="P14" s="292" t="s">
        <v>1176</v>
      </c>
      <c r="Q14" s="297">
        <v>0</v>
      </c>
      <c r="R14" s="292" t="s">
        <v>1934</v>
      </c>
      <c r="S14" s="292" t="s">
        <v>1907</v>
      </c>
      <c r="T14" s="297">
        <v>707</v>
      </c>
      <c r="U14" s="292" t="s">
        <v>1889</v>
      </c>
      <c r="V14" s="297">
        <v>14</v>
      </c>
      <c r="W14" s="297">
        <v>0</v>
      </c>
      <c r="X14" s="297">
        <v>0.25</v>
      </c>
      <c r="Y14" s="292" t="s">
        <v>1174</v>
      </c>
      <c r="Z14" s="297">
        <v>1.25</v>
      </c>
      <c r="AA14" s="292" t="s">
        <v>2019</v>
      </c>
    </row>
    <row r="15" spans="1:27" ht="336">
      <c r="A15" s="297">
        <v>14</v>
      </c>
      <c r="B15" s="292" t="s">
        <v>1171</v>
      </c>
      <c r="C15" s="292" t="s">
        <v>109</v>
      </c>
      <c r="D15" s="292" t="s">
        <v>74</v>
      </c>
      <c r="E15" s="292" t="s">
        <v>1451</v>
      </c>
      <c r="F15" s="292" t="s">
        <v>1174</v>
      </c>
      <c r="G15" s="292" t="s">
        <v>2020</v>
      </c>
      <c r="H15" s="297">
        <v>1</v>
      </c>
      <c r="I15" s="298"/>
      <c r="J15" s="292" t="s">
        <v>2021</v>
      </c>
      <c r="K15" s="298"/>
      <c r="L15" s="298"/>
      <c r="M15" s="298"/>
      <c r="N15" s="299">
        <v>0</v>
      </c>
      <c r="O15" s="292" t="s">
        <v>2022</v>
      </c>
      <c r="P15" s="292" t="s">
        <v>1176</v>
      </c>
      <c r="Q15" s="297">
        <v>0</v>
      </c>
      <c r="R15" s="292" t="s">
        <v>1930</v>
      </c>
      <c r="S15" s="292" t="s">
        <v>1907</v>
      </c>
      <c r="T15" s="297">
        <v>16</v>
      </c>
      <c r="U15" s="292" t="s">
        <v>1889</v>
      </c>
      <c r="V15" s="297">
        <v>12</v>
      </c>
      <c r="W15" s="297">
        <v>0</v>
      </c>
      <c r="X15" s="297">
        <v>0.25</v>
      </c>
      <c r="Y15" s="292" t="s">
        <v>1176</v>
      </c>
      <c r="Z15" s="297">
        <v>1.25</v>
      </c>
      <c r="AA15" s="292" t="s">
        <v>2022</v>
      </c>
    </row>
    <row r="16" spans="1:27">
      <c r="A16" s="294">
        <v>15</v>
      </c>
      <c r="B16" s="295" t="s">
        <v>1171</v>
      </c>
      <c r="C16" s="295" t="s">
        <v>111</v>
      </c>
      <c r="D16" s="295" t="s">
        <v>413</v>
      </c>
      <c r="E16" s="295" t="s">
        <v>1451</v>
      </c>
      <c r="F16" s="295" t="s">
        <v>1176</v>
      </c>
      <c r="G16" s="296"/>
      <c r="H16" s="294">
        <v>0</v>
      </c>
      <c r="I16" s="296"/>
      <c r="J16" s="296"/>
      <c r="K16" s="296"/>
      <c r="L16" s="296"/>
      <c r="M16" s="296"/>
      <c r="N16" s="296"/>
      <c r="O16" s="296"/>
      <c r="P16" s="296"/>
      <c r="Q16" s="296"/>
      <c r="R16" s="296"/>
      <c r="S16" s="295" t="s">
        <v>414</v>
      </c>
      <c r="T16" s="296"/>
      <c r="U16" s="295" t="s">
        <v>1889</v>
      </c>
      <c r="V16" s="296"/>
      <c r="W16" s="294">
        <v>0</v>
      </c>
      <c r="X16" s="296"/>
      <c r="Y16" s="296"/>
      <c r="Z16" s="296">
        <v>0</v>
      </c>
    </row>
    <row r="17" spans="1:27">
      <c r="A17" s="294">
        <v>16</v>
      </c>
      <c r="B17" s="295" t="s">
        <v>1171</v>
      </c>
      <c r="C17" s="295" t="s">
        <v>114</v>
      </c>
      <c r="D17" s="295" t="s">
        <v>413</v>
      </c>
      <c r="E17" s="295" t="s">
        <v>1451</v>
      </c>
      <c r="F17" s="295" t="s">
        <v>1176</v>
      </c>
      <c r="G17" s="296"/>
      <c r="H17" s="294">
        <v>0</v>
      </c>
      <c r="I17" s="296"/>
      <c r="J17" s="296"/>
      <c r="K17" s="296"/>
      <c r="L17" s="296"/>
      <c r="M17" s="296"/>
      <c r="N17" s="296"/>
      <c r="O17" s="296"/>
      <c r="P17" s="296"/>
      <c r="Q17" s="296"/>
      <c r="R17" s="296"/>
      <c r="S17" s="295" t="s">
        <v>414</v>
      </c>
      <c r="T17" s="296"/>
      <c r="U17" s="295" t="s">
        <v>1889</v>
      </c>
      <c r="V17" s="296"/>
      <c r="W17" s="294">
        <v>0</v>
      </c>
      <c r="X17" s="296"/>
      <c r="Y17" s="296"/>
      <c r="Z17" s="296">
        <v>0</v>
      </c>
    </row>
    <row r="18" spans="1:27">
      <c r="A18" s="294">
        <v>17</v>
      </c>
      <c r="B18" s="295" t="s">
        <v>1171</v>
      </c>
      <c r="C18" s="295" t="s">
        <v>117</v>
      </c>
      <c r="D18" s="295" t="s">
        <v>413</v>
      </c>
      <c r="E18" s="295" t="s">
        <v>1451</v>
      </c>
      <c r="F18" s="295" t="s">
        <v>1176</v>
      </c>
      <c r="G18" s="296"/>
      <c r="H18" s="294">
        <v>0</v>
      </c>
      <c r="I18" s="296"/>
      <c r="J18" s="296"/>
      <c r="K18" s="296"/>
      <c r="L18" s="296"/>
      <c r="M18" s="296"/>
      <c r="N18" s="296"/>
      <c r="O18" s="296"/>
      <c r="P18" s="296"/>
      <c r="Q18" s="296"/>
      <c r="R18" s="296"/>
      <c r="S18" s="295" t="s">
        <v>414</v>
      </c>
      <c r="T18" s="296"/>
      <c r="U18" s="295" t="s">
        <v>1889</v>
      </c>
      <c r="V18" s="296"/>
      <c r="W18" s="294">
        <v>0</v>
      </c>
      <c r="X18" s="296"/>
      <c r="Y18" s="296"/>
      <c r="Z18" s="296">
        <v>0</v>
      </c>
    </row>
    <row r="19" spans="1:27">
      <c r="A19" s="300">
        <v>18</v>
      </c>
      <c r="B19" s="289"/>
      <c r="C19" s="289" t="s">
        <v>120</v>
      </c>
      <c r="D19" s="289"/>
      <c r="E19" s="289"/>
      <c r="F19" s="289"/>
      <c r="G19" s="301"/>
      <c r="H19" s="300"/>
      <c r="I19" s="301"/>
      <c r="J19" s="301"/>
      <c r="K19" s="301"/>
      <c r="L19" s="301"/>
      <c r="M19" s="301"/>
      <c r="N19" s="301"/>
      <c r="O19" s="301"/>
      <c r="P19" s="301"/>
      <c r="Q19" s="301"/>
      <c r="R19" s="301"/>
      <c r="S19" s="289"/>
      <c r="T19" s="301"/>
      <c r="U19" s="289"/>
      <c r="V19" s="301"/>
      <c r="W19" s="300"/>
      <c r="X19" s="301"/>
      <c r="Y19" s="301"/>
      <c r="Z19" s="301">
        <v>1.125</v>
      </c>
    </row>
    <row r="20" spans="1:27">
      <c r="A20" s="300">
        <v>19</v>
      </c>
      <c r="B20" s="289"/>
      <c r="C20" s="289" t="s">
        <v>123</v>
      </c>
      <c r="D20" s="289"/>
      <c r="E20" s="289"/>
      <c r="F20" s="289"/>
      <c r="G20" s="301"/>
      <c r="H20" s="300"/>
      <c r="I20" s="301"/>
      <c r="J20" s="301"/>
      <c r="K20" s="301"/>
      <c r="L20" s="301"/>
      <c r="M20" s="301"/>
      <c r="N20" s="301"/>
      <c r="O20" s="301"/>
      <c r="P20" s="301"/>
      <c r="Q20" s="301"/>
      <c r="R20" s="301"/>
      <c r="S20" s="289"/>
      <c r="T20" s="301"/>
      <c r="U20" s="289"/>
      <c r="V20" s="301"/>
      <c r="W20" s="300"/>
      <c r="X20" s="301"/>
      <c r="Y20" s="301"/>
      <c r="Z20" s="301">
        <v>1.0833333333333333</v>
      </c>
    </row>
    <row r="21" spans="1:27">
      <c r="A21" s="294">
        <v>20</v>
      </c>
      <c r="B21" s="295" t="s">
        <v>1171</v>
      </c>
      <c r="C21" s="295" t="s">
        <v>125</v>
      </c>
      <c r="D21" s="295" t="s">
        <v>74</v>
      </c>
      <c r="E21" s="295" t="s">
        <v>1451</v>
      </c>
      <c r="F21" s="295" t="s">
        <v>1176</v>
      </c>
      <c r="G21" s="296"/>
      <c r="H21" s="294">
        <v>0</v>
      </c>
      <c r="I21" s="296"/>
      <c r="J21" s="296"/>
      <c r="K21" s="296"/>
      <c r="L21" s="296"/>
      <c r="M21" s="296"/>
      <c r="N21" s="296"/>
      <c r="O21" s="296"/>
      <c r="P21" s="296"/>
      <c r="Q21" s="296"/>
      <c r="R21" s="296"/>
      <c r="S21" s="295" t="s">
        <v>414</v>
      </c>
      <c r="T21" s="296"/>
      <c r="U21" s="295" t="s">
        <v>1889</v>
      </c>
      <c r="V21" s="296"/>
      <c r="W21" s="294">
        <v>0</v>
      </c>
      <c r="X21" s="296"/>
      <c r="Y21" s="296"/>
      <c r="Z21" s="296">
        <v>0</v>
      </c>
    </row>
    <row r="22" spans="1:27" ht="409">
      <c r="A22" s="297">
        <v>21</v>
      </c>
      <c r="B22" s="292" t="s">
        <v>1171</v>
      </c>
      <c r="C22" s="292" t="s">
        <v>127</v>
      </c>
      <c r="D22" s="292" t="s">
        <v>74</v>
      </c>
      <c r="E22" s="292" t="s">
        <v>1451</v>
      </c>
      <c r="F22" s="292" t="s">
        <v>1174</v>
      </c>
      <c r="G22" s="292" t="s">
        <v>1963</v>
      </c>
      <c r="H22" s="297">
        <v>1</v>
      </c>
      <c r="I22" s="298"/>
      <c r="J22" s="292" t="s">
        <v>1964</v>
      </c>
      <c r="K22" s="298"/>
      <c r="L22" s="298"/>
      <c r="M22" s="298"/>
      <c r="N22" s="299">
        <v>0</v>
      </c>
      <c r="O22" s="292" t="s">
        <v>1965</v>
      </c>
      <c r="P22" s="292" t="s">
        <v>1176</v>
      </c>
      <c r="Q22" s="297">
        <v>0</v>
      </c>
      <c r="R22" s="292" t="s">
        <v>1893</v>
      </c>
      <c r="S22" s="292" t="s">
        <v>1889</v>
      </c>
      <c r="T22" s="297">
        <v>0</v>
      </c>
      <c r="U22" s="292" t="s">
        <v>1889</v>
      </c>
      <c r="V22" s="297">
        <v>1</v>
      </c>
      <c r="W22" s="297">
        <v>0</v>
      </c>
      <c r="X22" s="297">
        <v>0</v>
      </c>
      <c r="Y22" s="292" t="s">
        <v>1176</v>
      </c>
      <c r="Z22" s="297">
        <v>1</v>
      </c>
      <c r="AA22" s="292" t="s">
        <v>1965</v>
      </c>
    </row>
    <row r="23" spans="1:27">
      <c r="A23" s="294">
        <v>22</v>
      </c>
      <c r="B23" s="295" t="s">
        <v>1171</v>
      </c>
      <c r="C23" s="295" t="s">
        <v>129</v>
      </c>
      <c r="D23" s="295" t="s">
        <v>74</v>
      </c>
      <c r="E23" s="295" t="s">
        <v>1451</v>
      </c>
      <c r="F23" s="295" t="s">
        <v>1176</v>
      </c>
      <c r="G23" s="296"/>
      <c r="H23" s="294">
        <v>0</v>
      </c>
      <c r="I23" s="296"/>
      <c r="J23" s="296"/>
      <c r="K23" s="296"/>
      <c r="L23" s="296"/>
      <c r="M23" s="296"/>
      <c r="N23" s="296"/>
      <c r="O23" s="296"/>
      <c r="P23" s="296"/>
      <c r="Q23" s="296"/>
      <c r="R23" s="296"/>
      <c r="S23" s="295" t="s">
        <v>414</v>
      </c>
      <c r="T23" s="296"/>
      <c r="U23" s="295" t="s">
        <v>1889</v>
      </c>
      <c r="V23" s="296"/>
      <c r="W23" s="294">
        <v>0</v>
      </c>
      <c r="X23" s="296"/>
      <c r="Y23" s="296"/>
      <c r="Z23" s="296">
        <v>0</v>
      </c>
    </row>
    <row r="24" spans="1:27">
      <c r="A24" s="294">
        <v>23</v>
      </c>
      <c r="B24" s="295" t="s">
        <v>1171</v>
      </c>
      <c r="C24" s="295" t="s">
        <v>134</v>
      </c>
      <c r="D24" s="295" t="s">
        <v>74</v>
      </c>
      <c r="E24" s="295" t="s">
        <v>1451</v>
      </c>
      <c r="F24" s="295" t="s">
        <v>1176</v>
      </c>
      <c r="G24" s="296"/>
      <c r="H24" s="294">
        <v>0</v>
      </c>
      <c r="I24" s="296"/>
      <c r="J24" s="296"/>
      <c r="K24" s="296"/>
      <c r="L24" s="296"/>
      <c r="M24" s="296"/>
      <c r="N24" s="296"/>
      <c r="O24" s="296"/>
      <c r="P24" s="296"/>
      <c r="Q24" s="296"/>
      <c r="R24" s="296"/>
      <c r="S24" s="295" t="s">
        <v>414</v>
      </c>
      <c r="T24" s="296"/>
      <c r="U24" s="295" t="s">
        <v>1889</v>
      </c>
      <c r="V24" s="296"/>
      <c r="W24" s="294">
        <v>0</v>
      </c>
      <c r="X24" s="296"/>
      <c r="Y24" s="296"/>
      <c r="Z24" s="296">
        <v>0</v>
      </c>
    </row>
    <row r="25" spans="1:27">
      <c r="A25" s="300">
        <v>24</v>
      </c>
      <c r="B25" s="289"/>
      <c r="C25" s="289" t="s">
        <v>136</v>
      </c>
      <c r="D25" s="289"/>
      <c r="E25" s="289"/>
      <c r="F25" s="289"/>
      <c r="G25" s="301"/>
      <c r="H25" s="300"/>
      <c r="I25" s="301"/>
      <c r="J25" s="301"/>
      <c r="K25" s="301"/>
      <c r="L25" s="301"/>
      <c r="M25" s="301"/>
      <c r="N25" s="301"/>
      <c r="O25" s="301"/>
      <c r="P25" s="301"/>
      <c r="Q25" s="301"/>
      <c r="R25" s="301"/>
      <c r="S25" s="289"/>
      <c r="T25" s="301"/>
      <c r="U25" s="289"/>
      <c r="V25" s="301"/>
      <c r="W25" s="300"/>
      <c r="X25" s="301"/>
      <c r="Y25" s="301"/>
      <c r="Z25" s="301">
        <v>1.1666666666666667</v>
      </c>
    </row>
    <row r="26" spans="1:27">
      <c r="A26" s="294">
        <v>25</v>
      </c>
      <c r="B26" s="295" t="s">
        <v>1171</v>
      </c>
      <c r="C26" s="295" t="s">
        <v>139</v>
      </c>
      <c r="D26" s="295" t="s">
        <v>74</v>
      </c>
      <c r="E26" s="295" t="s">
        <v>1451</v>
      </c>
      <c r="F26" s="295" t="s">
        <v>1176</v>
      </c>
      <c r="G26" s="296"/>
      <c r="H26" s="294">
        <v>0</v>
      </c>
      <c r="I26" s="296"/>
      <c r="J26" s="296"/>
      <c r="K26" s="296"/>
      <c r="L26" s="296"/>
      <c r="M26" s="296"/>
      <c r="N26" s="296"/>
      <c r="O26" s="296"/>
      <c r="P26" s="296"/>
      <c r="Q26" s="296"/>
      <c r="R26" s="296"/>
      <c r="S26" s="295" t="s">
        <v>414</v>
      </c>
      <c r="T26" s="296"/>
      <c r="U26" s="295" t="s">
        <v>1889</v>
      </c>
      <c r="V26" s="296"/>
      <c r="W26" s="294">
        <v>0</v>
      </c>
      <c r="X26" s="296"/>
      <c r="Y26" s="296"/>
      <c r="Z26" s="296">
        <v>0</v>
      </c>
    </row>
    <row r="27" spans="1:27" ht="409">
      <c r="A27" s="297">
        <v>26</v>
      </c>
      <c r="B27" s="292" t="s">
        <v>1171</v>
      </c>
      <c r="C27" s="292" t="s">
        <v>141</v>
      </c>
      <c r="D27" s="292" t="s">
        <v>74</v>
      </c>
      <c r="E27" s="292" t="s">
        <v>1451</v>
      </c>
      <c r="F27" s="292" t="s">
        <v>1174</v>
      </c>
      <c r="G27" s="292" t="s">
        <v>1904</v>
      </c>
      <c r="H27" s="297">
        <v>1</v>
      </c>
      <c r="I27" s="298"/>
      <c r="J27" s="292" t="s">
        <v>1905</v>
      </c>
      <c r="K27" s="298"/>
      <c r="L27" s="298"/>
      <c r="M27" s="298"/>
      <c r="N27" s="299">
        <v>0</v>
      </c>
      <c r="O27" s="292" t="s">
        <v>1906</v>
      </c>
      <c r="P27" s="292"/>
      <c r="Q27" s="297"/>
      <c r="R27" s="292" t="s">
        <v>1902</v>
      </c>
      <c r="S27" s="292" t="s">
        <v>1889</v>
      </c>
      <c r="T27" s="297">
        <v>11684</v>
      </c>
      <c r="U27" s="292" t="s">
        <v>1907</v>
      </c>
      <c r="V27" s="297">
        <v>99</v>
      </c>
      <c r="W27" s="297">
        <v>0</v>
      </c>
      <c r="X27" s="297">
        <v>0</v>
      </c>
      <c r="Y27" s="292" t="s">
        <v>1176</v>
      </c>
      <c r="Z27" s="297">
        <v>1</v>
      </c>
      <c r="AA27" s="292" t="s">
        <v>1906</v>
      </c>
    </row>
    <row r="28" spans="1:27">
      <c r="A28" s="294">
        <v>27</v>
      </c>
      <c r="B28" s="295" t="s">
        <v>1171</v>
      </c>
      <c r="C28" s="295" t="s">
        <v>143</v>
      </c>
      <c r="D28" s="295" t="s">
        <v>74</v>
      </c>
      <c r="E28" s="295" t="s">
        <v>1451</v>
      </c>
      <c r="F28" s="295" t="s">
        <v>1176</v>
      </c>
      <c r="G28" s="296"/>
      <c r="H28" s="294">
        <v>0</v>
      </c>
      <c r="I28" s="296"/>
      <c r="J28" s="296"/>
      <c r="K28" s="296"/>
      <c r="L28" s="296"/>
      <c r="M28" s="296"/>
      <c r="N28" s="296"/>
      <c r="O28" s="296"/>
      <c r="P28" s="296"/>
      <c r="Q28" s="296"/>
      <c r="R28" s="296"/>
      <c r="S28" s="295" t="s">
        <v>414</v>
      </c>
      <c r="T28" s="296"/>
      <c r="U28" s="295" t="s">
        <v>1889</v>
      </c>
      <c r="V28" s="296"/>
      <c r="W28" s="294">
        <v>0</v>
      </c>
      <c r="X28" s="296"/>
      <c r="Y28" s="296"/>
      <c r="Z28" s="296">
        <v>0</v>
      </c>
    </row>
    <row r="29" spans="1:27">
      <c r="A29" s="300">
        <v>28</v>
      </c>
      <c r="B29" s="289"/>
      <c r="C29" s="289" t="s">
        <v>145</v>
      </c>
      <c r="D29" s="289"/>
      <c r="E29" s="289"/>
      <c r="F29" s="289"/>
      <c r="G29" s="301"/>
      <c r="H29" s="300"/>
      <c r="I29" s="301"/>
      <c r="J29" s="301"/>
      <c r="K29" s="301"/>
      <c r="L29" s="301"/>
      <c r="M29" s="301"/>
      <c r="N29" s="301"/>
      <c r="O29" s="301"/>
      <c r="P29" s="301"/>
      <c r="Q29" s="301"/>
      <c r="R29" s="301"/>
      <c r="S29" s="289"/>
      <c r="T29" s="301"/>
      <c r="U29" s="289"/>
      <c r="V29" s="301"/>
      <c r="W29" s="300"/>
      <c r="X29" s="301"/>
      <c r="Y29" s="301"/>
      <c r="Z29" s="301">
        <v>1</v>
      </c>
    </row>
    <row r="30" spans="1:27">
      <c r="A30" s="294">
        <v>29</v>
      </c>
      <c r="B30" s="295" t="s">
        <v>1171</v>
      </c>
      <c r="C30" s="295" t="s">
        <v>148</v>
      </c>
      <c r="D30" s="295" t="s">
        <v>74</v>
      </c>
      <c r="E30" s="295" t="s">
        <v>1451</v>
      </c>
      <c r="F30" s="295" t="s">
        <v>1176</v>
      </c>
      <c r="G30" s="296"/>
      <c r="H30" s="294">
        <v>0</v>
      </c>
      <c r="I30" s="296"/>
      <c r="J30" s="296"/>
      <c r="K30" s="296"/>
      <c r="L30" s="296"/>
      <c r="M30" s="296"/>
      <c r="N30" s="296"/>
      <c r="O30" s="296"/>
      <c r="P30" s="296"/>
      <c r="Q30" s="296"/>
      <c r="R30" s="296"/>
      <c r="S30" s="295" t="s">
        <v>414</v>
      </c>
      <c r="T30" s="296"/>
      <c r="U30" s="295" t="s">
        <v>1889</v>
      </c>
      <c r="V30" s="296"/>
      <c r="W30" s="294">
        <v>0</v>
      </c>
      <c r="X30" s="296"/>
      <c r="Y30" s="296"/>
      <c r="Z30" s="296">
        <v>0</v>
      </c>
    </row>
    <row r="31" spans="1:27">
      <c r="A31" s="294">
        <v>30</v>
      </c>
      <c r="B31" s="295" t="s">
        <v>1171</v>
      </c>
      <c r="C31" s="295" t="s">
        <v>150</v>
      </c>
      <c r="D31" s="295" t="s">
        <v>413</v>
      </c>
      <c r="E31" s="295" t="s">
        <v>1451</v>
      </c>
      <c r="F31" s="295" t="s">
        <v>1176</v>
      </c>
      <c r="G31" s="296"/>
      <c r="H31" s="294">
        <v>0</v>
      </c>
      <c r="I31" s="296"/>
      <c r="J31" s="296"/>
      <c r="K31" s="296"/>
      <c r="L31" s="296"/>
      <c r="M31" s="296"/>
      <c r="N31" s="296"/>
      <c r="O31" s="296"/>
      <c r="P31" s="296"/>
      <c r="Q31" s="296"/>
      <c r="R31" s="296"/>
      <c r="S31" s="295" t="s">
        <v>414</v>
      </c>
      <c r="T31" s="296"/>
      <c r="U31" s="295" t="s">
        <v>1889</v>
      </c>
      <c r="V31" s="296"/>
      <c r="W31" s="294">
        <v>0</v>
      </c>
      <c r="X31" s="296"/>
      <c r="Y31" s="296"/>
      <c r="Z31" s="296">
        <v>0</v>
      </c>
    </row>
    <row r="32" spans="1:27">
      <c r="A32" s="294">
        <v>31</v>
      </c>
      <c r="B32" s="295" t="s">
        <v>1171</v>
      </c>
      <c r="C32" s="295" t="s">
        <v>153</v>
      </c>
      <c r="D32" s="295" t="s">
        <v>413</v>
      </c>
      <c r="E32" s="295" t="s">
        <v>1451</v>
      </c>
      <c r="F32" s="295" t="s">
        <v>1176</v>
      </c>
      <c r="G32" s="296"/>
      <c r="H32" s="294">
        <v>0</v>
      </c>
      <c r="I32" s="296"/>
      <c r="J32" s="296"/>
      <c r="K32" s="296"/>
      <c r="L32" s="296"/>
      <c r="M32" s="296"/>
      <c r="N32" s="296"/>
      <c r="O32" s="296"/>
      <c r="P32" s="296"/>
      <c r="Q32" s="296"/>
      <c r="R32" s="296"/>
      <c r="S32" s="295" t="s">
        <v>414</v>
      </c>
      <c r="T32" s="296"/>
      <c r="U32" s="295" t="s">
        <v>1889</v>
      </c>
      <c r="V32" s="296"/>
      <c r="W32" s="294">
        <v>0</v>
      </c>
      <c r="X32" s="296"/>
      <c r="Y32" s="296"/>
      <c r="Z32" s="296">
        <v>0</v>
      </c>
    </row>
    <row r="33" spans="1:27" ht="308">
      <c r="A33" s="297">
        <v>32</v>
      </c>
      <c r="B33" s="292" t="s">
        <v>1171</v>
      </c>
      <c r="C33" s="292" t="s">
        <v>156</v>
      </c>
      <c r="D33" s="292" t="s">
        <v>74</v>
      </c>
      <c r="E33" s="292" t="s">
        <v>1451</v>
      </c>
      <c r="F33" s="292" t="s">
        <v>1174</v>
      </c>
      <c r="G33" s="292" t="s">
        <v>2023</v>
      </c>
      <c r="H33" s="297">
        <v>1</v>
      </c>
      <c r="I33" s="298"/>
      <c r="J33" s="292" t="s">
        <v>2024</v>
      </c>
      <c r="K33" s="298"/>
      <c r="L33" s="298"/>
      <c r="M33" s="298"/>
      <c r="N33" s="299">
        <v>0</v>
      </c>
      <c r="O33" s="292" t="s">
        <v>2025</v>
      </c>
      <c r="P33" s="292" t="s">
        <v>1174</v>
      </c>
      <c r="Q33" s="297">
        <v>0.25</v>
      </c>
      <c r="R33" s="292" t="s">
        <v>1934</v>
      </c>
      <c r="S33" s="292" t="s">
        <v>1907</v>
      </c>
      <c r="T33" s="297">
        <v>385</v>
      </c>
      <c r="U33" s="292" t="s">
        <v>1889</v>
      </c>
      <c r="V33" s="297">
        <v>7</v>
      </c>
      <c r="W33" s="297">
        <v>0</v>
      </c>
      <c r="X33" s="297">
        <v>0.25</v>
      </c>
      <c r="Y33" s="292" t="s">
        <v>1176</v>
      </c>
      <c r="Z33" s="297">
        <v>1.5</v>
      </c>
      <c r="AA33" s="292" t="s">
        <v>2025</v>
      </c>
    </row>
    <row r="34" spans="1:27">
      <c r="A34" s="294">
        <v>33</v>
      </c>
      <c r="B34" s="295" t="s">
        <v>1171</v>
      </c>
      <c r="C34" s="295" t="s">
        <v>158</v>
      </c>
      <c r="D34" s="295" t="s">
        <v>74</v>
      </c>
      <c r="E34" s="295" t="s">
        <v>1451</v>
      </c>
      <c r="F34" s="295" t="s">
        <v>1176</v>
      </c>
      <c r="G34" s="296"/>
      <c r="H34" s="294">
        <v>0</v>
      </c>
      <c r="I34" s="296"/>
      <c r="J34" s="296"/>
      <c r="K34" s="296"/>
      <c r="L34" s="296"/>
      <c r="M34" s="296"/>
      <c r="N34" s="296"/>
      <c r="O34" s="296"/>
      <c r="P34" s="296"/>
      <c r="Q34" s="296"/>
      <c r="R34" s="296"/>
      <c r="S34" s="295" t="s">
        <v>414</v>
      </c>
      <c r="T34" s="296"/>
      <c r="U34" s="295" t="s">
        <v>1889</v>
      </c>
      <c r="V34" s="296"/>
      <c r="W34" s="294">
        <v>0</v>
      </c>
      <c r="X34" s="296"/>
      <c r="Y34" s="296"/>
      <c r="Z34" s="296">
        <v>0</v>
      </c>
    </row>
    <row r="35" spans="1:27">
      <c r="A35" s="294">
        <v>34</v>
      </c>
      <c r="B35" s="295" t="s">
        <v>1171</v>
      </c>
      <c r="C35" s="295" t="s">
        <v>161</v>
      </c>
      <c r="D35" s="295" t="s">
        <v>74</v>
      </c>
      <c r="E35" s="295" t="s">
        <v>1451</v>
      </c>
      <c r="F35" s="295" t="s">
        <v>1176</v>
      </c>
      <c r="G35" s="296"/>
      <c r="H35" s="294">
        <v>0</v>
      </c>
      <c r="I35" s="296"/>
      <c r="J35" s="296"/>
      <c r="K35" s="296"/>
      <c r="L35" s="296"/>
      <c r="M35" s="296"/>
      <c r="N35" s="296"/>
      <c r="O35" s="296"/>
      <c r="P35" s="296"/>
      <c r="Q35" s="296"/>
      <c r="R35" s="296"/>
      <c r="S35" s="295" t="s">
        <v>414</v>
      </c>
      <c r="T35" s="296"/>
      <c r="U35" s="295" t="s">
        <v>1889</v>
      </c>
      <c r="V35" s="296"/>
      <c r="W35" s="294">
        <v>0</v>
      </c>
      <c r="X35" s="296"/>
      <c r="Y35" s="296"/>
      <c r="Z35" s="296">
        <v>0</v>
      </c>
    </row>
    <row r="36" spans="1:27" ht="182">
      <c r="A36" s="297">
        <v>35</v>
      </c>
      <c r="B36" s="292" t="s">
        <v>1171</v>
      </c>
      <c r="C36" s="292" t="s">
        <v>163</v>
      </c>
      <c r="D36" s="292" t="s">
        <v>74</v>
      </c>
      <c r="E36" s="292" t="s">
        <v>1451</v>
      </c>
      <c r="F36" s="292" t="s">
        <v>1174</v>
      </c>
      <c r="G36" s="292" t="s">
        <v>2026</v>
      </c>
      <c r="H36" s="297">
        <v>1</v>
      </c>
      <c r="I36" s="298"/>
      <c r="J36" s="292" t="s">
        <v>2027</v>
      </c>
      <c r="K36" s="298"/>
      <c r="L36" s="298"/>
      <c r="M36" s="298"/>
      <c r="N36" s="299">
        <v>0</v>
      </c>
      <c r="O36" s="292" t="s">
        <v>2028</v>
      </c>
      <c r="P36" s="292" t="s">
        <v>1176</v>
      </c>
      <c r="Q36" s="297">
        <v>0</v>
      </c>
      <c r="R36" s="292" t="s">
        <v>1893</v>
      </c>
      <c r="S36" s="292" t="s">
        <v>1889</v>
      </c>
      <c r="T36" s="297">
        <v>0</v>
      </c>
      <c r="U36" s="292" t="s">
        <v>1889</v>
      </c>
      <c r="V36" s="297">
        <v>0</v>
      </c>
      <c r="W36" s="297">
        <v>0</v>
      </c>
      <c r="X36" s="297">
        <v>0</v>
      </c>
      <c r="Y36" s="292" t="s">
        <v>1176</v>
      </c>
      <c r="Z36" s="297">
        <v>1</v>
      </c>
      <c r="AA36" s="292" t="s">
        <v>2028</v>
      </c>
    </row>
    <row r="37" spans="1:27">
      <c r="A37" s="300">
        <v>36</v>
      </c>
      <c r="B37" s="289"/>
      <c r="C37" s="289" t="s">
        <v>165</v>
      </c>
      <c r="D37" s="289"/>
      <c r="E37" s="289"/>
      <c r="F37" s="289"/>
      <c r="G37" s="301"/>
      <c r="H37" s="300"/>
      <c r="I37" s="301"/>
      <c r="J37" s="301"/>
      <c r="K37" s="301"/>
      <c r="L37" s="301"/>
      <c r="M37" s="301"/>
      <c r="N37" s="301"/>
      <c r="O37" s="301"/>
      <c r="P37" s="301"/>
      <c r="Q37" s="301"/>
      <c r="R37" s="301"/>
      <c r="S37" s="289"/>
      <c r="T37" s="301"/>
      <c r="U37" s="289"/>
      <c r="V37" s="301"/>
      <c r="W37" s="300"/>
      <c r="X37" s="301"/>
      <c r="Y37" s="301"/>
      <c r="Z37" s="301">
        <v>1</v>
      </c>
    </row>
    <row r="38" spans="1:27">
      <c r="A38" s="294">
        <v>37</v>
      </c>
      <c r="B38" s="295" t="s">
        <v>1171</v>
      </c>
      <c r="C38" s="295" t="s">
        <v>167</v>
      </c>
      <c r="D38" s="295" t="s">
        <v>413</v>
      </c>
      <c r="E38" s="295" t="s">
        <v>1451</v>
      </c>
      <c r="F38" s="295" t="s">
        <v>1176</v>
      </c>
      <c r="G38" s="296"/>
      <c r="H38" s="294">
        <v>0</v>
      </c>
      <c r="I38" s="296"/>
      <c r="J38" s="296"/>
      <c r="K38" s="296"/>
      <c r="L38" s="296"/>
      <c r="M38" s="296"/>
      <c r="N38" s="296"/>
      <c r="O38" s="296"/>
      <c r="P38" s="296"/>
      <c r="Q38" s="296"/>
      <c r="R38" s="296"/>
      <c r="S38" s="295" t="s">
        <v>414</v>
      </c>
      <c r="T38" s="296"/>
      <c r="U38" s="295" t="s">
        <v>1889</v>
      </c>
      <c r="V38" s="296"/>
      <c r="W38" s="294">
        <v>0</v>
      </c>
      <c r="X38" s="296"/>
      <c r="Y38" s="296"/>
      <c r="Z38" s="296">
        <v>0</v>
      </c>
    </row>
    <row r="39" spans="1:27">
      <c r="A39" s="294">
        <v>38</v>
      </c>
      <c r="B39" s="295" t="s">
        <v>1171</v>
      </c>
      <c r="C39" s="295" t="s">
        <v>169</v>
      </c>
      <c r="D39" s="295" t="s">
        <v>413</v>
      </c>
      <c r="E39" s="295" t="s">
        <v>1451</v>
      </c>
      <c r="F39" s="295" t="s">
        <v>1176</v>
      </c>
      <c r="G39" s="296"/>
      <c r="H39" s="294">
        <v>0</v>
      </c>
      <c r="I39" s="296"/>
      <c r="J39" s="296"/>
      <c r="K39" s="296"/>
      <c r="L39" s="296"/>
      <c r="M39" s="296"/>
      <c r="N39" s="296"/>
      <c r="O39" s="296"/>
      <c r="P39" s="296"/>
      <c r="Q39" s="296"/>
      <c r="R39" s="296"/>
      <c r="S39" s="295" t="s">
        <v>414</v>
      </c>
      <c r="T39" s="296"/>
      <c r="U39" s="295" t="s">
        <v>1889</v>
      </c>
      <c r="V39" s="296"/>
      <c r="W39" s="294">
        <v>0</v>
      </c>
      <c r="X39" s="296"/>
      <c r="Y39" s="296"/>
      <c r="Z39" s="296">
        <v>0</v>
      </c>
    </row>
    <row r="40" spans="1:27" ht="409">
      <c r="A40" s="297">
        <v>39</v>
      </c>
      <c r="B40" s="292" t="s">
        <v>1171</v>
      </c>
      <c r="C40" s="292" t="s">
        <v>171</v>
      </c>
      <c r="D40" s="292" t="s">
        <v>74</v>
      </c>
      <c r="E40" s="292" t="s">
        <v>1451</v>
      </c>
      <c r="F40" s="292" t="s">
        <v>1174</v>
      </c>
      <c r="G40" s="292" t="s">
        <v>2029</v>
      </c>
      <c r="H40" s="297">
        <v>1</v>
      </c>
      <c r="I40" s="298"/>
      <c r="J40" s="292" t="s">
        <v>2030</v>
      </c>
      <c r="K40" s="298"/>
      <c r="L40" s="298"/>
      <c r="M40" s="298"/>
      <c r="N40" s="299">
        <v>0</v>
      </c>
      <c r="O40" s="292" t="s">
        <v>1919</v>
      </c>
      <c r="P40" s="292" t="s">
        <v>1176</v>
      </c>
      <c r="Q40" s="297">
        <v>0</v>
      </c>
      <c r="R40" s="292" t="s">
        <v>1934</v>
      </c>
      <c r="S40" s="292" t="s">
        <v>1907</v>
      </c>
      <c r="T40" s="297">
        <v>18</v>
      </c>
      <c r="U40" s="292" t="s">
        <v>1889</v>
      </c>
      <c r="V40" s="297">
        <v>5</v>
      </c>
      <c r="W40" s="297">
        <v>0</v>
      </c>
      <c r="X40" s="297">
        <v>0.25</v>
      </c>
      <c r="Y40" s="292" t="s">
        <v>1176</v>
      </c>
      <c r="Z40" s="297">
        <v>1.25</v>
      </c>
      <c r="AA40" s="292" t="s">
        <v>1919</v>
      </c>
    </row>
    <row r="41" spans="1:27">
      <c r="A41" s="294">
        <v>40</v>
      </c>
      <c r="B41" s="295" t="s">
        <v>1171</v>
      </c>
      <c r="C41" s="295" t="s">
        <v>174</v>
      </c>
      <c r="D41" s="295" t="s">
        <v>74</v>
      </c>
      <c r="E41" s="295" t="s">
        <v>1451</v>
      </c>
      <c r="F41" s="295" t="s">
        <v>1176</v>
      </c>
      <c r="G41" s="296"/>
      <c r="H41" s="294">
        <v>0</v>
      </c>
      <c r="I41" s="296"/>
      <c r="J41" s="296"/>
      <c r="K41" s="296"/>
      <c r="L41" s="296"/>
      <c r="M41" s="296"/>
      <c r="N41" s="296"/>
      <c r="O41" s="296"/>
      <c r="P41" s="296"/>
      <c r="Q41" s="296"/>
      <c r="R41" s="296"/>
      <c r="S41" s="295" t="s">
        <v>414</v>
      </c>
      <c r="T41" s="296"/>
      <c r="U41" s="295" t="s">
        <v>1889</v>
      </c>
      <c r="V41" s="296"/>
      <c r="W41" s="294">
        <v>0</v>
      </c>
      <c r="X41" s="296"/>
      <c r="Y41" s="296"/>
      <c r="Z41" s="296">
        <v>0</v>
      </c>
    </row>
    <row r="42" spans="1:27">
      <c r="A42" s="300">
        <v>41</v>
      </c>
      <c r="B42" s="289"/>
      <c r="C42" s="289" t="s">
        <v>177</v>
      </c>
      <c r="D42" s="289"/>
      <c r="E42" s="289"/>
      <c r="F42" s="289"/>
      <c r="G42" s="301"/>
      <c r="H42" s="300"/>
      <c r="I42" s="301"/>
      <c r="J42" s="301"/>
      <c r="K42" s="301"/>
      <c r="L42" s="301"/>
      <c r="M42" s="301"/>
      <c r="N42" s="301"/>
      <c r="O42" s="301"/>
      <c r="P42" s="301"/>
      <c r="Q42" s="301"/>
      <c r="R42" s="301"/>
      <c r="S42" s="289"/>
      <c r="T42" s="301"/>
      <c r="U42" s="289"/>
      <c r="V42" s="301"/>
      <c r="W42" s="300"/>
      <c r="X42" s="301"/>
      <c r="Y42" s="301"/>
      <c r="Z42" s="301">
        <v>1.0625</v>
      </c>
    </row>
    <row r="43" spans="1:27" ht="409">
      <c r="A43" s="297">
        <v>42</v>
      </c>
      <c r="B43" s="292" t="s">
        <v>1171</v>
      </c>
      <c r="C43" s="292" t="s">
        <v>180</v>
      </c>
      <c r="D43" s="292" t="s">
        <v>413</v>
      </c>
      <c r="E43" s="292" t="s">
        <v>1451</v>
      </c>
      <c r="F43" s="292" t="s">
        <v>1174</v>
      </c>
      <c r="G43" s="292" t="s">
        <v>1923</v>
      </c>
      <c r="H43" s="297">
        <v>1</v>
      </c>
      <c r="I43" s="298"/>
      <c r="J43" s="292" t="s">
        <v>180</v>
      </c>
      <c r="K43" s="298"/>
      <c r="L43" s="298"/>
      <c r="M43" s="298"/>
      <c r="N43" s="299">
        <v>0</v>
      </c>
      <c r="O43" s="292" t="s">
        <v>1924</v>
      </c>
      <c r="P43" s="292" t="s">
        <v>1174</v>
      </c>
      <c r="Q43" s="297">
        <v>0.25</v>
      </c>
      <c r="R43" s="292" t="s">
        <v>1925</v>
      </c>
      <c r="S43" s="292" t="s">
        <v>1907</v>
      </c>
      <c r="T43" s="297">
        <v>15</v>
      </c>
      <c r="U43" s="292" t="s">
        <v>1889</v>
      </c>
      <c r="V43" s="297">
        <v>7</v>
      </c>
      <c r="W43" s="297">
        <v>0</v>
      </c>
      <c r="X43" s="297">
        <v>0.25</v>
      </c>
      <c r="Y43" s="292" t="s">
        <v>1176</v>
      </c>
      <c r="Z43" s="297">
        <v>1.5</v>
      </c>
      <c r="AA43" s="292" t="s">
        <v>1924</v>
      </c>
    </row>
    <row r="44" spans="1:27">
      <c r="A44" s="294">
        <v>43</v>
      </c>
      <c r="B44" s="295" t="s">
        <v>1171</v>
      </c>
      <c r="C44" s="295" t="s">
        <v>182</v>
      </c>
      <c r="D44" s="295" t="s">
        <v>413</v>
      </c>
      <c r="E44" s="295" t="s">
        <v>1451</v>
      </c>
      <c r="F44" s="295" t="s">
        <v>1176</v>
      </c>
      <c r="G44" s="296"/>
      <c r="H44" s="294">
        <v>0</v>
      </c>
      <c r="I44" s="296"/>
      <c r="J44" s="296"/>
      <c r="K44" s="296"/>
      <c r="L44" s="296"/>
      <c r="M44" s="296"/>
      <c r="N44" s="296"/>
      <c r="O44" s="296"/>
      <c r="P44" s="296"/>
      <c r="Q44" s="296"/>
      <c r="R44" s="296"/>
      <c r="S44" s="295" t="s">
        <v>414</v>
      </c>
      <c r="T44" s="296"/>
      <c r="U44" s="295" t="s">
        <v>1889</v>
      </c>
      <c r="V44" s="296"/>
      <c r="W44" s="294">
        <v>0</v>
      </c>
      <c r="X44" s="296"/>
      <c r="Y44" s="296"/>
      <c r="Z44" s="296">
        <v>0</v>
      </c>
    </row>
    <row r="45" spans="1:27">
      <c r="A45" s="294">
        <v>44</v>
      </c>
      <c r="B45" s="295" t="s">
        <v>1171</v>
      </c>
      <c r="C45" s="295" t="s">
        <v>185</v>
      </c>
      <c r="D45" s="295" t="s">
        <v>413</v>
      </c>
      <c r="E45" s="295" t="s">
        <v>1451</v>
      </c>
      <c r="F45" s="295" t="s">
        <v>1176</v>
      </c>
      <c r="G45" s="296"/>
      <c r="H45" s="294">
        <v>0</v>
      </c>
      <c r="I45" s="296"/>
      <c r="J45" s="296"/>
      <c r="K45" s="296"/>
      <c r="L45" s="296"/>
      <c r="M45" s="296"/>
      <c r="N45" s="296"/>
      <c r="O45" s="296"/>
      <c r="P45" s="296"/>
      <c r="Q45" s="296"/>
      <c r="R45" s="296"/>
      <c r="S45" s="295" t="s">
        <v>414</v>
      </c>
      <c r="T45" s="296"/>
      <c r="U45" s="295" t="s">
        <v>1889</v>
      </c>
      <c r="V45" s="296"/>
      <c r="W45" s="294">
        <v>0</v>
      </c>
      <c r="X45" s="296"/>
      <c r="Y45" s="296"/>
      <c r="Z45" s="296">
        <v>0</v>
      </c>
    </row>
    <row r="46" spans="1:27">
      <c r="A46" s="294">
        <v>45</v>
      </c>
      <c r="B46" s="295" t="s">
        <v>1171</v>
      </c>
      <c r="C46" s="295" t="s">
        <v>187</v>
      </c>
      <c r="D46" s="295" t="s">
        <v>74</v>
      </c>
      <c r="E46" s="295" t="s">
        <v>1451</v>
      </c>
      <c r="F46" s="295" t="s">
        <v>1176</v>
      </c>
      <c r="G46" s="296"/>
      <c r="H46" s="294">
        <v>0</v>
      </c>
      <c r="I46" s="296"/>
      <c r="J46" s="296"/>
      <c r="K46" s="296"/>
      <c r="L46" s="296"/>
      <c r="M46" s="296"/>
      <c r="N46" s="296"/>
      <c r="O46" s="296"/>
      <c r="P46" s="296"/>
      <c r="Q46" s="296"/>
      <c r="R46" s="296"/>
      <c r="S46" s="295" t="s">
        <v>414</v>
      </c>
      <c r="T46" s="296"/>
      <c r="U46" s="295" t="s">
        <v>1889</v>
      </c>
      <c r="V46" s="296"/>
      <c r="W46" s="294">
        <v>0</v>
      </c>
      <c r="X46" s="296"/>
      <c r="Y46" s="296"/>
      <c r="Z46" s="296">
        <v>0</v>
      </c>
    </row>
    <row r="47" spans="1:27">
      <c r="A47" s="300">
        <v>46</v>
      </c>
      <c r="B47" s="289"/>
      <c r="C47" s="289" t="s">
        <v>190</v>
      </c>
      <c r="D47" s="289"/>
      <c r="E47" s="289"/>
      <c r="F47" s="289"/>
      <c r="G47" s="301"/>
      <c r="H47" s="300"/>
      <c r="I47" s="301"/>
      <c r="J47" s="301"/>
      <c r="K47" s="301"/>
      <c r="L47" s="301"/>
      <c r="M47" s="301"/>
      <c r="N47" s="301"/>
      <c r="O47" s="301"/>
      <c r="P47" s="301"/>
      <c r="Q47" s="301"/>
      <c r="R47" s="301"/>
      <c r="S47" s="289"/>
      <c r="T47" s="301"/>
      <c r="U47" s="289"/>
      <c r="V47" s="301"/>
      <c r="W47" s="300"/>
      <c r="X47" s="301"/>
      <c r="Y47" s="301"/>
      <c r="Z47" s="301">
        <v>1.375</v>
      </c>
    </row>
    <row r="48" spans="1:27">
      <c r="A48" s="294">
        <v>47</v>
      </c>
      <c r="B48" s="295" t="s">
        <v>1171</v>
      </c>
      <c r="C48" s="295" t="s">
        <v>193</v>
      </c>
      <c r="D48" s="295" t="s">
        <v>74</v>
      </c>
      <c r="E48" s="295" t="s">
        <v>1451</v>
      </c>
      <c r="F48" s="295" t="s">
        <v>1176</v>
      </c>
      <c r="G48" s="296"/>
      <c r="H48" s="294">
        <v>0</v>
      </c>
      <c r="I48" s="296"/>
      <c r="J48" s="296"/>
      <c r="K48" s="296"/>
      <c r="L48" s="296"/>
      <c r="M48" s="296"/>
      <c r="N48" s="296"/>
      <c r="O48" s="296"/>
      <c r="P48" s="296"/>
      <c r="Q48" s="296"/>
      <c r="R48" s="296"/>
      <c r="S48" s="295" t="s">
        <v>414</v>
      </c>
      <c r="T48" s="296"/>
      <c r="U48" s="295" t="s">
        <v>1889</v>
      </c>
      <c r="V48" s="296"/>
      <c r="W48" s="294">
        <v>0</v>
      </c>
      <c r="X48" s="296"/>
      <c r="Y48" s="296"/>
      <c r="Z48" s="296">
        <v>0</v>
      </c>
    </row>
    <row r="49" spans="1:27">
      <c r="A49" s="294">
        <v>48</v>
      </c>
      <c r="B49" s="295" t="s">
        <v>1171</v>
      </c>
      <c r="C49" s="295" t="s">
        <v>196</v>
      </c>
      <c r="D49" s="295" t="s">
        <v>74</v>
      </c>
      <c r="E49" s="295" t="s">
        <v>1451</v>
      </c>
      <c r="F49" s="295" t="s">
        <v>1176</v>
      </c>
      <c r="G49" s="296"/>
      <c r="H49" s="294">
        <v>0</v>
      </c>
      <c r="I49" s="296"/>
      <c r="J49" s="296"/>
      <c r="K49" s="296"/>
      <c r="L49" s="296"/>
      <c r="M49" s="296"/>
      <c r="N49" s="296"/>
      <c r="O49" s="296"/>
      <c r="P49" s="296"/>
      <c r="Q49" s="296"/>
      <c r="R49" s="296"/>
      <c r="S49" s="295" t="s">
        <v>414</v>
      </c>
      <c r="T49" s="296"/>
      <c r="U49" s="295" t="s">
        <v>1889</v>
      </c>
      <c r="V49" s="296"/>
      <c r="W49" s="294">
        <v>0</v>
      </c>
      <c r="X49" s="296"/>
      <c r="Y49" s="296"/>
      <c r="Z49" s="296">
        <v>0</v>
      </c>
    </row>
    <row r="50" spans="1:27">
      <c r="A50" s="294">
        <v>49</v>
      </c>
      <c r="B50" s="295" t="s">
        <v>1171</v>
      </c>
      <c r="C50" s="295" t="s">
        <v>199</v>
      </c>
      <c r="D50" s="295" t="s">
        <v>74</v>
      </c>
      <c r="E50" s="295" t="s">
        <v>1451</v>
      </c>
      <c r="F50" s="295" t="s">
        <v>1176</v>
      </c>
      <c r="G50" s="296"/>
      <c r="H50" s="294">
        <v>0</v>
      </c>
      <c r="I50" s="296"/>
      <c r="J50" s="296"/>
      <c r="K50" s="296"/>
      <c r="L50" s="296"/>
      <c r="M50" s="296"/>
      <c r="N50" s="296"/>
      <c r="O50" s="296"/>
      <c r="P50" s="296"/>
      <c r="Q50" s="296"/>
      <c r="R50" s="296"/>
      <c r="S50" s="295" t="s">
        <v>414</v>
      </c>
      <c r="T50" s="296"/>
      <c r="U50" s="295" t="s">
        <v>1889</v>
      </c>
      <c r="V50" s="296"/>
      <c r="W50" s="294">
        <v>0</v>
      </c>
      <c r="X50" s="296"/>
      <c r="Y50" s="296"/>
      <c r="Z50" s="296">
        <v>0</v>
      </c>
    </row>
    <row r="51" spans="1:27">
      <c r="A51" s="294">
        <v>50</v>
      </c>
      <c r="B51" s="295" t="s">
        <v>1171</v>
      </c>
      <c r="C51" s="295" t="s">
        <v>201</v>
      </c>
      <c r="D51" s="295" t="s">
        <v>74</v>
      </c>
      <c r="E51" s="295" t="s">
        <v>1451</v>
      </c>
      <c r="F51" s="295" t="s">
        <v>1176</v>
      </c>
      <c r="G51" s="296"/>
      <c r="H51" s="294">
        <v>0</v>
      </c>
      <c r="I51" s="296"/>
      <c r="J51" s="296"/>
      <c r="K51" s="296"/>
      <c r="L51" s="296"/>
      <c r="M51" s="296"/>
      <c r="N51" s="296"/>
      <c r="O51" s="296"/>
      <c r="P51" s="296"/>
      <c r="Q51" s="296"/>
      <c r="R51" s="296"/>
      <c r="S51" s="295" t="s">
        <v>414</v>
      </c>
      <c r="T51" s="296"/>
      <c r="U51" s="295" t="s">
        <v>1889</v>
      </c>
      <c r="V51" s="296"/>
      <c r="W51" s="294">
        <v>0</v>
      </c>
      <c r="X51" s="296"/>
      <c r="Y51" s="296"/>
      <c r="Z51" s="296">
        <v>0</v>
      </c>
    </row>
    <row r="52" spans="1:27">
      <c r="A52" s="294">
        <v>51</v>
      </c>
      <c r="B52" s="295" t="s">
        <v>1171</v>
      </c>
      <c r="C52" s="295" t="s">
        <v>203</v>
      </c>
      <c r="D52" s="295" t="s">
        <v>74</v>
      </c>
      <c r="E52" s="295" t="s">
        <v>1451</v>
      </c>
      <c r="F52" s="295" t="s">
        <v>1176</v>
      </c>
      <c r="G52" s="296"/>
      <c r="H52" s="294">
        <v>0</v>
      </c>
      <c r="I52" s="296"/>
      <c r="J52" s="296"/>
      <c r="K52" s="296"/>
      <c r="L52" s="296"/>
      <c r="M52" s="296"/>
      <c r="N52" s="296"/>
      <c r="O52" s="296"/>
      <c r="P52" s="296"/>
      <c r="Q52" s="296"/>
      <c r="R52" s="296"/>
      <c r="S52" s="295" t="s">
        <v>414</v>
      </c>
      <c r="T52" s="296"/>
      <c r="U52" s="295" t="s">
        <v>1889</v>
      </c>
      <c r="V52" s="296"/>
      <c r="W52" s="294">
        <v>0</v>
      </c>
      <c r="X52" s="296"/>
      <c r="Y52" s="296"/>
      <c r="Z52" s="296">
        <v>0</v>
      </c>
    </row>
    <row r="53" spans="1:27">
      <c r="A53" s="294">
        <v>52</v>
      </c>
      <c r="B53" s="295" t="s">
        <v>1171</v>
      </c>
      <c r="C53" s="295" t="s">
        <v>206</v>
      </c>
      <c r="D53" s="295" t="s">
        <v>74</v>
      </c>
      <c r="E53" s="295" t="s">
        <v>1451</v>
      </c>
      <c r="F53" s="295" t="s">
        <v>1176</v>
      </c>
      <c r="G53" s="296"/>
      <c r="H53" s="294">
        <v>0</v>
      </c>
      <c r="I53" s="296"/>
      <c r="J53" s="296"/>
      <c r="K53" s="296"/>
      <c r="L53" s="296"/>
      <c r="M53" s="296"/>
      <c r="N53" s="296"/>
      <c r="O53" s="296"/>
      <c r="P53" s="296"/>
      <c r="Q53" s="296"/>
      <c r="R53" s="296"/>
      <c r="S53" s="295" t="s">
        <v>414</v>
      </c>
      <c r="T53" s="296"/>
      <c r="U53" s="295" t="s">
        <v>1889</v>
      </c>
      <c r="V53" s="296"/>
      <c r="W53" s="294">
        <v>0</v>
      </c>
      <c r="X53" s="296"/>
      <c r="Y53" s="296"/>
      <c r="Z53" s="296">
        <v>0</v>
      </c>
    </row>
    <row r="54" spans="1:27">
      <c r="A54" s="294">
        <v>53</v>
      </c>
      <c r="B54" s="295" t="s">
        <v>1171</v>
      </c>
      <c r="C54" s="295" t="s">
        <v>209</v>
      </c>
      <c r="D54" s="295" t="s">
        <v>74</v>
      </c>
      <c r="E54" s="295" t="s">
        <v>1451</v>
      </c>
      <c r="F54" s="295" t="s">
        <v>1176</v>
      </c>
      <c r="G54" s="296"/>
      <c r="H54" s="294">
        <v>0</v>
      </c>
      <c r="I54" s="296"/>
      <c r="J54" s="296"/>
      <c r="K54" s="296"/>
      <c r="L54" s="296"/>
      <c r="M54" s="296"/>
      <c r="N54" s="296"/>
      <c r="O54" s="296"/>
      <c r="P54" s="296"/>
      <c r="Q54" s="296"/>
      <c r="R54" s="296"/>
      <c r="S54" s="295" t="s">
        <v>414</v>
      </c>
      <c r="T54" s="296"/>
      <c r="U54" s="295" t="s">
        <v>1889</v>
      </c>
      <c r="V54" s="296"/>
      <c r="W54" s="294">
        <v>0</v>
      </c>
      <c r="X54" s="296"/>
      <c r="Y54" s="296"/>
      <c r="Z54" s="296">
        <v>0</v>
      </c>
    </row>
    <row r="55" spans="1:27">
      <c r="A55" s="294">
        <v>54</v>
      </c>
      <c r="B55" s="295" t="s">
        <v>1171</v>
      </c>
      <c r="C55" s="295" t="s">
        <v>213</v>
      </c>
      <c r="D55" s="295" t="s">
        <v>74</v>
      </c>
      <c r="E55" s="295" t="s">
        <v>1451</v>
      </c>
      <c r="F55" s="295" t="s">
        <v>1176</v>
      </c>
      <c r="G55" s="296"/>
      <c r="H55" s="294">
        <v>0</v>
      </c>
      <c r="I55" s="296"/>
      <c r="J55" s="296"/>
      <c r="K55" s="296"/>
      <c r="L55" s="296"/>
      <c r="M55" s="296"/>
      <c r="N55" s="296"/>
      <c r="O55" s="296"/>
      <c r="P55" s="296"/>
      <c r="Q55" s="296"/>
      <c r="R55" s="296"/>
      <c r="S55" s="295" t="s">
        <v>414</v>
      </c>
      <c r="T55" s="296"/>
      <c r="U55" s="295" t="s">
        <v>1889</v>
      </c>
      <c r="V55" s="296"/>
      <c r="W55" s="294">
        <v>0</v>
      </c>
      <c r="X55" s="296"/>
      <c r="Y55" s="296"/>
      <c r="Z55" s="296">
        <v>0</v>
      </c>
    </row>
    <row r="56" spans="1:27">
      <c r="A56" s="294">
        <v>55</v>
      </c>
      <c r="B56" s="295" t="s">
        <v>1171</v>
      </c>
      <c r="C56" s="295" t="s">
        <v>215</v>
      </c>
      <c r="D56" s="295" t="s">
        <v>74</v>
      </c>
      <c r="E56" s="295" t="s">
        <v>1451</v>
      </c>
      <c r="F56" s="295" t="s">
        <v>1176</v>
      </c>
      <c r="G56" s="296"/>
      <c r="H56" s="294">
        <v>0</v>
      </c>
      <c r="I56" s="296"/>
      <c r="J56" s="296"/>
      <c r="K56" s="296"/>
      <c r="L56" s="296"/>
      <c r="M56" s="296"/>
      <c r="N56" s="296"/>
      <c r="O56" s="296"/>
      <c r="P56" s="296"/>
      <c r="Q56" s="296"/>
      <c r="R56" s="296"/>
      <c r="S56" s="295" t="s">
        <v>414</v>
      </c>
      <c r="T56" s="296"/>
      <c r="U56" s="295" t="s">
        <v>1889</v>
      </c>
      <c r="V56" s="296"/>
      <c r="W56" s="294">
        <v>0</v>
      </c>
      <c r="X56" s="296"/>
      <c r="Y56" s="296"/>
      <c r="Z56" s="296">
        <v>0</v>
      </c>
    </row>
    <row r="57" spans="1:27">
      <c r="A57" s="294">
        <v>56</v>
      </c>
      <c r="B57" s="295" t="s">
        <v>1171</v>
      </c>
      <c r="C57" s="295" t="s">
        <v>218</v>
      </c>
      <c r="D57" s="295" t="s">
        <v>413</v>
      </c>
      <c r="E57" s="295" t="s">
        <v>1451</v>
      </c>
      <c r="F57" s="295" t="s">
        <v>1176</v>
      </c>
      <c r="G57" s="296"/>
      <c r="H57" s="294">
        <v>0</v>
      </c>
      <c r="I57" s="296"/>
      <c r="J57" s="296"/>
      <c r="K57" s="296"/>
      <c r="L57" s="296"/>
      <c r="M57" s="296"/>
      <c r="N57" s="296"/>
      <c r="O57" s="296"/>
      <c r="P57" s="296"/>
      <c r="Q57" s="296"/>
      <c r="R57" s="296"/>
      <c r="S57" s="295" t="s">
        <v>414</v>
      </c>
      <c r="T57" s="296"/>
      <c r="U57" s="295" t="s">
        <v>1889</v>
      </c>
      <c r="V57" s="296"/>
      <c r="W57" s="294">
        <v>0</v>
      </c>
      <c r="X57" s="296"/>
      <c r="Y57" s="296"/>
      <c r="Z57" s="296">
        <v>0</v>
      </c>
    </row>
    <row r="58" spans="1:27" ht="409">
      <c r="A58" s="297">
        <v>57</v>
      </c>
      <c r="B58" s="292" t="s">
        <v>1171</v>
      </c>
      <c r="C58" s="292" t="s">
        <v>220</v>
      </c>
      <c r="D58" s="292" t="s">
        <v>74</v>
      </c>
      <c r="E58" s="292" t="s">
        <v>1451</v>
      </c>
      <c r="F58" s="292" t="s">
        <v>1174</v>
      </c>
      <c r="G58" s="292" t="s">
        <v>1944</v>
      </c>
      <c r="H58" s="297">
        <v>1</v>
      </c>
      <c r="I58" s="298"/>
      <c r="J58" s="292" t="s">
        <v>1945</v>
      </c>
      <c r="K58" s="298"/>
      <c r="L58" s="298"/>
      <c r="M58" s="298"/>
      <c r="N58" s="299">
        <v>0</v>
      </c>
      <c r="O58" s="292" t="s">
        <v>1946</v>
      </c>
      <c r="P58" s="292" t="s">
        <v>1174</v>
      </c>
      <c r="Q58" s="297">
        <v>0.25</v>
      </c>
      <c r="R58" s="292" t="s">
        <v>1930</v>
      </c>
      <c r="S58" s="292" t="s">
        <v>1907</v>
      </c>
      <c r="T58" s="297">
        <v>29</v>
      </c>
      <c r="U58" s="292" t="s">
        <v>1889</v>
      </c>
      <c r="V58" s="297">
        <v>8</v>
      </c>
      <c r="W58" s="297">
        <v>0</v>
      </c>
      <c r="X58" s="297">
        <v>0.25</v>
      </c>
      <c r="Y58" s="292" t="s">
        <v>1176</v>
      </c>
      <c r="Z58" s="297">
        <v>1.5</v>
      </c>
      <c r="AA58" s="292" t="s">
        <v>1946</v>
      </c>
    </row>
    <row r="59" spans="1:27">
      <c r="A59" s="294">
        <v>58</v>
      </c>
      <c r="B59" s="295" t="s">
        <v>1171</v>
      </c>
      <c r="C59" s="295" t="s">
        <v>222</v>
      </c>
      <c r="D59" s="295" t="s">
        <v>74</v>
      </c>
      <c r="E59" s="295" t="s">
        <v>1451</v>
      </c>
      <c r="F59" s="295" t="s">
        <v>1176</v>
      </c>
      <c r="G59" s="296"/>
      <c r="H59" s="294">
        <v>0</v>
      </c>
      <c r="I59" s="296"/>
      <c r="J59" s="296"/>
      <c r="K59" s="296"/>
      <c r="L59" s="296"/>
      <c r="M59" s="296"/>
      <c r="N59" s="296"/>
      <c r="O59" s="296"/>
      <c r="P59" s="296"/>
      <c r="Q59" s="296"/>
      <c r="R59" s="296"/>
      <c r="S59" s="295" t="s">
        <v>414</v>
      </c>
      <c r="T59" s="296"/>
      <c r="U59" s="295" t="s">
        <v>1889</v>
      </c>
      <c r="V59" s="296"/>
      <c r="W59" s="294">
        <v>0</v>
      </c>
      <c r="X59" s="296"/>
      <c r="Y59" s="296"/>
      <c r="Z59" s="296">
        <v>0</v>
      </c>
    </row>
    <row r="60" spans="1:27">
      <c r="A60" s="294">
        <v>59</v>
      </c>
      <c r="B60" s="295" t="s">
        <v>1171</v>
      </c>
      <c r="C60" s="295" t="s">
        <v>225</v>
      </c>
      <c r="D60" s="295" t="s">
        <v>413</v>
      </c>
      <c r="E60" s="295" t="s">
        <v>1451</v>
      </c>
      <c r="F60" s="295" t="s">
        <v>1176</v>
      </c>
      <c r="G60" s="296"/>
      <c r="H60" s="294">
        <v>0</v>
      </c>
      <c r="I60" s="296"/>
      <c r="J60" s="296"/>
      <c r="K60" s="296"/>
      <c r="L60" s="296"/>
      <c r="M60" s="296"/>
      <c r="N60" s="296"/>
      <c r="O60" s="296"/>
      <c r="P60" s="296"/>
      <c r="Q60" s="296"/>
      <c r="R60" s="296"/>
      <c r="S60" s="295" t="s">
        <v>414</v>
      </c>
      <c r="T60" s="296"/>
      <c r="U60" s="295" t="s">
        <v>1889</v>
      </c>
      <c r="V60" s="296"/>
      <c r="W60" s="294">
        <v>0</v>
      </c>
      <c r="X60" s="296"/>
      <c r="Y60" s="296"/>
      <c r="Z60" s="296">
        <v>0</v>
      </c>
    </row>
    <row r="61" spans="1:27">
      <c r="A61" s="294">
        <v>60</v>
      </c>
      <c r="B61" s="295" t="s">
        <v>1171</v>
      </c>
      <c r="C61" s="295" t="s">
        <v>228</v>
      </c>
      <c r="D61" s="295" t="s">
        <v>74</v>
      </c>
      <c r="E61" s="295" t="s">
        <v>1451</v>
      </c>
      <c r="F61" s="295" t="s">
        <v>1176</v>
      </c>
      <c r="G61" s="296"/>
      <c r="H61" s="294">
        <v>0</v>
      </c>
      <c r="I61" s="296"/>
      <c r="J61" s="296"/>
      <c r="K61" s="296"/>
      <c r="L61" s="296"/>
      <c r="M61" s="296"/>
      <c r="N61" s="296"/>
      <c r="O61" s="296"/>
      <c r="P61" s="296"/>
      <c r="Q61" s="296"/>
      <c r="R61" s="296"/>
      <c r="S61" s="295" t="s">
        <v>414</v>
      </c>
      <c r="T61" s="296"/>
      <c r="U61" s="295" t="s">
        <v>1889</v>
      </c>
      <c r="V61" s="296"/>
      <c r="W61" s="294">
        <v>0</v>
      </c>
      <c r="X61" s="296"/>
      <c r="Y61" s="296"/>
      <c r="Z61" s="296">
        <v>0</v>
      </c>
    </row>
    <row r="62" spans="1:27" ht="409">
      <c r="A62" s="297">
        <v>61</v>
      </c>
      <c r="B62" s="292" t="s">
        <v>1171</v>
      </c>
      <c r="C62" s="292" t="s">
        <v>229</v>
      </c>
      <c r="D62" s="292" t="s">
        <v>74</v>
      </c>
      <c r="E62" s="292" t="s">
        <v>1451</v>
      </c>
      <c r="F62" s="292" t="s">
        <v>1174</v>
      </c>
      <c r="G62" s="292" t="s">
        <v>2031</v>
      </c>
      <c r="H62" s="297">
        <v>1</v>
      </c>
      <c r="I62" s="298"/>
      <c r="J62" s="292" t="s">
        <v>2032</v>
      </c>
      <c r="K62" s="298"/>
      <c r="L62" s="298"/>
      <c r="M62" s="298"/>
      <c r="N62" s="299">
        <v>0</v>
      </c>
      <c r="O62" s="292" t="s">
        <v>2033</v>
      </c>
      <c r="P62" s="292" t="s">
        <v>1176</v>
      </c>
      <c r="Q62" s="297">
        <v>0</v>
      </c>
      <c r="R62" s="292" t="s">
        <v>1893</v>
      </c>
      <c r="S62" s="292" t="s">
        <v>1889</v>
      </c>
      <c r="T62" s="297">
        <v>0</v>
      </c>
      <c r="U62" s="292" t="s">
        <v>1889</v>
      </c>
      <c r="V62" s="297">
        <v>0</v>
      </c>
      <c r="W62" s="297">
        <v>0</v>
      </c>
      <c r="X62" s="297">
        <v>0</v>
      </c>
      <c r="Y62" s="292" t="s">
        <v>1176</v>
      </c>
      <c r="Z62" s="297">
        <v>1</v>
      </c>
      <c r="AA62" s="292" t="s">
        <v>2033</v>
      </c>
    </row>
    <row r="63" spans="1:27">
      <c r="A63" s="294">
        <v>62</v>
      </c>
      <c r="B63" s="295" t="s">
        <v>1171</v>
      </c>
      <c r="C63" s="295" t="s">
        <v>231</v>
      </c>
      <c r="D63" s="295" t="s">
        <v>413</v>
      </c>
      <c r="E63" s="295" t="s">
        <v>1451</v>
      </c>
      <c r="F63" s="295" t="s">
        <v>1176</v>
      </c>
      <c r="G63" s="296"/>
      <c r="H63" s="294">
        <v>0</v>
      </c>
      <c r="I63" s="296"/>
      <c r="J63" s="296"/>
      <c r="K63" s="296"/>
      <c r="L63" s="296"/>
      <c r="M63" s="296"/>
      <c r="N63" s="296"/>
      <c r="O63" s="296"/>
      <c r="P63" s="296"/>
      <c r="Q63" s="296"/>
      <c r="R63" s="296"/>
      <c r="S63" s="295" t="s">
        <v>414</v>
      </c>
      <c r="T63" s="296"/>
      <c r="U63" s="295" t="s">
        <v>1889</v>
      </c>
      <c r="V63" s="296"/>
      <c r="W63" s="294">
        <v>0</v>
      </c>
      <c r="X63" s="296"/>
      <c r="Y63" s="296"/>
      <c r="Z63" s="296">
        <v>0</v>
      </c>
    </row>
    <row r="64" spans="1:27">
      <c r="A64" s="294">
        <v>63</v>
      </c>
      <c r="B64" s="295" t="s">
        <v>1171</v>
      </c>
      <c r="C64" s="295" t="s">
        <v>234</v>
      </c>
      <c r="D64" s="295" t="s">
        <v>413</v>
      </c>
      <c r="E64" s="295" t="s">
        <v>1451</v>
      </c>
      <c r="F64" s="295" t="s">
        <v>1176</v>
      </c>
      <c r="G64" s="296"/>
      <c r="H64" s="294">
        <v>0</v>
      </c>
      <c r="I64" s="296"/>
      <c r="J64" s="296"/>
      <c r="K64" s="296"/>
      <c r="L64" s="296"/>
      <c r="M64" s="296"/>
      <c r="N64" s="296"/>
      <c r="O64" s="296"/>
      <c r="P64" s="296"/>
      <c r="Q64" s="296"/>
      <c r="R64" s="296"/>
      <c r="S64" s="295" t="s">
        <v>414</v>
      </c>
      <c r="T64" s="296"/>
      <c r="U64" s="295" t="s">
        <v>1889</v>
      </c>
      <c r="V64" s="296"/>
      <c r="W64" s="294">
        <v>0</v>
      </c>
      <c r="X64" s="296"/>
      <c r="Y64" s="296"/>
      <c r="Z64" s="296">
        <v>0</v>
      </c>
    </row>
    <row r="65" spans="1:27" ht="224">
      <c r="A65" s="302">
        <v>11</v>
      </c>
      <c r="B65" s="207" t="s">
        <v>1171</v>
      </c>
      <c r="C65" s="207" t="s">
        <v>102</v>
      </c>
      <c r="D65" s="207" t="s">
        <v>413</v>
      </c>
      <c r="E65" s="207" t="s">
        <v>1866</v>
      </c>
      <c r="F65" s="207" t="s">
        <v>1174</v>
      </c>
      <c r="G65" s="207" t="s">
        <v>1890</v>
      </c>
      <c r="H65" s="302">
        <v>1</v>
      </c>
      <c r="J65" s="207" t="s">
        <v>1891</v>
      </c>
      <c r="N65" s="303">
        <v>0</v>
      </c>
      <c r="O65" s="207" t="s">
        <v>1892</v>
      </c>
      <c r="P65" s="207" t="s">
        <v>1176</v>
      </c>
      <c r="Q65" s="302">
        <v>0</v>
      </c>
      <c r="R65" s="207" t="s">
        <v>1893</v>
      </c>
      <c r="S65" s="207" t="s">
        <v>1889</v>
      </c>
      <c r="T65" s="302">
        <v>0</v>
      </c>
      <c r="U65" s="207" t="s">
        <v>1889</v>
      </c>
      <c r="V65" s="302">
        <v>0</v>
      </c>
      <c r="W65" s="302">
        <v>0</v>
      </c>
      <c r="X65" s="302">
        <v>0</v>
      </c>
      <c r="Y65" s="207" t="s">
        <v>1174</v>
      </c>
      <c r="Z65" s="302">
        <v>1</v>
      </c>
      <c r="AA65" s="207" t="s">
        <v>1892</v>
      </c>
    </row>
    <row r="66" spans="1:27" ht="210">
      <c r="A66" s="302">
        <v>11</v>
      </c>
      <c r="B66" s="207" t="s">
        <v>1171</v>
      </c>
      <c r="C66" s="207" t="s">
        <v>102</v>
      </c>
      <c r="D66" s="207" t="s">
        <v>413</v>
      </c>
      <c r="E66" s="207" t="s">
        <v>1451</v>
      </c>
      <c r="F66" s="207" t="s">
        <v>1174</v>
      </c>
      <c r="G66" s="207" t="s">
        <v>2034</v>
      </c>
      <c r="H66" s="302">
        <v>1</v>
      </c>
      <c r="J66" s="207" t="s">
        <v>2035</v>
      </c>
      <c r="N66" s="303">
        <v>0</v>
      </c>
      <c r="O66" s="207" t="s">
        <v>2036</v>
      </c>
      <c r="P66" s="207" t="s">
        <v>1176</v>
      </c>
      <c r="Q66" s="302">
        <v>0</v>
      </c>
      <c r="R66" s="207" t="s">
        <v>1934</v>
      </c>
      <c r="S66" s="207" t="s">
        <v>1907</v>
      </c>
      <c r="T66" s="302">
        <v>230</v>
      </c>
      <c r="U66" s="207" t="s">
        <v>1889</v>
      </c>
      <c r="V66" s="302">
        <v>25</v>
      </c>
      <c r="W66" s="302">
        <v>0</v>
      </c>
      <c r="X66" s="302">
        <v>0.25</v>
      </c>
      <c r="Y66" s="207" t="s">
        <v>1174</v>
      </c>
      <c r="Z66" s="302">
        <v>1.25</v>
      </c>
      <c r="AA66" s="207" t="s">
        <v>2036</v>
      </c>
    </row>
    <row r="67" spans="1:27" ht="409">
      <c r="A67" s="302">
        <v>18</v>
      </c>
      <c r="B67" s="207" t="s">
        <v>1171</v>
      </c>
      <c r="C67" s="207" t="s">
        <v>120</v>
      </c>
      <c r="D67" s="207" t="s">
        <v>413</v>
      </c>
      <c r="E67" s="207" t="s">
        <v>1866</v>
      </c>
      <c r="F67" s="207" t="s">
        <v>1174</v>
      </c>
      <c r="G67" s="207" t="s">
        <v>2037</v>
      </c>
      <c r="H67" s="302">
        <v>1</v>
      </c>
      <c r="J67" s="207" t="s">
        <v>2038</v>
      </c>
      <c r="N67" s="303">
        <v>0</v>
      </c>
      <c r="O67" s="207" t="s">
        <v>2039</v>
      </c>
      <c r="P67" s="207" t="s">
        <v>1176</v>
      </c>
      <c r="Q67" s="302">
        <v>0</v>
      </c>
      <c r="R67" s="207" t="s">
        <v>1893</v>
      </c>
      <c r="S67" s="207" t="s">
        <v>1889</v>
      </c>
      <c r="T67" s="302">
        <v>0</v>
      </c>
      <c r="U67" s="207" t="s">
        <v>1889</v>
      </c>
      <c r="V67" s="302">
        <v>0</v>
      </c>
      <c r="W67" s="302">
        <v>0</v>
      </c>
      <c r="X67" s="302">
        <v>0</v>
      </c>
      <c r="Y67" s="207" t="s">
        <v>1174</v>
      </c>
      <c r="Z67" s="302">
        <v>1</v>
      </c>
      <c r="AA67" s="207" t="s">
        <v>2039</v>
      </c>
    </row>
    <row r="68" spans="1:27" ht="409">
      <c r="A68" s="302">
        <v>18</v>
      </c>
      <c r="B68" s="207" t="s">
        <v>1171</v>
      </c>
      <c r="C68" s="207" t="s">
        <v>120</v>
      </c>
      <c r="D68" s="207" t="s">
        <v>413</v>
      </c>
      <c r="E68" s="207" t="s">
        <v>1451</v>
      </c>
      <c r="F68" s="207" t="s">
        <v>1174</v>
      </c>
      <c r="G68" s="207" t="s">
        <v>2040</v>
      </c>
      <c r="H68" s="302">
        <v>1</v>
      </c>
      <c r="J68" s="207" t="s">
        <v>2041</v>
      </c>
      <c r="N68" s="303">
        <v>0</v>
      </c>
      <c r="O68" s="207" t="s">
        <v>2042</v>
      </c>
      <c r="P68" s="207" t="s">
        <v>1176</v>
      </c>
      <c r="Q68" s="302">
        <v>0</v>
      </c>
      <c r="R68" s="207" t="s">
        <v>1925</v>
      </c>
      <c r="S68" s="207" t="s">
        <v>1907</v>
      </c>
      <c r="T68" s="302">
        <v>20</v>
      </c>
      <c r="U68" s="207" t="s">
        <v>1889</v>
      </c>
      <c r="V68" s="302">
        <v>3</v>
      </c>
      <c r="W68" s="302">
        <v>0</v>
      </c>
      <c r="X68" s="302">
        <v>0.25</v>
      </c>
      <c r="Y68" s="207" t="s">
        <v>1174</v>
      </c>
      <c r="Z68" s="302">
        <v>1.25</v>
      </c>
      <c r="AA68" s="207" t="s">
        <v>2042</v>
      </c>
    </row>
    <row r="69" spans="1:27" ht="409">
      <c r="A69" s="302">
        <v>19</v>
      </c>
      <c r="B69" s="207" t="s">
        <v>1171</v>
      </c>
      <c r="C69" s="207" t="s">
        <v>123</v>
      </c>
      <c r="D69" s="207" t="s">
        <v>413</v>
      </c>
      <c r="E69" s="207" t="s">
        <v>1866</v>
      </c>
      <c r="F69" s="207" t="s">
        <v>1174</v>
      </c>
      <c r="G69" s="207" t="s">
        <v>2043</v>
      </c>
      <c r="H69" s="302">
        <v>1</v>
      </c>
      <c r="J69" s="207" t="s">
        <v>2044</v>
      </c>
      <c r="N69" s="303">
        <v>0</v>
      </c>
      <c r="O69" s="207" t="s">
        <v>2045</v>
      </c>
      <c r="P69" s="207" t="s">
        <v>1176</v>
      </c>
      <c r="Q69" s="302">
        <v>0</v>
      </c>
      <c r="R69" s="207" t="s">
        <v>1920</v>
      </c>
      <c r="S69" s="207" t="s">
        <v>1921</v>
      </c>
      <c r="T69" s="302">
        <v>232</v>
      </c>
      <c r="U69" s="207" t="s">
        <v>1889</v>
      </c>
      <c r="V69" s="302">
        <v>10</v>
      </c>
      <c r="W69" s="302">
        <v>0</v>
      </c>
      <c r="X69" s="302">
        <v>0</v>
      </c>
      <c r="Y69" s="207" t="s">
        <v>1174</v>
      </c>
      <c r="Z69" s="302">
        <v>1</v>
      </c>
      <c r="AA69" s="207" t="s">
        <v>2045</v>
      </c>
    </row>
    <row r="70" spans="1:27" ht="392">
      <c r="A70" s="302">
        <v>19</v>
      </c>
      <c r="B70" s="207" t="s">
        <v>1171</v>
      </c>
      <c r="C70" s="207" t="s">
        <v>123</v>
      </c>
      <c r="D70" s="207" t="s">
        <v>413</v>
      </c>
      <c r="E70" s="207" t="s">
        <v>1866</v>
      </c>
      <c r="F70" s="207" t="s">
        <v>1174</v>
      </c>
      <c r="G70" s="207" t="s">
        <v>2046</v>
      </c>
      <c r="H70" s="302">
        <v>1</v>
      </c>
      <c r="J70" s="207" t="s">
        <v>2047</v>
      </c>
      <c r="N70" s="303">
        <v>0</v>
      </c>
      <c r="O70" s="207" t="s">
        <v>2048</v>
      </c>
      <c r="P70" s="207" t="s">
        <v>1176</v>
      </c>
      <c r="Q70" s="302">
        <v>0</v>
      </c>
      <c r="R70" s="207" t="s">
        <v>1920</v>
      </c>
      <c r="S70" s="207" t="s">
        <v>1921</v>
      </c>
      <c r="T70" s="302">
        <v>1936</v>
      </c>
      <c r="U70" s="207" t="s">
        <v>1907</v>
      </c>
      <c r="V70" s="302">
        <v>40</v>
      </c>
      <c r="W70" s="302">
        <v>0</v>
      </c>
      <c r="X70" s="302">
        <v>0.25</v>
      </c>
      <c r="Y70" s="207" t="s">
        <v>1174</v>
      </c>
      <c r="Z70" s="302">
        <v>1.25</v>
      </c>
      <c r="AA70" s="207" t="s">
        <v>2048</v>
      </c>
    </row>
    <row r="71" spans="1:27" ht="154">
      <c r="A71" s="302">
        <v>19</v>
      </c>
      <c r="B71" s="207" t="s">
        <v>1171</v>
      </c>
      <c r="C71" s="207" t="s">
        <v>123</v>
      </c>
      <c r="D71" s="207" t="s">
        <v>413</v>
      </c>
      <c r="E71" s="207" t="s">
        <v>1451</v>
      </c>
      <c r="F71" s="207" t="s">
        <v>1174</v>
      </c>
      <c r="G71" s="207" t="s">
        <v>1895</v>
      </c>
      <c r="H71" s="302">
        <v>1</v>
      </c>
      <c r="J71" s="207" t="s">
        <v>1896</v>
      </c>
      <c r="N71" s="303">
        <v>0</v>
      </c>
      <c r="O71" s="207" t="s">
        <v>1897</v>
      </c>
      <c r="P71" s="207" t="s">
        <v>1176</v>
      </c>
      <c r="Q71" s="302">
        <v>0</v>
      </c>
      <c r="R71" s="207" t="s">
        <v>1893</v>
      </c>
      <c r="S71" s="207" t="s">
        <v>1889</v>
      </c>
      <c r="T71" s="302">
        <v>0</v>
      </c>
      <c r="U71" s="207" t="s">
        <v>1889</v>
      </c>
      <c r="V71" s="302">
        <v>0</v>
      </c>
      <c r="W71" s="302">
        <v>0</v>
      </c>
      <c r="X71" s="302">
        <v>0</v>
      </c>
      <c r="Y71" s="207" t="s">
        <v>1174</v>
      </c>
      <c r="Z71" s="302">
        <v>1</v>
      </c>
      <c r="AA71" s="207" t="s">
        <v>1897</v>
      </c>
    </row>
    <row r="72" spans="1:27" ht="308">
      <c r="A72" s="302">
        <v>24</v>
      </c>
      <c r="B72" s="207" t="s">
        <v>1171</v>
      </c>
      <c r="C72" s="207" t="s">
        <v>136</v>
      </c>
      <c r="D72" s="207" t="s">
        <v>74</v>
      </c>
      <c r="E72" s="207" t="s">
        <v>1451</v>
      </c>
      <c r="F72" s="207" t="s">
        <v>1174</v>
      </c>
      <c r="G72" s="207" t="s">
        <v>2049</v>
      </c>
      <c r="H72" s="302">
        <v>1</v>
      </c>
      <c r="J72" s="207" t="s">
        <v>2050</v>
      </c>
      <c r="N72" s="303">
        <v>0</v>
      </c>
      <c r="O72" s="207" t="s">
        <v>2051</v>
      </c>
      <c r="P72" s="207" t="s">
        <v>1176</v>
      </c>
      <c r="Q72" s="302">
        <v>0</v>
      </c>
      <c r="R72" s="207" t="s">
        <v>1934</v>
      </c>
      <c r="S72" s="207" t="s">
        <v>1907</v>
      </c>
      <c r="T72" s="302">
        <v>18</v>
      </c>
      <c r="U72" s="207" t="s">
        <v>1889</v>
      </c>
      <c r="V72" s="302">
        <v>11</v>
      </c>
      <c r="W72" s="302">
        <v>0</v>
      </c>
      <c r="X72" s="302">
        <v>0.25</v>
      </c>
      <c r="Y72" s="207" t="s">
        <v>1174</v>
      </c>
      <c r="Z72" s="302">
        <v>1.25</v>
      </c>
      <c r="AA72" s="207" t="s">
        <v>2051</v>
      </c>
    </row>
    <row r="73" spans="1:27" ht="409">
      <c r="A73" s="302">
        <v>24</v>
      </c>
      <c r="B73" s="207" t="s">
        <v>1171</v>
      </c>
      <c r="C73" s="207" t="s">
        <v>136</v>
      </c>
      <c r="D73" s="207" t="s">
        <v>74</v>
      </c>
      <c r="E73" s="207" t="s">
        <v>1866</v>
      </c>
      <c r="F73" s="207" t="s">
        <v>1174</v>
      </c>
      <c r="G73" s="207" t="s">
        <v>2052</v>
      </c>
      <c r="H73" s="302">
        <v>1</v>
      </c>
      <c r="J73" s="207" t="s">
        <v>2053</v>
      </c>
      <c r="N73" s="303">
        <v>0</v>
      </c>
      <c r="O73" s="207" t="s">
        <v>2054</v>
      </c>
      <c r="P73" s="207" t="s">
        <v>1176</v>
      </c>
      <c r="Q73" s="302">
        <v>0</v>
      </c>
      <c r="R73" s="207" t="s">
        <v>1893</v>
      </c>
      <c r="S73" s="207" t="s">
        <v>1889</v>
      </c>
      <c r="T73" s="302">
        <v>0</v>
      </c>
      <c r="U73" s="207" t="s">
        <v>1889</v>
      </c>
      <c r="V73" s="302">
        <v>0</v>
      </c>
      <c r="W73" s="302">
        <v>0</v>
      </c>
      <c r="X73" s="302">
        <v>0</v>
      </c>
      <c r="Y73" s="207" t="s">
        <v>1174</v>
      </c>
      <c r="Z73" s="302">
        <v>1</v>
      </c>
      <c r="AA73" s="207" t="s">
        <v>2054</v>
      </c>
    </row>
    <row r="74" spans="1:27" ht="266">
      <c r="A74" s="302">
        <v>24</v>
      </c>
      <c r="B74" s="207" t="s">
        <v>1171</v>
      </c>
      <c r="C74" s="207" t="s">
        <v>136</v>
      </c>
      <c r="D74" s="207" t="s">
        <v>74</v>
      </c>
      <c r="E74" s="207" t="s">
        <v>1866</v>
      </c>
      <c r="F74" s="207" t="s">
        <v>1174</v>
      </c>
      <c r="G74" s="207" t="s">
        <v>2055</v>
      </c>
      <c r="H74" s="302">
        <v>1</v>
      </c>
      <c r="J74" s="207" t="s">
        <v>2056</v>
      </c>
      <c r="N74" s="303">
        <v>0</v>
      </c>
      <c r="O74" s="207" t="s">
        <v>2057</v>
      </c>
      <c r="P74" s="207" t="s">
        <v>1176</v>
      </c>
      <c r="Q74" s="302">
        <v>0</v>
      </c>
      <c r="R74" s="207" t="s">
        <v>1925</v>
      </c>
      <c r="S74" s="207" t="s">
        <v>1907</v>
      </c>
      <c r="T74" s="302">
        <v>11</v>
      </c>
      <c r="U74" s="207" t="s">
        <v>1889</v>
      </c>
      <c r="V74" s="302">
        <v>0</v>
      </c>
      <c r="W74" s="302">
        <v>0</v>
      </c>
      <c r="X74" s="302">
        <v>0.25</v>
      </c>
      <c r="Y74" s="207" t="s">
        <v>1174</v>
      </c>
      <c r="Z74" s="302">
        <v>1.25</v>
      </c>
      <c r="AA74" s="207" t="s">
        <v>2057</v>
      </c>
    </row>
    <row r="75" spans="1:27" ht="406">
      <c r="A75" s="302">
        <v>28</v>
      </c>
      <c r="B75" s="207" t="s">
        <v>1171</v>
      </c>
      <c r="C75" s="207" t="s">
        <v>145</v>
      </c>
      <c r="D75" s="207" t="s">
        <v>74</v>
      </c>
      <c r="E75" s="207" t="s">
        <v>1451</v>
      </c>
      <c r="F75" s="207" t="s">
        <v>1174</v>
      </c>
      <c r="G75" s="207" t="s">
        <v>2058</v>
      </c>
      <c r="H75" s="302">
        <v>1</v>
      </c>
      <c r="J75" s="207" t="s">
        <v>1542</v>
      </c>
      <c r="N75" s="303">
        <v>0</v>
      </c>
      <c r="O75" s="207" t="s">
        <v>2059</v>
      </c>
      <c r="P75" s="207" t="s">
        <v>1176</v>
      </c>
      <c r="Q75" s="302">
        <v>0</v>
      </c>
      <c r="R75" s="207" t="s">
        <v>1920</v>
      </c>
      <c r="S75" s="207" t="s">
        <v>1921</v>
      </c>
      <c r="T75" s="302">
        <v>432</v>
      </c>
      <c r="U75" s="207" t="s">
        <v>1889</v>
      </c>
      <c r="V75" s="302">
        <v>11</v>
      </c>
      <c r="W75" s="302">
        <v>0</v>
      </c>
      <c r="X75" s="302">
        <v>0</v>
      </c>
      <c r="Y75" s="207" t="s">
        <v>1174</v>
      </c>
      <c r="Z75" s="302">
        <v>1</v>
      </c>
      <c r="AA75" s="207" t="s">
        <v>2059</v>
      </c>
    </row>
    <row r="76" spans="1:27" ht="84">
      <c r="A76" s="302">
        <v>28</v>
      </c>
      <c r="B76" s="207" t="s">
        <v>1171</v>
      </c>
      <c r="C76" s="207" t="s">
        <v>145</v>
      </c>
      <c r="D76" s="207" t="s">
        <v>74</v>
      </c>
      <c r="E76" s="207" t="s">
        <v>1866</v>
      </c>
      <c r="F76" s="207" t="s">
        <v>1174</v>
      </c>
      <c r="G76" s="207" t="s">
        <v>1976</v>
      </c>
      <c r="H76" s="302">
        <v>1</v>
      </c>
      <c r="J76" s="207" t="s">
        <v>1977</v>
      </c>
      <c r="N76" s="303">
        <v>0</v>
      </c>
      <c r="O76" s="207" t="s">
        <v>1978</v>
      </c>
      <c r="P76" s="207" t="s">
        <v>1176</v>
      </c>
      <c r="Q76" s="302">
        <v>0</v>
      </c>
      <c r="R76" s="207" t="s">
        <v>1893</v>
      </c>
      <c r="S76" s="207" t="s">
        <v>1889</v>
      </c>
      <c r="T76" s="302">
        <v>0</v>
      </c>
      <c r="U76" s="207" t="s">
        <v>1889</v>
      </c>
      <c r="V76" s="302">
        <v>0</v>
      </c>
      <c r="W76" s="302">
        <v>0</v>
      </c>
      <c r="X76" s="302">
        <v>0</v>
      </c>
      <c r="Y76" s="207" t="s">
        <v>1174</v>
      </c>
      <c r="Z76" s="302">
        <v>1</v>
      </c>
      <c r="AA76" s="207" t="s">
        <v>1978</v>
      </c>
    </row>
    <row r="77" spans="1:27" ht="409">
      <c r="A77" s="302">
        <v>36</v>
      </c>
      <c r="B77" s="207" t="s">
        <v>1171</v>
      </c>
      <c r="C77" s="207" t="s">
        <v>165</v>
      </c>
      <c r="D77" s="207" t="s">
        <v>74</v>
      </c>
      <c r="E77" s="207" t="s">
        <v>1451</v>
      </c>
      <c r="F77" s="207" t="s">
        <v>1174</v>
      </c>
      <c r="G77" s="207" t="s">
        <v>2060</v>
      </c>
      <c r="H77" s="302">
        <v>1</v>
      </c>
      <c r="J77" s="207" t="s">
        <v>2061</v>
      </c>
      <c r="N77" s="303">
        <v>0</v>
      </c>
      <c r="O77" s="207" t="s">
        <v>2062</v>
      </c>
      <c r="P77" s="207" t="s">
        <v>1176</v>
      </c>
      <c r="Q77" s="302">
        <v>0</v>
      </c>
      <c r="R77" s="207" t="s">
        <v>1902</v>
      </c>
      <c r="S77" s="207" t="s">
        <v>1889</v>
      </c>
      <c r="T77" s="302">
        <v>91</v>
      </c>
      <c r="U77" s="207" t="s">
        <v>1889</v>
      </c>
      <c r="V77" s="302">
        <v>37</v>
      </c>
      <c r="W77" s="302">
        <v>0</v>
      </c>
      <c r="X77" s="302">
        <v>0</v>
      </c>
      <c r="Y77" s="207" t="s">
        <v>1174</v>
      </c>
      <c r="Z77" s="302">
        <v>1</v>
      </c>
      <c r="AA77" s="207" t="s">
        <v>2062</v>
      </c>
    </row>
    <row r="78" spans="1:27" ht="409">
      <c r="A78" s="302">
        <v>36</v>
      </c>
      <c r="B78" s="207" t="s">
        <v>1171</v>
      </c>
      <c r="C78" s="207" t="s">
        <v>165</v>
      </c>
      <c r="D78" s="207" t="s">
        <v>74</v>
      </c>
      <c r="E78" s="207" t="s">
        <v>1866</v>
      </c>
      <c r="F78" s="207" t="s">
        <v>1174</v>
      </c>
      <c r="G78" s="207" t="s">
        <v>2063</v>
      </c>
      <c r="H78" s="302">
        <v>1</v>
      </c>
      <c r="J78" s="207" t="s">
        <v>2064</v>
      </c>
      <c r="N78" s="303">
        <v>0</v>
      </c>
      <c r="O78" s="207" t="s">
        <v>2065</v>
      </c>
      <c r="P78" s="207" t="s">
        <v>1176</v>
      </c>
      <c r="Q78" s="302">
        <v>0</v>
      </c>
      <c r="R78" s="207" t="s">
        <v>1974</v>
      </c>
      <c r="S78" s="207" t="s">
        <v>1889</v>
      </c>
      <c r="T78" s="302">
        <v>18</v>
      </c>
      <c r="U78" s="207" t="s">
        <v>1889</v>
      </c>
      <c r="V78" s="302">
        <v>14</v>
      </c>
      <c r="W78" s="302">
        <v>0</v>
      </c>
      <c r="X78" s="302">
        <v>0</v>
      </c>
      <c r="Y78" s="207" t="s">
        <v>1174</v>
      </c>
      <c r="Z78" s="302">
        <v>1</v>
      </c>
      <c r="AA78" s="207" t="s">
        <v>2065</v>
      </c>
    </row>
    <row r="79" spans="1:27" ht="224">
      <c r="A79" s="302">
        <v>41</v>
      </c>
      <c r="B79" s="207" t="s">
        <v>1171</v>
      </c>
      <c r="C79" s="207" t="s">
        <v>177</v>
      </c>
      <c r="D79" s="207" t="s">
        <v>74</v>
      </c>
      <c r="E79" s="207" t="s">
        <v>1451</v>
      </c>
      <c r="F79" s="207" t="s">
        <v>1174</v>
      </c>
      <c r="G79" s="207" t="s">
        <v>2066</v>
      </c>
      <c r="H79" s="302">
        <v>1</v>
      </c>
      <c r="J79" s="207" t="s">
        <v>2067</v>
      </c>
      <c r="N79" s="303">
        <v>0</v>
      </c>
      <c r="O79" s="207" t="s">
        <v>2068</v>
      </c>
      <c r="P79" s="207" t="s">
        <v>1176</v>
      </c>
      <c r="Q79" s="302">
        <v>0</v>
      </c>
      <c r="R79" s="207" t="s">
        <v>1893</v>
      </c>
      <c r="S79" s="207" t="s">
        <v>1889</v>
      </c>
      <c r="T79" s="302">
        <v>0</v>
      </c>
      <c r="U79" s="207" t="s">
        <v>1889</v>
      </c>
      <c r="V79" s="302">
        <v>0</v>
      </c>
      <c r="W79" s="302">
        <v>0</v>
      </c>
      <c r="X79" s="302">
        <v>0</v>
      </c>
      <c r="Y79" s="207" t="s">
        <v>1174</v>
      </c>
      <c r="Z79" s="302">
        <v>1</v>
      </c>
      <c r="AA79" s="207" t="s">
        <v>2068</v>
      </c>
    </row>
    <row r="80" spans="1:27" ht="392">
      <c r="A80" s="302">
        <v>41</v>
      </c>
      <c r="B80" s="207" t="s">
        <v>1171</v>
      </c>
      <c r="C80" s="207" t="s">
        <v>177</v>
      </c>
      <c r="D80" s="207" t="s">
        <v>74</v>
      </c>
      <c r="E80" s="207" t="s">
        <v>1866</v>
      </c>
      <c r="F80" s="207" t="s">
        <v>1174</v>
      </c>
      <c r="G80" s="207" t="s">
        <v>1984</v>
      </c>
      <c r="H80" s="302">
        <v>1</v>
      </c>
      <c r="J80" s="207" t="s">
        <v>1985</v>
      </c>
      <c r="N80" s="303">
        <v>0</v>
      </c>
      <c r="O80" s="207" t="s">
        <v>1986</v>
      </c>
      <c r="P80" s="207" t="s">
        <v>1174</v>
      </c>
      <c r="Q80" s="302">
        <v>0.25</v>
      </c>
      <c r="R80" s="207" t="s">
        <v>1893</v>
      </c>
      <c r="S80" s="207" t="s">
        <v>1889</v>
      </c>
      <c r="T80" s="302">
        <v>0</v>
      </c>
      <c r="U80" s="207" t="s">
        <v>1889</v>
      </c>
      <c r="V80" s="302">
        <v>0</v>
      </c>
      <c r="W80" s="302">
        <v>0</v>
      </c>
      <c r="X80" s="302">
        <v>0</v>
      </c>
      <c r="Y80" s="207" t="s">
        <v>1174</v>
      </c>
      <c r="Z80" s="302">
        <v>1.25</v>
      </c>
      <c r="AA80" s="207" t="s">
        <v>1986</v>
      </c>
    </row>
    <row r="81" spans="1:27" ht="238">
      <c r="A81" s="302">
        <v>41</v>
      </c>
      <c r="B81" s="207" t="s">
        <v>1171</v>
      </c>
      <c r="C81" s="207" t="s">
        <v>177</v>
      </c>
      <c r="D81" s="207" t="s">
        <v>74</v>
      </c>
      <c r="E81" s="207" t="s">
        <v>1451</v>
      </c>
      <c r="F81" s="207" t="s">
        <v>1174</v>
      </c>
      <c r="G81" s="207" t="s">
        <v>2069</v>
      </c>
      <c r="H81" s="302">
        <v>1</v>
      </c>
      <c r="J81" s="207" t="s">
        <v>2070</v>
      </c>
      <c r="N81" s="303">
        <v>0</v>
      </c>
      <c r="O81" s="207" t="s">
        <v>2071</v>
      </c>
      <c r="P81" s="207" t="s">
        <v>1176</v>
      </c>
      <c r="Q81" s="302">
        <v>0</v>
      </c>
      <c r="R81" s="207" t="s">
        <v>1893</v>
      </c>
      <c r="S81" s="207" t="s">
        <v>1889</v>
      </c>
      <c r="T81" s="302">
        <v>0</v>
      </c>
      <c r="U81" s="207" t="s">
        <v>1889</v>
      </c>
      <c r="V81" s="302">
        <v>0</v>
      </c>
      <c r="W81" s="302">
        <v>0</v>
      </c>
      <c r="X81" s="302">
        <v>0</v>
      </c>
      <c r="Y81" s="207" t="s">
        <v>1174</v>
      </c>
      <c r="Z81" s="302">
        <v>1</v>
      </c>
      <c r="AA81" s="207" t="s">
        <v>2071</v>
      </c>
    </row>
    <row r="82" spans="1:27" ht="126">
      <c r="A82" s="302">
        <v>41</v>
      </c>
      <c r="B82" s="207" t="s">
        <v>1171</v>
      </c>
      <c r="C82" s="207" t="s">
        <v>177</v>
      </c>
      <c r="D82" s="207" t="s">
        <v>74</v>
      </c>
      <c r="E82" s="207" t="s">
        <v>1866</v>
      </c>
      <c r="F82" s="207" t="s">
        <v>1174</v>
      </c>
      <c r="G82" s="207" t="s">
        <v>2072</v>
      </c>
      <c r="H82" s="302">
        <v>1</v>
      </c>
      <c r="J82" s="207" t="s">
        <v>2073</v>
      </c>
      <c r="N82" s="303">
        <v>0</v>
      </c>
      <c r="O82" s="207" t="s">
        <v>2074</v>
      </c>
      <c r="P82" s="207" t="s">
        <v>1176</v>
      </c>
      <c r="Q82" s="302">
        <v>0</v>
      </c>
      <c r="R82" s="207" t="s">
        <v>1893</v>
      </c>
      <c r="S82" s="207" t="s">
        <v>1889</v>
      </c>
      <c r="T82" s="302">
        <v>0</v>
      </c>
      <c r="U82" s="207" t="s">
        <v>1889</v>
      </c>
      <c r="V82" s="302">
        <v>0</v>
      </c>
      <c r="W82" s="302">
        <v>0</v>
      </c>
      <c r="X82" s="302">
        <v>0</v>
      </c>
      <c r="Y82" s="207" t="s">
        <v>1174</v>
      </c>
      <c r="Z82" s="302">
        <v>1</v>
      </c>
      <c r="AA82" s="207" t="s">
        <v>2074</v>
      </c>
    </row>
    <row r="83" spans="1:27" ht="409">
      <c r="A83" s="302">
        <v>46</v>
      </c>
      <c r="B83" s="207" t="s">
        <v>1171</v>
      </c>
      <c r="C83" s="207" t="s">
        <v>190</v>
      </c>
      <c r="D83" s="207" t="s">
        <v>74</v>
      </c>
      <c r="E83" s="207" t="s">
        <v>1451</v>
      </c>
      <c r="F83" s="207" t="s">
        <v>1174</v>
      </c>
      <c r="G83" s="207" t="s">
        <v>2075</v>
      </c>
      <c r="H83" s="302">
        <v>1</v>
      </c>
      <c r="J83" s="207" t="s">
        <v>2076</v>
      </c>
      <c r="N83" s="303">
        <v>0</v>
      </c>
      <c r="O83" s="207" t="s">
        <v>2077</v>
      </c>
      <c r="P83" s="207" t="s">
        <v>1176</v>
      </c>
      <c r="Q83" s="302">
        <v>0</v>
      </c>
      <c r="R83" s="207" t="s">
        <v>1920</v>
      </c>
      <c r="S83" s="207" t="s">
        <v>1921</v>
      </c>
      <c r="T83" s="302">
        <v>8953</v>
      </c>
      <c r="U83" s="207" t="s">
        <v>1907</v>
      </c>
      <c r="V83" s="302">
        <v>84</v>
      </c>
      <c r="W83" s="302">
        <v>0</v>
      </c>
      <c r="X83" s="302">
        <v>0.25</v>
      </c>
      <c r="Y83" s="207" t="s">
        <v>1174</v>
      </c>
      <c r="Z83" s="302">
        <v>1.25</v>
      </c>
      <c r="AA83" s="207" t="s">
        <v>2077</v>
      </c>
    </row>
    <row r="84" spans="1:27" ht="409">
      <c r="A84" s="302">
        <v>46</v>
      </c>
      <c r="B84" s="207" t="s">
        <v>1171</v>
      </c>
      <c r="C84" s="207" t="s">
        <v>190</v>
      </c>
      <c r="D84" s="207" t="s">
        <v>74</v>
      </c>
      <c r="E84" s="207" t="s">
        <v>1866</v>
      </c>
      <c r="F84" s="207" t="s">
        <v>1174</v>
      </c>
      <c r="G84" s="207" t="s">
        <v>2078</v>
      </c>
      <c r="H84" s="302">
        <v>1</v>
      </c>
      <c r="J84" s="207" t="s">
        <v>2079</v>
      </c>
      <c r="N84" s="303">
        <v>0</v>
      </c>
      <c r="O84" s="207" t="s">
        <v>2080</v>
      </c>
      <c r="P84" s="207" t="s">
        <v>1174</v>
      </c>
      <c r="Q84" s="302">
        <v>0.25</v>
      </c>
      <c r="R84" s="207" t="s">
        <v>1920</v>
      </c>
      <c r="S84" s="207" t="s">
        <v>1921</v>
      </c>
      <c r="T84" s="302">
        <v>3378</v>
      </c>
      <c r="U84" s="207" t="s">
        <v>1907</v>
      </c>
      <c r="V84" s="302">
        <v>99</v>
      </c>
      <c r="W84" s="302">
        <v>0</v>
      </c>
      <c r="X84" s="302">
        <v>0.25</v>
      </c>
      <c r="Y84" s="207" t="s">
        <v>1174</v>
      </c>
      <c r="Z84" s="302">
        <v>1.5</v>
      </c>
      <c r="AA84" s="207" t="s">
        <v>2080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
  <sheetViews>
    <sheetView workbookViewId="0">
      <pane xSplit="3" ySplit="1" topLeftCell="D12" activePane="bottomRight" state="frozen"/>
      <selection pane="topRight" activeCell="D1" sqref="D1"/>
      <selection pane="bottomLeft" activeCell="A2" sqref="A2"/>
      <selection pane="bottomRight" activeCell="G45" sqref="G45"/>
    </sheetView>
  </sheetViews>
  <sheetFormatPr baseColWidth="10" defaultColWidth="21.83203125" defaultRowHeight="14" x14ac:dyDescent="0"/>
  <cols>
    <col min="1" max="5" width="21.83203125" style="194"/>
    <col min="6" max="6" width="34.33203125" style="194" bestFit="1" customWidth="1"/>
    <col min="7" max="7" width="43.83203125" style="194" bestFit="1" customWidth="1"/>
    <col min="8" max="8" width="31.83203125" style="194" bestFit="1" customWidth="1"/>
    <col min="9" max="9" width="17.1640625" style="194" bestFit="1" customWidth="1"/>
    <col min="10" max="10" width="32.5" style="194" bestFit="1" customWidth="1"/>
    <col min="11" max="11" width="32.5" style="194" customWidth="1"/>
    <col min="12" max="12" width="32.5" style="194" bestFit="1" customWidth="1"/>
    <col min="13" max="13" width="32.5" style="194" customWidth="1"/>
    <col min="14" max="14" width="29.5" style="194" bestFit="1" customWidth="1"/>
    <col min="15" max="15" width="23.83203125" style="194" bestFit="1" customWidth="1"/>
    <col min="16" max="16" width="39.83203125" style="194" bestFit="1" customWidth="1"/>
    <col min="17" max="17" width="39.6640625" style="194" bestFit="1" customWidth="1"/>
    <col min="18" max="18" width="39.6640625" style="194" customWidth="1"/>
    <col min="19" max="19" width="34" style="194" bestFit="1" customWidth="1"/>
    <col min="20" max="20" width="45.5" style="194" bestFit="1" customWidth="1"/>
    <col min="21" max="21" width="45.5" style="194" customWidth="1"/>
    <col min="22" max="22" width="30.1640625" style="194" bestFit="1" customWidth="1"/>
    <col min="23" max="23" width="45.5" style="194" bestFit="1" customWidth="1"/>
    <col min="24" max="24" width="45.5" style="194" customWidth="1"/>
    <col min="25" max="25" width="37.33203125" style="194" bestFit="1" customWidth="1"/>
    <col min="26" max="16384" width="21.83203125" style="194"/>
  </cols>
  <sheetData>
    <row r="1" spans="1:25">
      <c r="A1" s="234" t="s">
        <v>1100</v>
      </c>
      <c r="B1" s="234" t="s">
        <v>1660</v>
      </c>
      <c r="C1" s="234" t="s">
        <v>1405</v>
      </c>
      <c r="D1" s="234" t="s">
        <v>1101</v>
      </c>
      <c r="E1" s="234" t="s">
        <v>1661</v>
      </c>
      <c r="F1" s="234" t="s">
        <v>1662</v>
      </c>
      <c r="G1" s="234" t="s">
        <v>1663</v>
      </c>
      <c r="H1" s="234" t="s">
        <v>1664</v>
      </c>
      <c r="I1" s="234" t="s">
        <v>1665</v>
      </c>
      <c r="J1" s="235" t="s">
        <v>1666</v>
      </c>
      <c r="K1" s="236" t="s">
        <v>1667</v>
      </c>
      <c r="L1" s="235" t="s">
        <v>1668</v>
      </c>
      <c r="M1" s="236" t="s">
        <v>1669</v>
      </c>
      <c r="N1" s="234" t="s">
        <v>1670</v>
      </c>
      <c r="O1" s="234" t="s">
        <v>1671</v>
      </c>
      <c r="P1" s="234" t="s">
        <v>1672</v>
      </c>
      <c r="Q1" s="234" t="s">
        <v>1673</v>
      </c>
      <c r="R1" s="234" t="s">
        <v>1674</v>
      </c>
      <c r="S1" s="234" t="s">
        <v>1675</v>
      </c>
      <c r="T1" s="235" t="s">
        <v>1676</v>
      </c>
      <c r="U1" s="236" t="s">
        <v>1677</v>
      </c>
      <c r="V1" s="234" t="s">
        <v>1678</v>
      </c>
      <c r="W1" s="235" t="s">
        <v>1679</v>
      </c>
      <c r="X1" s="236" t="s">
        <v>1669</v>
      </c>
      <c r="Y1" s="237" t="s">
        <v>1680</v>
      </c>
    </row>
    <row r="2" spans="1:25">
      <c r="A2" s="205">
        <v>1</v>
      </c>
      <c r="B2" s="178" t="s">
        <v>1171</v>
      </c>
      <c r="C2" s="178" t="s">
        <v>63</v>
      </c>
      <c r="D2" s="178" t="s">
        <v>413</v>
      </c>
      <c r="F2" s="178" t="s">
        <v>68</v>
      </c>
      <c r="G2" s="178" t="s">
        <v>1681</v>
      </c>
      <c r="H2" s="194" t="s">
        <v>1682</v>
      </c>
      <c r="I2" s="238">
        <v>41127</v>
      </c>
      <c r="J2" s="177">
        <v>0</v>
      </c>
      <c r="K2" s="176">
        <f>PERCENTRANK($J$2:$J$64,J2)*0.5</f>
        <v>0</v>
      </c>
      <c r="L2" s="177">
        <v>0</v>
      </c>
      <c r="M2" s="176">
        <f>PERCENTRANK($L$2:$L$64,L2)*0.5</f>
        <v>0</v>
      </c>
      <c r="N2" s="194" t="s">
        <v>421</v>
      </c>
      <c r="O2" s="194" t="s">
        <v>1683</v>
      </c>
      <c r="P2" s="194" t="s">
        <v>68</v>
      </c>
      <c r="Q2" s="194">
        <v>2</v>
      </c>
      <c r="R2" s="194">
        <v>0</v>
      </c>
      <c r="S2" s="194">
        <v>1421</v>
      </c>
      <c r="T2" s="177">
        <f>S2/Q2</f>
        <v>710.5</v>
      </c>
      <c r="U2" s="176">
        <f>PERCENTRANK($T$2:$T$64,T2,3)*0.5</f>
        <v>0.48349999999999999</v>
      </c>
      <c r="V2" s="194">
        <v>14</v>
      </c>
      <c r="W2" s="177">
        <f>V2/Q2</f>
        <v>7</v>
      </c>
      <c r="X2" s="176">
        <f>PERCENTRANK($W$2:$W$64,W2,3)*0.5</f>
        <v>0.48349999999999999</v>
      </c>
      <c r="Y2" s="239">
        <f>SUM(X2,U2,M2,K2)</f>
        <v>0.96699999999999997</v>
      </c>
    </row>
    <row r="3" spans="1:25">
      <c r="A3" s="205">
        <v>2</v>
      </c>
      <c r="B3" s="178" t="s">
        <v>1171</v>
      </c>
      <c r="C3" s="178" t="s">
        <v>69</v>
      </c>
      <c r="D3" s="178" t="s">
        <v>413</v>
      </c>
      <c r="F3" s="178" t="s">
        <v>133</v>
      </c>
      <c r="J3" s="177">
        <v>0</v>
      </c>
      <c r="K3" s="176">
        <f t="shared" ref="K3:K64" si="0">PERCENTRANK($J$2:$J$64,J3)*0.5</f>
        <v>0</v>
      </c>
      <c r="L3" s="177">
        <v>0</v>
      </c>
      <c r="M3" s="176">
        <f t="shared" ref="M3:M64" si="1">PERCENTRANK($L$2:$L$64,L3)*0.5</f>
        <v>0</v>
      </c>
      <c r="P3" s="194" t="s">
        <v>68</v>
      </c>
      <c r="Q3" s="194">
        <v>1</v>
      </c>
      <c r="R3" s="194">
        <v>0</v>
      </c>
      <c r="S3" s="194">
        <v>33</v>
      </c>
      <c r="T3" s="177">
        <f>S3/Q3</f>
        <v>33</v>
      </c>
      <c r="U3" s="176">
        <f t="shared" ref="U3:U64" si="2">PERCENTRANK($T$2:$T$64,T3,3)*0.5</f>
        <v>6.4500000000000002E-2</v>
      </c>
      <c r="V3" s="194">
        <v>0</v>
      </c>
      <c r="W3" s="177">
        <f t="shared" ref="W3:W64" si="3">V3/Q3</f>
        <v>0</v>
      </c>
      <c r="X3" s="176">
        <f t="shared" ref="X3:X64" si="4">PERCENTRANK($W$2:$W$64,W3,3)*0.5</f>
        <v>0</v>
      </c>
      <c r="Y3" s="239">
        <f t="shared" ref="Y3:Y64" si="5">SUM(X3,U3,M3,K3)</f>
        <v>6.4500000000000002E-2</v>
      </c>
    </row>
    <row r="4" spans="1:25">
      <c r="A4" s="205">
        <v>3</v>
      </c>
      <c r="B4" s="178" t="s">
        <v>1171</v>
      </c>
      <c r="C4" s="178" t="s">
        <v>72</v>
      </c>
      <c r="D4" s="178" t="s">
        <v>413</v>
      </c>
      <c r="F4" s="178" t="s">
        <v>133</v>
      </c>
      <c r="J4" s="177">
        <v>0</v>
      </c>
      <c r="K4" s="176">
        <f t="shared" si="0"/>
        <v>0</v>
      </c>
      <c r="L4" s="177">
        <v>0</v>
      </c>
      <c r="M4" s="176">
        <f t="shared" si="1"/>
        <v>0</v>
      </c>
      <c r="P4" s="194" t="s">
        <v>133</v>
      </c>
      <c r="R4" s="194">
        <v>0</v>
      </c>
      <c r="S4" s="194">
        <v>0</v>
      </c>
      <c r="T4" s="177">
        <v>0</v>
      </c>
      <c r="U4" s="176">
        <f t="shared" si="2"/>
        <v>0</v>
      </c>
      <c r="V4" s="194">
        <v>0</v>
      </c>
      <c r="W4" s="177">
        <v>0</v>
      </c>
      <c r="X4" s="176">
        <f t="shared" si="4"/>
        <v>0</v>
      </c>
      <c r="Y4" s="239">
        <f t="shared" si="5"/>
        <v>0</v>
      </c>
    </row>
    <row r="5" spans="1:25">
      <c r="A5" s="205">
        <v>4</v>
      </c>
      <c r="B5" s="178" t="s">
        <v>1171</v>
      </c>
      <c r="C5" s="178" t="s">
        <v>78</v>
      </c>
      <c r="D5" s="178" t="s">
        <v>413</v>
      </c>
      <c r="F5" s="178" t="s">
        <v>68</v>
      </c>
      <c r="G5" s="178" t="s">
        <v>1684</v>
      </c>
      <c r="H5" s="194" t="s">
        <v>1685</v>
      </c>
      <c r="I5" s="238">
        <v>41127</v>
      </c>
      <c r="J5" s="177">
        <v>280</v>
      </c>
      <c r="K5" s="176">
        <f t="shared" si="0"/>
        <v>0.3705</v>
      </c>
      <c r="L5" s="177">
        <v>0</v>
      </c>
      <c r="M5" s="176">
        <f t="shared" si="1"/>
        <v>0</v>
      </c>
      <c r="N5" s="194" t="s">
        <v>421</v>
      </c>
      <c r="O5" s="194" t="s">
        <v>1686</v>
      </c>
      <c r="P5" s="194" t="s">
        <v>68</v>
      </c>
      <c r="Q5" s="194">
        <v>2</v>
      </c>
      <c r="R5" s="194">
        <v>0</v>
      </c>
      <c r="S5" s="194">
        <v>396</v>
      </c>
      <c r="T5" s="177">
        <f t="shared" ref="T5:T25" si="6">S5/Q5</f>
        <v>198</v>
      </c>
      <c r="U5" s="176">
        <f t="shared" si="2"/>
        <v>0.27400000000000002</v>
      </c>
      <c r="V5" s="194">
        <v>2</v>
      </c>
      <c r="W5" s="177">
        <f t="shared" si="3"/>
        <v>1</v>
      </c>
      <c r="X5" s="176">
        <f t="shared" si="4"/>
        <v>0.2175</v>
      </c>
      <c r="Y5" s="239">
        <f t="shared" si="5"/>
        <v>0.8620000000000001</v>
      </c>
    </row>
    <row r="6" spans="1:25">
      <c r="A6" s="205">
        <v>5</v>
      </c>
      <c r="B6" s="178" t="s">
        <v>1171</v>
      </c>
      <c r="C6" s="178" t="s">
        <v>82</v>
      </c>
      <c r="D6" s="178" t="s">
        <v>413</v>
      </c>
      <c r="F6" s="178" t="s">
        <v>133</v>
      </c>
      <c r="J6" s="177">
        <v>0</v>
      </c>
      <c r="K6" s="176">
        <f t="shared" si="0"/>
        <v>0</v>
      </c>
      <c r="L6" s="177">
        <v>0</v>
      </c>
      <c r="M6" s="176">
        <f t="shared" si="1"/>
        <v>0</v>
      </c>
      <c r="P6" s="194" t="s">
        <v>68</v>
      </c>
      <c r="Q6" s="194">
        <v>1</v>
      </c>
      <c r="R6" s="194">
        <v>0</v>
      </c>
      <c r="S6" s="194">
        <v>2</v>
      </c>
      <c r="T6" s="177">
        <f t="shared" si="6"/>
        <v>2</v>
      </c>
      <c r="U6" s="176">
        <f t="shared" si="2"/>
        <v>3.2000000000000001E-2</v>
      </c>
      <c r="V6" s="194">
        <v>0</v>
      </c>
      <c r="W6" s="177">
        <f t="shared" si="3"/>
        <v>0</v>
      </c>
      <c r="X6" s="176">
        <f t="shared" si="4"/>
        <v>0</v>
      </c>
      <c r="Y6" s="239">
        <f t="shared" si="5"/>
        <v>3.2000000000000001E-2</v>
      </c>
    </row>
    <row r="7" spans="1:25">
      <c r="A7" s="205">
        <v>6</v>
      </c>
      <c r="B7" s="178" t="s">
        <v>1171</v>
      </c>
      <c r="C7" s="178" t="s">
        <v>87</v>
      </c>
      <c r="D7" s="178" t="s">
        <v>413</v>
      </c>
      <c r="F7" s="178" t="s">
        <v>133</v>
      </c>
      <c r="J7" s="177">
        <v>0</v>
      </c>
      <c r="K7" s="176">
        <f t="shared" si="0"/>
        <v>0</v>
      </c>
      <c r="L7" s="177">
        <v>0</v>
      </c>
      <c r="M7" s="176">
        <f t="shared" si="1"/>
        <v>0</v>
      </c>
      <c r="P7" s="194" t="s">
        <v>68</v>
      </c>
      <c r="Q7" s="194">
        <v>1</v>
      </c>
      <c r="R7" s="194">
        <v>0</v>
      </c>
      <c r="S7" s="194">
        <v>6</v>
      </c>
      <c r="T7" s="177">
        <f t="shared" si="6"/>
        <v>6</v>
      </c>
      <c r="U7" s="176">
        <f t="shared" si="2"/>
        <v>4.8000000000000001E-2</v>
      </c>
      <c r="V7" s="194">
        <v>0</v>
      </c>
      <c r="W7" s="177">
        <f t="shared" si="3"/>
        <v>0</v>
      </c>
      <c r="X7" s="176">
        <f t="shared" si="4"/>
        <v>0</v>
      </c>
      <c r="Y7" s="239">
        <f t="shared" si="5"/>
        <v>4.8000000000000001E-2</v>
      </c>
    </row>
    <row r="8" spans="1:25">
      <c r="A8" s="205">
        <v>7</v>
      </c>
      <c r="B8" s="178" t="s">
        <v>1171</v>
      </c>
      <c r="C8" s="178" t="s">
        <v>90</v>
      </c>
      <c r="D8" s="178" t="s">
        <v>413</v>
      </c>
      <c r="F8" s="178" t="s">
        <v>133</v>
      </c>
      <c r="J8" s="177">
        <v>0</v>
      </c>
      <c r="K8" s="176">
        <f t="shared" si="0"/>
        <v>0</v>
      </c>
      <c r="L8" s="177">
        <v>0</v>
      </c>
      <c r="M8" s="176">
        <f t="shared" si="1"/>
        <v>0</v>
      </c>
      <c r="P8" s="194" t="s">
        <v>68</v>
      </c>
      <c r="Q8" s="194">
        <v>3</v>
      </c>
      <c r="R8" s="194">
        <v>0</v>
      </c>
      <c r="S8" s="194">
        <v>776</v>
      </c>
      <c r="T8" s="177">
        <f t="shared" si="6"/>
        <v>258.66666666666669</v>
      </c>
      <c r="U8" s="176">
        <f t="shared" si="2"/>
        <v>0.33050000000000002</v>
      </c>
      <c r="V8" s="194">
        <v>2</v>
      </c>
      <c r="W8" s="177">
        <f t="shared" si="3"/>
        <v>0.66666666666666663</v>
      </c>
      <c r="X8" s="176">
        <f t="shared" si="4"/>
        <v>0.161</v>
      </c>
      <c r="Y8" s="239">
        <f t="shared" si="5"/>
        <v>0.49150000000000005</v>
      </c>
    </row>
    <row r="9" spans="1:25">
      <c r="A9" s="205">
        <v>8</v>
      </c>
      <c r="B9" s="178" t="s">
        <v>1171</v>
      </c>
      <c r="C9" s="178" t="s">
        <v>93</v>
      </c>
      <c r="D9" s="178" t="s">
        <v>413</v>
      </c>
      <c r="F9" s="178" t="s">
        <v>68</v>
      </c>
      <c r="G9" s="178" t="s">
        <v>1684</v>
      </c>
      <c r="H9" s="194" t="s">
        <v>1687</v>
      </c>
      <c r="I9" s="238">
        <v>41127</v>
      </c>
      <c r="J9" s="177">
        <v>13486</v>
      </c>
      <c r="K9" s="176">
        <f t="shared" si="0"/>
        <v>0.44350000000000001</v>
      </c>
      <c r="L9" s="177">
        <v>1</v>
      </c>
      <c r="M9" s="176">
        <f t="shared" si="1"/>
        <v>0.41899999999999998</v>
      </c>
      <c r="N9" s="238">
        <v>40802</v>
      </c>
      <c r="O9" s="194" t="s">
        <v>1688</v>
      </c>
      <c r="P9" s="194" t="s">
        <v>68</v>
      </c>
      <c r="Q9" s="194">
        <v>15</v>
      </c>
      <c r="R9" s="194">
        <v>0</v>
      </c>
      <c r="S9" s="194">
        <v>6062</v>
      </c>
      <c r="T9" s="177">
        <f t="shared" si="6"/>
        <v>404.13333333333333</v>
      </c>
      <c r="U9" s="176">
        <f t="shared" si="2"/>
        <v>0.38700000000000001</v>
      </c>
      <c r="V9" s="194">
        <v>21</v>
      </c>
      <c r="W9" s="177">
        <f t="shared" si="3"/>
        <v>1.4</v>
      </c>
      <c r="X9" s="176">
        <f t="shared" si="4"/>
        <v>0.30599999999999999</v>
      </c>
      <c r="Y9" s="239">
        <f t="shared" si="5"/>
        <v>1.5555000000000001</v>
      </c>
    </row>
    <row r="10" spans="1:25">
      <c r="A10" s="205">
        <v>9</v>
      </c>
      <c r="B10" s="178" t="s">
        <v>1171</v>
      </c>
      <c r="C10" s="178" t="s">
        <v>96</v>
      </c>
      <c r="D10" s="178" t="s">
        <v>413</v>
      </c>
      <c r="F10" s="178" t="s">
        <v>133</v>
      </c>
      <c r="J10" s="177">
        <v>0</v>
      </c>
      <c r="K10" s="176">
        <f t="shared" si="0"/>
        <v>0</v>
      </c>
      <c r="L10" s="177">
        <v>0</v>
      </c>
      <c r="M10" s="176">
        <f t="shared" si="1"/>
        <v>0</v>
      </c>
      <c r="P10" s="194" t="s">
        <v>68</v>
      </c>
      <c r="Q10" s="194">
        <v>13</v>
      </c>
      <c r="R10" s="194">
        <v>1</v>
      </c>
      <c r="S10" s="194">
        <v>4798</v>
      </c>
      <c r="T10" s="177">
        <f t="shared" si="6"/>
        <v>369.07692307692309</v>
      </c>
      <c r="U10" s="176">
        <f t="shared" si="2"/>
        <v>0.36249999999999999</v>
      </c>
      <c r="V10" s="194">
        <v>16</v>
      </c>
      <c r="W10" s="177">
        <f t="shared" si="3"/>
        <v>1.2307692307692308</v>
      </c>
      <c r="X10" s="176">
        <f t="shared" si="4"/>
        <v>0.28199999999999997</v>
      </c>
      <c r="Y10" s="239">
        <f t="shared" si="5"/>
        <v>0.64449999999999996</v>
      </c>
    </row>
    <row r="11" spans="1:25">
      <c r="A11" s="205">
        <v>10</v>
      </c>
      <c r="B11" s="178" t="s">
        <v>1171</v>
      </c>
      <c r="C11" s="178" t="s">
        <v>100</v>
      </c>
      <c r="D11" s="178" t="s">
        <v>413</v>
      </c>
      <c r="F11" s="178" t="s">
        <v>68</v>
      </c>
      <c r="G11" s="178" t="s">
        <v>1681</v>
      </c>
      <c r="H11" s="194" t="s">
        <v>1689</v>
      </c>
      <c r="I11" s="238">
        <v>41127</v>
      </c>
      <c r="J11" s="177">
        <v>0</v>
      </c>
      <c r="K11" s="176">
        <f t="shared" si="0"/>
        <v>0</v>
      </c>
      <c r="L11" s="177">
        <v>0</v>
      </c>
      <c r="M11" s="176">
        <f t="shared" si="1"/>
        <v>0</v>
      </c>
      <c r="N11" s="194" t="s">
        <v>421</v>
      </c>
      <c r="O11" s="194" t="s">
        <v>684</v>
      </c>
      <c r="P11" s="194" t="s">
        <v>68</v>
      </c>
      <c r="Q11" s="194">
        <v>7</v>
      </c>
      <c r="R11" s="194">
        <v>1</v>
      </c>
      <c r="S11" s="194">
        <v>388</v>
      </c>
      <c r="T11" s="177">
        <f t="shared" si="6"/>
        <v>55.428571428571431</v>
      </c>
      <c r="U11" s="176">
        <f t="shared" si="2"/>
        <v>0.1045</v>
      </c>
      <c r="V11" s="194">
        <v>9</v>
      </c>
      <c r="W11" s="177">
        <f t="shared" si="3"/>
        <v>1.2857142857142858</v>
      </c>
      <c r="X11" s="176">
        <f t="shared" si="4"/>
        <v>0.28999999999999998</v>
      </c>
      <c r="Y11" s="239">
        <f t="shared" si="5"/>
        <v>0.39449999999999996</v>
      </c>
    </row>
    <row r="12" spans="1:25">
      <c r="A12" s="205">
        <v>11</v>
      </c>
      <c r="B12" s="178" t="s">
        <v>1171</v>
      </c>
      <c r="C12" s="178" t="s">
        <v>102</v>
      </c>
      <c r="D12" s="178" t="s">
        <v>413</v>
      </c>
      <c r="F12" s="178" t="s">
        <v>68</v>
      </c>
      <c r="G12" s="178" t="s">
        <v>1684</v>
      </c>
      <c r="H12" s="194" t="s">
        <v>1690</v>
      </c>
      <c r="I12" s="238">
        <v>41127</v>
      </c>
      <c r="J12" s="177">
        <v>2625</v>
      </c>
      <c r="K12" s="176">
        <f t="shared" si="0"/>
        <v>0.41099999999999998</v>
      </c>
      <c r="L12" s="177">
        <v>0</v>
      </c>
      <c r="M12" s="176">
        <f t="shared" si="1"/>
        <v>0</v>
      </c>
      <c r="N12" s="194" t="s">
        <v>421</v>
      </c>
      <c r="O12" s="194" t="s">
        <v>684</v>
      </c>
      <c r="P12" s="194" t="s">
        <v>68</v>
      </c>
      <c r="Q12" s="194">
        <v>15</v>
      </c>
      <c r="R12" s="194">
        <v>0</v>
      </c>
      <c r="S12" s="194">
        <v>6596</v>
      </c>
      <c r="T12" s="177">
        <f t="shared" si="6"/>
        <v>439.73333333333335</v>
      </c>
      <c r="U12" s="176">
        <f t="shared" si="2"/>
        <v>0.40300000000000002</v>
      </c>
      <c r="V12" s="194">
        <v>29</v>
      </c>
      <c r="W12" s="177">
        <f t="shared" si="3"/>
        <v>1.9333333333333333</v>
      </c>
      <c r="X12" s="176">
        <f t="shared" si="4"/>
        <v>0.33050000000000002</v>
      </c>
      <c r="Y12" s="239">
        <f t="shared" si="5"/>
        <v>1.1445000000000001</v>
      </c>
    </row>
    <row r="13" spans="1:25">
      <c r="A13" s="205">
        <v>12</v>
      </c>
      <c r="B13" s="178" t="s">
        <v>1171</v>
      </c>
      <c r="C13" s="178" t="s">
        <v>104</v>
      </c>
      <c r="D13" s="178" t="s">
        <v>413</v>
      </c>
      <c r="F13" s="178" t="s">
        <v>133</v>
      </c>
      <c r="J13" s="177">
        <v>0</v>
      </c>
      <c r="K13" s="176">
        <f t="shared" si="0"/>
        <v>0</v>
      </c>
      <c r="L13" s="177">
        <v>0</v>
      </c>
      <c r="M13" s="176">
        <f t="shared" si="1"/>
        <v>0</v>
      </c>
      <c r="P13" s="194" t="s">
        <v>68</v>
      </c>
      <c r="Q13" s="194">
        <v>1</v>
      </c>
      <c r="R13" s="194">
        <v>0</v>
      </c>
      <c r="S13" s="194">
        <v>91</v>
      </c>
      <c r="T13" s="177">
        <f t="shared" si="6"/>
        <v>91</v>
      </c>
      <c r="U13" s="176">
        <f t="shared" si="2"/>
        <v>0.13700000000000001</v>
      </c>
      <c r="V13" s="194">
        <v>131</v>
      </c>
      <c r="W13" s="177">
        <f t="shared" si="3"/>
        <v>131</v>
      </c>
      <c r="X13" s="176">
        <f t="shared" si="4"/>
        <v>0.5</v>
      </c>
      <c r="Y13" s="239">
        <f t="shared" si="5"/>
        <v>0.63700000000000001</v>
      </c>
    </row>
    <row r="14" spans="1:25">
      <c r="A14" s="205">
        <v>13</v>
      </c>
      <c r="B14" s="178" t="s">
        <v>1171</v>
      </c>
      <c r="C14" s="178" t="s">
        <v>106</v>
      </c>
      <c r="D14" s="178" t="s">
        <v>413</v>
      </c>
      <c r="F14" s="178" t="s">
        <v>133</v>
      </c>
      <c r="J14" s="177">
        <v>0</v>
      </c>
      <c r="K14" s="176">
        <f t="shared" si="0"/>
        <v>0</v>
      </c>
      <c r="L14" s="177">
        <v>0</v>
      </c>
      <c r="M14" s="176">
        <f t="shared" si="1"/>
        <v>0</v>
      </c>
      <c r="P14" s="194" t="s">
        <v>68</v>
      </c>
      <c r="Q14" s="194">
        <v>10</v>
      </c>
      <c r="R14" s="194">
        <v>0</v>
      </c>
      <c r="S14" s="194">
        <v>1383</v>
      </c>
      <c r="T14" s="177">
        <f t="shared" si="6"/>
        <v>138.30000000000001</v>
      </c>
      <c r="U14" s="176">
        <f t="shared" si="2"/>
        <v>0.16900000000000001</v>
      </c>
      <c r="V14" s="194">
        <v>7</v>
      </c>
      <c r="W14" s="177">
        <f t="shared" si="3"/>
        <v>0.7</v>
      </c>
      <c r="X14" s="176">
        <f t="shared" si="4"/>
        <v>0.17699999999999999</v>
      </c>
      <c r="Y14" s="239">
        <f t="shared" si="5"/>
        <v>0.34599999999999997</v>
      </c>
    </row>
    <row r="15" spans="1:25">
      <c r="A15" s="205">
        <v>14</v>
      </c>
      <c r="B15" s="178" t="s">
        <v>1171</v>
      </c>
      <c r="C15" s="178" t="s">
        <v>109</v>
      </c>
      <c r="D15" s="178" t="s">
        <v>413</v>
      </c>
      <c r="F15" s="178" t="s">
        <v>133</v>
      </c>
      <c r="J15" s="177">
        <v>0</v>
      </c>
      <c r="K15" s="176">
        <f t="shared" si="0"/>
        <v>0</v>
      </c>
      <c r="L15" s="177">
        <v>0</v>
      </c>
      <c r="M15" s="176">
        <f t="shared" si="1"/>
        <v>0</v>
      </c>
      <c r="P15" s="194" t="s">
        <v>68</v>
      </c>
      <c r="Q15" s="194">
        <v>5</v>
      </c>
      <c r="R15" s="194">
        <v>0</v>
      </c>
      <c r="S15" s="194">
        <v>2301</v>
      </c>
      <c r="T15" s="177">
        <f t="shared" si="6"/>
        <v>460.2</v>
      </c>
      <c r="U15" s="176">
        <f t="shared" si="2"/>
        <v>0.41099999999999998</v>
      </c>
      <c r="V15" s="194">
        <v>19</v>
      </c>
      <c r="W15" s="177">
        <f t="shared" si="3"/>
        <v>3.8</v>
      </c>
      <c r="X15" s="176">
        <f t="shared" si="4"/>
        <v>0.42699999999999999</v>
      </c>
      <c r="Y15" s="239">
        <f t="shared" si="5"/>
        <v>0.83799999999999997</v>
      </c>
    </row>
    <row r="16" spans="1:25">
      <c r="A16" s="205">
        <v>15</v>
      </c>
      <c r="B16" s="178" t="s">
        <v>1171</v>
      </c>
      <c r="C16" s="178" t="s">
        <v>111</v>
      </c>
      <c r="D16" s="178" t="s">
        <v>413</v>
      </c>
      <c r="F16" s="178" t="s">
        <v>68</v>
      </c>
      <c r="G16" s="178" t="s">
        <v>1684</v>
      </c>
      <c r="H16" s="194" t="s">
        <v>1691</v>
      </c>
      <c r="I16" s="238">
        <v>41127</v>
      </c>
      <c r="J16" s="177">
        <v>1164</v>
      </c>
      <c r="K16" s="176">
        <f t="shared" si="0"/>
        <v>0.39500000000000002</v>
      </c>
      <c r="L16" s="177">
        <v>0</v>
      </c>
      <c r="M16" s="176">
        <f t="shared" si="1"/>
        <v>0</v>
      </c>
      <c r="N16" s="194" t="s">
        <v>421</v>
      </c>
      <c r="O16" s="194" t="s">
        <v>684</v>
      </c>
      <c r="P16" s="194" t="s">
        <v>68</v>
      </c>
      <c r="Q16" s="194">
        <v>12</v>
      </c>
      <c r="R16" s="194">
        <v>0</v>
      </c>
      <c r="S16" s="194">
        <v>7822</v>
      </c>
      <c r="T16" s="177">
        <f t="shared" si="6"/>
        <v>651.83333333333337</v>
      </c>
      <c r="U16" s="176">
        <f t="shared" si="2"/>
        <v>0.45950000000000002</v>
      </c>
      <c r="V16" s="194">
        <v>37</v>
      </c>
      <c r="W16" s="177">
        <f t="shared" si="3"/>
        <v>3.0833333333333335</v>
      </c>
      <c r="X16" s="176">
        <f t="shared" si="4"/>
        <v>0.38700000000000001</v>
      </c>
      <c r="Y16" s="239">
        <f t="shared" si="5"/>
        <v>1.2415</v>
      </c>
    </row>
    <row r="17" spans="1:25">
      <c r="A17" s="205">
        <v>16</v>
      </c>
      <c r="B17" s="178" t="s">
        <v>1171</v>
      </c>
      <c r="C17" s="178" t="s">
        <v>114</v>
      </c>
      <c r="D17" s="178" t="s">
        <v>413</v>
      </c>
      <c r="F17" s="178" t="s">
        <v>68</v>
      </c>
      <c r="G17" s="178" t="s">
        <v>1684</v>
      </c>
      <c r="H17" s="194" t="s">
        <v>1692</v>
      </c>
      <c r="I17" s="238">
        <v>41127</v>
      </c>
      <c r="J17" s="177">
        <v>177</v>
      </c>
      <c r="K17" s="176">
        <f t="shared" si="0"/>
        <v>0.36249999999999999</v>
      </c>
      <c r="L17" s="177">
        <v>0</v>
      </c>
      <c r="M17" s="176">
        <f t="shared" si="1"/>
        <v>0</v>
      </c>
      <c r="N17" s="194" t="s">
        <v>421</v>
      </c>
      <c r="O17" s="194" t="s">
        <v>684</v>
      </c>
      <c r="P17" s="194" t="s">
        <v>68</v>
      </c>
      <c r="Q17" s="194">
        <v>14</v>
      </c>
      <c r="R17" s="194">
        <v>0</v>
      </c>
      <c r="S17" s="194">
        <v>3354</v>
      </c>
      <c r="T17" s="177">
        <f t="shared" si="6"/>
        <v>239.57142857142858</v>
      </c>
      <c r="U17" s="176">
        <f t="shared" si="2"/>
        <v>0.3145</v>
      </c>
      <c r="V17" s="194">
        <v>11</v>
      </c>
      <c r="W17" s="177">
        <f t="shared" si="3"/>
        <v>0.7857142857142857</v>
      </c>
      <c r="X17" s="176">
        <f t="shared" si="4"/>
        <v>0.20150000000000001</v>
      </c>
      <c r="Y17" s="239">
        <f t="shared" si="5"/>
        <v>0.87850000000000006</v>
      </c>
    </row>
    <row r="18" spans="1:25">
      <c r="A18" s="205">
        <v>17</v>
      </c>
      <c r="B18" s="178" t="s">
        <v>1171</v>
      </c>
      <c r="C18" s="178" t="s">
        <v>117</v>
      </c>
      <c r="D18" s="178" t="s">
        <v>413</v>
      </c>
      <c r="F18" s="178" t="s">
        <v>68</v>
      </c>
      <c r="G18" s="178" t="s">
        <v>1681</v>
      </c>
      <c r="H18" s="194" t="s">
        <v>1693</v>
      </c>
      <c r="I18" s="238">
        <v>41127</v>
      </c>
      <c r="J18" s="177">
        <v>0</v>
      </c>
      <c r="K18" s="176">
        <f t="shared" si="0"/>
        <v>0</v>
      </c>
      <c r="L18" s="177">
        <v>0</v>
      </c>
      <c r="M18" s="176">
        <f t="shared" si="1"/>
        <v>0</v>
      </c>
      <c r="N18" s="194" t="s">
        <v>421</v>
      </c>
      <c r="O18" s="194" t="s">
        <v>1694</v>
      </c>
      <c r="P18" s="194" t="s">
        <v>68</v>
      </c>
      <c r="Q18" s="194">
        <v>5</v>
      </c>
      <c r="R18" s="194">
        <v>0</v>
      </c>
      <c r="S18" s="194">
        <v>4438</v>
      </c>
      <c r="T18" s="177">
        <f t="shared" si="6"/>
        <v>887.6</v>
      </c>
      <c r="U18" s="176">
        <f t="shared" si="2"/>
        <v>0.49149999999999999</v>
      </c>
      <c r="V18" s="194">
        <v>31</v>
      </c>
      <c r="W18" s="177">
        <f t="shared" si="3"/>
        <v>6.2</v>
      </c>
      <c r="X18" s="176">
        <f t="shared" si="4"/>
        <v>0.46750000000000003</v>
      </c>
      <c r="Y18" s="239">
        <f t="shared" si="5"/>
        <v>0.95900000000000007</v>
      </c>
    </row>
    <row r="19" spans="1:25">
      <c r="A19" s="205">
        <v>18</v>
      </c>
      <c r="B19" s="178" t="s">
        <v>1171</v>
      </c>
      <c r="C19" s="178" t="s">
        <v>120</v>
      </c>
      <c r="D19" s="178" t="s">
        <v>413</v>
      </c>
      <c r="F19" s="178" t="s">
        <v>68</v>
      </c>
      <c r="G19" s="178" t="s">
        <v>1684</v>
      </c>
      <c r="H19" s="194" t="s">
        <v>1695</v>
      </c>
      <c r="I19" s="238">
        <v>41127</v>
      </c>
      <c r="J19" s="177">
        <v>24188</v>
      </c>
      <c r="K19" s="176">
        <f t="shared" si="0"/>
        <v>0.45950000000000002</v>
      </c>
      <c r="L19" s="177">
        <v>54</v>
      </c>
      <c r="M19" s="176">
        <f t="shared" si="1"/>
        <v>0.47549999999999998</v>
      </c>
      <c r="N19" s="238">
        <v>41072</v>
      </c>
      <c r="O19" s="194" t="s">
        <v>1696</v>
      </c>
      <c r="P19" s="194" t="s">
        <v>68</v>
      </c>
      <c r="Q19" s="194">
        <v>7</v>
      </c>
      <c r="R19" s="194">
        <v>0</v>
      </c>
      <c r="S19" s="194">
        <v>702</v>
      </c>
      <c r="T19" s="177">
        <f t="shared" si="6"/>
        <v>100.28571428571429</v>
      </c>
      <c r="U19" s="176">
        <f t="shared" si="2"/>
        <v>0.14499999999999999</v>
      </c>
      <c r="V19" s="194">
        <v>1</v>
      </c>
      <c r="W19" s="177">
        <f t="shared" si="3"/>
        <v>0.14285714285714285</v>
      </c>
      <c r="X19" s="176">
        <f t="shared" si="4"/>
        <v>9.6500000000000002E-2</v>
      </c>
      <c r="Y19" s="239">
        <f t="shared" si="5"/>
        <v>1.1764999999999999</v>
      </c>
    </row>
    <row r="20" spans="1:25">
      <c r="A20" s="205">
        <v>19</v>
      </c>
      <c r="B20" s="178" t="s">
        <v>1171</v>
      </c>
      <c r="C20" s="178" t="s">
        <v>123</v>
      </c>
      <c r="D20" s="178" t="s">
        <v>413</v>
      </c>
      <c r="F20" s="178" t="s">
        <v>133</v>
      </c>
      <c r="J20" s="177">
        <v>0</v>
      </c>
      <c r="K20" s="176">
        <f t="shared" si="0"/>
        <v>0</v>
      </c>
      <c r="L20" s="177">
        <v>0</v>
      </c>
      <c r="M20" s="176">
        <f t="shared" si="1"/>
        <v>0</v>
      </c>
      <c r="P20" s="194" t="s">
        <v>68</v>
      </c>
      <c r="Q20" s="194">
        <v>5</v>
      </c>
      <c r="R20" s="194">
        <v>0</v>
      </c>
      <c r="S20" s="194">
        <v>225</v>
      </c>
      <c r="T20" s="177">
        <f t="shared" si="6"/>
        <v>45</v>
      </c>
      <c r="U20" s="176">
        <f t="shared" si="2"/>
        <v>8.8499999999999995E-2</v>
      </c>
      <c r="V20" s="194">
        <v>2</v>
      </c>
      <c r="W20" s="177">
        <f t="shared" si="3"/>
        <v>0.4</v>
      </c>
      <c r="X20" s="176">
        <f t="shared" si="4"/>
        <v>0.13700000000000001</v>
      </c>
      <c r="Y20" s="239">
        <f t="shared" si="5"/>
        <v>0.22550000000000001</v>
      </c>
    </row>
    <row r="21" spans="1:25">
      <c r="A21" s="205">
        <v>20</v>
      </c>
      <c r="B21" s="178" t="s">
        <v>1171</v>
      </c>
      <c r="C21" s="178" t="s">
        <v>125</v>
      </c>
      <c r="D21" s="178" t="s">
        <v>413</v>
      </c>
      <c r="F21" s="178" t="s">
        <v>133</v>
      </c>
      <c r="J21" s="177">
        <v>0</v>
      </c>
      <c r="K21" s="176">
        <f t="shared" si="0"/>
        <v>0</v>
      </c>
      <c r="L21" s="177">
        <v>0</v>
      </c>
      <c r="M21" s="176">
        <f t="shared" si="1"/>
        <v>0</v>
      </c>
      <c r="P21" s="194" t="s">
        <v>68</v>
      </c>
      <c r="Q21" s="194">
        <v>2</v>
      </c>
      <c r="R21" s="194">
        <v>0</v>
      </c>
      <c r="S21" s="194">
        <v>102</v>
      </c>
      <c r="T21" s="177">
        <f t="shared" si="6"/>
        <v>51</v>
      </c>
      <c r="U21" s="176">
        <f t="shared" si="2"/>
        <v>9.6500000000000002E-2</v>
      </c>
      <c r="V21" s="194">
        <v>1</v>
      </c>
      <c r="W21" s="177">
        <f t="shared" si="3"/>
        <v>0.5</v>
      </c>
      <c r="X21" s="176">
        <f t="shared" si="4"/>
        <v>0.14499999999999999</v>
      </c>
      <c r="Y21" s="239">
        <f t="shared" si="5"/>
        <v>0.24149999999999999</v>
      </c>
    </row>
    <row r="22" spans="1:25">
      <c r="A22" s="205">
        <v>21</v>
      </c>
      <c r="B22" s="178" t="s">
        <v>1171</v>
      </c>
      <c r="C22" s="178" t="s">
        <v>127</v>
      </c>
      <c r="D22" s="178" t="s">
        <v>413</v>
      </c>
      <c r="F22" s="178" t="s">
        <v>133</v>
      </c>
      <c r="J22" s="177">
        <v>0</v>
      </c>
      <c r="K22" s="176">
        <f t="shared" si="0"/>
        <v>0</v>
      </c>
      <c r="L22" s="177">
        <v>0</v>
      </c>
      <c r="M22" s="176">
        <f t="shared" si="1"/>
        <v>0</v>
      </c>
      <c r="P22" s="194" t="s">
        <v>68</v>
      </c>
      <c r="Q22" s="194">
        <v>5</v>
      </c>
      <c r="R22" s="194">
        <v>0</v>
      </c>
      <c r="S22" s="194">
        <v>538</v>
      </c>
      <c r="T22" s="177">
        <f t="shared" si="6"/>
        <v>107.6</v>
      </c>
      <c r="U22" s="176">
        <f t="shared" si="2"/>
        <v>0.161</v>
      </c>
      <c r="V22" s="194">
        <v>5</v>
      </c>
      <c r="W22" s="177">
        <f t="shared" si="3"/>
        <v>1</v>
      </c>
      <c r="X22" s="176">
        <f t="shared" si="4"/>
        <v>0.2175</v>
      </c>
      <c r="Y22" s="239">
        <f t="shared" si="5"/>
        <v>0.3785</v>
      </c>
    </row>
    <row r="23" spans="1:25">
      <c r="A23" s="205">
        <v>22</v>
      </c>
      <c r="B23" s="178" t="s">
        <v>1171</v>
      </c>
      <c r="C23" s="178" t="s">
        <v>129</v>
      </c>
      <c r="D23" s="178" t="s">
        <v>413</v>
      </c>
      <c r="F23" s="178" t="s">
        <v>68</v>
      </c>
      <c r="G23" s="178" t="s">
        <v>1684</v>
      </c>
      <c r="H23" s="194" t="s">
        <v>1697</v>
      </c>
      <c r="I23" s="238">
        <v>41127</v>
      </c>
      <c r="J23" s="177">
        <v>7</v>
      </c>
      <c r="K23" s="176">
        <f t="shared" si="0"/>
        <v>0.35449999999999998</v>
      </c>
      <c r="L23" s="177">
        <v>0</v>
      </c>
      <c r="M23" s="176">
        <f t="shared" si="1"/>
        <v>0</v>
      </c>
      <c r="N23" s="194" t="s">
        <v>421</v>
      </c>
      <c r="O23" s="194" t="s">
        <v>1698</v>
      </c>
      <c r="P23" s="194" t="s">
        <v>68</v>
      </c>
      <c r="Q23" s="194">
        <v>3</v>
      </c>
      <c r="R23" s="194">
        <v>0</v>
      </c>
      <c r="S23" s="194">
        <v>92</v>
      </c>
      <c r="T23" s="177">
        <f t="shared" si="6"/>
        <v>30.666666666666668</v>
      </c>
      <c r="U23" s="176">
        <f t="shared" si="2"/>
        <v>5.6000000000000001E-2</v>
      </c>
      <c r="V23" s="194">
        <v>1</v>
      </c>
      <c r="W23" s="177">
        <f t="shared" si="3"/>
        <v>0.33333333333333331</v>
      </c>
      <c r="X23" s="176">
        <f t="shared" si="4"/>
        <v>0.129</v>
      </c>
      <c r="Y23" s="239">
        <f t="shared" si="5"/>
        <v>0.53949999999999998</v>
      </c>
    </row>
    <row r="24" spans="1:25">
      <c r="A24" s="205">
        <v>23</v>
      </c>
      <c r="B24" s="178" t="s">
        <v>1171</v>
      </c>
      <c r="C24" s="178" t="s">
        <v>134</v>
      </c>
      <c r="D24" s="178" t="s">
        <v>413</v>
      </c>
      <c r="F24" s="178" t="s">
        <v>133</v>
      </c>
      <c r="G24" s="178"/>
      <c r="I24" s="238"/>
      <c r="J24" s="177">
        <v>0</v>
      </c>
      <c r="K24" s="176">
        <f t="shared" si="0"/>
        <v>0</v>
      </c>
      <c r="L24" s="177">
        <v>0</v>
      </c>
      <c r="M24" s="176">
        <f t="shared" si="1"/>
        <v>0</v>
      </c>
      <c r="P24" s="194" t="s">
        <v>68</v>
      </c>
      <c r="Q24" s="194">
        <v>4</v>
      </c>
      <c r="R24" s="194">
        <v>0</v>
      </c>
      <c r="S24" s="194">
        <v>909</v>
      </c>
      <c r="T24" s="177">
        <f t="shared" si="6"/>
        <v>227.25</v>
      </c>
      <c r="U24" s="176">
        <f t="shared" si="2"/>
        <v>0.28999999999999998</v>
      </c>
      <c r="V24" s="194">
        <v>6</v>
      </c>
      <c r="W24" s="177">
        <f t="shared" si="3"/>
        <v>1.5</v>
      </c>
      <c r="X24" s="176">
        <f t="shared" si="4"/>
        <v>0.32250000000000001</v>
      </c>
      <c r="Y24" s="239">
        <f t="shared" si="5"/>
        <v>0.61250000000000004</v>
      </c>
    </row>
    <row r="25" spans="1:25">
      <c r="A25" s="205">
        <v>24</v>
      </c>
      <c r="B25" s="178" t="s">
        <v>1171</v>
      </c>
      <c r="C25" s="178" t="s">
        <v>136</v>
      </c>
      <c r="D25" s="178" t="s">
        <v>413</v>
      </c>
      <c r="F25" s="178" t="s">
        <v>68</v>
      </c>
      <c r="G25" s="178" t="s">
        <v>1684</v>
      </c>
      <c r="H25" s="194" t="s">
        <v>1699</v>
      </c>
      <c r="I25" s="238">
        <v>41127</v>
      </c>
      <c r="J25" s="177">
        <v>869</v>
      </c>
      <c r="K25" s="176">
        <f t="shared" si="0"/>
        <v>0.379</v>
      </c>
      <c r="L25" s="177">
        <v>0</v>
      </c>
      <c r="M25" s="176">
        <f t="shared" si="1"/>
        <v>0</v>
      </c>
      <c r="N25" s="194" t="s">
        <v>421</v>
      </c>
      <c r="O25" s="194" t="s">
        <v>1700</v>
      </c>
      <c r="P25" s="194" t="s">
        <v>68</v>
      </c>
      <c r="Q25" s="194">
        <v>32</v>
      </c>
      <c r="R25" s="194">
        <v>0</v>
      </c>
      <c r="S25" s="194">
        <v>10969</v>
      </c>
      <c r="T25" s="177">
        <f t="shared" si="6"/>
        <v>342.78125</v>
      </c>
      <c r="U25" s="176">
        <f t="shared" si="2"/>
        <v>0.35449999999999998</v>
      </c>
      <c r="V25" s="194">
        <v>79</v>
      </c>
      <c r="W25" s="177">
        <f t="shared" si="3"/>
        <v>2.46875</v>
      </c>
      <c r="X25" s="176">
        <f t="shared" si="4"/>
        <v>0.35449999999999998</v>
      </c>
      <c r="Y25" s="239">
        <f t="shared" si="5"/>
        <v>1.0880000000000001</v>
      </c>
    </row>
    <row r="26" spans="1:25">
      <c r="A26" s="205">
        <v>25</v>
      </c>
      <c r="B26" s="178" t="s">
        <v>1171</v>
      </c>
      <c r="C26" s="178" t="s">
        <v>139</v>
      </c>
      <c r="D26" s="178" t="s">
        <v>413</v>
      </c>
      <c r="F26" s="178" t="s">
        <v>133</v>
      </c>
      <c r="J26" s="177">
        <v>0</v>
      </c>
      <c r="K26" s="176">
        <f t="shared" si="0"/>
        <v>0</v>
      </c>
      <c r="L26" s="177">
        <v>0</v>
      </c>
      <c r="M26" s="176">
        <f t="shared" si="1"/>
        <v>0</v>
      </c>
      <c r="P26" s="194" t="s">
        <v>133</v>
      </c>
      <c r="R26" s="194">
        <v>0</v>
      </c>
      <c r="S26" s="194">
        <v>0</v>
      </c>
      <c r="T26" s="177">
        <v>0</v>
      </c>
      <c r="U26" s="176">
        <f t="shared" si="2"/>
        <v>0</v>
      </c>
      <c r="V26" s="194">
        <v>0</v>
      </c>
      <c r="W26" s="177">
        <v>0</v>
      </c>
      <c r="X26" s="176">
        <f t="shared" si="4"/>
        <v>0</v>
      </c>
      <c r="Y26" s="239">
        <f t="shared" si="5"/>
        <v>0</v>
      </c>
    </row>
    <row r="27" spans="1:25">
      <c r="A27" s="205">
        <v>26</v>
      </c>
      <c r="B27" s="178" t="s">
        <v>1171</v>
      </c>
      <c r="C27" s="178" t="s">
        <v>141</v>
      </c>
      <c r="D27" s="178" t="s">
        <v>413</v>
      </c>
      <c r="F27" s="178" t="s">
        <v>68</v>
      </c>
      <c r="G27" s="178" t="s">
        <v>1684</v>
      </c>
      <c r="H27" s="194" t="s">
        <v>1701</v>
      </c>
      <c r="I27" s="238">
        <v>41127</v>
      </c>
      <c r="J27" s="177">
        <v>142584</v>
      </c>
      <c r="K27" s="176">
        <f t="shared" si="0"/>
        <v>0.49149999999999999</v>
      </c>
      <c r="L27" s="177">
        <v>30</v>
      </c>
      <c r="M27" s="176">
        <f t="shared" si="1"/>
        <v>0.46750000000000003</v>
      </c>
      <c r="N27" s="238">
        <v>41059</v>
      </c>
      <c r="O27" s="194" t="s">
        <v>1702</v>
      </c>
      <c r="P27" s="194" t="s">
        <v>68</v>
      </c>
      <c r="Q27" s="194">
        <v>21</v>
      </c>
      <c r="R27" s="194">
        <v>1</v>
      </c>
      <c r="S27" s="194">
        <v>8461</v>
      </c>
      <c r="T27" s="177">
        <f t="shared" ref="T27:T33" si="7">S27/Q27</f>
        <v>402.90476190476193</v>
      </c>
      <c r="U27" s="176">
        <f t="shared" si="2"/>
        <v>0.379</v>
      </c>
      <c r="V27" s="194">
        <v>47</v>
      </c>
      <c r="W27" s="177">
        <f t="shared" si="3"/>
        <v>2.2380952380952381</v>
      </c>
      <c r="X27" s="176">
        <f t="shared" si="4"/>
        <v>0.34649999999999997</v>
      </c>
      <c r="Y27" s="239">
        <f t="shared" si="5"/>
        <v>1.6845000000000001</v>
      </c>
    </row>
    <row r="28" spans="1:25">
      <c r="A28" s="205">
        <v>27</v>
      </c>
      <c r="B28" s="178" t="s">
        <v>1171</v>
      </c>
      <c r="C28" s="178" t="s">
        <v>143</v>
      </c>
      <c r="D28" s="178" t="s">
        <v>413</v>
      </c>
      <c r="F28" s="178" t="s">
        <v>133</v>
      </c>
      <c r="J28" s="177">
        <v>0</v>
      </c>
      <c r="K28" s="176">
        <f t="shared" si="0"/>
        <v>0</v>
      </c>
      <c r="L28" s="177">
        <v>0</v>
      </c>
      <c r="M28" s="176">
        <f t="shared" si="1"/>
        <v>0</v>
      </c>
      <c r="P28" s="194" t="s">
        <v>68</v>
      </c>
      <c r="Q28" s="194">
        <v>10</v>
      </c>
      <c r="R28" s="194">
        <v>0</v>
      </c>
      <c r="S28" s="194">
        <v>4157</v>
      </c>
      <c r="T28" s="177">
        <f t="shared" si="7"/>
        <v>415.7</v>
      </c>
      <c r="U28" s="176">
        <f t="shared" si="2"/>
        <v>0.39500000000000002</v>
      </c>
      <c r="V28" s="194">
        <v>34</v>
      </c>
      <c r="W28" s="177">
        <f t="shared" si="3"/>
        <v>3.4</v>
      </c>
      <c r="X28" s="176">
        <f t="shared" si="4"/>
        <v>0.39500000000000002</v>
      </c>
      <c r="Y28" s="239">
        <f t="shared" si="5"/>
        <v>0.79</v>
      </c>
    </row>
    <row r="29" spans="1:25">
      <c r="A29" s="205">
        <v>28</v>
      </c>
      <c r="B29" s="178" t="s">
        <v>1171</v>
      </c>
      <c r="C29" s="178" t="s">
        <v>145</v>
      </c>
      <c r="D29" s="178" t="s">
        <v>413</v>
      </c>
      <c r="F29" s="178" t="s">
        <v>68</v>
      </c>
      <c r="G29" s="178" t="s">
        <v>1684</v>
      </c>
      <c r="H29" s="194" t="s">
        <v>1703</v>
      </c>
      <c r="I29" s="238">
        <v>41127</v>
      </c>
      <c r="J29" s="177">
        <v>92050</v>
      </c>
      <c r="K29" s="176">
        <f t="shared" si="0"/>
        <v>0.47549999999999998</v>
      </c>
      <c r="L29" s="177">
        <v>99</v>
      </c>
      <c r="M29" s="176">
        <f t="shared" si="1"/>
        <v>0.48349999999999999</v>
      </c>
      <c r="N29" s="238">
        <v>41113</v>
      </c>
      <c r="O29" s="194" t="s">
        <v>1704</v>
      </c>
      <c r="P29" s="194" t="s">
        <v>68</v>
      </c>
      <c r="Q29" s="194">
        <v>9</v>
      </c>
      <c r="R29" s="194">
        <v>0</v>
      </c>
      <c r="S29" s="194">
        <v>1702</v>
      </c>
      <c r="T29" s="177">
        <f t="shared" si="7"/>
        <v>189.11111111111111</v>
      </c>
      <c r="U29" s="176">
        <f t="shared" si="2"/>
        <v>0.26600000000000001</v>
      </c>
      <c r="V29" s="194">
        <v>7</v>
      </c>
      <c r="W29" s="177">
        <f t="shared" si="3"/>
        <v>0.77777777777777779</v>
      </c>
      <c r="X29" s="176">
        <f t="shared" si="4"/>
        <v>0.185</v>
      </c>
      <c r="Y29" s="239">
        <f t="shared" si="5"/>
        <v>1.41</v>
      </c>
    </row>
    <row r="30" spans="1:25">
      <c r="A30" s="205">
        <v>29</v>
      </c>
      <c r="B30" s="178" t="s">
        <v>1171</v>
      </c>
      <c r="C30" s="178" t="s">
        <v>148</v>
      </c>
      <c r="D30" s="178" t="s">
        <v>413</v>
      </c>
      <c r="F30" s="178" t="s">
        <v>133</v>
      </c>
      <c r="J30" s="177">
        <v>0</v>
      </c>
      <c r="K30" s="176">
        <f t="shared" si="0"/>
        <v>0</v>
      </c>
      <c r="L30" s="177">
        <v>0</v>
      </c>
      <c r="M30" s="176">
        <f t="shared" si="1"/>
        <v>0</v>
      </c>
      <c r="P30" s="194" t="s">
        <v>68</v>
      </c>
      <c r="Q30" s="194">
        <v>9</v>
      </c>
      <c r="R30" s="194">
        <v>0</v>
      </c>
      <c r="S30" s="194">
        <v>945</v>
      </c>
      <c r="T30" s="177">
        <f t="shared" si="7"/>
        <v>105</v>
      </c>
      <c r="U30" s="176">
        <f t="shared" si="2"/>
        <v>0.153</v>
      </c>
      <c r="V30" s="194">
        <v>7</v>
      </c>
      <c r="W30" s="177">
        <f t="shared" si="3"/>
        <v>0.77777777777777779</v>
      </c>
      <c r="X30" s="176">
        <f t="shared" si="4"/>
        <v>0.185</v>
      </c>
      <c r="Y30" s="239">
        <f t="shared" si="5"/>
        <v>0.33799999999999997</v>
      </c>
    </row>
    <row r="31" spans="1:25">
      <c r="A31" s="205">
        <v>30</v>
      </c>
      <c r="B31" s="178" t="s">
        <v>1171</v>
      </c>
      <c r="C31" s="178" t="s">
        <v>150</v>
      </c>
      <c r="D31" s="178" t="s">
        <v>413</v>
      </c>
      <c r="F31" s="178" t="s">
        <v>133</v>
      </c>
      <c r="J31" s="177">
        <v>0</v>
      </c>
      <c r="K31" s="176">
        <f t="shared" si="0"/>
        <v>0</v>
      </c>
      <c r="L31" s="177">
        <v>0</v>
      </c>
      <c r="M31" s="176">
        <f t="shared" si="1"/>
        <v>0</v>
      </c>
      <c r="P31" s="194" t="s">
        <v>68</v>
      </c>
      <c r="Q31" s="194">
        <v>5</v>
      </c>
      <c r="R31" s="194">
        <v>0</v>
      </c>
      <c r="S31" s="194">
        <v>3335</v>
      </c>
      <c r="T31" s="177">
        <f t="shared" si="7"/>
        <v>667</v>
      </c>
      <c r="U31" s="176">
        <f t="shared" si="2"/>
        <v>0.46750000000000003</v>
      </c>
      <c r="V31" s="194">
        <v>25</v>
      </c>
      <c r="W31" s="177">
        <f t="shared" si="3"/>
        <v>5</v>
      </c>
      <c r="X31" s="176">
        <f t="shared" si="4"/>
        <v>0.45150000000000001</v>
      </c>
      <c r="Y31" s="239">
        <f t="shared" si="5"/>
        <v>0.91900000000000004</v>
      </c>
    </row>
    <row r="32" spans="1:25">
      <c r="A32" s="205">
        <v>31</v>
      </c>
      <c r="B32" s="178" t="s">
        <v>1171</v>
      </c>
      <c r="C32" s="178" t="s">
        <v>153</v>
      </c>
      <c r="D32" s="178" t="s">
        <v>413</v>
      </c>
      <c r="F32" s="178" t="s">
        <v>68</v>
      </c>
      <c r="G32" s="178" t="s">
        <v>1684</v>
      </c>
      <c r="H32" s="194" t="s">
        <v>1705</v>
      </c>
      <c r="I32" s="238">
        <v>41127</v>
      </c>
      <c r="J32" s="177">
        <v>3512</v>
      </c>
      <c r="K32" s="176">
        <f t="shared" si="0"/>
        <v>0.41899999999999998</v>
      </c>
      <c r="L32" s="177">
        <v>2</v>
      </c>
      <c r="M32" s="176">
        <f t="shared" si="1"/>
        <v>0.42699999999999999</v>
      </c>
      <c r="N32" s="238">
        <v>40766</v>
      </c>
      <c r="O32" s="194" t="s">
        <v>1706</v>
      </c>
      <c r="P32" s="194" t="s">
        <v>68</v>
      </c>
      <c r="Q32" s="194">
        <v>7</v>
      </c>
      <c r="R32" s="194">
        <v>0</v>
      </c>
      <c r="S32" s="194">
        <v>3881</v>
      </c>
      <c r="T32" s="177">
        <f t="shared" si="7"/>
        <v>554.42857142857144</v>
      </c>
      <c r="U32" s="176">
        <f t="shared" si="2"/>
        <v>0.435</v>
      </c>
      <c r="V32" s="194">
        <v>24</v>
      </c>
      <c r="W32" s="177">
        <f t="shared" si="3"/>
        <v>3.4285714285714284</v>
      </c>
      <c r="X32" s="176">
        <f t="shared" si="4"/>
        <v>0.40300000000000002</v>
      </c>
      <c r="Y32" s="239">
        <f t="shared" si="5"/>
        <v>1.6840000000000002</v>
      </c>
    </row>
    <row r="33" spans="1:25">
      <c r="A33" s="205">
        <v>32</v>
      </c>
      <c r="B33" s="178" t="s">
        <v>1171</v>
      </c>
      <c r="C33" s="178" t="s">
        <v>156</v>
      </c>
      <c r="D33" s="178" t="s">
        <v>413</v>
      </c>
      <c r="F33" s="178" t="s">
        <v>68</v>
      </c>
      <c r="G33" s="178" t="s">
        <v>1684</v>
      </c>
      <c r="H33" s="194" t="s">
        <v>1707</v>
      </c>
      <c r="I33" s="238">
        <v>41127</v>
      </c>
      <c r="J33" s="177">
        <v>61873</v>
      </c>
      <c r="K33" s="176">
        <f t="shared" si="0"/>
        <v>0.46750000000000003</v>
      </c>
      <c r="L33" s="177">
        <v>12</v>
      </c>
      <c r="M33" s="176">
        <f t="shared" si="1"/>
        <v>0.45150000000000001</v>
      </c>
      <c r="N33" s="238">
        <v>40714</v>
      </c>
      <c r="O33" s="194" t="s">
        <v>1708</v>
      </c>
      <c r="P33" s="194" t="s">
        <v>68</v>
      </c>
      <c r="Q33" s="194">
        <v>20</v>
      </c>
      <c r="R33" s="194">
        <v>0</v>
      </c>
      <c r="S33" s="194">
        <v>4595</v>
      </c>
      <c r="T33" s="177">
        <f t="shared" si="7"/>
        <v>229.75</v>
      </c>
      <c r="U33" s="176">
        <f t="shared" si="2"/>
        <v>0.29799999999999999</v>
      </c>
      <c r="V33" s="194">
        <v>26</v>
      </c>
      <c r="W33" s="177">
        <f t="shared" si="3"/>
        <v>1.3</v>
      </c>
      <c r="X33" s="176">
        <f t="shared" si="4"/>
        <v>0.29799999999999999</v>
      </c>
      <c r="Y33" s="239">
        <f t="shared" si="5"/>
        <v>1.5149999999999999</v>
      </c>
    </row>
    <row r="34" spans="1:25">
      <c r="A34" s="205">
        <v>33</v>
      </c>
      <c r="B34" s="178" t="s">
        <v>1171</v>
      </c>
      <c r="C34" s="178" t="s">
        <v>158</v>
      </c>
      <c r="D34" s="178" t="s">
        <v>413</v>
      </c>
      <c r="F34" s="178" t="s">
        <v>133</v>
      </c>
      <c r="J34" s="177">
        <v>0</v>
      </c>
      <c r="K34" s="176">
        <f t="shared" si="0"/>
        <v>0</v>
      </c>
      <c r="L34" s="177">
        <v>0</v>
      </c>
      <c r="M34" s="176">
        <f t="shared" si="1"/>
        <v>0</v>
      </c>
      <c r="P34" s="194" t="s">
        <v>133</v>
      </c>
      <c r="R34" s="194">
        <v>0</v>
      </c>
      <c r="S34" s="194">
        <v>0</v>
      </c>
      <c r="T34" s="177">
        <v>0</v>
      </c>
      <c r="U34" s="176">
        <f t="shared" si="2"/>
        <v>0</v>
      </c>
      <c r="V34" s="194">
        <v>0</v>
      </c>
      <c r="W34" s="177">
        <v>0</v>
      </c>
      <c r="X34" s="176">
        <f t="shared" si="4"/>
        <v>0</v>
      </c>
      <c r="Y34" s="239">
        <f t="shared" si="5"/>
        <v>0</v>
      </c>
    </row>
    <row r="35" spans="1:25">
      <c r="A35" s="205">
        <v>34</v>
      </c>
      <c r="B35" s="178" t="s">
        <v>1171</v>
      </c>
      <c r="C35" s="178" t="s">
        <v>161</v>
      </c>
      <c r="D35" s="178" t="s">
        <v>413</v>
      </c>
      <c r="F35" s="178" t="s">
        <v>133</v>
      </c>
      <c r="J35" s="177">
        <v>0</v>
      </c>
      <c r="K35" s="176">
        <f t="shared" si="0"/>
        <v>0</v>
      </c>
      <c r="L35" s="177">
        <v>0</v>
      </c>
      <c r="M35" s="176">
        <f t="shared" si="1"/>
        <v>0</v>
      </c>
      <c r="P35" s="194" t="s">
        <v>68</v>
      </c>
      <c r="Q35" s="194">
        <v>2</v>
      </c>
      <c r="R35" s="194">
        <v>0</v>
      </c>
      <c r="S35" s="194">
        <v>318</v>
      </c>
      <c r="T35" s="177">
        <f t="shared" ref="T35:T64" si="8">S35/Q35</f>
        <v>159</v>
      </c>
      <c r="U35" s="176">
        <f t="shared" si="2"/>
        <v>0.22550000000000001</v>
      </c>
      <c r="V35" s="194">
        <v>6</v>
      </c>
      <c r="W35" s="177">
        <f t="shared" si="3"/>
        <v>3</v>
      </c>
      <c r="X35" s="176">
        <f t="shared" si="4"/>
        <v>0.379</v>
      </c>
      <c r="Y35" s="239">
        <f t="shared" si="5"/>
        <v>0.60450000000000004</v>
      </c>
    </row>
    <row r="36" spans="1:25">
      <c r="A36" s="205">
        <v>35</v>
      </c>
      <c r="B36" s="178" t="s">
        <v>1171</v>
      </c>
      <c r="C36" s="178" t="s">
        <v>163</v>
      </c>
      <c r="D36" s="178" t="s">
        <v>413</v>
      </c>
      <c r="F36" s="178" t="s">
        <v>133</v>
      </c>
      <c r="J36" s="177">
        <v>0</v>
      </c>
      <c r="K36" s="176">
        <f t="shared" si="0"/>
        <v>0</v>
      </c>
      <c r="L36" s="177">
        <v>0</v>
      </c>
      <c r="M36" s="176">
        <f t="shared" si="1"/>
        <v>0</v>
      </c>
      <c r="P36" s="194" t="s">
        <v>68</v>
      </c>
      <c r="Q36" s="194">
        <v>6</v>
      </c>
      <c r="R36" s="194">
        <v>0</v>
      </c>
      <c r="S36" s="194">
        <v>946</v>
      </c>
      <c r="T36" s="177">
        <f t="shared" si="8"/>
        <v>157.66666666666666</v>
      </c>
      <c r="U36" s="176">
        <f t="shared" si="2"/>
        <v>0.2175</v>
      </c>
      <c r="V36" s="194">
        <v>7</v>
      </c>
      <c r="W36" s="177">
        <f t="shared" si="3"/>
        <v>1.1666666666666667</v>
      </c>
      <c r="X36" s="176">
        <f t="shared" si="4"/>
        <v>0.25800000000000001</v>
      </c>
      <c r="Y36" s="239">
        <f t="shared" si="5"/>
        <v>0.47550000000000003</v>
      </c>
    </row>
    <row r="37" spans="1:25">
      <c r="A37" s="205">
        <v>36</v>
      </c>
      <c r="B37" s="178" t="s">
        <v>1171</v>
      </c>
      <c r="C37" s="178" t="s">
        <v>165</v>
      </c>
      <c r="D37" s="178" t="s">
        <v>413</v>
      </c>
      <c r="F37" s="178" t="s">
        <v>68</v>
      </c>
      <c r="G37" s="178" t="s">
        <v>1684</v>
      </c>
      <c r="H37" s="194" t="s">
        <v>1709</v>
      </c>
      <c r="I37" s="238">
        <v>41127</v>
      </c>
      <c r="J37" s="177">
        <v>320620</v>
      </c>
      <c r="K37" s="176">
        <f t="shared" si="0"/>
        <v>0.5</v>
      </c>
      <c r="L37" s="177">
        <v>304</v>
      </c>
      <c r="M37" s="176">
        <f t="shared" si="1"/>
        <v>0.5</v>
      </c>
      <c r="N37" s="238">
        <v>41059</v>
      </c>
      <c r="O37" s="194" t="s">
        <v>1710</v>
      </c>
      <c r="P37" s="180" t="s">
        <v>68</v>
      </c>
      <c r="Q37" s="180">
        <v>6</v>
      </c>
      <c r="R37" s="180">
        <v>0</v>
      </c>
      <c r="S37" s="180">
        <f>6435+2353+350+629+1216+512</f>
        <v>11495</v>
      </c>
      <c r="T37" s="177">
        <f t="shared" si="8"/>
        <v>1915.8333333333333</v>
      </c>
      <c r="U37" s="176">
        <f t="shared" si="2"/>
        <v>0.5</v>
      </c>
      <c r="V37" s="180">
        <f>33+17+5+7+2</f>
        <v>64</v>
      </c>
      <c r="W37" s="177">
        <f t="shared" si="3"/>
        <v>10.666666666666666</v>
      </c>
      <c r="X37" s="176">
        <f t="shared" si="4"/>
        <v>0.49149999999999999</v>
      </c>
      <c r="Y37" s="239">
        <f t="shared" si="5"/>
        <v>1.9915</v>
      </c>
    </row>
    <row r="38" spans="1:25">
      <c r="A38" s="205">
        <v>37</v>
      </c>
      <c r="B38" s="178" t="s">
        <v>1171</v>
      </c>
      <c r="C38" s="178" t="s">
        <v>167</v>
      </c>
      <c r="D38" s="178" t="s">
        <v>413</v>
      </c>
      <c r="F38" s="178" t="s">
        <v>133</v>
      </c>
      <c r="J38" s="177">
        <v>0</v>
      </c>
      <c r="K38" s="176">
        <f t="shared" si="0"/>
        <v>0</v>
      </c>
      <c r="L38" s="177">
        <v>0</v>
      </c>
      <c r="M38" s="176">
        <f t="shared" si="1"/>
        <v>0</v>
      </c>
      <c r="P38" s="194" t="s">
        <v>68</v>
      </c>
      <c r="Q38" s="194">
        <v>1</v>
      </c>
      <c r="R38" s="194">
        <v>0</v>
      </c>
      <c r="S38" s="194">
        <v>535</v>
      </c>
      <c r="T38" s="177">
        <f t="shared" si="8"/>
        <v>535</v>
      </c>
      <c r="U38" s="176">
        <f t="shared" si="2"/>
        <v>0.42699999999999999</v>
      </c>
      <c r="V38" s="194">
        <v>5</v>
      </c>
      <c r="W38" s="177">
        <f t="shared" si="3"/>
        <v>5</v>
      </c>
      <c r="X38" s="176">
        <f t="shared" si="4"/>
        <v>0.45150000000000001</v>
      </c>
      <c r="Y38" s="239">
        <f t="shared" si="5"/>
        <v>0.87850000000000006</v>
      </c>
    </row>
    <row r="39" spans="1:25">
      <c r="A39" s="205">
        <v>38</v>
      </c>
      <c r="B39" s="178" t="s">
        <v>1171</v>
      </c>
      <c r="C39" s="178" t="s">
        <v>169</v>
      </c>
      <c r="D39" s="178" t="s">
        <v>413</v>
      </c>
      <c r="F39" s="178" t="s">
        <v>68</v>
      </c>
      <c r="G39" s="178" t="s">
        <v>1684</v>
      </c>
      <c r="H39" s="194" t="s">
        <v>1711</v>
      </c>
      <c r="I39" s="240" t="s">
        <v>1712</v>
      </c>
      <c r="J39" s="177">
        <v>102419</v>
      </c>
      <c r="K39" s="176">
        <f t="shared" si="0"/>
        <v>0.48349999999999999</v>
      </c>
      <c r="L39" s="177">
        <v>114</v>
      </c>
      <c r="M39" s="176">
        <f t="shared" si="1"/>
        <v>0.49149999999999999</v>
      </c>
      <c r="N39" s="238">
        <v>40659</v>
      </c>
      <c r="O39" s="194" t="s">
        <v>1713</v>
      </c>
      <c r="P39" s="194" t="s">
        <v>68</v>
      </c>
      <c r="Q39" s="194">
        <v>16</v>
      </c>
      <c r="R39" s="194">
        <v>0</v>
      </c>
      <c r="S39" s="194">
        <v>11334</v>
      </c>
      <c r="T39" s="177">
        <f t="shared" si="8"/>
        <v>708.375</v>
      </c>
      <c r="U39" s="176">
        <f t="shared" si="2"/>
        <v>0.47549999999999998</v>
      </c>
      <c r="V39" s="194">
        <v>104</v>
      </c>
      <c r="W39" s="177">
        <f t="shared" si="3"/>
        <v>6.5</v>
      </c>
      <c r="X39" s="176">
        <f t="shared" si="4"/>
        <v>0.47549999999999998</v>
      </c>
      <c r="Y39" s="239">
        <f t="shared" si="5"/>
        <v>1.9259999999999999</v>
      </c>
    </row>
    <row r="40" spans="1:25">
      <c r="A40" s="205">
        <v>39</v>
      </c>
      <c r="B40" s="178" t="s">
        <v>1171</v>
      </c>
      <c r="C40" s="178" t="s">
        <v>171</v>
      </c>
      <c r="D40" s="178" t="s">
        <v>413</v>
      </c>
      <c r="F40" s="178" t="s">
        <v>133</v>
      </c>
      <c r="J40" s="177">
        <v>0</v>
      </c>
      <c r="K40" s="176">
        <f t="shared" si="0"/>
        <v>0</v>
      </c>
      <c r="L40" s="177">
        <v>0</v>
      </c>
      <c r="M40" s="176">
        <f t="shared" si="1"/>
        <v>0</v>
      </c>
      <c r="P40" s="194" t="s">
        <v>68</v>
      </c>
      <c r="Q40" s="194">
        <v>4</v>
      </c>
      <c r="R40" s="194">
        <v>0</v>
      </c>
      <c r="S40" s="194">
        <v>147</v>
      </c>
      <c r="T40" s="177">
        <f t="shared" si="8"/>
        <v>36.75</v>
      </c>
      <c r="U40" s="176">
        <f t="shared" si="2"/>
        <v>7.2499999999999995E-2</v>
      </c>
      <c r="V40" s="194">
        <v>0</v>
      </c>
      <c r="W40" s="177">
        <f t="shared" si="3"/>
        <v>0</v>
      </c>
      <c r="X40" s="176">
        <f t="shared" si="4"/>
        <v>0</v>
      </c>
      <c r="Y40" s="239">
        <f t="shared" si="5"/>
        <v>7.2499999999999995E-2</v>
      </c>
    </row>
    <row r="41" spans="1:25">
      <c r="A41" s="205">
        <v>40</v>
      </c>
      <c r="B41" s="178" t="s">
        <v>1171</v>
      </c>
      <c r="C41" s="178" t="s">
        <v>174</v>
      </c>
      <c r="D41" s="178" t="s">
        <v>413</v>
      </c>
      <c r="F41" s="178" t="s">
        <v>68</v>
      </c>
      <c r="G41" s="178" t="s">
        <v>1684</v>
      </c>
      <c r="H41" s="194" t="s">
        <v>1714</v>
      </c>
      <c r="I41" s="238">
        <v>41127</v>
      </c>
      <c r="J41" s="177">
        <v>871</v>
      </c>
      <c r="K41" s="176">
        <f t="shared" si="0"/>
        <v>0.38700000000000001</v>
      </c>
      <c r="L41" s="177">
        <v>0</v>
      </c>
      <c r="M41" s="176">
        <f t="shared" si="1"/>
        <v>0</v>
      </c>
      <c r="N41" s="194" t="s">
        <v>421</v>
      </c>
      <c r="O41" s="194" t="s">
        <v>684</v>
      </c>
      <c r="P41" s="194" t="s">
        <v>68</v>
      </c>
      <c r="Q41" s="194">
        <v>21</v>
      </c>
      <c r="R41" s="194">
        <v>0</v>
      </c>
      <c r="S41" s="194">
        <v>5744</v>
      </c>
      <c r="T41" s="177">
        <f t="shared" si="8"/>
        <v>273.52380952380952</v>
      </c>
      <c r="U41" s="176">
        <f t="shared" si="2"/>
        <v>0.33850000000000002</v>
      </c>
      <c r="V41" s="194">
        <v>25</v>
      </c>
      <c r="W41" s="177">
        <f t="shared" si="3"/>
        <v>1.1904761904761905</v>
      </c>
      <c r="X41" s="176">
        <f t="shared" si="4"/>
        <v>0.27400000000000002</v>
      </c>
      <c r="Y41" s="239">
        <f t="shared" si="5"/>
        <v>0.99950000000000006</v>
      </c>
    </row>
    <row r="42" spans="1:25">
      <c r="A42" s="205">
        <v>41</v>
      </c>
      <c r="B42" s="178" t="s">
        <v>1171</v>
      </c>
      <c r="C42" s="178" t="s">
        <v>177</v>
      </c>
      <c r="D42" s="178" t="s">
        <v>413</v>
      </c>
      <c r="F42" s="178" t="s">
        <v>133</v>
      </c>
      <c r="J42" s="177">
        <v>0</v>
      </c>
      <c r="K42" s="176">
        <f t="shared" si="0"/>
        <v>0</v>
      </c>
      <c r="L42" s="177">
        <v>0</v>
      </c>
      <c r="M42" s="176">
        <f t="shared" si="1"/>
        <v>0</v>
      </c>
      <c r="P42" s="194" t="s">
        <v>68</v>
      </c>
      <c r="Q42" s="194">
        <v>4</v>
      </c>
      <c r="R42" s="194">
        <v>0</v>
      </c>
      <c r="S42" s="194">
        <v>319</v>
      </c>
      <c r="T42" s="177">
        <f t="shared" si="8"/>
        <v>79.75</v>
      </c>
      <c r="U42" s="176">
        <f t="shared" si="2"/>
        <v>0.1205</v>
      </c>
      <c r="V42" s="194">
        <v>11</v>
      </c>
      <c r="W42" s="177">
        <f t="shared" si="3"/>
        <v>2.75</v>
      </c>
      <c r="X42" s="176">
        <f t="shared" si="4"/>
        <v>0.36249999999999999</v>
      </c>
      <c r="Y42" s="239">
        <f t="shared" si="5"/>
        <v>0.48299999999999998</v>
      </c>
    </row>
    <row r="43" spans="1:25">
      <c r="A43" s="205">
        <v>42</v>
      </c>
      <c r="B43" s="178" t="s">
        <v>1171</v>
      </c>
      <c r="C43" s="178" t="s">
        <v>180</v>
      </c>
      <c r="D43" s="178" t="s">
        <v>413</v>
      </c>
      <c r="F43" s="178" t="s">
        <v>133</v>
      </c>
      <c r="J43" s="177">
        <v>0</v>
      </c>
      <c r="K43" s="176">
        <f t="shared" si="0"/>
        <v>0</v>
      </c>
      <c r="L43" s="177">
        <v>0</v>
      </c>
      <c r="M43" s="176">
        <f t="shared" si="1"/>
        <v>0</v>
      </c>
      <c r="P43" s="194" t="s">
        <v>68</v>
      </c>
      <c r="Q43" s="194">
        <v>2</v>
      </c>
      <c r="R43" s="194">
        <v>1</v>
      </c>
      <c r="S43" s="194">
        <v>278</v>
      </c>
      <c r="T43" s="177">
        <f t="shared" si="8"/>
        <v>139</v>
      </c>
      <c r="U43" s="176">
        <f t="shared" si="2"/>
        <v>0.17699999999999999</v>
      </c>
      <c r="V43" s="194">
        <v>2</v>
      </c>
      <c r="W43" s="177">
        <f t="shared" si="3"/>
        <v>1</v>
      </c>
      <c r="X43" s="176">
        <f t="shared" si="4"/>
        <v>0.2175</v>
      </c>
      <c r="Y43" s="239">
        <f t="shared" si="5"/>
        <v>0.39449999999999996</v>
      </c>
    </row>
    <row r="44" spans="1:25">
      <c r="A44" s="205">
        <v>43</v>
      </c>
      <c r="B44" s="178" t="s">
        <v>1171</v>
      </c>
      <c r="C44" s="178" t="s">
        <v>182</v>
      </c>
      <c r="D44" s="178" t="s">
        <v>413</v>
      </c>
      <c r="F44" s="178" t="s">
        <v>68</v>
      </c>
      <c r="G44" s="178" t="s">
        <v>1684</v>
      </c>
      <c r="H44" s="194" t="s">
        <v>1715</v>
      </c>
      <c r="I44" s="238">
        <v>41127</v>
      </c>
      <c r="J44" s="177">
        <v>17815</v>
      </c>
      <c r="K44" s="176">
        <f t="shared" si="0"/>
        <v>0.45150000000000001</v>
      </c>
      <c r="L44" s="177">
        <v>10</v>
      </c>
      <c r="M44" s="176">
        <f t="shared" si="1"/>
        <v>0.435</v>
      </c>
      <c r="N44" s="238">
        <v>40477</v>
      </c>
      <c r="O44" s="194" t="s">
        <v>1716</v>
      </c>
      <c r="P44" s="194" t="s">
        <v>68</v>
      </c>
      <c r="Q44" s="194">
        <v>5</v>
      </c>
      <c r="R44" s="194">
        <v>0</v>
      </c>
      <c r="S44" s="194">
        <v>445</v>
      </c>
      <c r="T44" s="177">
        <f t="shared" si="8"/>
        <v>89</v>
      </c>
      <c r="U44" s="176">
        <f t="shared" si="2"/>
        <v>0.129</v>
      </c>
      <c r="V44" s="194">
        <v>14</v>
      </c>
      <c r="W44" s="177">
        <f t="shared" si="3"/>
        <v>2.8</v>
      </c>
      <c r="X44" s="176">
        <f t="shared" si="4"/>
        <v>0.3705</v>
      </c>
      <c r="Y44" s="239">
        <f t="shared" si="5"/>
        <v>1.3860000000000001</v>
      </c>
    </row>
    <row r="45" spans="1:25">
      <c r="A45" s="205">
        <v>44</v>
      </c>
      <c r="B45" s="178" t="s">
        <v>1171</v>
      </c>
      <c r="C45" s="178" t="s">
        <v>185</v>
      </c>
      <c r="D45" s="178" t="s">
        <v>413</v>
      </c>
      <c r="F45" s="178" t="s">
        <v>133</v>
      </c>
      <c r="J45" s="177">
        <v>0</v>
      </c>
      <c r="K45" s="176">
        <f t="shared" si="0"/>
        <v>0</v>
      </c>
      <c r="L45" s="177">
        <v>0</v>
      </c>
      <c r="M45" s="176">
        <f t="shared" si="1"/>
        <v>0</v>
      </c>
      <c r="P45" s="194" t="s">
        <v>68</v>
      </c>
      <c r="Q45" s="194">
        <v>5</v>
      </c>
      <c r="R45" s="194">
        <v>0</v>
      </c>
      <c r="S45" s="194">
        <v>1900</v>
      </c>
      <c r="T45" s="177">
        <f t="shared" si="8"/>
        <v>380</v>
      </c>
      <c r="U45" s="176">
        <f t="shared" si="2"/>
        <v>0.3705</v>
      </c>
      <c r="V45" s="194">
        <v>22</v>
      </c>
      <c r="W45" s="177">
        <f t="shared" si="3"/>
        <v>4.4000000000000004</v>
      </c>
      <c r="X45" s="176">
        <f t="shared" si="4"/>
        <v>0.44350000000000001</v>
      </c>
      <c r="Y45" s="239">
        <f t="shared" si="5"/>
        <v>0.81400000000000006</v>
      </c>
    </row>
    <row r="46" spans="1:25">
      <c r="A46" s="205">
        <v>45</v>
      </c>
      <c r="B46" s="178" t="s">
        <v>1171</v>
      </c>
      <c r="C46" s="178" t="s">
        <v>187</v>
      </c>
      <c r="D46" s="178" t="s">
        <v>413</v>
      </c>
      <c r="F46" s="178" t="s">
        <v>133</v>
      </c>
      <c r="J46" s="177">
        <v>0</v>
      </c>
      <c r="K46" s="176">
        <f t="shared" si="0"/>
        <v>0</v>
      </c>
      <c r="L46" s="177">
        <v>0</v>
      </c>
      <c r="M46" s="176">
        <f t="shared" si="1"/>
        <v>0</v>
      </c>
      <c r="P46" s="194" t="s">
        <v>68</v>
      </c>
      <c r="Q46" s="194">
        <v>12</v>
      </c>
      <c r="R46" s="194">
        <v>0</v>
      </c>
      <c r="S46" s="194">
        <v>7249</v>
      </c>
      <c r="T46" s="177">
        <f t="shared" si="8"/>
        <v>604.08333333333337</v>
      </c>
      <c r="U46" s="176">
        <f t="shared" si="2"/>
        <v>0.45150000000000001</v>
      </c>
      <c r="V46" s="194">
        <v>44</v>
      </c>
      <c r="W46" s="177">
        <f t="shared" si="3"/>
        <v>3.6666666666666665</v>
      </c>
      <c r="X46" s="176">
        <f t="shared" si="4"/>
        <v>0.41899999999999998</v>
      </c>
      <c r="Y46" s="239">
        <f t="shared" si="5"/>
        <v>0.87050000000000005</v>
      </c>
    </row>
    <row r="47" spans="1:25">
      <c r="A47" s="205">
        <v>46</v>
      </c>
      <c r="B47" s="178" t="s">
        <v>1171</v>
      </c>
      <c r="C47" s="178" t="s">
        <v>190</v>
      </c>
      <c r="D47" s="178" t="s">
        <v>413</v>
      </c>
      <c r="F47" s="178" t="s">
        <v>133</v>
      </c>
      <c r="J47" s="177">
        <v>0</v>
      </c>
      <c r="K47" s="176">
        <f t="shared" si="0"/>
        <v>0</v>
      </c>
      <c r="L47" s="177">
        <v>0</v>
      </c>
      <c r="M47" s="176">
        <f t="shared" si="1"/>
        <v>0</v>
      </c>
      <c r="P47" s="194" t="s">
        <v>68</v>
      </c>
      <c r="Q47" s="194">
        <v>56</v>
      </c>
      <c r="R47" s="194">
        <v>0</v>
      </c>
      <c r="S47" s="194">
        <v>31678</v>
      </c>
      <c r="T47" s="177">
        <f t="shared" si="8"/>
        <v>565.67857142857144</v>
      </c>
      <c r="U47" s="176">
        <f t="shared" si="2"/>
        <v>0.44350000000000001</v>
      </c>
      <c r="V47" s="194">
        <v>203</v>
      </c>
      <c r="W47" s="177">
        <f t="shared" si="3"/>
        <v>3.625</v>
      </c>
      <c r="X47" s="176">
        <f t="shared" si="4"/>
        <v>0.41099999999999998</v>
      </c>
      <c r="Y47" s="239">
        <f t="shared" si="5"/>
        <v>0.85450000000000004</v>
      </c>
    </row>
    <row r="48" spans="1:25">
      <c r="A48" s="205">
        <v>47</v>
      </c>
      <c r="B48" s="178" t="s">
        <v>1171</v>
      </c>
      <c r="C48" s="178" t="s">
        <v>193</v>
      </c>
      <c r="D48" s="178" t="s">
        <v>413</v>
      </c>
      <c r="F48" s="178" t="s">
        <v>133</v>
      </c>
      <c r="J48" s="177">
        <v>0</v>
      </c>
      <c r="K48" s="176">
        <f t="shared" si="0"/>
        <v>0</v>
      </c>
      <c r="L48" s="177">
        <v>0</v>
      </c>
      <c r="M48" s="176">
        <f t="shared" si="1"/>
        <v>0</v>
      </c>
      <c r="P48" s="194" t="s">
        <v>68</v>
      </c>
      <c r="Q48" s="194">
        <v>2</v>
      </c>
      <c r="R48" s="194">
        <v>0</v>
      </c>
      <c r="S48" s="194">
        <v>157</v>
      </c>
      <c r="T48" s="177">
        <f t="shared" si="8"/>
        <v>78.5</v>
      </c>
      <c r="U48" s="176">
        <f t="shared" si="2"/>
        <v>0.1125</v>
      </c>
      <c r="V48" s="194">
        <v>0</v>
      </c>
      <c r="W48" s="177">
        <f t="shared" si="3"/>
        <v>0</v>
      </c>
      <c r="X48" s="176">
        <f t="shared" si="4"/>
        <v>0</v>
      </c>
      <c r="Y48" s="239">
        <f t="shared" si="5"/>
        <v>0.1125</v>
      </c>
    </row>
    <row r="49" spans="1:25">
      <c r="A49" s="205">
        <v>48</v>
      </c>
      <c r="B49" s="178" t="s">
        <v>1171</v>
      </c>
      <c r="C49" s="178" t="s">
        <v>196</v>
      </c>
      <c r="D49" s="178" t="s">
        <v>413</v>
      </c>
      <c r="F49" s="178" t="s">
        <v>133</v>
      </c>
      <c r="J49" s="177">
        <v>0</v>
      </c>
      <c r="K49" s="176">
        <f t="shared" si="0"/>
        <v>0</v>
      </c>
      <c r="L49" s="177">
        <v>0</v>
      </c>
      <c r="M49" s="176">
        <f t="shared" si="1"/>
        <v>0</v>
      </c>
      <c r="P49" s="194" t="s">
        <v>68</v>
      </c>
      <c r="Q49" s="194">
        <v>9</v>
      </c>
      <c r="R49" s="194">
        <v>0</v>
      </c>
      <c r="S49" s="194">
        <v>1375</v>
      </c>
      <c r="T49" s="177">
        <f t="shared" si="8"/>
        <v>152.77777777777777</v>
      </c>
      <c r="U49" s="176">
        <f t="shared" si="2"/>
        <v>0.20949999999999999</v>
      </c>
      <c r="V49" s="194">
        <v>9</v>
      </c>
      <c r="W49" s="177">
        <f t="shared" si="3"/>
        <v>1</v>
      </c>
      <c r="X49" s="176">
        <f t="shared" si="4"/>
        <v>0.2175</v>
      </c>
      <c r="Y49" s="239">
        <f t="shared" si="5"/>
        <v>0.42699999999999999</v>
      </c>
    </row>
    <row r="50" spans="1:25">
      <c r="A50" s="205">
        <v>49</v>
      </c>
      <c r="B50" s="178" t="s">
        <v>1171</v>
      </c>
      <c r="C50" s="178" t="s">
        <v>199</v>
      </c>
      <c r="D50" s="178" t="s">
        <v>413</v>
      </c>
      <c r="F50" s="178" t="s">
        <v>133</v>
      </c>
      <c r="J50" s="177">
        <v>0</v>
      </c>
      <c r="K50" s="176">
        <f t="shared" si="0"/>
        <v>0</v>
      </c>
      <c r="L50" s="177">
        <v>0</v>
      </c>
      <c r="M50" s="176">
        <f t="shared" si="1"/>
        <v>0</v>
      </c>
      <c r="P50" s="194" t="s">
        <v>68</v>
      </c>
      <c r="Q50" s="194">
        <v>2</v>
      </c>
      <c r="R50" s="194">
        <v>0</v>
      </c>
      <c r="S50" s="194">
        <v>3</v>
      </c>
      <c r="T50" s="177">
        <f t="shared" si="8"/>
        <v>1.5</v>
      </c>
      <c r="U50" s="176">
        <f t="shared" si="2"/>
        <v>2.4E-2</v>
      </c>
      <c r="V50" s="194">
        <v>0</v>
      </c>
      <c r="W50" s="177">
        <f t="shared" si="3"/>
        <v>0</v>
      </c>
      <c r="X50" s="176">
        <f t="shared" si="4"/>
        <v>0</v>
      </c>
      <c r="Y50" s="239">
        <f t="shared" si="5"/>
        <v>2.4E-2</v>
      </c>
    </row>
    <row r="51" spans="1:25">
      <c r="A51" s="205">
        <v>50</v>
      </c>
      <c r="B51" s="178" t="s">
        <v>1171</v>
      </c>
      <c r="C51" s="178" t="s">
        <v>201</v>
      </c>
      <c r="D51" s="178" t="s">
        <v>413</v>
      </c>
      <c r="F51" s="178" t="s">
        <v>68</v>
      </c>
      <c r="G51" s="178" t="s">
        <v>1684</v>
      </c>
      <c r="H51" s="194" t="s">
        <v>1717</v>
      </c>
      <c r="I51" s="238">
        <v>41127</v>
      </c>
      <c r="J51" s="177">
        <v>6693</v>
      </c>
      <c r="K51" s="176">
        <f t="shared" si="0"/>
        <v>0.42699999999999999</v>
      </c>
      <c r="L51" s="177">
        <v>11</v>
      </c>
      <c r="M51" s="176">
        <f t="shared" si="1"/>
        <v>0.44350000000000001</v>
      </c>
      <c r="N51" s="238">
        <v>41051</v>
      </c>
      <c r="O51" s="194" t="s">
        <v>1718</v>
      </c>
      <c r="P51" s="194" t="s">
        <v>68</v>
      </c>
      <c r="Q51" s="194">
        <v>2</v>
      </c>
      <c r="R51" s="194">
        <v>0</v>
      </c>
      <c r="S51" s="194">
        <v>335</v>
      </c>
      <c r="T51" s="177">
        <f t="shared" si="8"/>
        <v>167.5</v>
      </c>
      <c r="U51" s="176">
        <f t="shared" si="2"/>
        <v>0.23350000000000001</v>
      </c>
      <c r="V51" s="194">
        <v>8</v>
      </c>
      <c r="W51" s="177">
        <f t="shared" si="3"/>
        <v>4</v>
      </c>
      <c r="X51" s="176">
        <f t="shared" si="4"/>
        <v>0.435</v>
      </c>
      <c r="Y51" s="239">
        <f t="shared" si="5"/>
        <v>1.5390000000000001</v>
      </c>
    </row>
    <row r="52" spans="1:25">
      <c r="A52" s="205">
        <v>51</v>
      </c>
      <c r="B52" s="178" t="s">
        <v>1171</v>
      </c>
      <c r="C52" s="178" t="s">
        <v>203</v>
      </c>
      <c r="D52" s="178" t="s">
        <v>413</v>
      </c>
      <c r="F52" s="178" t="s">
        <v>133</v>
      </c>
      <c r="J52" s="177">
        <v>0</v>
      </c>
      <c r="K52" s="176">
        <f t="shared" si="0"/>
        <v>0</v>
      </c>
      <c r="L52" s="177">
        <v>0</v>
      </c>
      <c r="M52" s="176">
        <f t="shared" si="1"/>
        <v>0</v>
      </c>
      <c r="P52" s="194" t="s">
        <v>68</v>
      </c>
      <c r="Q52" s="194">
        <v>13</v>
      </c>
      <c r="R52" s="194">
        <v>0</v>
      </c>
      <c r="S52" s="194">
        <v>503</v>
      </c>
      <c r="T52" s="177">
        <f t="shared" si="8"/>
        <v>38.692307692307693</v>
      </c>
      <c r="U52" s="176">
        <f t="shared" si="2"/>
        <v>8.0500000000000002E-2</v>
      </c>
      <c r="V52" s="194">
        <v>2</v>
      </c>
      <c r="W52" s="177">
        <f t="shared" si="3"/>
        <v>0.15384615384615385</v>
      </c>
      <c r="X52" s="176">
        <f t="shared" si="4"/>
        <v>0.1045</v>
      </c>
      <c r="Y52" s="239">
        <f t="shared" si="5"/>
        <v>0.185</v>
      </c>
    </row>
    <row r="53" spans="1:25">
      <c r="A53" s="205">
        <v>52</v>
      </c>
      <c r="B53" s="178" t="s">
        <v>1171</v>
      </c>
      <c r="C53" s="178" t="s">
        <v>206</v>
      </c>
      <c r="D53" s="178" t="s">
        <v>413</v>
      </c>
      <c r="F53" s="178" t="s">
        <v>133</v>
      </c>
      <c r="J53" s="177">
        <v>0</v>
      </c>
      <c r="K53" s="176">
        <f t="shared" si="0"/>
        <v>0</v>
      </c>
      <c r="L53" s="177">
        <v>0</v>
      </c>
      <c r="M53" s="176">
        <f t="shared" si="1"/>
        <v>0</v>
      </c>
      <c r="P53" s="194" t="s">
        <v>68</v>
      </c>
      <c r="Q53" s="194">
        <v>5</v>
      </c>
      <c r="R53" s="194">
        <v>1</v>
      </c>
      <c r="S53" s="194">
        <v>762</v>
      </c>
      <c r="T53" s="177">
        <f t="shared" si="8"/>
        <v>152.4</v>
      </c>
      <c r="U53" s="176">
        <f t="shared" si="2"/>
        <v>0.20150000000000001</v>
      </c>
      <c r="V53" s="194">
        <v>1</v>
      </c>
      <c r="W53" s="177">
        <f t="shared" si="3"/>
        <v>0.2</v>
      </c>
      <c r="X53" s="176">
        <f t="shared" si="4"/>
        <v>0.1125</v>
      </c>
      <c r="Y53" s="239">
        <f t="shared" si="5"/>
        <v>0.314</v>
      </c>
    </row>
    <row r="54" spans="1:25">
      <c r="A54" s="205">
        <v>53</v>
      </c>
      <c r="B54" s="178" t="s">
        <v>1171</v>
      </c>
      <c r="C54" s="178" t="s">
        <v>209</v>
      </c>
      <c r="D54" s="178" t="s">
        <v>413</v>
      </c>
      <c r="F54" s="178" t="s">
        <v>68</v>
      </c>
      <c r="G54" s="178" t="s">
        <v>1684</v>
      </c>
      <c r="H54" s="194" t="s">
        <v>1719</v>
      </c>
      <c r="I54" s="238">
        <v>41127</v>
      </c>
      <c r="J54" s="177">
        <v>12911</v>
      </c>
      <c r="K54" s="176">
        <f t="shared" si="0"/>
        <v>0.435</v>
      </c>
      <c r="L54" s="177">
        <v>27</v>
      </c>
      <c r="M54" s="176">
        <f t="shared" si="1"/>
        <v>0.45950000000000002</v>
      </c>
      <c r="N54" s="238">
        <v>40904</v>
      </c>
      <c r="O54" s="194" t="s">
        <v>1720</v>
      </c>
      <c r="P54" s="194" t="s">
        <v>68</v>
      </c>
      <c r="Q54" s="194">
        <v>11</v>
      </c>
      <c r="R54" s="194">
        <v>0</v>
      </c>
      <c r="S54" s="194">
        <v>1937</v>
      </c>
      <c r="T54" s="177">
        <f t="shared" si="8"/>
        <v>176.09090909090909</v>
      </c>
      <c r="U54" s="176">
        <f t="shared" si="2"/>
        <v>0.25</v>
      </c>
      <c r="V54" s="194">
        <v>13</v>
      </c>
      <c r="W54" s="177">
        <f t="shared" si="3"/>
        <v>1.1818181818181819</v>
      </c>
      <c r="X54" s="176">
        <f t="shared" si="4"/>
        <v>0.26600000000000001</v>
      </c>
      <c r="Y54" s="239">
        <f t="shared" si="5"/>
        <v>1.4105000000000001</v>
      </c>
    </row>
    <row r="55" spans="1:25">
      <c r="A55" s="205">
        <v>54</v>
      </c>
      <c r="B55" s="178" t="s">
        <v>1171</v>
      </c>
      <c r="C55" s="178" t="s">
        <v>213</v>
      </c>
      <c r="D55" s="178" t="s">
        <v>413</v>
      </c>
      <c r="F55" s="178" t="s">
        <v>133</v>
      </c>
      <c r="J55" s="177">
        <v>0</v>
      </c>
      <c r="K55" s="176">
        <f t="shared" si="0"/>
        <v>0</v>
      </c>
      <c r="L55" s="177">
        <v>0</v>
      </c>
      <c r="M55" s="176">
        <f t="shared" si="1"/>
        <v>0</v>
      </c>
      <c r="P55" s="194" t="s">
        <v>68</v>
      </c>
      <c r="Q55" s="194">
        <v>5</v>
      </c>
      <c r="R55" s="194">
        <v>0</v>
      </c>
      <c r="S55" s="194">
        <v>1179</v>
      </c>
      <c r="T55" s="177">
        <f t="shared" si="8"/>
        <v>235.8</v>
      </c>
      <c r="U55" s="176">
        <f t="shared" si="2"/>
        <v>0.30599999999999999</v>
      </c>
      <c r="V55" s="194">
        <v>5</v>
      </c>
      <c r="W55" s="177">
        <f t="shared" si="3"/>
        <v>1</v>
      </c>
      <c r="X55" s="176">
        <f t="shared" si="4"/>
        <v>0.2175</v>
      </c>
      <c r="Y55" s="239">
        <f t="shared" si="5"/>
        <v>0.52349999999999997</v>
      </c>
    </row>
    <row r="56" spans="1:25">
      <c r="A56" s="205">
        <v>55</v>
      </c>
      <c r="B56" s="178" t="s">
        <v>1171</v>
      </c>
      <c r="C56" s="178" t="s">
        <v>215</v>
      </c>
      <c r="D56" s="178" t="s">
        <v>413</v>
      </c>
      <c r="F56" s="178" t="s">
        <v>133</v>
      </c>
      <c r="G56" s="178"/>
      <c r="I56" s="238"/>
      <c r="J56" s="177">
        <v>0</v>
      </c>
      <c r="K56" s="176">
        <f t="shared" si="0"/>
        <v>0</v>
      </c>
      <c r="L56" s="177">
        <v>0</v>
      </c>
      <c r="M56" s="176">
        <f t="shared" si="1"/>
        <v>0</v>
      </c>
      <c r="P56" s="194" t="s">
        <v>68</v>
      </c>
      <c r="Q56" s="194">
        <v>3</v>
      </c>
      <c r="R56" s="194">
        <v>0</v>
      </c>
      <c r="S56" s="194">
        <v>521</v>
      </c>
      <c r="T56" s="177">
        <f t="shared" si="8"/>
        <v>173.66666666666666</v>
      </c>
      <c r="U56" s="176">
        <f t="shared" si="2"/>
        <v>0.24149999999999999</v>
      </c>
      <c r="V56" s="194">
        <v>2</v>
      </c>
      <c r="W56" s="177">
        <f t="shared" si="3"/>
        <v>0.66666666666666663</v>
      </c>
      <c r="X56" s="176">
        <f t="shared" si="4"/>
        <v>0.161</v>
      </c>
      <c r="Y56" s="239">
        <f t="shared" si="5"/>
        <v>0.40249999999999997</v>
      </c>
    </row>
    <row r="57" spans="1:25">
      <c r="A57" s="205">
        <v>56</v>
      </c>
      <c r="B57" s="178" t="s">
        <v>1171</v>
      </c>
      <c r="C57" s="178" t="s">
        <v>218</v>
      </c>
      <c r="D57" s="178" t="s">
        <v>413</v>
      </c>
      <c r="F57" s="178" t="s">
        <v>68</v>
      </c>
      <c r="G57" s="178" t="s">
        <v>1684</v>
      </c>
      <c r="H57" s="194" t="s">
        <v>1721</v>
      </c>
      <c r="I57" s="238">
        <v>41127</v>
      </c>
      <c r="J57" s="177">
        <v>1525</v>
      </c>
      <c r="K57" s="176">
        <f t="shared" si="0"/>
        <v>0.40300000000000002</v>
      </c>
      <c r="L57" s="177">
        <v>0</v>
      </c>
      <c r="M57" s="176">
        <f t="shared" si="1"/>
        <v>0</v>
      </c>
      <c r="N57" s="194" t="s">
        <v>421</v>
      </c>
      <c r="O57" s="194" t="s">
        <v>684</v>
      </c>
      <c r="P57" s="194" t="s">
        <v>68</v>
      </c>
      <c r="Q57" s="194">
        <v>15</v>
      </c>
      <c r="R57" s="194">
        <v>3</v>
      </c>
      <c r="S57" s="194">
        <v>3667</v>
      </c>
      <c r="T57" s="177">
        <f t="shared" si="8"/>
        <v>244.46666666666667</v>
      </c>
      <c r="U57" s="176">
        <f t="shared" si="2"/>
        <v>0.32250000000000001</v>
      </c>
      <c r="V57" s="194">
        <v>22</v>
      </c>
      <c r="W57" s="177">
        <f t="shared" si="3"/>
        <v>1.4666666666666666</v>
      </c>
      <c r="X57" s="176">
        <f t="shared" si="4"/>
        <v>0.3145</v>
      </c>
      <c r="Y57" s="239">
        <f t="shared" si="5"/>
        <v>1.04</v>
      </c>
    </row>
    <row r="58" spans="1:25">
      <c r="A58" s="205">
        <v>57</v>
      </c>
      <c r="B58" s="178" t="s">
        <v>1171</v>
      </c>
      <c r="C58" s="178" t="s">
        <v>220</v>
      </c>
      <c r="D58" s="178" t="s">
        <v>413</v>
      </c>
      <c r="F58" s="178" t="s">
        <v>133</v>
      </c>
      <c r="J58" s="177">
        <v>0</v>
      </c>
      <c r="K58" s="176">
        <f t="shared" si="0"/>
        <v>0</v>
      </c>
      <c r="L58" s="177">
        <v>0</v>
      </c>
      <c r="M58" s="176">
        <f t="shared" si="1"/>
        <v>0</v>
      </c>
      <c r="P58" s="194" t="s">
        <v>68</v>
      </c>
      <c r="Q58" s="194">
        <v>17</v>
      </c>
      <c r="R58" s="194">
        <v>0</v>
      </c>
      <c r="S58" s="194">
        <v>3383</v>
      </c>
      <c r="T58" s="177">
        <f t="shared" si="8"/>
        <v>199</v>
      </c>
      <c r="U58" s="176">
        <f t="shared" si="2"/>
        <v>0.28199999999999997</v>
      </c>
      <c r="V58" s="194">
        <v>14</v>
      </c>
      <c r="W58" s="177">
        <f t="shared" si="3"/>
        <v>0.82352941176470584</v>
      </c>
      <c r="X58" s="176">
        <f t="shared" si="4"/>
        <v>0.20949999999999999</v>
      </c>
      <c r="Y58" s="239">
        <f t="shared" si="5"/>
        <v>0.49149999999999994</v>
      </c>
    </row>
    <row r="59" spans="1:25">
      <c r="A59" s="205">
        <v>58</v>
      </c>
      <c r="B59" s="178" t="s">
        <v>1171</v>
      </c>
      <c r="C59" s="178" t="s">
        <v>222</v>
      </c>
      <c r="D59" s="178" t="s">
        <v>413</v>
      </c>
      <c r="F59" s="178" t="s">
        <v>133</v>
      </c>
      <c r="J59" s="177">
        <v>0</v>
      </c>
      <c r="K59" s="176">
        <f t="shared" si="0"/>
        <v>0</v>
      </c>
      <c r="L59" s="177">
        <v>0</v>
      </c>
      <c r="M59" s="176">
        <f t="shared" si="1"/>
        <v>0</v>
      </c>
      <c r="P59" s="194" t="s">
        <v>68</v>
      </c>
      <c r="Q59" s="194">
        <v>2</v>
      </c>
      <c r="R59" s="194">
        <v>0</v>
      </c>
      <c r="S59" s="194">
        <v>614</v>
      </c>
      <c r="T59" s="177">
        <f t="shared" si="8"/>
        <v>307</v>
      </c>
      <c r="U59" s="176">
        <f t="shared" si="2"/>
        <v>0.34649999999999997</v>
      </c>
      <c r="V59" s="194">
        <v>0</v>
      </c>
      <c r="W59" s="177">
        <f t="shared" si="3"/>
        <v>0</v>
      </c>
      <c r="X59" s="176">
        <f t="shared" si="4"/>
        <v>0</v>
      </c>
      <c r="Y59" s="239">
        <f t="shared" si="5"/>
        <v>0.34649999999999997</v>
      </c>
    </row>
    <row r="60" spans="1:25">
      <c r="A60" s="205">
        <v>59</v>
      </c>
      <c r="B60" s="178" t="s">
        <v>1171</v>
      </c>
      <c r="C60" s="178" t="s">
        <v>225</v>
      </c>
      <c r="D60" s="178" t="s">
        <v>413</v>
      </c>
      <c r="F60" s="178" t="s">
        <v>133</v>
      </c>
      <c r="J60" s="177">
        <v>0</v>
      </c>
      <c r="K60" s="176">
        <f t="shared" si="0"/>
        <v>0</v>
      </c>
      <c r="L60" s="177">
        <v>0</v>
      </c>
      <c r="M60" s="176">
        <f t="shared" si="1"/>
        <v>0</v>
      </c>
      <c r="P60" s="194" t="s">
        <v>68</v>
      </c>
      <c r="Q60" s="194">
        <v>7</v>
      </c>
      <c r="R60" s="194">
        <v>0</v>
      </c>
      <c r="S60" s="194">
        <v>1055</v>
      </c>
      <c r="T60" s="177">
        <f t="shared" si="8"/>
        <v>150.71428571428572</v>
      </c>
      <c r="U60" s="176">
        <f t="shared" si="2"/>
        <v>0.19350000000000001</v>
      </c>
      <c r="V60" s="194">
        <v>4</v>
      </c>
      <c r="W60" s="177">
        <f t="shared" si="3"/>
        <v>0.5714285714285714</v>
      </c>
      <c r="X60" s="176">
        <f t="shared" si="4"/>
        <v>0.153</v>
      </c>
      <c r="Y60" s="239">
        <f t="shared" si="5"/>
        <v>0.34650000000000003</v>
      </c>
    </row>
    <row r="61" spans="1:25">
      <c r="A61" s="205">
        <v>60</v>
      </c>
      <c r="B61" s="178" t="s">
        <v>1171</v>
      </c>
      <c r="C61" s="178" t="s">
        <v>228</v>
      </c>
      <c r="D61" s="178" t="s">
        <v>413</v>
      </c>
      <c r="F61" s="178" t="s">
        <v>133</v>
      </c>
      <c r="J61" s="177">
        <v>0</v>
      </c>
      <c r="K61" s="176">
        <f t="shared" si="0"/>
        <v>0</v>
      </c>
      <c r="L61" s="177">
        <v>0</v>
      </c>
      <c r="M61" s="176">
        <f t="shared" si="1"/>
        <v>0</v>
      </c>
      <c r="P61" s="194" t="s">
        <v>68</v>
      </c>
      <c r="Q61" s="194">
        <v>1</v>
      </c>
      <c r="R61" s="194">
        <v>0</v>
      </c>
      <c r="S61" s="194">
        <v>4</v>
      </c>
      <c r="T61" s="177">
        <f t="shared" si="8"/>
        <v>4</v>
      </c>
      <c r="U61" s="176">
        <f t="shared" si="2"/>
        <v>0.04</v>
      </c>
      <c r="V61" s="194">
        <v>0</v>
      </c>
      <c r="W61" s="177">
        <f t="shared" si="3"/>
        <v>0</v>
      </c>
      <c r="X61" s="176">
        <f t="shared" si="4"/>
        <v>0</v>
      </c>
      <c r="Y61" s="239">
        <f t="shared" si="5"/>
        <v>0.04</v>
      </c>
    </row>
    <row r="62" spans="1:25">
      <c r="A62" s="205">
        <v>61</v>
      </c>
      <c r="B62" s="178" t="s">
        <v>1171</v>
      </c>
      <c r="C62" s="178" t="s">
        <v>229</v>
      </c>
      <c r="D62" s="178" t="s">
        <v>413</v>
      </c>
      <c r="F62" s="178" t="s">
        <v>133</v>
      </c>
      <c r="J62" s="177">
        <v>0</v>
      </c>
      <c r="K62" s="176">
        <f t="shared" si="0"/>
        <v>0</v>
      </c>
      <c r="L62" s="177">
        <v>0</v>
      </c>
      <c r="M62" s="176">
        <f t="shared" si="1"/>
        <v>0</v>
      </c>
      <c r="P62" s="194" t="s">
        <v>68</v>
      </c>
      <c r="Q62" s="194">
        <v>3</v>
      </c>
      <c r="R62" s="194">
        <v>0</v>
      </c>
      <c r="S62" s="194">
        <v>1493</v>
      </c>
      <c r="T62" s="177">
        <f t="shared" si="8"/>
        <v>497.66666666666669</v>
      </c>
      <c r="U62" s="176">
        <f t="shared" si="2"/>
        <v>0.41899999999999998</v>
      </c>
      <c r="V62" s="194">
        <v>6</v>
      </c>
      <c r="W62" s="177">
        <f t="shared" si="3"/>
        <v>2</v>
      </c>
      <c r="X62" s="176">
        <f t="shared" si="4"/>
        <v>0.33850000000000002</v>
      </c>
      <c r="Y62" s="239">
        <f t="shared" si="5"/>
        <v>0.75750000000000006</v>
      </c>
    </row>
    <row r="63" spans="1:25">
      <c r="A63" s="205">
        <v>62</v>
      </c>
      <c r="B63" s="178" t="s">
        <v>1171</v>
      </c>
      <c r="C63" s="178" t="s">
        <v>231</v>
      </c>
      <c r="D63" s="178" t="s">
        <v>413</v>
      </c>
      <c r="F63" s="178" t="s">
        <v>133</v>
      </c>
      <c r="J63" s="177">
        <v>0</v>
      </c>
      <c r="K63" s="176">
        <f t="shared" si="0"/>
        <v>0</v>
      </c>
      <c r="L63" s="177">
        <v>0</v>
      </c>
      <c r="M63" s="176">
        <f t="shared" si="1"/>
        <v>0</v>
      </c>
      <c r="P63" s="194" t="s">
        <v>68</v>
      </c>
      <c r="Q63" s="194">
        <v>4</v>
      </c>
      <c r="R63" s="194">
        <v>0</v>
      </c>
      <c r="S63" s="194">
        <v>727</v>
      </c>
      <c r="T63" s="177">
        <f t="shared" si="8"/>
        <v>181.75</v>
      </c>
      <c r="U63" s="176">
        <f t="shared" si="2"/>
        <v>0.25800000000000001</v>
      </c>
      <c r="V63" s="194">
        <v>1</v>
      </c>
      <c r="W63" s="177">
        <f t="shared" si="3"/>
        <v>0.25</v>
      </c>
      <c r="X63" s="176">
        <f t="shared" si="4"/>
        <v>0.1205</v>
      </c>
      <c r="Y63" s="239">
        <f t="shared" si="5"/>
        <v>0.3785</v>
      </c>
    </row>
    <row r="64" spans="1:25">
      <c r="A64" s="205">
        <v>63</v>
      </c>
      <c r="B64" s="178" t="s">
        <v>1171</v>
      </c>
      <c r="C64" s="178" t="s">
        <v>234</v>
      </c>
      <c r="D64" s="178" t="s">
        <v>413</v>
      </c>
      <c r="F64" s="178" t="s">
        <v>133</v>
      </c>
      <c r="J64" s="177">
        <v>0</v>
      </c>
      <c r="K64" s="176">
        <f t="shared" si="0"/>
        <v>0</v>
      </c>
      <c r="L64" s="177">
        <v>0</v>
      </c>
      <c r="M64" s="176">
        <f t="shared" si="1"/>
        <v>0</v>
      </c>
      <c r="P64" s="194" t="s">
        <v>68</v>
      </c>
      <c r="Q64" s="194">
        <v>5</v>
      </c>
      <c r="R64" s="194">
        <v>0</v>
      </c>
      <c r="S64" s="194">
        <v>706</v>
      </c>
      <c r="T64" s="177">
        <f t="shared" si="8"/>
        <v>141.19999999999999</v>
      </c>
      <c r="U64" s="176">
        <f t="shared" si="2"/>
        <v>0.185</v>
      </c>
      <c r="V64" s="194">
        <v>0</v>
      </c>
      <c r="W64" s="177">
        <f t="shared" si="3"/>
        <v>0</v>
      </c>
      <c r="X64" s="176">
        <f t="shared" si="4"/>
        <v>0</v>
      </c>
      <c r="Y64" s="239">
        <f t="shared" si="5"/>
        <v>0.185</v>
      </c>
    </row>
    <row r="65" spans="6:23" s="180" customFormat="1">
      <c r="F65" s="182">
        <f>COUNTIF(F2:F64,"Y")/63</f>
        <v>0.34920634920634919</v>
      </c>
      <c r="J65" s="241">
        <f>AVERAGE(J2:J64)</f>
        <v>12788.396825396825</v>
      </c>
      <c r="T65" s="242">
        <f>AVERAGE(T2:T64)</f>
        <v>269.20488348732403</v>
      </c>
      <c r="W65" s="242">
        <f>AVERAGE(W2:W64)</f>
        <v>3.8481289789938247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4"/>
  <sheetViews>
    <sheetView topLeftCell="E1" workbookViewId="0">
      <selection activeCell="B33" sqref="B33"/>
    </sheetView>
  </sheetViews>
  <sheetFormatPr baseColWidth="10" defaultColWidth="21.83203125" defaultRowHeight="14" x14ac:dyDescent="0"/>
  <cols>
    <col min="1" max="16384" width="21.83203125" style="200"/>
  </cols>
  <sheetData>
    <row r="1" spans="1:21" ht="42">
      <c r="A1" s="195" t="s">
        <v>1100</v>
      </c>
      <c r="B1" s="195" t="s">
        <v>1660</v>
      </c>
      <c r="C1" s="195" t="s">
        <v>1405</v>
      </c>
      <c r="D1" s="195" t="s">
        <v>2081</v>
      </c>
      <c r="E1" s="195" t="s">
        <v>2082</v>
      </c>
      <c r="F1" s="195" t="s">
        <v>2083</v>
      </c>
      <c r="G1" s="195" t="s">
        <v>2084</v>
      </c>
      <c r="H1" s="304" t="s">
        <v>2085</v>
      </c>
      <c r="I1" s="195" t="s">
        <v>2086</v>
      </c>
      <c r="J1" s="195" t="s">
        <v>2087</v>
      </c>
      <c r="K1" s="195" t="s">
        <v>2088</v>
      </c>
      <c r="L1" s="304" t="s">
        <v>2085</v>
      </c>
      <c r="M1" s="195" t="s">
        <v>2089</v>
      </c>
      <c r="N1" s="195" t="s">
        <v>2090</v>
      </c>
      <c r="O1" s="195" t="s">
        <v>2091</v>
      </c>
      <c r="P1" s="304" t="s">
        <v>2085</v>
      </c>
      <c r="Q1" s="195" t="s">
        <v>2092</v>
      </c>
      <c r="R1" s="195" t="s">
        <v>2093</v>
      </c>
      <c r="S1" s="195" t="s">
        <v>2094</v>
      </c>
      <c r="T1" s="304" t="s">
        <v>2085</v>
      </c>
      <c r="U1" s="305" t="s">
        <v>2095</v>
      </c>
    </row>
    <row r="2" spans="1:21">
      <c r="A2" s="302">
        <v>1</v>
      </c>
      <c r="B2" s="207" t="s">
        <v>1171</v>
      </c>
      <c r="C2" s="207" t="s">
        <v>63</v>
      </c>
      <c r="H2" s="306"/>
      <c r="L2" s="306"/>
      <c r="P2" s="306"/>
      <c r="T2" s="306"/>
      <c r="U2" s="307">
        <f>T2+P2+L2+H2</f>
        <v>0</v>
      </c>
    </row>
    <row r="3" spans="1:21" ht="56">
      <c r="A3" s="302">
        <v>2</v>
      </c>
      <c r="B3" s="207" t="s">
        <v>1171</v>
      </c>
      <c r="C3" s="207" t="s">
        <v>69</v>
      </c>
      <c r="D3" s="207" t="s">
        <v>1451</v>
      </c>
      <c r="E3" s="207" t="s">
        <v>2096</v>
      </c>
      <c r="F3" s="308">
        <v>40788</v>
      </c>
      <c r="G3" s="207" t="s">
        <v>2097</v>
      </c>
      <c r="H3" s="309" t="s">
        <v>2098</v>
      </c>
      <c r="I3" s="200" t="s">
        <v>2099</v>
      </c>
      <c r="K3" s="200" t="s">
        <v>2100</v>
      </c>
      <c r="L3" s="309" t="s">
        <v>2101</v>
      </c>
      <c r="P3" s="309"/>
      <c r="T3" s="309"/>
      <c r="U3" s="307">
        <f t="shared" ref="U3:U64" si="0">T3+P3+L3+H3</f>
        <v>1.5</v>
      </c>
    </row>
    <row r="4" spans="1:21">
      <c r="A4" s="302">
        <v>3</v>
      </c>
      <c r="B4" s="207" t="s">
        <v>1171</v>
      </c>
      <c r="C4" s="207" t="s">
        <v>72</v>
      </c>
      <c r="H4" s="306"/>
      <c r="L4" s="306"/>
      <c r="P4" s="306"/>
      <c r="T4" s="306"/>
      <c r="U4" s="307">
        <f t="shared" si="0"/>
        <v>0</v>
      </c>
    </row>
    <row r="5" spans="1:21">
      <c r="A5" s="302">
        <v>4</v>
      </c>
      <c r="B5" s="207" t="s">
        <v>1171</v>
      </c>
      <c r="C5" s="207" t="s">
        <v>78</v>
      </c>
      <c r="H5" s="306"/>
      <c r="L5" s="306"/>
      <c r="P5" s="306"/>
      <c r="T5" s="306"/>
      <c r="U5" s="307">
        <f t="shared" si="0"/>
        <v>0</v>
      </c>
    </row>
    <row r="6" spans="1:21">
      <c r="A6" s="302">
        <v>5</v>
      </c>
      <c r="B6" s="207" t="s">
        <v>1171</v>
      </c>
      <c r="C6" s="207" t="s">
        <v>82</v>
      </c>
      <c r="H6" s="306"/>
      <c r="L6" s="306"/>
      <c r="P6" s="306"/>
      <c r="T6" s="306"/>
      <c r="U6" s="307">
        <f t="shared" si="0"/>
        <v>0</v>
      </c>
    </row>
    <row r="7" spans="1:21">
      <c r="A7" s="302">
        <v>6</v>
      </c>
      <c r="B7" s="207" t="s">
        <v>1171</v>
      </c>
      <c r="C7" s="207" t="s">
        <v>87</v>
      </c>
      <c r="H7" s="306"/>
      <c r="L7" s="306"/>
      <c r="P7" s="306"/>
      <c r="T7" s="306"/>
      <c r="U7" s="307">
        <f t="shared" si="0"/>
        <v>0</v>
      </c>
    </row>
    <row r="8" spans="1:21">
      <c r="A8" s="302">
        <v>7</v>
      </c>
      <c r="B8" s="207" t="s">
        <v>1171</v>
      </c>
      <c r="C8" s="207" t="s">
        <v>90</v>
      </c>
      <c r="H8" s="306"/>
      <c r="L8" s="306"/>
      <c r="P8" s="306"/>
      <c r="T8" s="306"/>
      <c r="U8" s="307">
        <f t="shared" si="0"/>
        <v>0</v>
      </c>
    </row>
    <row r="9" spans="1:21" ht="84">
      <c r="A9" s="302">
        <v>8</v>
      </c>
      <c r="B9" s="207" t="s">
        <v>1171</v>
      </c>
      <c r="C9" s="207" t="s">
        <v>93</v>
      </c>
      <c r="D9" s="207" t="s">
        <v>1451</v>
      </c>
      <c r="E9" s="207" t="s">
        <v>2102</v>
      </c>
      <c r="F9" s="308">
        <v>41099</v>
      </c>
      <c r="G9" s="207" t="s">
        <v>2103</v>
      </c>
      <c r="H9" s="309" t="s">
        <v>2104</v>
      </c>
      <c r="I9" s="207" t="s">
        <v>2105</v>
      </c>
      <c r="J9" s="308">
        <v>41060</v>
      </c>
      <c r="K9" s="207" t="s">
        <v>2106</v>
      </c>
      <c r="L9" s="309" t="s">
        <v>2104</v>
      </c>
      <c r="P9" s="309"/>
      <c r="T9" s="309"/>
      <c r="U9" s="307">
        <f t="shared" si="0"/>
        <v>0.5</v>
      </c>
    </row>
    <row r="10" spans="1:21">
      <c r="A10" s="302">
        <v>9</v>
      </c>
      <c r="B10" s="207" t="s">
        <v>1171</v>
      </c>
      <c r="C10" s="207" t="s">
        <v>96</v>
      </c>
      <c r="H10" s="306"/>
      <c r="L10" s="306"/>
      <c r="P10" s="306"/>
      <c r="T10" s="306"/>
      <c r="U10" s="307">
        <f t="shared" si="0"/>
        <v>0</v>
      </c>
    </row>
    <row r="11" spans="1:21">
      <c r="A11" s="302">
        <v>10</v>
      </c>
      <c r="B11" s="207" t="s">
        <v>1171</v>
      </c>
      <c r="C11" s="207" t="s">
        <v>100</v>
      </c>
      <c r="H11" s="306"/>
      <c r="L11" s="306"/>
      <c r="P11" s="306"/>
      <c r="T11" s="306"/>
      <c r="U11" s="307">
        <f t="shared" si="0"/>
        <v>0</v>
      </c>
    </row>
    <row r="12" spans="1:21" ht="126">
      <c r="A12" s="302">
        <v>11</v>
      </c>
      <c r="B12" s="207" t="s">
        <v>1171</v>
      </c>
      <c r="C12" s="207" t="s">
        <v>102</v>
      </c>
      <c r="D12" s="207" t="s">
        <v>1451</v>
      </c>
      <c r="E12" s="207" t="s">
        <v>2107</v>
      </c>
      <c r="F12" s="308">
        <v>41127</v>
      </c>
      <c r="G12" s="207" t="s">
        <v>2108</v>
      </c>
      <c r="H12" s="309" t="s">
        <v>2104</v>
      </c>
      <c r="L12" s="309"/>
      <c r="P12" s="309"/>
      <c r="T12" s="309"/>
      <c r="U12" s="307">
        <f t="shared" si="0"/>
        <v>0.25</v>
      </c>
    </row>
    <row r="13" spans="1:21">
      <c r="A13" s="302">
        <v>12</v>
      </c>
      <c r="B13" s="207" t="s">
        <v>1171</v>
      </c>
      <c r="C13" s="207" t="s">
        <v>104</v>
      </c>
      <c r="H13" s="306"/>
      <c r="L13" s="306"/>
      <c r="P13" s="306"/>
      <c r="T13" s="306"/>
      <c r="U13" s="307">
        <f t="shared" si="0"/>
        <v>0</v>
      </c>
    </row>
    <row r="14" spans="1:21" ht="126">
      <c r="A14" s="302">
        <v>13</v>
      </c>
      <c r="B14" s="207" t="s">
        <v>1171</v>
      </c>
      <c r="C14" s="207" t="s">
        <v>106</v>
      </c>
      <c r="D14" s="207" t="s">
        <v>1451</v>
      </c>
      <c r="E14" s="207" t="s">
        <v>2109</v>
      </c>
      <c r="F14" s="308">
        <v>41093</v>
      </c>
      <c r="G14" s="207" t="s">
        <v>2110</v>
      </c>
      <c r="H14" s="309" t="s">
        <v>2104</v>
      </c>
      <c r="L14" s="309"/>
      <c r="P14" s="309"/>
      <c r="T14" s="309"/>
      <c r="U14" s="307">
        <f t="shared" si="0"/>
        <v>0.25</v>
      </c>
    </row>
    <row r="15" spans="1:21" ht="70">
      <c r="A15" s="302">
        <v>14</v>
      </c>
      <c r="B15" s="207" t="s">
        <v>1171</v>
      </c>
      <c r="C15" s="207" t="s">
        <v>109</v>
      </c>
      <c r="D15" s="207" t="s">
        <v>1451</v>
      </c>
      <c r="E15" s="207" t="s">
        <v>2111</v>
      </c>
      <c r="F15" s="308">
        <v>41052</v>
      </c>
      <c r="G15" s="207" t="s">
        <v>2112</v>
      </c>
      <c r="H15" s="309"/>
      <c r="I15" s="207" t="s">
        <v>2113</v>
      </c>
      <c r="J15" s="308">
        <v>41093</v>
      </c>
      <c r="K15" s="207" t="s">
        <v>2114</v>
      </c>
      <c r="L15" s="309" t="s">
        <v>2104</v>
      </c>
      <c r="P15" s="309"/>
      <c r="T15" s="309"/>
      <c r="U15" s="307">
        <f t="shared" si="0"/>
        <v>0.25</v>
      </c>
    </row>
    <row r="16" spans="1:21" ht="98">
      <c r="A16" s="302">
        <v>15</v>
      </c>
      <c r="B16" s="207" t="s">
        <v>1171</v>
      </c>
      <c r="C16" s="207" t="s">
        <v>111</v>
      </c>
      <c r="D16" s="207" t="s">
        <v>1451</v>
      </c>
      <c r="E16" s="207" t="s">
        <v>2115</v>
      </c>
      <c r="F16" s="308">
        <v>40975</v>
      </c>
      <c r="G16" s="207" t="s">
        <v>2116</v>
      </c>
      <c r="H16" s="309" t="s">
        <v>2098</v>
      </c>
      <c r="L16" s="309"/>
      <c r="P16" s="309"/>
      <c r="T16" s="309"/>
      <c r="U16" s="307">
        <f t="shared" si="0"/>
        <v>0.5</v>
      </c>
    </row>
    <row r="17" spans="1:21" ht="70">
      <c r="A17" s="302">
        <v>16</v>
      </c>
      <c r="B17" s="207" t="s">
        <v>1171</v>
      </c>
      <c r="C17" s="207" t="s">
        <v>114</v>
      </c>
      <c r="E17" s="207" t="s">
        <v>2117</v>
      </c>
      <c r="F17" s="308">
        <v>40974</v>
      </c>
      <c r="G17" s="207" t="s">
        <v>2118</v>
      </c>
      <c r="H17" s="306">
        <v>0.25</v>
      </c>
      <c r="L17" s="306"/>
      <c r="P17" s="306"/>
      <c r="T17" s="306"/>
      <c r="U17" s="307">
        <f t="shared" si="0"/>
        <v>0.25</v>
      </c>
    </row>
    <row r="18" spans="1:21">
      <c r="A18" s="302">
        <v>17</v>
      </c>
      <c r="B18" s="207" t="s">
        <v>1171</v>
      </c>
      <c r="C18" s="207" t="s">
        <v>117</v>
      </c>
      <c r="H18" s="306"/>
      <c r="L18" s="306"/>
      <c r="P18" s="306"/>
      <c r="T18" s="306"/>
      <c r="U18" s="307">
        <f t="shared" si="0"/>
        <v>0</v>
      </c>
    </row>
    <row r="19" spans="1:21" ht="42">
      <c r="A19" s="302">
        <v>18</v>
      </c>
      <c r="B19" s="207" t="s">
        <v>1171</v>
      </c>
      <c r="C19" s="207" t="s">
        <v>120</v>
      </c>
      <c r="E19" s="200" t="s">
        <v>2119</v>
      </c>
      <c r="G19" s="200" t="s">
        <v>2100</v>
      </c>
      <c r="H19" s="306">
        <v>2</v>
      </c>
      <c r="L19" s="306"/>
      <c r="P19" s="306"/>
      <c r="T19" s="306"/>
      <c r="U19" s="307">
        <f t="shared" si="0"/>
        <v>2</v>
      </c>
    </row>
    <row r="20" spans="1:21" ht="56">
      <c r="A20" s="302">
        <v>19</v>
      </c>
      <c r="B20" s="207" t="s">
        <v>1171</v>
      </c>
      <c r="C20" s="207" t="s">
        <v>123</v>
      </c>
      <c r="D20" s="207" t="s">
        <v>1451</v>
      </c>
      <c r="E20" s="207" t="s">
        <v>2120</v>
      </c>
      <c r="F20" s="308">
        <v>41113</v>
      </c>
      <c r="G20" s="207" t="s">
        <v>2121</v>
      </c>
      <c r="H20" s="309" t="s">
        <v>2098</v>
      </c>
      <c r="I20" s="200" t="s">
        <v>2122</v>
      </c>
      <c r="K20" s="200" t="s">
        <v>2100</v>
      </c>
      <c r="L20" s="309" t="s">
        <v>2098</v>
      </c>
      <c r="P20" s="309"/>
      <c r="T20" s="309"/>
      <c r="U20" s="307">
        <f t="shared" si="0"/>
        <v>1</v>
      </c>
    </row>
    <row r="21" spans="1:21">
      <c r="A21" s="302">
        <v>20</v>
      </c>
      <c r="B21" s="207" t="s">
        <v>1171</v>
      </c>
      <c r="C21" s="207" t="s">
        <v>125</v>
      </c>
      <c r="H21" s="306"/>
      <c r="L21" s="306"/>
      <c r="P21" s="306"/>
      <c r="T21" s="306"/>
      <c r="U21" s="307">
        <f t="shared" si="0"/>
        <v>0</v>
      </c>
    </row>
    <row r="22" spans="1:21" ht="112">
      <c r="A22" s="302">
        <v>21</v>
      </c>
      <c r="B22" s="207" t="s">
        <v>1171</v>
      </c>
      <c r="C22" s="207" t="s">
        <v>127</v>
      </c>
      <c r="D22" s="207" t="s">
        <v>1451</v>
      </c>
      <c r="E22" s="207" t="s">
        <v>894</v>
      </c>
      <c r="F22" s="308">
        <v>40982</v>
      </c>
      <c r="G22" s="207" t="s">
        <v>2123</v>
      </c>
      <c r="H22" s="309" t="s">
        <v>2098</v>
      </c>
      <c r="I22" s="207" t="s">
        <v>2124</v>
      </c>
      <c r="J22" s="308">
        <v>40912</v>
      </c>
      <c r="K22" s="207" t="s">
        <v>2125</v>
      </c>
      <c r="L22" s="309" t="s">
        <v>2104</v>
      </c>
      <c r="M22" s="207" t="s">
        <v>2126</v>
      </c>
      <c r="N22" s="308">
        <v>41080</v>
      </c>
      <c r="O22" s="207" t="s">
        <v>2127</v>
      </c>
      <c r="P22" s="309" t="s">
        <v>2104</v>
      </c>
      <c r="T22" s="309"/>
      <c r="U22" s="307">
        <f t="shared" si="0"/>
        <v>1</v>
      </c>
    </row>
    <row r="23" spans="1:21">
      <c r="A23" s="302">
        <v>22</v>
      </c>
      <c r="B23" s="207" t="s">
        <v>1171</v>
      </c>
      <c r="C23" s="207" t="s">
        <v>129</v>
      </c>
      <c r="H23" s="306"/>
      <c r="L23" s="306"/>
      <c r="P23" s="306"/>
      <c r="T23" s="306"/>
      <c r="U23" s="307">
        <f t="shared" si="0"/>
        <v>0</v>
      </c>
    </row>
    <row r="24" spans="1:21" ht="70">
      <c r="A24" s="302">
        <v>23</v>
      </c>
      <c r="B24" s="207" t="s">
        <v>1171</v>
      </c>
      <c r="C24" s="207" t="s">
        <v>134</v>
      </c>
      <c r="D24" s="207" t="s">
        <v>1451</v>
      </c>
      <c r="E24" s="207" t="s">
        <v>2128</v>
      </c>
      <c r="F24" s="308">
        <v>41010</v>
      </c>
      <c r="G24" s="207" t="s">
        <v>2129</v>
      </c>
      <c r="H24" s="309" t="s">
        <v>2104</v>
      </c>
      <c r="L24" s="309"/>
      <c r="P24" s="309"/>
      <c r="T24" s="309"/>
      <c r="U24" s="307">
        <f t="shared" si="0"/>
        <v>0.25</v>
      </c>
    </row>
    <row r="25" spans="1:21" ht="98">
      <c r="A25" s="302">
        <v>24</v>
      </c>
      <c r="B25" s="207" t="s">
        <v>1171</v>
      </c>
      <c r="C25" s="207" t="s">
        <v>136</v>
      </c>
      <c r="D25" s="207" t="s">
        <v>1451</v>
      </c>
      <c r="E25" s="207" t="s">
        <v>2130</v>
      </c>
      <c r="F25" s="308">
        <v>41122</v>
      </c>
      <c r="G25" s="207" t="s">
        <v>2131</v>
      </c>
      <c r="H25" s="309" t="s">
        <v>2104</v>
      </c>
      <c r="I25" s="207"/>
      <c r="J25" s="308"/>
      <c r="K25" s="207"/>
      <c r="L25" s="309"/>
      <c r="P25" s="309"/>
      <c r="T25" s="309"/>
      <c r="U25" s="307">
        <f t="shared" si="0"/>
        <v>0.25</v>
      </c>
    </row>
    <row r="26" spans="1:21">
      <c r="A26" s="302">
        <v>25</v>
      </c>
      <c r="B26" s="207" t="s">
        <v>1171</v>
      </c>
      <c r="C26" s="207" t="s">
        <v>139</v>
      </c>
      <c r="H26" s="306"/>
      <c r="L26" s="306"/>
      <c r="P26" s="306"/>
      <c r="T26" s="306"/>
      <c r="U26" s="307">
        <f t="shared" si="0"/>
        <v>0</v>
      </c>
    </row>
    <row r="27" spans="1:21" ht="112">
      <c r="A27" s="302">
        <v>26</v>
      </c>
      <c r="B27" s="207" t="s">
        <v>1171</v>
      </c>
      <c r="C27" s="207" t="s">
        <v>141</v>
      </c>
      <c r="D27" s="207" t="s">
        <v>1451</v>
      </c>
      <c r="E27" s="207" t="s">
        <v>2132</v>
      </c>
      <c r="F27" s="308">
        <v>41081</v>
      </c>
      <c r="G27" s="207" t="s">
        <v>2133</v>
      </c>
      <c r="H27" s="309" t="s">
        <v>2104</v>
      </c>
      <c r="I27" s="207" t="s">
        <v>2134</v>
      </c>
      <c r="J27" s="308">
        <v>41078</v>
      </c>
      <c r="K27" s="207" t="s">
        <v>2135</v>
      </c>
      <c r="L27" s="309" t="s">
        <v>2098</v>
      </c>
      <c r="M27" s="207" t="s">
        <v>2136</v>
      </c>
      <c r="N27" s="308">
        <v>41074</v>
      </c>
      <c r="O27" s="207" t="s">
        <v>2137</v>
      </c>
      <c r="P27" s="309"/>
      <c r="Q27" s="200" t="s">
        <v>2138</v>
      </c>
      <c r="R27" s="200" t="s">
        <v>2139</v>
      </c>
      <c r="S27" s="200" t="s">
        <v>2140</v>
      </c>
      <c r="T27" s="309" t="s">
        <v>2098</v>
      </c>
      <c r="U27" s="307">
        <f t="shared" si="0"/>
        <v>1.25</v>
      </c>
    </row>
    <row r="28" spans="1:21">
      <c r="A28" s="302">
        <v>27</v>
      </c>
      <c r="B28" s="207" t="s">
        <v>1171</v>
      </c>
      <c r="C28" s="207" t="s">
        <v>143</v>
      </c>
      <c r="D28" s="207" t="s">
        <v>1451</v>
      </c>
      <c r="E28" s="207" t="s">
        <v>421</v>
      </c>
      <c r="H28" s="306"/>
      <c r="L28" s="306"/>
      <c r="P28" s="306"/>
      <c r="T28" s="306"/>
      <c r="U28" s="307">
        <f t="shared" si="0"/>
        <v>0</v>
      </c>
    </row>
    <row r="29" spans="1:21" ht="154">
      <c r="A29" s="302">
        <v>28</v>
      </c>
      <c r="B29" s="207" t="s">
        <v>1171</v>
      </c>
      <c r="C29" s="207" t="s">
        <v>145</v>
      </c>
      <c r="D29" s="207" t="s">
        <v>1451</v>
      </c>
      <c r="E29" s="207" t="s">
        <v>2141</v>
      </c>
      <c r="F29" s="308">
        <v>41129</v>
      </c>
      <c r="G29" s="207" t="s">
        <v>2142</v>
      </c>
      <c r="H29" s="309" t="s">
        <v>2098</v>
      </c>
      <c r="I29" s="207" t="s">
        <v>815</v>
      </c>
      <c r="J29" s="308">
        <v>41120</v>
      </c>
      <c r="K29" s="207" t="s">
        <v>2143</v>
      </c>
      <c r="L29" s="309" t="s">
        <v>2098</v>
      </c>
      <c r="M29" s="207" t="s">
        <v>2144</v>
      </c>
      <c r="N29" s="308">
        <v>40877</v>
      </c>
      <c r="O29" s="207" t="s">
        <v>2145</v>
      </c>
      <c r="P29" s="309" t="s">
        <v>2098</v>
      </c>
      <c r="T29" s="309"/>
      <c r="U29" s="307">
        <f t="shared" si="0"/>
        <v>1.5</v>
      </c>
    </row>
    <row r="30" spans="1:21">
      <c r="A30" s="302">
        <v>29</v>
      </c>
      <c r="B30" s="207" t="s">
        <v>1171</v>
      </c>
      <c r="C30" s="207" t="s">
        <v>148</v>
      </c>
      <c r="D30" s="207" t="s">
        <v>1451</v>
      </c>
      <c r="E30" s="207" t="s">
        <v>421</v>
      </c>
      <c r="H30" s="306"/>
      <c r="L30" s="306"/>
      <c r="P30" s="306"/>
      <c r="T30" s="306"/>
      <c r="U30" s="307">
        <f t="shared" si="0"/>
        <v>0</v>
      </c>
    </row>
    <row r="31" spans="1:21">
      <c r="A31" s="302">
        <v>30</v>
      </c>
      <c r="B31" s="207" t="s">
        <v>1171</v>
      </c>
      <c r="C31" s="207" t="s">
        <v>150</v>
      </c>
      <c r="D31" s="207" t="s">
        <v>1451</v>
      </c>
      <c r="E31" s="207" t="s">
        <v>421</v>
      </c>
      <c r="H31" s="306"/>
      <c r="L31" s="306"/>
      <c r="P31" s="306"/>
      <c r="T31" s="306"/>
      <c r="U31" s="307">
        <f t="shared" si="0"/>
        <v>0</v>
      </c>
    </row>
    <row r="32" spans="1:21" ht="70">
      <c r="A32" s="302">
        <v>31</v>
      </c>
      <c r="B32" s="207" t="s">
        <v>1171</v>
      </c>
      <c r="C32" s="207" t="s">
        <v>153</v>
      </c>
      <c r="D32" s="207" t="s">
        <v>1451</v>
      </c>
      <c r="E32" s="207" t="s">
        <v>2146</v>
      </c>
      <c r="F32" s="308">
        <v>40955</v>
      </c>
      <c r="G32" s="207" t="s">
        <v>2147</v>
      </c>
      <c r="H32" s="309" t="s">
        <v>2104</v>
      </c>
      <c r="L32" s="309"/>
      <c r="P32" s="309"/>
      <c r="T32" s="309"/>
      <c r="U32" s="307">
        <f t="shared" si="0"/>
        <v>0.25</v>
      </c>
    </row>
    <row r="33" spans="1:21" ht="182">
      <c r="A33" s="302">
        <v>32</v>
      </c>
      <c r="B33" s="207" t="s">
        <v>1171</v>
      </c>
      <c r="C33" s="207" t="s">
        <v>156</v>
      </c>
      <c r="D33" s="207" t="s">
        <v>1451</v>
      </c>
      <c r="E33" s="207" t="s">
        <v>2148</v>
      </c>
      <c r="F33" s="308">
        <v>40877</v>
      </c>
      <c r="G33" s="207" t="s">
        <v>2149</v>
      </c>
      <c r="H33" s="309" t="s">
        <v>2104</v>
      </c>
      <c r="I33" s="200" t="s">
        <v>2150</v>
      </c>
      <c r="J33" s="310">
        <v>41144</v>
      </c>
      <c r="K33" s="200" t="s">
        <v>2151</v>
      </c>
      <c r="L33" s="309" t="s">
        <v>2104</v>
      </c>
      <c r="P33" s="309"/>
      <c r="T33" s="309"/>
      <c r="U33" s="307">
        <f t="shared" si="0"/>
        <v>0.5</v>
      </c>
    </row>
    <row r="34" spans="1:21">
      <c r="A34" s="302">
        <v>33</v>
      </c>
      <c r="B34" s="207" t="s">
        <v>1171</v>
      </c>
      <c r="C34" s="207" t="s">
        <v>158</v>
      </c>
      <c r="D34" s="207" t="s">
        <v>1451</v>
      </c>
      <c r="E34" s="207" t="s">
        <v>421</v>
      </c>
      <c r="H34" s="306"/>
      <c r="L34" s="306"/>
      <c r="P34" s="306"/>
      <c r="T34" s="306"/>
      <c r="U34" s="307">
        <f t="shared" si="0"/>
        <v>0</v>
      </c>
    </row>
    <row r="35" spans="1:21" ht="70">
      <c r="A35" s="302">
        <v>34</v>
      </c>
      <c r="B35" s="207" t="s">
        <v>1171</v>
      </c>
      <c r="C35" s="207" t="s">
        <v>161</v>
      </c>
      <c r="D35" s="207" t="s">
        <v>1451</v>
      </c>
      <c r="E35" s="207" t="s">
        <v>2152</v>
      </c>
      <c r="F35" s="308">
        <v>41079</v>
      </c>
      <c r="G35" s="207" t="s">
        <v>2153</v>
      </c>
      <c r="H35" s="309" t="s">
        <v>2104</v>
      </c>
      <c r="L35" s="309"/>
      <c r="P35" s="309"/>
      <c r="T35" s="309"/>
      <c r="U35" s="307">
        <f t="shared" si="0"/>
        <v>0.25</v>
      </c>
    </row>
    <row r="36" spans="1:21">
      <c r="A36" s="302">
        <v>35</v>
      </c>
      <c r="B36" s="207" t="s">
        <v>1171</v>
      </c>
      <c r="C36" s="207" t="s">
        <v>163</v>
      </c>
      <c r="D36" s="207" t="s">
        <v>1451</v>
      </c>
      <c r="E36" s="207" t="s">
        <v>421</v>
      </c>
      <c r="H36" s="306"/>
      <c r="L36" s="306"/>
      <c r="P36" s="306"/>
      <c r="T36" s="306"/>
      <c r="U36" s="307">
        <f t="shared" si="0"/>
        <v>0</v>
      </c>
    </row>
    <row r="37" spans="1:21" ht="112">
      <c r="A37" s="302">
        <v>36</v>
      </c>
      <c r="B37" s="207" t="s">
        <v>1171</v>
      </c>
      <c r="C37" s="207" t="s">
        <v>165</v>
      </c>
      <c r="D37" s="207" t="s">
        <v>1451</v>
      </c>
      <c r="E37" s="207" t="s">
        <v>2154</v>
      </c>
      <c r="F37" s="308">
        <v>41101</v>
      </c>
      <c r="G37" s="207" t="s">
        <v>2155</v>
      </c>
      <c r="H37" s="309" t="s">
        <v>2104</v>
      </c>
      <c r="I37" s="207" t="s">
        <v>2156</v>
      </c>
      <c r="J37" s="308">
        <v>41071</v>
      </c>
      <c r="K37" s="207" t="s">
        <v>2157</v>
      </c>
      <c r="L37" s="309" t="s">
        <v>2098</v>
      </c>
      <c r="P37" s="309"/>
      <c r="T37" s="309"/>
      <c r="U37" s="307">
        <f t="shared" si="0"/>
        <v>0.75</v>
      </c>
    </row>
    <row r="38" spans="1:21">
      <c r="A38" s="302">
        <v>37</v>
      </c>
      <c r="B38" s="207" t="s">
        <v>1171</v>
      </c>
      <c r="C38" s="207" t="s">
        <v>167</v>
      </c>
      <c r="D38" s="207" t="s">
        <v>1451</v>
      </c>
      <c r="E38" s="207" t="s">
        <v>421</v>
      </c>
      <c r="H38" s="306"/>
      <c r="L38" s="306"/>
      <c r="P38" s="306"/>
      <c r="T38" s="306"/>
      <c r="U38" s="307">
        <f t="shared" si="0"/>
        <v>0</v>
      </c>
    </row>
    <row r="39" spans="1:21">
      <c r="A39" s="302">
        <v>38</v>
      </c>
      <c r="B39" s="207" t="s">
        <v>1171</v>
      </c>
      <c r="C39" s="207" t="s">
        <v>169</v>
      </c>
      <c r="D39" s="207" t="s">
        <v>1451</v>
      </c>
      <c r="E39" s="207" t="s">
        <v>421</v>
      </c>
      <c r="H39" s="306"/>
      <c r="L39" s="306"/>
      <c r="P39" s="306"/>
      <c r="T39" s="306"/>
      <c r="U39" s="307">
        <f t="shared" si="0"/>
        <v>0</v>
      </c>
    </row>
    <row r="40" spans="1:21" ht="224">
      <c r="A40" s="302">
        <v>39</v>
      </c>
      <c r="B40" s="207" t="s">
        <v>1171</v>
      </c>
      <c r="C40" s="207" t="s">
        <v>171</v>
      </c>
      <c r="D40" s="207" t="s">
        <v>1451</v>
      </c>
      <c r="E40" s="311" t="s">
        <v>2158</v>
      </c>
      <c r="F40" s="200" t="s">
        <v>2159</v>
      </c>
      <c r="G40" s="311" t="s">
        <v>2160</v>
      </c>
      <c r="H40" s="306">
        <v>0.25</v>
      </c>
      <c r="L40" s="306"/>
      <c r="P40" s="306"/>
      <c r="T40" s="306"/>
      <c r="U40" s="307">
        <f t="shared" si="0"/>
        <v>0.25</v>
      </c>
    </row>
    <row r="41" spans="1:21" ht="210">
      <c r="A41" s="302">
        <v>40</v>
      </c>
      <c r="B41" s="207" t="s">
        <v>1171</v>
      </c>
      <c r="C41" s="207" t="s">
        <v>174</v>
      </c>
      <c r="D41" s="207" t="s">
        <v>1451</v>
      </c>
      <c r="E41" s="207" t="s">
        <v>2161</v>
      </c>
      <c r="F41" s="308">
        <v>41037</v>
      </c>
      <c r="G41" s="207" t="s">
        <v>2162</v>
      </c>
      <c r="H41" s="309" t="s">
        <v>2098</v>
      </c>
      <c r="I41" s="207" t="s">
        <v>2163</v>
      </c>
      <c r="J41" s="308">
        <v>41029</v>
      </c>
      <c r="K41" s="207" t="s">
        <v>2164</v>
      </c>
      <c r="L41" s="309"/>
      <c r="P41" s="309"/>
      <c r="T41" s="309"/>
      <c r="U41" s="307">
        <f t="shared" si="0"/>
        <v>0.5</v>
      </c>
    </row>
    <row r="42" spans="1:21" ht="56">
      <c r="A42" s="302">
        <v>41</v>
      </c>
      <c r="B42" s="207" t="s">
        <v>1171</v>
      </c>
      <c r="C42" s="207" t="s">
        <v>177</v>
      </c>
      <c r="D42" s="207" t="s">
        <v>1451</v>
      </c>
      <c r="E42" s="207" t="s">
        <v>2165</v>
      </c>
      <c r="G42" s="200" t="s">
        <v>2100</v>
      </c>
      <c r="H42" s="306">
        <v>0.5</v>
      </c>
      <c r="L42" s="306"/>
      <c r="P42" s="306"/>
      <c r="T42" s="306"/>
      <c r="U42" s="307">
        <f t="shared" si="0"/>
        <v>0.5</v>
      </c>
    </row>
    <row r="43" spans="1:21">
      <c r="A43" s="302">
        <v>42</v>
      </c>
      <c r="B43" s="207" t="s">
        <v>1171</v>
      </c>
      <c r="C43" s="207" t="s">
        <v>180</v>
      </c>
      <c r="D43" s="207" t="s">
        <v>1451</v>
      </c>
      <c r="E43" s="207" t="s">
        <v>421</v>
      </c>
      <c r="H43" s="306"/>
      <c r="L43" s="306"/>
      <c r="P43" s="306"/>
      <c r="T43" s="306"/>
      <c r="U43" s="307">
        <f t="shared" si="0"/>
        <v>0</v>
      </c>
    </row>
    <row r="44" spans="1:21">
      <c r="A44" s="302">
        <v>43</v>
      </c>
      <c r="B44" s="207" t="s">
        <v>1171</v>
      </c>
      <c r="C44" s="207" t="s">
        <v>182</v>
      </c>
      <c r="D44" s="207" t="s">
        <v>1451</v>
      </c>
      <c r="E44" s="207" t="s">
        <v>421</v>
      </c>
      <c r="H44" s="306"/>
      <c r="L44" s="306"/>
      <c r="P44" s="306"/>
      <c r="T44" s="306"/>
      <c r="U44" s="307">
        <f t="shared" si="0"/>
        <v>0</v>
      </c>
    </row>
    <row r="45" spans="1:21">
      <c r="A45" s="302">
        <v>44</v>
      </c>
      <c r="B45" s="207" t="s">
        <v>1171</v>
      </c>
      <c r="C45" s="207" t="s">
        <v>185</v>
      </c>
      <c r="D45" s="207" t="s">
        <v>1451</v>
      </c>
      <c r="E45" s="207" t="s">
        <v>421</v>
      </c>
      <c r="H45" s="306"/>
      <c r="L45" s="306"/>
      <c r="P45" s="306"/>
      <c r="T45" s="306"/>
      <c r="U45" s="307">
        <f t="shared" si="0"/>
        <v>0</v>
      </c>
    </row>
    <row r="46" spans="1:21" ht="238">
      <c r="A46" s="302">
        <v>45</v>
      </c>
      <c r="B46" s="207" t="s">
        <v>1171</v>
      </c>
      <c r="C46" s="207" t="s">
        <v>187</v>
      </c>
      <c r="D46" s="207" t="s">
        <v>1451</v>
      </c>
      <c r="E46" s="207" t="s">
        <v>2166</v>
      </c>
      <c r="F46" s="308">
        <v>41026</v>
      </c>
      <c r="G46" s="207" t="s">
        <v>2167</v>
      </c>
      <c r="H46" s="309" t="s">
        <v>2104</v>
      </c>
      <c r="L46" s="309"/>
      <c r="P46" s="309"/>
      <c r="T46" s="309"/>
      <c r="U46" s="307">
        <f t="shared" si="0"/>
        <v>0.25</v>
      </c>
    </row>
    <row r="47" spans="1:21" ht="409">
      <c r="A47" s="302">
        <v>46</v>
      </c>
      <c r="B47" s="207" t="s">
        <v>1171</v>
      </c>
      <c r="C47" s="207" t="s">
        <v>190</v>
      </c>
      <c r="D47" s="207" t="s">
        <v>1451</v>
      </c>
      <c r="E47" s="207" t="s">
        <v>2168</v>
      </c>
      <c r="F47" s="308">
        <v>41123</v>
      </c>
      <c r="G47" s="207" t="s">
        <v>1054</v>
      </c>
      <c r="H47" s="309" t="s">
        <v>2169</v>
      </c>
      <c r="I47" s="207" t="s">
        <v>1055</v>
      </c>
      <c r="J47" s="308">
        <v>40926</v>
      </c>
      <c r="K47" s="207" t="s">
        <v>2170</v>
      </c>
      <c r="L47" s="309" t="s">
        <v>2104</v>
      </c>
      <c r="M47" s="207" t="s">
        <v>1057</v>
      </c>
      <c r="N47" s="308">
        <v>40932</v>
      </c>
      <c r="O47" s="207" t="s">
        <v>2171</v>
      </c>
      <c r="P47" s="309" t="s">
        <v>2104</v>
      </c>
      <c r="T47" s="309"/>
      <c r="U47" s="307">
        <f t="shared" si="0"/>
        <v>1.25</v>
      </c>
    </row>
    <row r="48" spans="1:21">
      <c r="A48" s="302">
        <v>47</v>
      </c>
      <c r="B48" s="207" t="s">
        <v>1171</v>
      </c>
      <c r="C48" s="207" t="s">
        <v>193</v>
      </c>
      <c r="D48" s="207" t="s">
        <v>1451</v>
      </c>
      <c r="E48" s="207" t="s">
        <v>421</v>
      </c>
      <c r="H48" s="306"/>
      <c r="L48" s="306"/>
      <c r="P48" s="306"/>
      <c r="T48" s="306"/>
      <c r="U48" s="307">
        <f t="shared" si="0"/>
        <v>0</v>
      </c>
    </row>
    <row r="49" spans="1:21" ht="84">
      <c r="A49" s="302">
        <v>48</v>
      </c>
      <c r="B49" s="207" t="s">
        <v>1171</v>
      </c>
      <c r="C49" s="207" t="s">
        <v>196</v>
      </c>
      <c r="D49" s="207" t="s">
        <v>1451</v>
      </c>
      <c r="E49" s="207" t="s">
        <v>2168</v>
      </c>
      <c r="F49" s="308">
        <v>40812</v>
      </c>
      <c r="G49" s="207" t="s">
        <v>2172</v>
      </c>
      <c r="H49" s="309" t="s">
        <v>2104</v>
      </c>
      <c r="L49" s="309"/>
      <c r="P49" s="309"/>
      <c r="T49" s="309"/>
      <c r="U49" s="307">
        <f t="shared" si="0"/>
        <v>0.25</v>
      </c>
    </row>
    <row r="50" spans="1:21">
      <c r="A50" s="302">
        <v>49</v>
      </c>
      <c r="B50" s="207" t="s">
        <v>1171</v>
      </c>
      <c r="C50" s="207" t="s">
        <v>199</v>
      </c>
      <c r="D50" s="207" t="s">
        <v>1451</v>
      </c>
      <c r="E50" s="207" t="s">
        <v>421</v>
      </c>
      <c r="H50" s="306"/>
      <c r="L50" s="306"/>
      <c r="P50" s="306"/>
      <c r="T50" s="306"/>
      <c r="U50" s="307">
        <f t="shared" si="0"/>
        <v>0</v>
      </c>
    </row>
    <row r="51" spans="1:21" ht="294">
      <c r="A51" s="302">
        <v>50</v>
      </c>
      <c r="B51" s="207" t="s">
        <v>1171</v>
      </c>
      <c r="C51" s="207" t="s">
        <v>201</v>
      </c>
      <c r="D51" s="207" t="s">
        <v>1451</v>
      </c>
      <c r="E51" s="207" t="s">
        <v>2173</v>
      </c>
      <c r="F51" s="308">
        <v>40938</v>
      </c>
      <c r="G51" s="207" t="s">
        <v>2174</v>
      </c>
      <c r="H51" s="309" t="s">
        <v>2104</v>
      </c>
      <c r="I51" s="312" t="s">
        <v>992</v>
      </c>
      <c r="K51" s="313" t="s">
        <v>2175</v>
      </c>
      <c r="L51" s="309" t="s">
        <v>2104</v>
      </c>
      <c r="M51" s="200" t="s">
        <v>2176</v>
      </c>
      <c r="O51" s="200" t="s">
        <v>2100</v>
      </c>
      <c r="P51" s="309" t="s">
        <v>2104</v>
      </c>
      <c r="T51" s="309"/>
      <c r="U51" s="307">
        <f t="shared" si="0"/>
        <v>0.75</v>
      </c>
    </row>
    <row r="52" spans="1:21">
      <c r="A52" s="302">
        <v>51</v>
      </c>
      <c r="B52" s="207" t="s">
        <v>1171</v>
      </c>
      <c r="C52" s="207" t="s">
        <v>203</v>
      </c>
      <c r="D52" s="207" t="s">
        <v>1451</v>
      </c>
      <c r="E52" s="207" t="s">
        <v>421</v>
      </c>
      <c r="H52" s="306"/>
      <c r="L52" s="306"/>
      <c r="P52" s="306"/>
      <c r="T52" s="306"/>
      <c r="U52" s="307">
        <f t="shared" si="0"/>
        <v>0</v>
      </c>
    </row>
    <row r="53" spans="1:21">
      <c r="A53" s="302">
        <v>52</v>
      </c>
      <c r="B53" s="207" t="s">
        <v>1171</v>
      </c>
      <c r="C53" s="207" t="s">
        <v>206</v>
      </c>
      <c r="D53" s="207" t="s">
        <v>1451</v>
      </c>
      <c r="E53" s="207" t="s">
        <v>421</v>
      </c>
      <c r="H53" s="306"/>
      <c r="L53" s="306"/>
      <c r="P53" s="306"/>
      <c r="T53" s="306"/>
      <c r="U53" s="307">
        <f t="shared" si="0"/>
        <v>0</v>
      </c>
    </row>
    <row r="54" spans="1:21">
      <c r="A54" s="302">
        <v>53</v>
      </c>
      <c r="B54" s="207" t="s">
        <v>1171</v>
      </c>
      <c r="C54" s="207" t="s">
        <v>209</v>
      </c>
      <c r="D54" s="207" t="s">
        <v>1451</v>
      </c>
      <c r="E54" s="207" t="s">
        <v>421</v>
      </c>
      <c r="H54" s="306"/>
      <c r="L54" s="306"/>
      <c r="P54" s="306"/>
      <c r="T54" s="306"/>
      <c r="U54" s="307">
        <f t="shared" si="0"/>
        <v>0</v>
      </c>
    </row>
    <row r="55" spans="1:21">
      <c r="A55" s="302">
        <v>54</v>
      </c>
      <c r="B55" s="207" t="s">
        <v>1171</v>
      </c>
      <c r="C55" s="207" t="s">
        <v>213</v>
      </c>
      <c r="D55" s="207" t="s">
        <v>1451</v>
      </c>
      <c r="E55" s="207" t="s">
        <v>421</v>
      </c>
      <c r="H55" s="306"/>
      <c r="L55" s="306"/>
      <c r="P55" s="306"/>
      <c r="T55" s="306"/>
      <c r="U55" s="307">
        <f t="shared" si="0"/>
        <v>0</v>
      </c>
    </row>
    <row r="56" spans="1:21" ht="70">
      <c r="A56" s="302">
        <v>55</v>
      </c>
      <c r="B56" s="207" t="s">
        <v>1171</v>
      </c>
      <c r="C56" s="207" t="s">
        <v>215</v>
      </c>
      <c r="D56" s="207" t="s">
        <v>1451</v>
      </c>
      <c r="E56" s="207" t="s">
        <v>2177</v>
      </c>
      <c r="F56" s="308">
        <v>41123</v>
      </c>
      <c r="G56" s="207" t="s">
        <v>2178</v>
      </c>
      <c r="H56" s="309" t="s">
        <v>2104</v>
      </c>
      <c r="L56" s="309"/>
      <c r="P56" s="309"/>
      <c r="T56" s="309"/>
      <c r="U56" s="307">
        <f t="shared" si="0"/>
        <v>0.25</v>
      </c>
    </row>
    <row r="57" spans="1:21" ht="56">
      <c r="A57" s="302">
        <v>56</v>
      </c>
      <c r="B57" s="207" t="s">
        <v>1171</v>
      </c>
      <c r="C57" s="207" t="s">
        <v>218</v>
      </c>
      <c r="D57" s="207" t="s">
        <v>1451</v>
      </c>
      <c r="E57" s="207" t="s">
        <v>2179</v>
      </c>
      <c r="F57" s="308">
        <v>40764</v>
      </c>
      <c r="G57" s="207" t="s">
        <v>2180</v>
      </c>
      <c r="H57" s="309" t="s">
        <v>2098</v>
      </c>
      <c r="L57" s="309"/>
      <c r="P57" s="309"/>
      <c r="T57" s="309"/>
      <c r="U57" s="307">
        <f t="shared" si="0"/>
        <v>0.5</v>
      </c>
    </row>
    <row r="58" spans="1:21" ht="56">
      <c r="A58" s="302">
        <v>57</v>
      </c>
      <c r="B58" s="207" t="s">
        <v>1171</v>
      </c>
      <c r="C58" s="207" t="s">
        <v>220</v>
      </c>
      <c r="D58" s="207" t="s">
        <v>1451</v>
      </c>
      <c r="E58" s="207" t="s">
        <v>2181</v>
      </c>
      <c r="F58" s="308">
        <v>41023</v>
      </c>
      <c r="G58" s="207" t="s">
        <v>2182</v>
      </c>
      <c r="H58" s="309" t="s">
        <v>2104</v>
      </c>
      <c r="I58" s="207" t="s">
        <v>2183</v>
      </c>
      <c r="J58" s="308">
        <v>41080</v>
      </c>
      <c r="K58" s="207" t="s">
        <v>2184</v>
      </c>
      <c r="L58" s="309" t="s">
        <v>2104</v>
      </c>
      <c r="P58" s="309"/>
      <c r="T58" s="309"/>
      <c r="U58" s="307">
        <f t="shared" si="0"/>
        <v>0.5</v>
      </c>
    </row>
    <row r="59" spans="1:21">
      <c r="A59" s="302">
        <v>58</v>
      </c>
      <c r="B59" s="207" t="s">
        <v>1171</v>
      </c>
      <c r="C59" s="207" t="s">
        <v>222</v>
      </c>
      <c r="D59" s="207" t="s">
        <v>1451</v>
      </c>
      <c r="E59" s="207" t="s">
        <v>421</v>
      </c>
      <c r="F59" s="308"/>
      <c r="G59" s="207"/>
      <c r="H59" s="309"/>
      <c r="L59" s="309"/>
      <c r="P59" s="309"/>
      <c r="T59" s="309"/>
      <c r="U59" s="307">
        <f t="shared" si="0"/>
        <v>0</v>
      </c>
    </row>
    <row r="60" spans="1:21">
      <c r="A60" s="302">
        <v>59</v>
      </c>
      <c r="B60" s="207" t="s">
        <v>1171</v>
      </c>
      <c r="C60" s="207" t="s">
        <v>225</v>
      </c>
      <c r="D60" s="207" t="s">
        <v>1451</v>
      </c>
      <c r="E60" s="207" t="s">
        <v>421</v>
      </c>
      <c r="H60" s="306"/>
      <c r="L60" s="306"/>
      <c r="P60" s="306"/>
      <c r="T60" s="306"/>
      <c r="U60" s="307">
        <f t="shared" si="0"/>
        <v>0</v>
      </c>
    </row>
    <row r="61" spans="1:21">
      <c r="A61" s="302">
        <v>60</v>
      </c>
      <c r="B61" s="207" t="s">
        <v>1171</v>
      </c>
      <c r="C61" s="207" t="s">
        <v>228</v>
      </c>
      <c r="D61" s="207" t="s">
        <v>1451</v>
      </c>
      <c r="E61" s="207" t="s">
        <v>421</v>
      </c>
      <c r="H61" s="306"/>
      <c r="L61" s="306"/>
      <c r="P61" s="306"/>
      <c r="T61" s="306"/>
      <c r="U61" s="307">
        <f t="shared" si="0"/>
        <v>0</v>
      </c>
    </row>
    <row r="62" spans="1:21">
      <c r="A62" s="302">
        <v>61</v>
      </c>
      <c r="B62" s="207" t="s">
        <v>1171</v>
      </c>
      <c r="C62" s="207" t="s">
        <v>229</v>
      </c>
      <c r="D62" s="207" t="s">
        <v>1451</v>
      </c>
      <c r="E62" s="207" t="s">
        <v>421</v>
      </c>
      <c r="H62" s="306"/>
      <c r="L62" s="306"/>
      <c r="P62" s="306"/>
      <c r="T62" s="306"/>
      <c r="U62" s="307">
        <f t="shared" si="0"/>
        <v>0</v>
      </c>
    </row>
    <row r="63" spans="1:21">
      <c r="A63" s="302">
        <v>62</v>
      </c>
      <c r="B63" s="207" t="s">
        <v>1171</v>
      </c>
      <c r="C63" s="207" t="s">
        <v>231</v>
      </c>
      <c r="D63" s="207" t="s">
        <v>1451</v>
      </c>
      <c r="E63" s="207" t="s">
        <v>421</v>
      </c>
      <c r="H63" s="306"/>
      <c r="L63" s="306"/>
      <c r="P63" s="306"/>
      <c r="T63" s="306"/>
      <c r="U63" s="307">
        <f t="shared" si="0"/>
        <v>0</v>
      </c>
    </row>
    <row r="64" spans="1:21">
      <c r="A64" s="302">
        <v>63</v>
      </c>
      <c r="B64" s="207" t="s">
        <v>1171</v>
      </c>
      <c r="C64" s="207" t="s">
        <v>234</v>
      </c>
      <c r="D64" s="207" t="s">
        <v>1451</v>
      </c>
      <c r="E64" s="207" t="s">
        <v>421</v>
      </c>
      <c r="H64" s="306"/>
      <c r="L64" s="306"/>
      <c r="P64" s="306"/>
      <c r="T64" s="306"/>
      <c r="U64" s="307">
        <f t="shared" si="0"/>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N67"/>
  <sheetViews>
    <sheetView tabSelected="1" topLeftCell="B1" workbookViewId="0">
      <pane xSplit="6" ySplit="2" topLeftCell="CK42" activePane="bottomRight" state="frozen"/>
      <selection activeCell="B1" sqref="B1"/>
      <selection pane="topRight" activeCell="H1" sqref="H1"/>
      <selection pane="bottomLeft" activeCell="B3" sqref="B3"/>
      <selection pane="bottomRight" activeCell="B42" sqref="B42"/>
    </sheetView>
  </sheetViews>
  <sheetFormatPr baseColWidth="10" defaultColWidth="8.6640625" defaultRowHeight="12" x14ac:dyDescent="0"/>
  <cols>
    <col min="1" max="1" width="3.83203125" style="83" customWidth="1"/>
    <col min="2" max="2" width="24.83203125" style="77" customWidth="1"/>
    <col min="3" max="3" width="18.33203125" style="77" customWidth="1"/>
    <col min="4" max="6" width="16.33203125" style="77" customWidth="1"/>
    <col min="7" max="7" width="18.5" style="77" customWidth="1"/>
    <col min="8" max="13" width="9.83203125" style="52" customWidth="1"/>
    <col min="14" max="14" width="9.83203125" style="50" customWidth="1"/>
    <col min="15" max="19" width="10.83203125" style="50" customWidth="1"/>
    <col min="20" max="21" width="9.83203125" style="50" customWidth="1"/>
    <col min="22" max="24" width="10.83203125" style="50" customWidth="1"/>
    <col min="25" max="25" width="15.83203125" style="50" customWidth="1"/>
    <col min="26" max="26" width="22.6640625" style="50" customWidth="1"/>
    <col min="27" max="32" width="10.83203125" style="50" customWidth="1"/>
    <col min="33" max="33" width="22.1640625" style="50" bestFit="1" customWidth="1"/>
    <col min="34" max="42" width="10.83203125" style="50" customWidth="1"/>
    <col min="43" max="43" width="11.5" style="50" bestFit="1" customWidth="1"/>
    <col min="44" max="49" width="10.83203125" style="50" customWidth="1"/>
    <col min="50" max="50" width="10.5" style="50" customWidth="1"/>
    <col min="51" max="51" width="10.83203125" style="50" customWidth="1"/>
    <col min="52" max="52" width="18.1640625" style="50" customWidth="1"/>
    <col min="53" max="58" width="10.83203125" style="50" customWidth="1"/>
    <col min="59" max="60" width="11.5" style="50" bestFit="1" customWidth="1"/>
    <col min="61" max="63" width="10.83203125" style="50" customWidth="1"/>
    <col min="64" max="64" width="13.5" style="50" customWidth="1"/>
    <col min="65" max="66" width="10.83203125" style="50" customWidth="1"/>
    <col min="67" max="67" width="11.5" style="50" bestFit="1" customWidth="1"/>
    <col min="68" max="74" width="10.83203125" style="50" customWidth="1"/>
    <col min="75" max="75" width="15.83203125" style="90" customWidth="1"/>
    <col min="76" max="76" width="10.83203125" style="50" customWidth="1"/>
    <col min="77" max="80" width="10.83203125" style="49" customWidth="1"/>
    <col min="81" max="82" width="10.83203125" style="50" customWidth="1"/>
    <col min="83" max="84" width="10.83203125" style="49" customWidth="1"/>
    <col min="85" max="87" width="10.83203125" style="50" customWidth="1"/>
    <col min="88" max="89" width="10.83203125" style="49" customWidth="1"/>
    <col min="90" max="90" width="10.83203125" style="50" customWidth="1"/>
    <col min="91" max="91" width="10.83203125" style="49" customWidth="1"/>
    <col min="92" max="92" width="10.83203125" style="50" customWidth="1"/>
    <col min="93" max="93" width="10.83203125" style="49" customWidth="1"/>
    <col min="94" max="94" width="10.83203125" style="50" customWidth="1"/>
    <col min="95" max="95" width="10.83203125" style="49" customWidth="1"/>
    <col min="96" max="96" width="10.83203125" style="50" customWidth="1"/>
    <col min="97" max="97" width="10.83203125" style="49" customWidth="1"/>
    <col min="98" max="98" width="10.83203125" style="50" customWidth="1"/>
    <col min="99" max="99" width="10.83203125" style="49" customWidth="1"/>
    <col min="100" max="100" width="10.83203125" style="50" customWidth="1"/>
    <col min="101" max="101" width="28.5" style="50" customWidth="1"/>
    <col min="102" max="102" width="13" style="91" customWidth="1"/>
    <col min="103" max="108" width="10.83203125" style="50" customWidth="1"/>
    <col min="109" max="109" width="10.83203125" style="90" customWidth="1"/>
    <col min="110" max="110" width="10.83203125" style="50" customWidth="1"/>
    <col min="111" max="122" width="10.83203125" style="90" customWidth="1"/>
    <col min="123" max="133" width="10.83203125" style="50" customWidth="1"/>
    <col min="134" max="134" width="21.33203125" style="90" customWidth="1"/>
    <col min="135" max="137" width="10.83203125" style="50" customWidth="1"/>
    <col min="138" max="138" width="10.83203125" style="49" customWidth="1"/>
    <col min="139" max="139" width="10.83203125" style="50" customWidth="1"/>
    <col min="140" max="144" width="10.83203125" style="49" customWidth="1"/>
    <col min="145" max="145" width="10.83203125" style="50" customWidth="1"/>
    <col min="146" max="146" width="10.83203125" style="49" customWidth="1"/>
    <col min="147" max="147" width="10.83203125" style="50" customWidth="1"/>
    <col min="148" max="148" width="19.1640625" style="50" customWidth="1"/>
    <col min="149" max="155" width="10.83203125" style="50" customWidth="1"/>
    <col min="156" max="157" width="10.83203125" style="49" customWidth="1"/>
    <col min="158" max="158" width="11.6640625" style="49" customWidth="1"/>
    <col min="159" max="159" width="11.1640625" style="49" customWidth="1"/>
    <col min="160" max="167" width="10.83203125" style="49" customWidth="1"/>
    <col min="168" max="168" width="15.5" style="50" customWidth="1"/>
    <col min="169" max="169" width="10.83203125" style="50" customWidth="1"/>
    <col min="170" max="170" width="14.83203125" style="92" bestFit="1" customWidth="1"/>
    <col min="171" max="16384" width="8.6640625" style="62"/>
  </cols>
  <sheetData>
    <row r="1" spans="1:170" s="12" customFormat="1" ht="25.25" customHeight="1">
      <c r="A1" s="476" t="s">
        <v>242</v>
      </c>
      <c r="B1" s="476"/>
      <c r="C1" s="476"/>
      <c r="D1" s="476"/>
      <c r="E1" s="476"/>
      <c r="F1" s="476"/>
      <c r="G1" s="476"/>
      <c r="H1" s="476"/>
      <c r="I1" s="476"/>
      <c r="J1" s="477" t="s">
        <v>243</v>
      </c>
      <c r="K1" s="477"/>
      <c r="L1" s="477"/>
      <c r="M1" s="477"/>
      <c r="N1" s="477"/>
      <c r="O1" s="477"/>
      <c r="P1" s="477"/>
      <c r="Q1" s="477"/>
      <c r="R1" s="477"/>
      <c r="S1" s="477"/>
      <c r="T1" s="477"/>
      <c r="U1" s="477"/>
      <c r="V1" s="477"/>
      <c r="W1" s="477"/>
      <c r="X1" s="477"/>
      <c r="Y1" s="477"/>
      <c r="Z1" s="477"/>
      <c r="AA1" s="477"/>
      <c r="AB1" s="9" t="s">
        <v>244</v>
      </c>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478" t="s">
        <v>245</v>
      </c>
      <c r="BZ1" s="478"/>
      <c r="CA1" s="478"/>
      <c r="CB1" s="478"/>
      <c r="CC1" s="478"/>
      <c r="CD1" s="478"/>
      <c r="CE1" s="478"/>
      <c r="CF1" s="478"/>
      <c r="CG1" s="478"/>
      <c r="CH1" s="478"/>
      <c r="CI1" s="478"/>
      <c r="CJ1" s="478"/>
      <c r="CK1" s="478"/>
      <c r="CL1" s="478"/>
      <c r="CM1" s="478"/>
      <c r="CN1" s="478"/>
      <c r="CO1" s="478"/>
      <c r="CP1" s="478"/>
      <c r="CQ1" s="478"/>
      <c r="CR1" s="478"/>
      <c r="CS1" s="478"/>
      <c r="CT1" s="478"/>
      <c r="CU1" s="478"/>
      <c r="CV1" s="478"/>
      <c r="CW1" s="478"/>
      <c r="CX1" s="478"/>
      <c r="CY1" s="10" t="s">
        <v>246</v>
      </c>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479" t="s">
        <v>247</v>
      </c>
      <c r="EG1" s="479"/>
      <c r="EH1" s="479"/>
      <c r="EI1" s="479"/>
      <c r="EJ1" s="479"/>
      <c r="EK1" s="479"/>
      <c r="EL1" s="479"/>
      <c r="EM1" s="479"/>
      <c r="EN1" s="479"/>
      <c r="EO1" s="479"/>
      <c r="EP1" s="479"/>
      <c r="EQ1" s="479"/>
      <c r="ER1" s="479"/>
      <c r="ES1" s="479"/>
      <c r="ET1" s="480" t="s">
        <v>248</v>
      </c>
      <c r="EU1" s="480"/>
      <c r="EV1" s="480"/>
      <c r="EW1" s="480"/>
      <c r="EX1" s="480"/>
      <c r="EY1" s="480"/>
      <c r="EZ1" s="480"/>
      <c r="FA1" s="480"/>
      <c r="FB1" s="480"/>
      <c r="FC1" s="480"/>
      <c r="FD1" s="480"/>
      <c r="FE1" s="480"/>
      <c r="FF1" s="480"/>
      <c r="FG1" s="480"/>
      <c r="FH1" s="480"/>
      <c r="FI1" s="480"/>
      <c r="FJ1" s="480"/>
      <c r="FK1" s="480"/>
      <c r="FL1" s="480"/>
      <c r="FM1" s="480"/>
      <c r="FN1" s="11"/>
    </row>
    <row r="2" spans="1:170" s="12" customFormat="1" ht="116" customHeight="1">
      <c r="A2" s="13" t="s">
        <v>0</v>
      </c>
      <c r="B2" s="13" t="s">
        <v>249</v>
      </c>
      <c r="C2" s="13" t="s">
        <v>2</v>
      </c>
      <c r="D2" s="13" t="s">
        <v>250</v>
      </c>
      <c r="E2" s="13" t="s">
        <v>251</v>
      </c>
      <c r="F2" s="13" t="s">
        <v>252</v>
      </c>
      <c r="G2" s="13" t="s">
        <v>253</v>
      </c>
      <c r="H2" s="13" t="s">
        <v>254</v>
      </c>
      <c r="I2" s="13" t="s">
        <v>255</v>
      </c>
      <c r="J2" s="14" t="s">
        <v>256</v>
      </c>
      <c r="K2" s="14" t="s">
        <v>257</v>
      </c>
      <c r="L2" s="14" t="s">
        <v>258</v>
      </c>
      <c r="M2" s="15" t="s">
        <v>259</v>
      </c>
      <c r="N2" s="14" t="s">
        <v>260</v>
      </c>
      <c r="O2" s="15" t="s">
        <v>261</v>
      </c>
      <c r="P2" s="14" t="s">
        <v>262</v>
      </c>
      <c r="Q2" s="16" t="s">
        <v>263</v>
      </c>
      <c r="R2" s="14" t="s">
        <v>264</v>
      </c>
      <c r="S2" s="15" t="s">
        <v>265</v>
      </c>
      <c r="T2" s="14" t="s">
        <v>266</v>
      </c>
      <c r="U2" s="17" t="s">
        <v>267</v>
      </c>
      <c r="V2" s="14" t="s">
        <v>268</v>
      </c>
      <c r="W2" s="14" t="s">
        <v>269</v>
      </c>
      <c r="X2" s="15" t="s">
        <v>270</v>
      </c>
      <c r="Y2" s="14" t="s">
        <v>271</v>
      </c>
      <c r="Z2" s="14" t="s">
        <v>272</v>
      </c>
      <c r="AA2" s="18" t="s">
        <v>40</v>
      </c>
      <c r="AB2" s="19" t="s">
        <v>273</v>
      </c>
      <c r="AC2" s="20" t="s">
        <v>274</v>
      </c>
      <c r="AD2" s="19" t="s">
        <v>275</v>
      </c>
      <c r="AE2" s="20" t="s">
        <v>276</v>
      </c>
      <c r="AF2" s="19" t="s">
        <v>277</v>
      </c>
      <c r="AG2" s="19" t="s">
        <v>278</v>
      </c>
      <c r="AH2" s="20" t="s">
        <v>279</v>
      </c>
      <c r="AI2" s="19" t="s">
        <v>280</v>
      </c>
      <c r="AJ2" s="20" t="s">
        <v>281</v>
      </c>
      <c r="AK2" s="19" t="s">
        <v>282</v>
      </c>
      <c r="AL2" s="19" t="s">
        <v>283</v>
      </c>
      <c r="AM2" s="19" t="s">
        <v>284</v>
      </c>
      <c r="AN2" s="19" t="s">
        <v>285</v>
      </c>
      <c r="AO2" s="19" t="s">
        <v>286</v>
      </c>
      <c r="AP2" s="20" t="s">
        <v>287</v>
      </c>
      <c r="AQ2" s="19" t="s">
        <v>288</v>
      </c>
      <c r="AR2" s="19" t="s">
        <v>289</v>
      </c>
      <c r="AS2" s="20" t="s">
        <v>290</v>
      </c>
      <c r="AT2" s="19" t="s">
        <v>291</v>
      </c>
      <c r="AU2" s="19" t="s">
        <v>292</v>
      </c>
      <c r="AV2" s="20" t="s">
        <v>293</v>
      </c>
      <c r="AW2" s="19" t="s">
        <v>294</v>
      </c>
      <c r="AX2" s="19" t="s">
        <v>295</v>
      </c>
      <c r="AY2" s="20" t="s">
        <v>296</v>
      </c>
      <c r="AZ2" s="19" t="s">
        <v>297</v>
      </c>
      <c r="BA2" s="19" t="s">
        <v>298</v>
      </c>
      <c r="BB2" s="20" t="s">
        <v>299</v>
      </c>
      <c r="BC2" s="19" t="s">
        <v>300</v>
      </c>
      <c r="BD2" s="20" t="s">
        <v>301</v>
      </c>
      <c r="BE2" s="19" t="s">
        <v>302</v>
      </c>
      <c r="BF2" s="20" t="s">
        <v>303</v>
      </c>
      <c r="BG2" s="19" t="s">
        <v>304</v>
      </c>
      <c r="BH2" s="19" t="s">
        <v>305</v>
      </c>
      <c r="BI2" s="20" t="s">
        <v>306</v>
      </c>
      <c r="BJ2" s="19" t="s">
        <v>283</v>
      </c>
      <c r="BK2" s="19" t="s">
        <v>284</v>
      </c>
      <c r="BL2" s="19" t="s">
        <v>307</v>
      </c>
      <c r="BM2" s="19" t="s">
        <v>308</v>
      </c>
      <c r="BN2" s="19" t="s">
        <v>309</v>
      </c>
      <c r="BO2" s="19" t="s">
        <v>310</v>
      </c>
      <c r="BP2" s="20" t="s">
        <v>311</v>
      </c>
      <c r="BQ2" s="19" t="s">
        <v>312</v>
      </c>
      <c r="BR2" s="19" t="s">
        <v>313</v>
      </c>
      <c r="BS2" s="19" t="s">
        <v>314</v>
      </c>
      <c r="BT2" s="19" t="s">
        <v>315</v>
      </c>
      <c r="BU2" s="19" t="s">
        <v>316</v>
      </c>
      <c r="BV2" s="19" t="s">
        <v>317</v>
      </c>
      <c r="BW2" s="19" t="s">
        <v>318</v>
      </c>
      <c r="BX2" s="20" t="s">
        <v>41</v>
      </c>
      <c r="BY2" s="21" t="s">
        <v>319</v>
      </c>
      <c r="BZ2" s="22" t="s">
        <v>320</v>
      </c>
      <c r="CA2" s="21" t="s">
        <v>321</v>
      </c>
      <c r="CB2" s="22" t="s">
        <v>322</v>
      </c>
      <c r="CC2" s="21" t="s">
        <v>323</v>
      </c>
      <c r="CD2" s="22" t="s">
        <v>324</v>
      </c>
      <c r="CE2" s="21" t="s">
        <v>325</v>
      </c>
      <c r="CF2" s="21" t="s">
        <v>326</v>
      </c>
      <c r="CG2" s="22" t="s">
        <v>327</v>
      </c>
      <c r="CH2" s="21" t="s">
        <v>328</v>
      </c>
      <c r="CI2" s="22" t="s">
        <v>329</v>
      </c>
      <c r="CJ2" s="21" t="s">
        <v>330</v>
      </c>
      <c r="CK2" s="21" t="s">
        <v>331</v>
      </c>
      <c r="CL2" s="21" t="s">
        <v>332</v>
      </c>
      <c r="CM2" s="21" t="s">
        <v>333</v>
      </c>
      <c r="CN2" s="22" t="s">
        <v>334</v>
      </c>
      <c r="CO2" s="21" t="s">
        <v>335</v>
      </c>
      <c r="CP2" s="22" t="s">
        <v>336</v>
      </c>
      <c r="CQ2" s="21" t="s">
        <v>337</v>
      </c>
      <c r="CR2" s="22" t="s">
        <v>338</v>
      </c>
      <c r="CS2" s="21" t="s">
        <v>339</v>
      </c>
      <c r="CT2" s="22" t="s">
        <v>340</v>
      </c>
      <c r="CU2" s="21" t="s">
        <v>341</v>
      </c>
      <c r="CV2" s="22" t="s">
        <v>342</v>
      </c>
      <c r="CW2" s="21" t="s">
        <v>343</v>
      </c>
      <c r="CX2" s="22" t="s">
        <v>344</v>
      </c>
      <c r="CY2" s="23" t="s">
        <v>345</v>
      </c>
      <c r="CZ2" s="24" t="s">
        <v>346</v>
      </c>
      <c r="DA2" s="23" t="s">
        <v>347</v>
      </c>
      <c r="DB2" s="24" t="s">
        <v>348</v>
      </c>
      <c r="DC2" s="23" t="s">
        <v>349</v>
      </c>
      <c r="DD2" s="24" t="s">
        <v>350</v>
      </c>
      <c r="DE2" s="23" t="s">
        <v>351</v>
      </c>
      <c r="DF2" s="24" t="s">
        <v>352</v>
      </c>
      <c r="DG2" s="23" t="s">
        <v>353</v>
      </c>
      <c r="DH2" s="23" t="s">
        <v>354</v>
      </c>
      <c r="DI2" s="23" t="s">
        <v>355</v>
      </c>
      <c r="DJ2" s="23" t="s">
        <v>356</v>
      </c>
      <c r="DK2" s="23" t="s">
        <v>357</v>
      </c>
      <c r="DL2" s="23" t="s">
        <v>358</v>
      </c>
      <c r="DM2" s="23" t="s">
        <v>359</v>
      </c>
      <c r="DN2" s="23" t="s">
        <v>360</v>
      </c>
      <c r="DO2" s="23" t="s">
        <v>361</v>
      </c>
      <c r="DP2" s="23" t="s">
        <v>362</v>
      </c>
      <c r="DQ2" s="23" t="s">
        <v>363</v>
      </c>
      <c r="DR2" s="23" t="s">
        <v>364</v>
      </c>
      <c r="DS2" s="24" t="s">
        <v>365</v>
      </c>
      <c r="DT2" s="23" t="s">
        <v>366</v>
      </c>
      <c r="DU2" s="24" t="s">
        <v>367</v>
      </c>
      <c r="DV2" s="23" t="s">
        <v>368</v>
      </c>
      <c r="DW2" s="24" t="s">
        <v>369</v>
      </c>
      <c r="DX2" s="23" t="s">
        <v>370</v>
      </c>
      <c r="DY2" s="24" t="s">
        <v>371</v>
      </c>
      <c r="DZ2" s="23" t="s">
        <v>372</v>
      </c>
      <c r="EA2" s="24" t="s">
        <v>373</v>
      </c>
      <c r="EB2" s="23" t="s">
        <v>374</v>
      </c>
      <c r="EC2" s="24" t="s">
        <v>375</v>
      </c>
      <c r="ED2" s="23" t="s">
        <v>376</v>
      </c>
      <c r="EE2" s="24" t="s">
        <v>377</v>
      </c>
      <c r="EF2" s="25" t="s">
        <v>378</v>
      </c>
      <c r="EG2" s="26" t="s">
        <v>379</v>
      </c>
      <c r="EH2" s="25" t="s">
        <v>380</v>
      </c>
      <c r="EI2" s="26" t="s">
        <v>381</v>
      </c>
      <c r="EJ2" s="25" t="s">
        <v>382</v>
      </c>
      <c r="EK2" s="26" t="s">
        <v>383</v>
      </c>
      <c r="EL2" s="25" t="s">
        <v>384</v>
      </c>
      <c r="EM2" s="26" t="s">
        <v>385</v>
      </c>
      <c r="EN2" s="25" t="s">
        <v>386</v>
      </c>
      <c r="EO2" s="26" t="s">
        <v>387</v>
      </c>
      <c r="EP2" s="25" t="s">
        <v>388</v>
      </c>
      <c r="EQ2" s="26" t="s">
        <v>389</v>
      </c>
      <c r="ER2" s="25" t="s">
        <v>390</v>
      </c>
      <c r="ES2" s="26" t="s">
        <v>391</v>
      </c>
      <c r="ET2" s="27" t="s">
        <v>392</v>
      </c>
      <c r="EU2" s="28" t="s">
        <v>393</v>
      </c>
      <c r="EV2" s="27" t="s">
        <v>394</v>
      </c>
      <c r="EW2" s="28" t="s">
        <v>395</v>
      </c>
      <c r="EX2" s="27" t="s">
        <v>396</v>
      </c>
      <c r="EY2" s="28" t="s">
        <v>397</v>
      </c>
      <c r="EZ2" s="27" t="s">
        <v>398</v>
      </c>
      <c r="FA2" s="28" t="s">
        <v>399</v>
      </c>
      <c r="FB2" s="27" t="s">
        <v>400</v>
      </c>
      <c r="FC2" s="28" t="s">
        <v>401</v>
      </c>
      <c r="FD2" s="27" t="s">
        <v>402</v>
      </c>
      <c r="FE2" s="28" t="s">
        <v>403</v>
      </c>
      <c r="FF2" s="27" t="s">
        <v>404</v>
      </c>
      <c r="FG2" s="28" t="s">
        <v>405</v>
      </c>
      <c r="FH2" s="27" t="s">
        <v>406</v>
      </c>
      <c r="FI2" s="28" t="s">
        <v>407</v>
      </c>
      <c r="FJ2" s="27" t="s">
        <v>408</v>
      </c>
      <c r="FK2" s="28" t="s">
        <v>409</v>
      </c>
      <c r="FL2" s="27" t="s">
        <v>343</v>
      </c>
      <c r="FM2" s="29" t="s">
        <v>410</v>
      </c>
      <c r="FN2" s="30" t="s">
        <v>411</v>
      </c>
    </row>
    <row r="3" spans="1:170" ht="49">
      <c r="A3" s="31">
        <v>1</v>
      </c>
      <c r="B3" s="32" t="s">
        <v>63</v>
      </c>
      <c r="C3" s="33" t="str">
        <f>VLOOKUP(B3,[1]Sheet1!$A:$C,2,FALSE)</f>
        <v>Gucci Group (PPR)</v>
      </c>
      <c r="D3" s="34" t="s">
        <v>412</v>
      </c>
      <c r="E3" s="35" t="str">
        <f>VLOOKUP(B3,[1]Sheet1!$A:$C,3,FALSE)</f>
        <v>United Kingdom</v>
      </c>
      <c r="F3" s="34" t="s">
        <v>413</v>
      </c>
      <c r="G3" s="32" t="s">
        <v>66</v>
      </c>
      <c r="H3" s="36" t="s">
        <v>68</v>
      </c>
      <c r="I3" s="36" t="s">
        <v>414</v>
      </c>
      <c r="J3" s="36" t="s">
        <v>414</v>
      </c>
      <c r="K3" s="36" t="s">
        <v>415</v>
      </c>
      <c r="L3" s="36" t="s">
        <v>68</v>
      </c>
      <c r="M3" s="37">
        <f>IF(L3="Y",0.75,IF(L3="N",0,"CHECK"))</f>
        <v>0.75</v>
      </c>
      <c r="N3" s="36">
        <v>1.149</v>
      </c>
      <c r="O3" s="38">
        <f>2-PERCENTRANK($N$3:$N$66,N3)*2</f>
        <v>1.748</v>
      </c>
      <c r="P3" s="36" t="s">
        <v>416</v>
      </c>
      <c r="Q3" s="39">
        <v>0.5</v>
      </c>
      <c r="R3" s="36" t="s">
        <v>133</v>
      </c>
      <c r="S3" s="37">
        <f>IF(R3="Y",0.5,IF(R3="N",0,"CHECK"))</f>
        <v>0</v>
      </c>
      <c r="T3" s="36" t="s">
        <v>133</v>
      </c>
      <c r="U3" s="37">
        <f>IF(T3="N",0.5,0)</f>
        <v>0.5</v>
      </c>
      <c r="V3" s="36" t="s">
        <v>68</v>
      </c>
      <c r="W3" s="36" t="s">
        <v>133</v>
      </c>
      <c r="X3" s="37">
        <f>IF(W3="Y",0.25,IF(W3="N",0,0))</f>
        <v>0</v>
      </c>
      <c r="Y3" s="36" t="s">
        <v>414</v>
      </c>
      <c r="Z3" s="40" t="s">
        <v>417</v>
      </c>
      <c r="AA3" s="41">
        <f>SUM(X3,U3,S3,Q3,O3,M3)</f>
        <v>3.4980000000000002</v>
      </c>
      <c r="AB3" s="36">
        <v>0</v>
      </c>
      <c r="AC3" s="42">
        <f t="shared" ref="AC3:AC66" si="0">IF(ISBLANK(AB3),"INPUT",1-PERCENTRANK($AB$3:$AB$65,AB3))*0.5</f>
        <v>0.5</v>
      </c>
      <c r="AD3" s="36" t="s">
        <v>133</v>
      </c>
      <c r="AE3" s="42">
        <f>IF(AD3="N",0.25,0)</f>
        <v>0.25</v>
      </c>
      <c r="AF3" s="36" t="s">
        <v>414</v>
      </c>
      <c r="AG3" s="36">
        <v>3</v>
      </c>
      <c r="AH3" s="42">
        <f>IF(ISBLANK(AG3),"INPUT",1-PERCENTRANK($AG$3:$AG$66,AG3))*1</f>
        <v>0.52400000000000002</v>
      </c>
      <c r="AI3" s="36" t="s">
        <v>68</v>
      </c>
      <c r="AJ3" s="42">
        <f t="shared" ref="AJ3:AJ66" si="1">IF(AI3="Y",0.25,IF(AI3="N",0,"CHECK"))</f>
        <v>0.25</v>
      </c>
      <c r="AK3" s="36" t="s">
        <v>68</v>
      </c>
      <c r="AL3" s="36" t="s">
        <v>133</v>
      </c>
      <c r="AM3" s="36" t="s">
        <v>68</v>
      </c>
      <c r="AN3" s="36" t="s">
        <v>133</v>
      </c>
      <c r="AO3" s="36" t="s">
        <v>133</v>
      </c>
      <c r="AP3" s="42">
        <f>IF(AK3="Y",0.25,0)</f>
        <v>0.25</v>
      </c>
      <c r="AQ3" s="36" t="s">
        <v>133</v>
      </c>
      <c r="AR3" s="36" t="s">
        <v>414</v>
      </c>
      <c r="AS3" s="42">
        <f>IF(AR3="Y",0.25,0)</f>
        <v>0</v>
      </c>
      <c r="AT3" s="36" t="s">
        <v>414</v>
      </c>
      <c r="AU3" s="36" t="s">
        <v>414</v>
      </c>
      <c r="AV3" s="42">
        <f>IF(AQ3="Y",0.25,0)</f>
        <v>0</v>
      </c>
      <c r="AW3" s="36" t="s">
        <v>414</v>
      </c>
      <c r="AX3" s="36" t="s">
        <v>414</v>
      </c>
      <c r="AY3" s="42">
        <f>IF(AX3="Y",0.25,0)</f>
        <v>0</v>
      </c>
      <c r="AZ3" s="36" t="s">
        <v>418</v>
      </c>
      <c r="BA3" s="36" t="s">
        <v>68</v>
      </c>
      <c r="BB3" s="42">
        <f t="shared" ref="BB3:BB26" si="2">IF(BA3="Y",0.25,IF(BA3="N",0,"CHECK"))</f>
        <v>0.25</v>
      </c>
      <c r="BC3" s="36" t="s">
        <v>133</v>
      </c>
      <c r="BD3" s="42">
        <f>IF(BC3="Y",0.5,0)</f>
        <v>0</v>
      </c>
      <c r="BE3" s="36" t="s">
        <v>133</v>
      </c>
      <c r="BF3" s="42">
        <f>IF(BE3="Y",0.25,0)</f>
        <v>0</v>
      </c>
      <c r="BG3" s="36" t="s">
        <v>133</v>
      </c>
      <c r="BH3" s="36" t="s">
        <v>68</v>
      </c>
      <c r="BI3" s="42">
        <f>IF(BH3="Y",0.5,0)</f>
        <v>0.5</v>
      </c>
      <c r="BJ3" s="36" t="s">
        <v>133</v>
      </c>
      <c r="BK3" s="36" t="s">
        <v>133</v>
      </c>
      <c r="BL3" s="36" t="s">
        <v>133</v>
      </c>
      <c r="BM3" s="36" t="s">
        <v>133</v>
      </c>
      <c r="BN3" s="36" t="s">
        <v>133</v>
      </c>
      <c r="BO3" s="36" t="s">
        <v>133</v>
      </c>
      <c r="BP3" s="42">
        <f>IF(BO3="Y",0.5,0)</f>
        <v>0</v>
      </c>
      <c r="BQ3" s="36" t="s">
        <v>414</v>
      </c>
      <c r="BR3" s="36" t="s">
        <v>414</v>
      </c>
      <c r="BS3" s="36" t="s">
        <v>414</v>
      </c>
      <c r="BT3" s="36" t="s">
        <v>414</v>
      </c>
      <c r="BU3" s="36" t="s">
        <v>414</v>
      </c>
      <c r="BV3" s="36" t="s">
        <v>414</v>
      </c>
      <c r="BW3" s="43" t="s">
        <v>418</v>
      </c>
      <c r="BX3" s="44">
        <f>SUM(AH3,AJ3,AP3,AE3,AV3,AS3,AY3,BB3,BD3,BF3,BI3,BP3,AC3)</f>
        <v>2.524</v>
      </c>
      <c r="BY3" s="45" t="s">
        <v>68</v>
      </c>
      <c r="BZ3" s="46">
        <f>IF(BY3="Y",0.5,0)</f>
        <v>0.5</v>
      </c>
      <c r="CA3" s="45" t="s">
        <v>133</v>
      </c>
      <c r="CB3" s="46">
        <f>IF(CA3="Y",0.75,0)</f>
        <v>0</v>
      </c>
      <c r="CC3" s="36" t="s">
        <v>414</v>
      </c>
      <c r="CD3" s="46">
        <f>IF(CC3="Y",0.5,0)</f>
        <v>0</v>
      </c>
      <c r="CE3" s="45" t="s">
        <v>414</v>
      </c>
      <c r="CF3" s="45" t="s">
        <v>133</v>
      </c>
      <c r="CG3" s="47">
        <v>0</v>
      </c>
      <c r="CH3" s="45" t="s">
        <v>133</v>
      </c>
      <c r="CI3" s="48">
        <f>IF(CH3="Y",0.5,0)</f>
        <v>0</v>
      </c>
      <c r="CJ3" s="49" t="s">
        <v>68</v>
      </c>
      <c r="CK3" s="49" t="s">
        <v>133</v>
      </c>
      <c r="CL3" s="50" t="s">
        <v>414</v>
      </c>
      <c r="CM3" s="49" t="s">
        <v>133</v>
      </c>
      <c r="CN3" s="46">
        <f>IF(CM3="Y",0.5,0)</f>
        <v>0</v>
      </c>
      <c r="CO3" s="49" t="s">
        <v>133</v>
      </c>
      <c r="CP3" s="48">
        <f>IF(CO3="Y",0.75,0)</f>
        <v>0</v>
      </c>
      <c r="CQ3" s="49" t="s">
        <v>133</v>
      </c>
      <c r="CR3" s="48">
        <f>IF(CQ3="Y",0.25,0)</f>
        <v>0</v>
      </c>
      <c r="CS3" s="49" t="s">
        <v>68</v>
      </c>
      <c r="CT3" s="48">
        <f>IF(CS3="Y",0.5,0)</f>
        <v>0.5</v>
      </c>
      <c r="CU3" s="49" t="s">
        <v>133</v>
      </c>
      <c r="CV3" s="48">
        <f>IF(CU3="Y",0.25,0)</f>
        <v>0</v>
      </c>
      <c r="CW3" s="50" t="s">
        <v>417</v>
      </c>
      <c r="CX3" s="51">
        <f>SUM(CV3,CT3,CR3,CP3,CN3,CI3,CG3,CD3,CB3,BZ3)</f>
        <v>1</v>
      </c>
      <c r="CY3" s="52" t="s">
        <v>68</v>
      </c>
      <c r="CZ3" s="53">
        <f>IF(CY3="Y",0.5,0)</f>
        <v>0.5</v>
      </c>
      <c r="DA3" s="52">
        <v>5</v>
      </c>
      <c r="DB3" s="53">
        <f>IF(ISBLANK(DA3),"INPUT",PERCENTRANK($DA$3:$DA$66,DA3))</f>
        <v>0.92</v>
      </c>
      <c r="DC3" s="52" t="s">
        <v>133</v>
      </c>
      <c r="DD3" s="53">
        <f>IF(DC3="Y",0.5,0)</f>
        <v>0</v>
      </c>
      <c r="DE3" s="52" t="s">
        <v>68</v>
      </c>
      <c r="DF3" s="53">
        <f>IF(DE3="Y",0.5,0)</f>
        <v>0.5</v>
      </c>
      <c r="DG3" s="50" t="s">
        <v>133</v>
      </c>
      <c r="DH3" s="50" t="s">
        <v>68</v>
      </c>
      <c r="DI3" s="50" t="s">
        <v>133</v>
      </c>
      <c r="DJ3" s="50" t="s">
        <v>68</v>
      </c>
      <c r="DK3" s="50" t="s">
        <v>68</v>
      </c>
      <c r="DL3" s="50" t="s">
        <v>133</v>
      </c>
      <c r="DM3" s="50" t="s">
        <v>68</v>
      </c>
      <c r="DN3" s="50" t="s">
        <v>133</v>
      </c>
      <c r="DO3" s="50" t="s">
        <v>68</v>
      </c>
      <c r="DP3" s="52" t="s">
        <v>133</v>
      </c>
      <c r="DQ3" s="50" t="s">
        <v>133</v>
      </c>
      <c r="DR3" s="52" t="s">
        <v>133</v>
      </c>
      <c r="DS3" s="53">
        <f t="shared" ref="DS3:DS66" si="3">IF(COUNTIF(DO3:DR3,"y")&gt;0,0.25,0)</f>
        <v>0.25</v>
      </c>
      <c r="DT3" s="52" t="s">
        <v>133</v>
      </c>
      <c r="DU3" s="53">
        <f>IF(DT3="Y",0.5,0)</f>
        <v>0</v>
      </c>
      <c r="DV3" s="52" t="s">
        <v>133</v>
      </c>
      <c r="DW3" s="53">
        <f>IF(DV3="Y",0.5,0)</f>
        <v>0</v>
      </c>
      <c r="DX3" s="52" t="s">
        <v>68</v>
      </c>
      <c r="DY3" s="53">
        <f>IF(DX3="Y",0.5,0)</f>
        <v>0.5</v>
      </c>
      <c r="DZ3" s="52" t="s">
        <v>133</v>
      </c>
      <c r="EA3" s="53">
        <f>IF(DZ3="Y",0.5,0)</f>
        <v>0</v>
      </c>
      <c r="EB3" s="52" t="s">
        <v>81</v>
      </c>
      <c r="EC3" s="53">
        <f>IF(EB3="Y",0.25,0)</f>
        <v>0.25</v>
      </c>
      <c r="ED3" s="52" t="s">
        <v>419</v>
      </c>
      <c r="EE3" s="54">
        <f>SUM(EC3,EA3,DY3,DW3,DU3,DS3,DF3,DD3,DB3,CZ3)</f>
        <v>2.92</v>
      </c>
      <c r="EF3" s="50">
        <v>5</v>
      </c>
      <c r="EG3" s="55">
        <f>IF(ISBLANK(EF3),"INPUT",1-PERCENTRANK($EF$3:$EF$66,EF3))</f>
        <v>0.58000000000000007</v>
      </c>
      <c r="EH3" s="50" t="s">
        <v>68</v>
      </c>
      <c r="EI3" s="55">
        <f>IF(EH3="Y",0.5,0)</f>
        <v>0.5</v>
      </c>
      <c r="EJ3" s="50" t="s">
        <v>133</v>
      </c>
      <c r="EK3" s="55">
        <f>IF(EJ3="Y",0.5,0)</f>
        <v>0</v>
      </c>
      <c r="EL3" s="50" t="s">
        <v>133</v>
      </c>
      <c r="EM3" s="55">
        <f>IF(EL3="Y",0.5,0)</f>
        <v>0</v>
      </c>
      <c r="EN3" s="50" t="s">
        <v>68</v>
      </c>
      <c r="EO3" s="55">
        <f>IF(EN3="Y",0.5,0)</f>
        <v>0.5</v>
      </c>
      <c r="EP3" s="50" t="s">
        <v>133</v>
      </c>
      <c r="EQ3" s="55">
        <f>IF(EP3="Y",0.5,0)</f>
        <v>0</v>
      </c>
      <c r="ER3" s="50" t="s">
        <v>417</v>
      </c>
      <c r="ES3" s="56">
        <f>SUM(EQ3+EO3+EM3+EK3+EI3+EG3)*(5/3.5)</f>
        <v>2.2571428571428571</v>
      </c>
      <c r="ET3" s="57" t="s">
        <v>133</v>
      </c>
      <c r="EU3" s="58">
        <f>IF(ET3="Y",0.5,0)</f>
        <v>0</v>
      </c>
      <c r="EV3" s="57" t="s">
        <v>414</v>
      </c>
      <c r="EW3" s="58">
        <f>IF(EV3="Y",0.5,0)</f>
        <v>0</v>
      </c>
      <c r="EX3" s="57" t="s">
        <v>414</v>
      </c>
      <c r="EY3" s="58">
        <f>IF(EX3="Y",0.25,0)</f>
        <v>0</v>
      </c>
      <c r="EZ3" s="57" t="s">
        <v>133</v>
      </c>
      <c r="FA3" s="58">
        <f>IF(EZ3="Y",0.5,0)</f>
        <v>0</v>
      </c>
      <c r="FB3" s="57" t="s">
        <v>68</v>
      </c>
      <c r="FC3" s="58">
        <f>IF(FB3="Y",0.5,0)</f>
        <v>0.5</v>
      </c>
      <c r="FD3" s="57" t="s">
        <v>68</v>
      </c>
      <c r="FE3" s="58">
        <f>IF(FD3="Y",0.5,0)</f>
        <v>0.5</v>
      </c>
      <c r="FF3" s="57" t="s">
        <v>68</v>
      </c>
      <c r="FG3" s="58">
        <f>IF(FF3="Y",0.25,0)</f>
        <v>0.25</v>
      </c>
      <c r="FH3" s="57" t="s">
        <v>68</v>
      </c>
      <c r="FI3" s="58">
        <f>IF(FH3="Y",0.5,0)</f>
        <v>0.5</v>
      </c>
      <c r="FJ3" s="57" t="s">
        <v>68</v>
      </c>
      <c r="FK3" s="58">
        <f>IF(FJ3="Y",0.5,0)</f>
        <v>0.5</v>
      </c>
      <c r="FL3" s="59" t="s">
        <v>420</v>
      </c>
      <c r="FM3" s="60">
        <f>SUM(FK3,FI3,FG3,FE3,FC3,FA3,EY3,EW3,EU3)*(5/4)</f>
        <v>2.8125</v>
      </c>
      <c r="FN3" s="61">
        <f>SUM(FM3,ES3,EE3,CX3,BX3,AA3)</f>
        <v>15.01164285714286</v>
      </c>
    </row>
    <row r="4" spans="1:170" ht="118">
      <c r="A4" s="31">
        <v>2</v>
      </c>
      <c r="B4" s="32" t="s">
        <v>69</v>
      </c>
      <c r="C4" s="33" t="str">
        <f>VLOOKUP(B4,[1]Sheet1!$A:$C,2,FALSE)</f>
        <v>Compagnie Financiere Richemont S.A</v>
      </c>
      <c r="D4" s="34" t="s">
        <v>412</v>
      </c>
      <c r="E4" s="35" t="str">
        <f>VLOOKUP(B4,[1]Sheet1!$A:$C,3,FALSE)</f>
        <v>United Kingdom</v>
      </c>
      <c r="F4" s="34" t="s">
        <v>413</v>
      </c>
      <c r="G4" s="32" t="s">
        <v>71</v>
      </c>
      <c r="H4" s="36" t="s">
        <v>68</v>
      </c>
      <c r="I4" s="36" t="s">
        <v>421</v>
      </c>
      <c r="J4" s="36" t="s">
        <v>422</v>
      </c>
      <c r="K4" s="36" t="s">
        <v>415</v>
      </c>
      <c r="L4" s="36" t="s">
        <v>68</v>
      </c>
      <c r="M4" s="37">
        <f t="shared" ref="M4:M66" si="4">IF(L4="Y",0.75,IF(L4="N",0,"CHECK"))</f>
        <v>0.75</v>
      </c>
      <c r="N4" s="36">
        <v>3.28</v>
      </c>
      <c r="O4" s="38">
        <f t="shared" ref="O4:O65" si="5">2-PERCENTRANK($N$3:$N$66,N4)*2</f>
        <v>9.6000000000000085E-2</v>
      </c>
      <c r="P4" s="36" t="s">
        <v>416</v>
      </c>
      <c r="Q4" s="39">
        <v>0.5</v>
      </c>
      <c r="R4" s="36" t="s">
        <v>68</v>
      </c>
      <c r="S4" s="37">
        <f t="shared" ref="S4:S66" si="6">IF(R4="Y",0.5,IF(R4="N",0,"CHECK"))</f>
        <v>0.5</v>
      </c>
      <c r="T4" s="36" t="s">
        <v>133</v>
      </c>
      <c r="U4" s="37">
        <f t="shared" ref="U4:U66" si="7">IF(T4="N",0.5,0)</f>
        <v>0.5</v>
      </c>
      <c r="V4" s="36" t="s">
        <v>68</v>
      </c>
      <c r="W4" s="36" t="s">
        <v>68</v>
      </c>
      <c r="X4" s="37">
        <f t="shared" ref="X4:X66" si="8">IF(W4="Y",0.25,IF(W4="N",0,0))</f>
        <v>0.25</v>
      </c>
      <c r="Y4" s="36" t="s">
        <v>423</v>
      </c>
      <c r="Z4" s="40" t="s">
        <v>424</v>
      </c>
      <c r="AA4" s="41">
        <f t="shared" ref="AA4:AA66" si="9">SUM(X4,U4,S4,Q4,O4,M4)</f>
        <v>2.5960000000000001</v>
      </c>
      <c r="AB4" s="36">
        <v>1</v>
      </c>
      <c r="AC4" s="42">
        <f t="shared" si="0"/>
        <v>0.1855</v>
      </c>
      <c r="AD4" s="36" t="s">
        <v>77</v>
      </c>
      <c r="AE4" s="42">
        <f t="shared" ref="AE4:AE66" si="10">IF(AD4="N",0.25,0)</f>
        <v>0.25</v>
      </c>
      <c r="AF4" s="36" t="s">
        <v>421</v>
      </c>
      <c r="AG4" s="36">
        <v>2</v>
      </c>
      <c r="AH4" s="42">
        <f t="shared" ref="AH4:AH66" si="11">IF(ISBLANK(AG4),"INPUT",1-PERCENTRANK($AG$3:$AG$66,AG4))*1</f>
        <v>1</v>
      </c>
      <c r="AI4" s="36" t="s">
        <v>81</v>
      </c>
      <c r="AJ4" s="42">
        <f t="shared" si="1"/>
        <v>0.25</v>
      </c>
      <c r="AK4" s="36" t="s">
        <v>81</v>
      </c>
      <c r="AL4" s="36" t="s">
        <v>421</v>
      </c>
      <c r="AM4" s="36" t="s">
        <v>421</v>
      </c>
      <c r="AN4" s="36" t="s">
        <v>421</v>
      </c>
      <c r="AO4" s="36" t="s">
        <v>421</v>
      </c>
      <c r="AP4" s="42">
        <f t="shared" ref="AP4:AP66" si="12">IF(AK4="Y",0.25,0)</f>
        <v>0.25</v>
      </c>
      <c r="AQ4" s="36" t="s">
        <v>77</v>
      </c>
      <c r="AR4" s="36" t="s">
        <v>421</v>
      </c>
      <c r="AS4" s="42">
        <f t="shared" ref="AS4:AS66" si="13">IF(AR4="Y",0.25,0)</f>
        <v>0</v>
      </c>
      <c r="AT4" s="36" t="s">
        <v>81</v>
      </c>
      <c r="AU4" s="36" t="s">
        <v>421</v>
      </c>
      <c r="AV4" s="42">
        <f t="shared" ref="AV4:AV66" si="14">IF(AQ4="Y",0.25,0)</f>
        <v>0</v>
      </c>
      <c r="AW4" s="36" t="s">
        <v>421</v>
      </c>
      <c r="AX4" s="36" t="s">
        <v>421</v>
      </c>
      <c r="AY4" s="42">
        <f t="shared" ref="AY4:AY66" si="15">IF(AX4="Y",0.25,0)</f>
        <v>0</v>
      </c>
      <c r="AZ4" s="36" t="s">
        <v>425</v>
      </c>
      <c r="BA4" s="36" t="s">
        <v>81</v>
      </c>
      <c r="BB4" s="42">
        <f t="shared" si="2"/>
        <v>0.25</v>
      </c>
      <c r="BC4" s="36" t="s">
        <v>77</v>
      </c>
      <c r="BD4" s="42">
        <f t="shared" ref="BD4:BD66" si="16">IF(BC4="Y",0.5,0)</f>
        <v>0</v>
      </c>
      <c r="BE4" s="36" t="s">
        <v>77</v>
      </c>
      <c r="BF4" s="42">
        <f t="shared" ref="BF4:BF66" si="17">IF(BE4="Y",0.25,0)</f>
        <v>0</v>
      </c>
      <c r="BG4" s="36" t="s">
        <v>81</v>
      </c>
      <c r="BH4" s="36" t="s">
        <v>81</v>
      </c>
      <c r="BI4" s="42">
        <f t="shared" ref="BI4:BI66" si="18">IF(BH4="Y",0.5,0)</f>
        <v>0.5</v>
      </c>
      <c r="BJ4" s="36" t="s">
        <v>77</v>
      </c>
      <c r="BK4" s="36" t="s">
        <v>77</v>
      </c>
      <c r="BL4" s="36" t="s">
        <v>77</v>
      </c>
      <c r="BM4" s="36" t="s">
        <v>77</v>
      </c>
      <c r="BN4" s="36" t="s">
        <v>77</v>
      </c>
      <c r="BO4" s="36" t="s">
        <v>77</v>
      </c>
      <c r="BP4" s="42">
        <f t="shared" ref="BP4:BP66" si="19">IF(BO4="Y",0.5,0)</f>
        <v>0</v>
      </c>
      <c r="BQ4" s="36" t="s">
        <v>421</v>
      </c>
      <c r="BR4" s="36" t="s">
        <v>421</v>
      </c>
      <c r="BS4" s="36" t="s">
        <v>421</v>
      </c>
      <c r="BT4" s="36" t="s">
        <v>421</v>
      </c>
      <c r="BU4" s="36" t="s">
        <v>421</v>
      </c>
      <c r="BV4" s="36" t="s">
        <v>421</v>
      </c>
      <c r="BW4" s="43" t="s">
        <v>426</v>
      </c>
      <c r="BX4" s="44">
        <f t="shared" ref="BX4:BX66" si="20">SUM(AH4,AJ4,AP4,AE4,AV4,AS4,AY4,BB4,BD4,BF4,BI4,BP4,AC4)</f>
        <v>2.6855000000000002</v>
      </c>
      <c r="BY4" s="45" t="s">
        <v>81</v>
      </c>
      <c r="BZ4" s="46">
        <f t="shared" ref="BZ4:BZ66" si="21">IF(BY4="Y",0.5,0)</f>
        <v>0.5</v>
      </c>
      <c r="CA4" s="45" t="s">
        <v>77</v>
      </c>
      <c r="CB4" s="46">
        <f t="shared" ref="CB4:CB66" si="22">IF(CA4="Y",0.75,0)</f>
        <v>0</v>
      </c>
      <c r="CC4" s="36" t="s">
        <v>421</v>
      </c>
      <c r="CD4" s="46">
        <f t="shared" ref="CD4:CD66" si="23">IF(CC4="Y",0.5,0)</f>
        <v>0</v>
      </c>
      <c r="CE4" s="45" t="s">
        <v>421</v>
      </c>
      <c r="CF4" s="45" t="s">
        <v>77</v>
      </c>
      <c r="CG4" s="47">
        <v>0</v>
      </c>
      <c r="CH4" s="45" t="s">
        <v>133</v>
      </c>
      <c r="CI4" s="48">
        <f t="shared" ref="CI4:CI66" si="24">IF(CH4="Y",0.5,0)</f>
        <v>0</v>
      </c>
      <c r="CJ4" s="49" t="s">
        <v>81</v>
      </c>
      <c r="CK4" s="49" t="s">
        <v>77</v>
      </c>
      <c r="CL4" s="50" t="s">
        <v>421</v>
      </c>
      <c r="CM4" s="49" t="s">
        <v>77</v>
      </c>
      <c r="CN4" s="46">
        <f t="shared" ref="CN4:CN66" si="25">IF(CM4="Y",0.5,0)</f>
        <v>0</v>
      </c>
      <c r="CO4" s="49" t="s">
        <v>81</v>
      </c>
      <c r="CP4" s="48">
        <f t="shared" ref="CP4:CP66" si="26">IF(CO4="Y",0.75,0)</f>
        <v>0.75</v>
      </c>
      <c r="CQ4" s="49" t="s">
        <v>77</v>
      </c>
      <c r="CR4" s="48">
        <f t="shared" ref="CR4:CR66" si="27">IF(CQ4="Y",0.25,0)</f>
        <v>0</v>
      </c>
      <c r="CS4" s="49" t="s">
        <v>77</v>
      </c>
      <c r="CT4" s="48">
        <f t="shared" ref="CT4:CT66" si="28">IF(CS4="Y",0.5,0)</f>
        <v>0</v>
      </c>
      <c r="CU4" s="49" t="s">
        <v>81</v>
      </c>
      <c r="CV4" s="48">
        <f t="shared" ref="CV4:CV66" si="29">IF(CU4="Y",0.25,0)</f>
        <v>0.25</v>
      </c>
      <c r="CW4" s="50" t="s">
        <v>427</v>
      </c>
      <c r="CX4" s="51">
        <f t="shared" ref="CX4:CX66" si="30">SUM(CV4,CT4,CR4,CP4,CN4,CI4,CG4,CD4,CB4,BZ4)</f>
        <v>1.5</v>
      </c>
      <c r="CY4" s="52" t="s">
        <v>81</v>
      </c>
      <c r="CZ4" s="53">
        <f t="shared" ref="CZ4:CZ66" si="31">IF(CY4="Y",0.5,0)</f>
        <v>0.5</v>
      </c>
      <c r="DA4" s="52">
        <v>3</v>
      </c>
      <c r="DB4" s="53">
        <f t="shared" ref="DB4:DB66" si="32">IF(ISBLANK(DA4),"INPUT",PERCENTRANK($DA$3:$DA$66,DA4))</f>
        <v>0.39600000000000002</v>
      </c>
      <c r="DC4" s="52" t="s">
        <v>77</v>
      </c>
      <c r="DD4" s="53">
        <f t="shared" ref="DD4:DD66" si="33">IF(DC4="Y",0.5,0)</f>
        <v>0</v>
      </c>
      <c r="DE4" s="52" t="s">
        <v>81</v>
      </c>
      <c r="DF4" s="53">
        <f t="shared" ref="DF4:DF66" si="34">IF(DE4="Y",0.5,0)</f>
        <v>0.5</v>
      </c>
      <c r="DG4" s="50" t="s">
        <v>77</v>
      </c>
      <c r="DH4" s="50" t="s">
        <v>77</v>
      </c>
      <c r="DI4" s="50" t="s">
        <v>77</v>
      </c>
      <c r="DJ4" s="50" t="s">
        <v>81</v>
      </c>
      <c r="DK4" s="50" t="s">
        <v>77</v>
      </c>
      <c r="DL4" s="50" t="s">
        <v>81</v>
      </c>
      <c r="DM4" s="50" t="s">
        <v>81</v>
      </c>
      <c r="DN4" s="50" t="s">
        <v>77</v>
      </c>
      <c r="DO4" s="50" t="s">
        <v>81</v>
      </c>
      <c r="DP4" s="52" t="s">
        <v>77</v>
      </c>
      <c r="DQ4" s="50" t="s">
        <v>77</v>
      </c>
      <c r="DR4" s="52" t="s">
        <v>77</v>
      </c>
      <c r="DS4" s="53">
        <f t="shared" si="3"/>
        <v>0.25</v>
      </c>
      <c r="DT4" s="52" t="s">
        <v>77</v>
      </c>
      <c r="DU4" s="53">
        <f t="shared" ref="DU4:DU66" si="35">IF(DT4="Y",0.5,0)</f>
        <v>0</v>
      </c>
      <c r="DV4" s="52" t="s">
        <v>77</v>
      </c>
      <c r="DW4" s="53">
        <f t="shared" ref="DW4:DW66" si="36">IF(DV4="Y",0.5,0)</f>
        <v>0</v>
      </c>
      <c r="DX4" s="52" t="s">
        <v>77</v>
      </c>
      <c r="DY4" s="53">
        <f t="shared" ref="DY4:DY65" si="37">IF(DX4="Y",0.5,0)</f>
        <v>0</v>
      </c>
      <c r="DZ4" s="52" t="s">
        <v>77</v>
      </c>
      <c r="EA4" s="53">
        <f t="shared" ref="EA4:EA66" si="38">IF(DZ4="Y",0.5,0)</f>
        <v>0</v>
      </c>
      <c r="EB4" s="52" t="s">
        <v>77</v>
      </c>
      <c r="EC4" s="53">
        <f t="shared" ref="EC4:EC66" si="39">IF(EB4="Y",0.25,0)</f>
        <v>0</v>
      </c>
      <c r="ED4" s="52" t="s">
        <v>428</v>
      </c>
      <c r="EE4" s="54">
        <f t="shared" ref="EE4:EE66" si="40">SUM(EC4,EA4,DY4,DW4,DU4,DS4,DF4,DD4,DB4,CZ4)</f>
        <v>1.6459999999999999</v>
      </c>
      <c r="EF4" s="50">
        <v>4</v>
      </c>
      <c r="EG4" s="55">
        <f t="shared" ref="EG4:EG66" si="41">IF(ISBLANK(EF4),"INPUT",1-PERCENTRANK($EF$3:$EF$66,EF4))</f>
        <v>0.84</v>
      </c>
      <c r="EH4" s="50" t="s">
        <v>81</v>
      </c>
      <c r="EI4" s="55">
        <f t="shared" ref="EI4:EI66" si="42">IF(EH4="Y",0.5,0)</f>
        <v>0.5</v>
      </c>
      <c r="EJ4" s="50" t="s">
        <v>77</v>
      </c>
      <c r="EK4" s="55">
        <f t="shared" ref="EK4:EK66" si="43">IF(EJ4="Y",0.5,0)</f>
        <v>0</v>
      </c>
      <c r="EL4" s="50" t="s">
        <v>77</v>
      </c>
      <c r="EM4" s="55">
        <f t="shared" ref="EM4:EM66" si="44">IF(EL4="Y",0.5,0)</f>
        <v>0</v>
      </c>
      <c r="EN4" s="50" t="s">
        <v>81</v>
      </c>
      <c r="EO4" s="55">
        <f t="shared" ref="EO4:EQ66" si="45">IF(EN4="Y",0.5,0)</f>
        <v>0.5</v>
      </c>
      <c r="EP4" s="50" t="s">
        <v>133</v>
      </c>
      <c r="EQ4" s="55">
        <f t="shared" si="45"/>
        <v>0</v>
      </c>
      <c r="ER4" s="50" t="s">
        <v>429</v>
      </c>
      <c r="ES4" s="56">
        <f t="shared" ref="ES4:ES66" si="46">SUM(EQ4+EO4+EM4+EK4+EI4+EG4)*(5/3.5)</f>
        <v>2.6285714285714286</v>
      </c>
      <c r="ET4" s="57" t="s">
        <v>133</v>
      </c>
      <c r="EU4" s="58">
        <f t="shared" ref="EU4:EU66" si="47">IF(ET4="Y",0.5,0)</f>
        <v>0</v>
      </c>
      <c r="EV4" s="57" t="s">
        <v>414</v>
      </c>
      <c r="EW4" s="58">
        <f t="shared" ref="EW4:EW66" si="48">IF(EV4="Y",0.5,0)</f>
        <v>0</v>
      </c>
      <c r="EX4" s="57" t="s">
        <v>414</v>
      </c>
      <c r="EY4" s="58">
        <f t="shared" ref="EY4:EY66" si="49">IF(EX4="Y",0.25,0)</f>
        <v>0</v>
      </c>
      <c r="EZ4" s="57" t="s">
        <v>77</v>
      </c>
      <c r="FA4" s="58">
        <f t="shared" ref="FA4:FA66" si="50">IF(EZ4="Y",0.5,0)</f>
        <v>0</v>
      </c>
      <c r="FB4" s="57" t="s">
        <v>81</v>
      </c>
      <c r="FC4" s="58">
        <f t="shared" ref="FC4:FE19" si="51">IF(FB4="Y",0.5,0)</f>
        <v>0.5</v>
      </c>
      <c r="FD4" s="57" t="s">
        <v>77</v>
      </c>
      <c r="FE4" s="58">
        <f t="shared" si="51"/>
        <v>0</v>
      </c>
      <c r="FF4" s="57" t="s">
        <v>421</v>
      </c>
      <c r="FG4" s="58">
        <f t="shared" ref="FG4:FG66" si="52">IF(FF4="Y",0.25,0)</f>
        <v>0</v>
      </c>
      <c r="FH4" s="57" t="s">
        <v>77</v>
      </c>
      <c r="FI4" s="58">
        <f t="shared" ref="FI4:FK66" si="53">IF(FH4="Y",0.5,0)</f>
        <v>0</v>
      </c>
      <c r="FJ4" s="57" t="s">
        <v>81</v>
      </c>
      <c r="FK4" s="58">
        <f t="shared" si="53"/>
        <v>0.5</v>
      </c>
      <c r="FL4" s="59" t="s">
        <v>430</v>
      </c>
      <c r="FM4" s="60">
        <f t="shared" ref="FM4:FM66" si="54">SUM(FK4,FI4,FG4,FE4,FC4,FA4,EY4,EW4,EU4)*(5/4)</f>
        <v>1.25</v>
      </c>
      <c r="FN4" s="61">
        <f t="shared" ref="FN4:FN66" si="55">SUM(FM4,ES4,EE4,CX4,BX4,AA4)</f>
        <v>12.306071428571428</v>
      </c>
    </row>
    <row r="5" spans="1:170" ht="49">
      <c r="A5" s="31">
        <v>3</v>
      </c>
      <c r="B5" s="32" t="s">
        <v>72</v>
      </c>
      <c r="C5" s="33" t="str">
        <f>VLOOKUP(B5,[1]Sheet1!$A:$C,2,FALSE)</f>
        <v>Iconix Brand Group, Inc.</v>
      </c>
      <c r="D5" s="34" t="s">
        <v>412</v>
      </c>
      <c r="E5" s="35" t="str">
        <f>VLOOKUP(B5,[1]Sheet1!$A:$C,3,FALSE)</f>
        <v>United States</v>
      </c>
      <c r="F5" s="34" t="s">
        <v>413</v>
      </c>
      <c r="G5" s="32" t="s">
        <v>75</v>
      </c>
      <c r="H5" s="36" t="s">
        <v>77</v>
      </c>
      <c r="I5" s="36" t="s">
        <v>77</v>
      </c>
      <c r="J5" s="36" t="s">
        <v>421</v>
      </c>
      <c r="K5" s="36" t="s">
        <v>431</v>
      </c>
      <c r="L5" s="36" t="s">
        <v>133</v>
      </c>
      <c r="M5" s="37">
        <f t="shared" si="4"/>
        <v>0</v>
      </c>
      <c r="N5" s="63">
        <v>2.012</v>
      </c>
      <c r="O5" s="38">
        <f t="shared" si="5"/>
        <v>0.66799999999999993</v>
      </c>
      <c r="P5" s="36" t="s">
        <v>416</v>
      </c>
      <c r="Q5" s="39">
        <v>0.5</v>
      </c>
      <c r="R5" s="36" t="s">
        <v>77</v>
      </c>
      <c r="S5" s="37">
        <f t="shared" si="6"/>
        <v>0</v>
      </c>
      <c r="T5" s="36" t="s">
        <v>81</v>
      </c>
      <c r="U5" s="37">
        <f t="shared" si="7"/>
        <v>0</v>
      </c>
      <c r="V5" s="36" t="s">
        <v>81</v>
      </c>
      <c r="W5" s="36" t="s">
        <v>77</v>
      </c>
      <c r="X5" s="37">
        <f t="shared" si="8"/>
        <v>0</v>
      </c>
      <c r="Y5" s="36" t="s">
        <v>421</v>
      </c>
      <c r="Z5" s="40" t="s">
        <v>417</v>
      </c>
      <c r="AA5" s="41">
        <f t="shared" si="9"/>
        <v>1.1679999999999999</v>
      </c>
      <c r="AB5" s="36">
        <v>0</v>
      </c>
      <c r="AC5" s="42">
        <f t="shared" si="0"/>
        <v>0.5</v>
      </c>
      <c r="AD5" s="36" t="s">
        <v>77</v>
      </c>
      <c r="AE5" s="42">
        <f t="shared" si="10"/>
        <v>0.25</v>
      </c>
      <c r="AF5" s="36" t="s">
        <v>421</v>
      </c>
      <c r="AG5" s="36">
        <v>3</v>
      </c>
      <c r="AH5" s="42">
        <f t="shared" si="11"/>
        <v>0.52400000000000002</v>
      </c>
      <c r="AI5" s="36" t="s">
        <v>133</v>
      </c>
      <c r="AJ5" s="42">
        <f t="shared" si="1"/>
        <v>0</v>
      </c>
      <c r="AK5" s="36" t="s">
        <v>133</v>
      </c>
      <c r="AL5" s="36" t="s">
        <v>421</v>
      </c>
      <c r="AM5" s="36" t="s">
        <v>421</v>
      </c>
      <c r="AN5" s="36" t="s">
        <v>421</v>
      </c>
      <c r="AO5" s="36" t="s">
        <v>421</v>
      </c>
      <c r="AP5" s="42">
        <f t="shared" si="12"/>
        <v>0</v>
      </c>
      <c r="AQ5" s="36" t="s">
        <v>421</v>
      </c>
      <c r="AR5" s="36" t="s">
        <v>421</v>
      </c>
      <c r="AS5" s="42">
        <f t="shared" si="13"/>
        <v>0</v>
      </c>
      <c r="AT5" s="36" t="s">
        <v>421</v>
      </c>
      <c r="AU5" s="36" t="s">
        <v>421</v>
      </c>
      <c r="AV5" s="42">
        <f t="shared" si="14"/>
        <v>0</v>
      </c>
      <c r="AW5" s="36" t="s">
        <v>421</v>
      </c>
      <c r="AX5" s="36" t="s">
        <v>421</v>
      </c>
      <c r="AY5" s="42">
        <f t="shared" si="15"/>
        <v>0</v>
      </c>
      <c r="AZ5" s="36" t="s">
        <v>432</v>
      </c>
      <c r="BA5" s="36" t="s">
        <v>77</v>
      </c>
      <c r="BB5" s="42">
        <f t="shared" si="2"/>
        <v>0</v>
      </c>
      <c r="BC5" s="36" t="s">
        <v>421</v>
      </c>
      <c r="BD5" s="42">
        <f t="shared" si="16"/>
        <v>0</v>
      </c>
      <c r="BE5" s="36" t="s">
        <v>421</v>
      </c>
      <c r="BF5" s="42">
        <f t="shared" si="17"/>
        <v>0</v>
      </c>
      <c r="BG5" s="36" t="s">
        <v>421</v>
      </c>
      <c r="BH5" s="36" t="s">
        <v>421</v>
      </c>
      <c r="BI5" s="42">
        <f t="shared" si="18"/>
        <v>0</v>
      </c>
      <c r="BJ5" s="36" t="s">
        <v>421</v>
      </c>
      <c r="BK5" s="36" t="s">
        <v>421</v>
      </c>
      <c r="BL5" s="36" t="s">
        <v>421</v>
      </c>
      <c r="BM5" s="36" t="s">
        <v>421</v>
      </c>
      <c r="BN5" s="36" t="s">
        <v>421</v>
      </c>
      <c r="BO5" s="36" t="s">
        <v>421</v>
      </c>
      <c r="BP5" s="42">
        <f t="shared" si="19"/>
        <v>0</v>
      </c>
      <c r="BQ5" s="36" t="s">
        <v>421</v>
      </c>
      <c r="BR5" s="36" t="s">
        <v>421</v>
      </c>
      <c r="BS5" s="36" t="s">
        <v>414</v>
      </c>
      <c r="BT5" s="36" t="s">
        <v>414</v>
      </c>
      <c r="BU5" s="36" t="s">
        <v>414</v>
      </c>
      <c r="BV5" s="36" t="s">
        <v>414</v>
      </c>
      <c r="BW5" s="43" t="s">
        <v>433</v>
      </c>
      <c r="BX5" s="44">
        <f t="shared" si="20"/>
        <v>1.274</v>
      </c>
      <c r="BY5" s="45" t="s">
        <v>81</v>
      </c>
      <c r="BZ5" s="46">
        <f t="shared" si="21"/>
        <v>0.5</v>
      </c>
      <c r="CA5" s="45" t="s">
        <v>77</v>
      </c>
      <c r="CB5" s="46">
        <f t="shared" si="22"/>
        <v>0</v>
      </c>
      <c r="CC5" s="36" t="s">
        <v>421</v>
      </c>
      <c r="CD5" s="46">
        <f t="shared" si="23"/>
        <v>0</v>
      </c>
      <c r="CE5" s="45" t="s">
        <v>421</v>
      </c>
      <c r="CF5" s="45" t="s">
        <v>77</v>
      </c>
      <c r="CG5" s="47">
        <v>0</v>
      </c>
      <c r="CH5" s="45" t="s">
        <v>133</v>
      </c>
      <c r="CI5" s="48">
        <f t="shared" si="24"/>
        <v>0</v>
      </c>
      <c r="CJ5" s="49" t="s">
        <v>81</v>
      </c>
      <c r="CK5" s="49" t="s">
        <v>77</v>
      </c>
      <c r="CL5" s="50" t="s">
        <v>421</v>
      </c>
      <c r="CM5" s="49" t="s">
        <v>77</v>
      </c>
      <c r="CN5" s="46">
        <f t="shared" si="25"/>
        <v>0</v>
      </c>
      <c r="CO5" s="49" t="s">
        <v>77</v>
      </c>
      <c r="CP5" s="48">
        <f t="shared" si="26"/>
        <v>0</v>
      </c>
      <c r="CQ5" s="49" t="s">
        <v>77</v>
      </c>
      <c r="CR5" s="48">
        <f t="shared" si="27"/>
        <v>0</v>
      </c>
      <c r="CS5" s="49" t="s">
        <v>77</v>
      </c>
      <c r="CT5" s="48">
        <f t="shared" si="28"/>
        <v>0</v>
      </c>
      <c r="CU5" s="49" t="s">
        <v>77</v>
      </c>
      <c r="CV5" s="48">
        <f t="shared" si="29"/>
        <v>0</v>
      </c>
      <c r="CW5" s="50" t="s">
        <v>434</v>
      </c>
      <c r="CX5" s="51">
        <f t="shared" si="30"/>
        <v>0.5</v>
      </c>
      <c r="CY5" s="52" t="s">
        <v>77</v>
      </c>
      <c r="CZ5" s="53">
        <f t="shared" si="31"/>
        <v>0</v>
      </c>
      <c r="DA5" s="52">
        <v>1</v>
      </c>
      <c r="DB5" s="53">
        <f t="shared" si="32"/>
        <v>3.1E-2</v>
      </c>
      <c r="DC5" s="52" t="s">
        <v>77</v>
      </c>
      <c r="DD5" s="53">
        <f t="shared" si="33"/>
        <v>0</v>
      </c>
      <c r="DE5" s="52" t="s">
        <v>81</v>
      </c>
      <c r="DF5" s="53">
        <f t="shared" si="34"/>
        <v>0.5</v>
      </c>
      <c r="DG5" s="50" t="s">
        <v>77</v>
      </c>
      <c r="DH5" s="50" t="s">
        <v>77</v>
      </c>
      <c r="DI5" s="50" t="s">
        <v>77</v>
      </c>
      <c r="DJ5" s="50" t="s">
        <v>81</v>
      </c>
      <c r="DK5" s="50" t="s">
        <v>77</v>
      </c>
      <c r="DL5" s="50" t="s">
        <v>77</v>
      </c>
      <c r="DM5" s="50" t="s">
        <v>77</v>
      </c>
      <c r="DN5" s="50" t="s">
        <v>77</v>
      </c>
      <c r="DO5" s="50" t="s">
        <v>77</v>
      </c>
      <c r="DP5" s="52" t="s">
        <v>81</v>
      </c>
      <c r="DQ5" s="50" t="s">
        <v>77</v>
      </c>
      <c r="DR5" s="52" t="s">
        <v>77</v>
      </c>
      <c r="DS5" s="53">
        <f t="shared" si="3"/>
        <v>0.25</v>
      </c>
      <c r="DT5" s="52" t="s">
        <v>77</v>
      </c>
      <c r="DU5" s="53">
        <f t="shared" si="35"/>
        <v>0</v>
      </c>
      <c r="DV5" s="52" t="s">
        <v>77</v>
      </c>
      <c r="DW5" s="53">
        <f t="shared" si="36"/>
        <v>0</v>
      </c>
      <c r="DX5" s="52" t="s">
        <v>421</v>
      </c>
      <c r="DY5" s="53">
        <f t="shared" si="37"/>
        <v>0</v>
      </c>
      <c r="DZ5" s="52" t="s">
        <v>421</v>
      </c>
      <c r="EA5" s="53">
        <f t="shared" si="38"/>
        <v>0</v>
      </c>
      <c r="EB5" s="52" t="s">
        <v>77</v>
      </c>
      <c r="EC5" s="53">
        <f t="shared" si="39"/>
        <v>0</v>
      </c>
      <c r="ED5" s="52" t="s">
        <v>435</v>
      </c>
      <c r="EE5" s="54">
        <f t="shared" si="40"/>
        <v>0.78100000000000003</v>
      </c>
      <c r="EF5" s="50" t="s">
        <v>421</v>
      </c>
      <c r="EG5" s="55">
        <v>0</v>
      </c>
      <c r="EH5" s="50" t="s">
        <v>421</v>
      </c>
      <c r="EI5" s="55">
        <f t="shared" si="42"/>
        <v>0</v>
      </c>
      <c r="EJ5" s="50" t="s">
        <v>421</v>
      </c>
      <c r="EK5" s="55">
        <f t="shared" si="43"/>
        <v>0</v>
      </c>
      <c r="EL5" s="50" t="s">
        <v>421</v>
      </c>
      <c r="EM5" s="55">
        <f t="shared" si="44"/>
        <v>0</v>
      </c>
      <c r="EN5" s="50" t="s">
        <v>421</v>
      </c>
      <c r="EO5" s="55">
        <f t="shared" si="45"/>
        <v>0</v>
      </c>
      <c r="EP5" s="50" t="s">
        <v>133</v>
      </c>
      <c r="EQ5" s="55">
        <f t="shared" si="45"/>
        <v>0</v>
      </c>
      <c r="ER5" s="50" t="s">
        <v>436</v>
      </c>
      <c r="ES5" s="56">
        <f t="shared" si="46"/>
        <v>0</v>
      </c>
      <c r="ET5" s="57" t="s">
        <v>133</v>
      </c>
      <c r="EU5" s="58">
        <f t="shared" si="47"/>
        <v>0</v>
      </c>
      <c r="EV5" s="57" t="s">
        <v>414</v>
      </c>
      <c r="EW5" s="58">
        <f t="shared" si="48"/>
        <v>0</v>
      </c>
      <c r="EX5" s="57" t="s">
        <v>414</v>
      </c>
      <c r="EY5" s="58">
        <f t="shared" si="49"/>
        <v>0</v>
      </c>
      <c r="EZ5" s="57" t="s">
        <v>77</v>
      </c>
      <c r="FA5" s="58">
        <f t="shared" si="50"/>
        <v>0</v>
      </c>
      <c r="FB5" s="57" t="s">
        <v>421</v>
      </c>
      <c r="FC5" s="58">
        <f t="shared" si="51"/>
        <v>0</v>
      </c>
      <c r="FD5" s="57" t="s">
        <v>421</v>
      </c>
      <c r="FE5" s="58">
        <f t="shared" si="51"/>
        <v>0</v>
      </c>
      <c r="FF5" s="57" t="s">
        <v>421</v>
      </c>
      <c r="FG5" s="58">
        <f t="shared" si="52"/>
        <v>0</v>
      </c>
      <c r="FH5" s="57" t="s">
        <v>421</v>
      </c>
      <c r="FI5" s="58">
        <f t="shared" si="53"/>
        <v>0</v>
      </c>
      <c r="FJ5" s="57" t="s">
        <v>421</v>
      </c>
      <c r="FK5" s="58">
        <f t="shared" si="53"/>
        <v>0</v>
      </c>
      <c r="FL5" s="59" t="s">
        <v>437</v>
      </c>
      <c r="FM5" s="60">
        <f t="shared" si="54"/>
        <v>0</v>
      </c>
      <c r="FN5" s="61">
        <f t="shared" si="55"/>
        <v>3.7229999999999999</v>
      </c>
    </row>
    <row r="6" spans="1:170" ht="79">
      <c r="A6" s="31">
        <v>4</v>
      </c>
      <c r="B6" s="32" t="s">
        <v>78</v>
      </c>
      <c r="C6" s="33" t="str">
        <f>VLOOKUP(B6,[1]Sheet1!$A:$C,2,FALSE)</f>
        <v>Gucci Group (PPR)</v>
      </c>
      <c r="D6" s="34" t="s">
        <v>412</v>
      </c>
      <c r="E6" s="35" t="str">
        <f>VLOOKUP(B6,[1]Sheet1!$A:$C,3,FALSE)</f>
        <v>France</v>
      </c>
      <c r="F6" s="34" t="s">
        <v>413</v>
      </c>
      <c r="G6" s="32" t="s">
        <v>80</v>
      </c>
      <c r="H6" s="36" t="s">
        <v>81</v>
      </c>
      <c r="I6" s="36" t="s">
        <v>421</v>
      </c>
      <c r="J6" s="36" t="s">
        <v>421</v>
      </c>
      <c r="K6" s="36" t="s">
        <v>415</v>
      </c>
      <c r="L6" s="36" t="s">
        <v>68</v>
      </c>
      <c r="M6" s="37">
        <f t="shared" si="4"/>
        <v>0.75</v>
      </c>
      <c r="N6" s="36">
        <v>1.476</v>
      </c>
      <c r="O6" s="38">
        <f t="shared" si="5"/>
        <v>1.27</v>
      </c>
      <c r="P6" s="36" t="s">
        <v>416</v>
      </c>
      <c r="Q6" s="39">
        <v>0.5</v>
      </c>
      <c r="R6" s="36" t="s">
        <v>77</v>
      </c>
      <c r="S6" s="37">
        <f t="shared" si="6"/>
        <v>0</v>
      </c>
      <c r="T6" s="36" t="s">
        <v>77</v>
      </c>
      <c r="U6" s="37">
        <f t="shared" si="7"/>
        <v>0.5</v>
      </c>
      <c r="V6" s="36" t="s">
        <v>77</v>
      </c>
      <c r="W6" s="36" t="s">
        <v>421</v>
      </c>
      <c r="X6" s="37">
        <f t="shared" si="8"/>
        <v>0</v>
      </c>
      <c r="Y6" s="36" t="s">
        <v>421</v>
      </c>
      <c r="Z6" s="40" t="s">
        <v>438</v>
      </c>
      <c r="AA6" s="41">
        <f t="shared" si="9"/>
        <v>3.02</v>
      </c>
      <c r="AB6" s="36">
        <v>1</v>
      </c>
      <c r="AC6" s="42">
        <f t="shared" si="0"/>
        <v>0.1855</v>
      </c>
      <c r="AD6" s="36" t="s">
        <v>77</v>
      </c>
      <c r="AE6" s="42">
        <f t="shared" si="10"/>
        <v>0.25</v>
      </c>
      <c r="AF6" s="36" t="s">
        <v>421</v>
      </c>
      <c r="AG6" s="36">
        <v>2</v>
      </c>
      <c r="AH6" s="42">
        <f t="shared" si="11"/>
        <v>1</v>
      </c>
      <c r="AI6" s="36" t="s">
        <v>81</v>
      </c>
      <c r="AJ6" s="42">
        <f t="shared" si="1"/>
        <v>0.25</v>
      </c>
      <c r="AK6" s="36" t="s">
        <v>81</v>
      </c>
      <c r="AL6" s="36" t="s">
        <v>77</v>
      </c>
      <c r="AM6" s="36" t="s">
        <v>81</v>
      </c>
      <c r="AN6" s="36" t="s">
        <v>77</v>
      </c>
      <c r="AO6" s="36" t="s">
        <v>77</v>
      </c>
      <c r="AP6" s="42">
        <f t="shared" si="12"/>
        <v>0.25</v>
      </c>
      <c r="AQ6" s="36" t="s">
        <v>77</v>
      </c>
      <c r="AR6" s="36" t="s">
        <v>421</v>
      </c>
      <c r="AS6" s="42">
        <f t="shared" si="13"/>
        <v>0</v>
      </c>
      <c r="AT6" s="36" t="s">
        <v>81</v>
      </c>
      <c r="AU6" s="36" t="s">
        <v>421</v>
      </c>
      <c r="AV6" s="42">
        <f t="shared" si="14"/>
        <v>0</v>
      </c>
      <c r="AW6" s="36" t="s">
        <v>421</v>
      </c>
      <c r="AX6" s="36" t="s">
        <v>77</v>
      </c>
      <c r="AY6" s="42">
        <f t="shared" si="15"/>
        <v>0</v>
      </c>
      <c r="AZ6" s="36" t="s">
        <v>439</v>
      </c>
      <c r="BA6" s="36" t="s">
        <v>81</v>
      </c>
      <c r="BB6" s="42">
        <f t="shared" si="2"/>
        <v>0.25</v>
      </c>
      <c r="BC6" s="36" t="s">
        <v>77</v>
      </c>
      <c r="BD6" s="42">
        <f t="shared" si="16"/>
        <v>0</v>
      </c>
      <c r="BE6" s="36" t="s">
        <v>77</v>
      </c>
      <c r="BF6" s="42">
        <f t="shared" si="17"/>
        <v>0</v>
      </c>
      <c r="BG6" s="36" t="s">
        <v>81</v>
      </c>
      <c r="BH6" s="36" t="s">
        <v>77</v>
      </c>
      <c r="BI6" s="42">
        <f t="shared" si="18"/>
        <v>0</v>
      </c>
      <c r="BJ6" s="36" t="s">
        <v>421</v>
      </c>
      <c r="BK6" s="36" t="s">
        <v>421</v>
      </c>
      <c r="BL6" s="36" t="s">
        <v>421</v>
      </c>
      <c r="BM6" s="36" t="s">
        <v>421</v>
      </c>
      <c r="BN6" s="36" t="s">
        <v>421</v>
      </c>
      <c r="BO6" s="36" t="s">
        <v>77</v>
      </c>
      <c r="BP6" s="42">
        <f t="shared" si="19"/>
        <v>0</v>
      </c>
      <c r="BQ6" s="36" t="s">
        <v>421</v>
      </c>
      <c r="BR6" s="36" t="s">
        <v>421</v>
      </c>
      <c r="BS6" s="36" t="s">
        <v>421</v>
      </c>
      <c r="BT6" s="36" t="s">
        <v>421</v>
      </c>
      <c r="BU6" s="36" t="s">
        <v>421</v>
      </c>
      <c r="BV6" s="36" t="s">
        <v>421</v>
      </c>
      <c r="BW6" s="43" t="s">
        <v>440</v>
      </c>
      <c r="BX6" s="44">
        <f t="shared" si="20"/>
        <v>2.1855000000000002</v>
      </c>
      <c r="BY6" s="45" t="s">
        <v>81</v>
      </c>
      <c r="BZ6" s="46">
        <f t="shared" si="21"/>
        <v>0.5</v>
      </c>
      <c r="CA6" s="45" t="s">
        <v>77</v>
      </c>
      <c r="CB6" s="46">
        <f t="shared" si="22"/>
        <v>0</v>
      </c>
      <c r="CC6" s="36" t="s">
        <v>421</v>
      </c>
      <c r="CD6" s="46">
        <f t="shared" si="23"/>
        <v>0</v>
      </c>
      <c r="CE6" s="45" t="s">
        <v>421</v>
      </c>
      <c r="CF6" s="45" t="s">
        <v>77</v>
      </c>
      <c r="CG6" s="47">
        <v>0</v>
      </c>
      <c r="CH6" s="45" t="s">
        <v>133</v>
      </c>
      <c r="CI6" s="48">
        <f t="shared" si="24"/>
        <v>0</v>
      </c>
      <c r="CJ6" s="49" t="s">
        <v>81</v>
      </c>
      <c r="CK6" s="49" t="s">
        <v>77</v>
      </c>
      <c r="CL6" s="50" t="s">
        <v>421</v>
      </c>
      <c r="CM6" s="49" t="s">
        <v>77</v>
      </c>
      <c r="CN6" s="46">
        <f t="shared" si="25"/>
        <v>0</v>
      </c>
      <c r="CO6" s="49" t="s">
        <v>77</v>
      </c>
      <c r="CP6" s="48">
        <f t="shared" si="26"/>
        <v>0</v>
      </c>
      <c r="CQ6" s="49" t="s">
        <v>77</v>
      </c>
      <c r="CR6" s="48">
        <f t="shared" si="27"/>
        <v>0</v>
      </c>
      <c r="CS6" s="49" t="s">
        <v>81</v>
      </c>
      <c r="CT6" s="48">
        <f t="shared" si="28"/>
        <v>0.5</v>
      </c>
      <c r="CU6" s="49" t="s">
        <v>81</v>
      </c>
      <c r="CV6" s="48">
        <f t="shared" si="29"/>
        <v>0.25</v>
      </c>
      <c r="CW6" s="50" t="s">
        <v>441</v>
      </c>
      <c r="CX6" s="51">
        <f t="shared" si="30"/>
        <v>1.25</v>
      </c>
      <c r="CY6" s="52" t="s">
        <v>81</v>
      </c>
      <c r="CZ6" s="53">
        <f t="shared" si="31"/>
        <v>0.5</v>
      </c>
      <c r="DA6" s="52">
        <v>4</v>
      </c>
      <c r="DB6" s="53">
        <f t="shared" si="32"/>
        <v>0.66600000000000004</v>
      </c>
      <c r="DC6" s="52" t="s">
        <v>77</v>
      </c>
      <c r="DD6" s="53">
        <f t="shared" si="33"/>
        <v>0</v>
      </c>
      <c r="DE6" s="52" t="s">
        <v>81</v>
      </c>
      <c r="DF6" s="53">
        <f t="shared" si="34"/>
        <v>0.5</v>
      </c>
      <c r="DG6" s="50" t="s">
        <v>77</v>
      </c>
      <c r="DH6" s="50" t="s">
        <v>77</v>
      </c>
      <c r="DI6" s="50" t="s">
        <v>77</v>
      </c>
      <c r="DJ6" s="50" t="s">
        <v>81</v>
      </c>
      <c r="DK6" s="50" t="s">
        <v>77</v>
      </c>
      <c r="DL6" s="50" t="s">
        <v>77</v>
      </c>
      <c r="DM6" s="50" t="s">
        <v>81</v>
      </c>
      <c r="DN6" s="50" t="s">
        <v>77</v>
      </c>
      <c r="DO6" s="50" t="s">
        <v>81</v>
      </c>
      <c r="DP6" s="52" t="s">
        <v>81</v>
      </c>
      <c r="DQ6" s="50" t="s">
        <v>77</v>
      </c>
      <c r="DR6" s="52" t="s">
        <v>77</v>
      </c>
      <c r="DS6" s="53">
        <f t="shared" si="3"/>
        <v>0.25</v>
      </c>
      <c r="DT6" s="52" t="s">
        <v>77</v>
      </c>
      <c r="DU6" s="53">
        <f t="shared" si="35"/>
        <v>0</v>
      </c>
      <c r="DV6" s="52" t="s">
        <v>77</v>
      </c>
      <c r="DW6" s="53">
        <f t="shared" si="36"/>
        <v>0</v>
      </c>
      <c r="DX6" s="52" t="s">
        <v>81</v>
      </c>
      <c r="DY6" s="53">
        <f t="shared" si="37"/>
        <v>0.5</v>
      </c>
      <c r="DZ6" s="52" t="s">
        <v>77</v>
      </c>
      <c r="EA6" s="53">
        <f t="shared" si="38"/>
        <v>0</v>
      </c>
      <c r="EB6" s="52" t="s">
        <v>81</v>
      </c>
      <c r="EC6" s="53">
        <f t="shared" si="39"/>
        <v>0.25</v>
      </c>
      <c r="ED6" s="52" t="s">
        <v>442</v>
      </c>
      <c r="EE6" s="54">
        <f t="shared" si="40"/>
        <v>2.6659999999999999</v>
      </c>
      <c r="EF6" s="50">
        <v>6</v>
      </c>
      <c r="EG6" s="55">
        <f t="shared" si="41"/>
        <v>0.24</v>
      </c>
      <c r="EH6" s="50" t="s">
        <v>81</v>
      </c>
      <c r="EI6" s="55">
        <f t="shared" si="42"/>
        <v>0.5</v>
      </c>
      <c r="EJ6" s="50" t="s">
        <v>77</v>
      </c>
      <c r="EK6" s="55">
        <f t="shared" si="43"/>
        <v>0</v>
      </c>
      <c r="EL6" s="50" t="s">
        <v>77</v>
      </c>
      <c r="EM6" s="55">
        <f t="shared" si="44"/>
        <v>0</v>
      </c>
      <c r="EN6" s="50" t="s">
        <v>81</v>
      </c>
      <c r="EO6" s="55">
        <f t="shared" si="45"/>
        <v>0.5</v>
      </c>
      <c r="EP6" s="50" t="s">
        <v>133</v>
      </c>
      <c r="EQ6" s="55">
        <f t="shared" si="45"/>
        <v>0</v>
      </c>
      <c r="ER6" s="50" t="s">
        <v>443</v>
      </c>
      <c r="ES6" s="56">
        <f t="shared" si="46"/>
        <v>1.7714285714285714</v>
      </c>
      <c r="ET6" s="57" t="s">
        <v>133</v>
      </c>
      <c r="EU6" s="58">
        <f t="shared" si="47"/>
        <v>0</v>
      </c>
      <c r="EV6" s="57" t="s">
        <v>414</v>
      </c>
      <c r="EW6" s="58">
        <f t="shared" si="48"/>
        <v>0</v>
      </c>
      <c r="EX6" s="57" t="s">
        <v>414</v>
      </c>
      <c r="EY6" s="58">
        <f t="shared" si="49"/>
        <v>0</v>
      </c>
      <c r="EZ6" s="57" t="s">
        <v>77</v>
      </c>
      <c r="FA6" s="58">
        <f t="shared" si="50"/>
        <v>0</v>
      </c>
      <c r="FB6" s="57" t="s">
        <v>81</v>
      </c>
      <c r="FC6" s="58">
        <f t="shared" si="51"/>
        <v>0.5</v>
      </c>
      <c r="FD6" s="57" t="s">
        <v>81</v>
      </c>
      <c r="FE6" s="58">
        <f t="shared" si="51"/>
        <v>0.5</v>
      </c>
      <c r="FF6" s="57" t="s">
        <v>77</v>
      </c>
      <c r="FG6" s="58">
        <f t="shared" si="52"/>
        <v>0</v>
      </c>
      <c r="FH6" s="57" t="s">
        <v>77</v>
      </c>
      <c r="FI6" s="58">
        <f t="shared" si="53"/>
        <v>0</v>
      </c>
      <c r="FJ6" s="57" t="s">
        <v>81</v>
      </c>
      <c r="FK6" s="58">
        <f t="shared" si="53"/>
        <v>0.5</v>
      </c>
      <c r="FL6" s="59" t="s">
        <v>444</v>
      </c>
      <c r="FM6" s="60">
        <f t="shared" si="54"/>
        <v>1.875</v>
      </c>
      <c r="FN6" s="61">
        <f t="shared" si="55"/>
        <v>12.76792857142857</v>
      </c>
    </row>
    <row r="7" spans="1:170" ht="92">
      <c r="A7" s="31">
        <v>5</v>
      </c>
      <c r="B7" s="32" t="s">
        <v>82</v>
      </c>
      <c r="C7" s="33" t="str">
        <f>VLOOKUP(B7,[1]Sheet1!$A:$C,2,FALSE)</f>
        <v>Labelux Group Inc</v>
      </c>
      <c r="D7" s="34" t="s">
        <v>412</v>
      </c>
      <c r="E7" s="35" t="str">
        <f>VLOOKUP(B7,[1]Sheet1!$A:$C,3,FALSE)</f>
        <v>Switzerland</v>
      </c>
      <c r="F7" s="34" t="s">
        <v>413</v>
      </c>
      <c r="G7" s="32" t="s">
        <v>85</v>
      </c>
      <c r="H7" s="36" t="s">
        <v>81</v>
      </c>
      <c r="I7" s="36" t="s">
        <v>421</v>
      </c>
      <c r="J7" s="36" t="s">
        <v>445</v>
      </c>
      <c r="K7" s="36" t="s">
        <v>446</v>
      </c>
      <c r="L7" s="36" t="s">
        <v>68</v>
      </c>
      <c r="M7" s="37">
        <f t="shared" si="4"/>
        <v>0.75</v>
      </c>
      <c r="N7" s="36">
        <v>2.012</v>
      </c>
      <c r="O7" s="38">
        <f t="shared" si="5"/>
        <v>0.66799999999999993</v>
      </c>
      <c r="P7" s="36" t="s">
        <v>416</v>
      </c>
      <c r="Q7" s="39">
        <v>0.5</v>
      </c>
      <c r="R7" s="36" t="s">
        <v>77</v>
      </c>
      <c r="S7" s="37">
        <f t="shared" si="6"/>
        <v>0</v>
      </c>
      <c r="T7" s="36" t="s">
        <v>133</v>
      </c>
      <c r="U7" s="37">
        <f t="shared" si="7"/>
        <v>0.5</v>
      </c>
      <c r="V7" s="36" t="s">
        <v>81</v>
      </c>
      <c r="W7" s="36" t="s">
        <v>81</v>
      </c>
      <c r="X7" s="37">
        <f t="shared" si="8"/>
        <v>0.25</v>
      </c>
      <c r="Y7" s="36" t="s">
        <v>447</v>
      </c>
      <c r="Z7" s="40" t="s">
        <v>448</v>
      </c>
      <c r="AA7" s="41">
        <f t="shared" si="9"/>
        <v>2.6680000000000001</v>
      </c>
      <c r="AB7" s="36">
        <v>0</v>
      </c>
      <c r="AC7" s="42">
        <f t="shared" si="0"/>
        <v>0.5</v>
      </c>
      <c r="AD7" s="36" t="s">
        <v>77</v>
      </c>
      <c r="AE7" s="42">
        <f t="shared" si="10"/>
        <v>0.25</v>
      </c>
      <c r="AF7" s="36" t="s">
        <v>421</v>
      </c>
      <c r="AG7" s="36">
        <v>2</v>
      </c>
      <c r="AH7" s="42">
        <f t="shared" si="11"/>
        <v>1</v>
      </c>
      <c r="AI7" s="36" t="s">
        <v>81</v>
      </c>
      <c r="AJ7" s="42">
        <f t="shared" si="1"/>
        <v>0.25</v>
      </c>
      <c r="AK7" s="36" t="s">
        <v>81</v>
      </c>
      <c r="AL7" s="36" t="s">
        <v>77</v>
      </c>
      <c r="AM7" s="36" t="s">
        <v>81</v>
      </c>
      <c r="AN7" s="36" t="s">
        <v>77</v>
      </c>
      <c r="AO7" s="36" t="s">
        <v>77</v>
      </c>
      <c r="AP7" s="42">
        <f t="shared" si="12"/>
        <v>0.25</v>
      </c>
      <c r="AQ7" s="36" t="s">
        <v>81</v>
      </c>
      <c r="AR7" s="36" t="s">
        <v>81</v>
      </c>
      <c r="AS7" s="42">
        <f t="shared" si="13"/>
        <v>0.25</v>
      </c>
      <c r="AT7" s="36" t="s">
        <v>81</v>
      </c>
      <c r="AU7" s="36" t="s">
        <v>77</v>
      </c>
      <c r="AV7" s="42">
        <f t="shared" si="14"/>
        <v>0.25</v>
      </c>
      <c r="AW7" s="36" t="s">
        <v>77</v>
      </c>
      <c r="AX7" s="36" t="s">
        <v>81</v>
      </c>
      <c r="AY7" s="42">
        <f t="shared" si="15"/>
        <v>0.25</v>
      </c>
      <c r="AZ7" s="36" t="s">
        <v>449</v>
      </c>
      <c r="BA7" s="36" t="s">
        <v>81</v>
      </c>
      <c r="BB7" s="42">
        <f t="shared" si="2"/>
        <v>0.25</v>
      </c>
      <c r="BC7" s="36" t="s">
        <v>81</v>
      </c>
      <c r="BD7" s="42">
        <f t="shared" si="16"/>
        <v>0.5</v>
      </c>
      <c r="BE7" s="36" t="s">
        <v>77</v>
      </c>
      <c r="BF7" s="42">
        <f t="shared" si="17"/>
        <v>0</v>
      </c>
      <c r="BG7" s="36" t="s">
        <v>81</v>
      </c>
      <c r="BH7" s="36" t="s">
        <v>81</v>
      </c>
      <c r="BI7" s="42">
        <f t="shared" si="18"/>
        <v>0.5</v>
      </c>
      <c r="BJ7" s="36" t="s">
        <v>77</v>
      </c>
      <c r="BK7" s="36" t="s">
        <v>81</v>
      </c>
      <c r="BL7" s="36" t="s">
        <v>77</v>
      </c>
      <c r="BM7" s="36" t="s">
        <v>77</v>
      </c>
      <c r="BN7" s="36" t="s">
        <v>77</v>
      </c>
      <c r="BO7" s="36" t="s">
        <v>81</v>
      </c>
      <c r="BP7" s="42">
        <f t="shared" si="19"/>
        <v>0.5</v>
      </c>
      <c r="BQ7" s="36" t="s">
        <v>81</v>
      </c>
      <c r="BR7" s="36" t="s">
        <v>77</v>
      </c>
      <c r="BS7" s="36" t="s">
        <v>81</v>
      </c>
      <c r="BT7" s="36" t="s">
        <v>77</v>
      </c>
      <c r="BU7" s="36" t="s">
        <v>77</v>
      </c>
      <c r="BV7" s="36" t="s">
        <v>77</v>
      </c>
      <c r="BW7" s="43" t="s">
        <v>450</v>
      </c>
      <c r="BX7" s="44">
        <f t="shared" si="20"/>
        <v>4.75</v>
      </c>
      <c r="BY7" s="45" t="s">
        <v>81</v>
      </c>
      <c r="BZ7" s="46">
        <f t="shared" si="21"/>
        <v>0.5</v>
      </c>
      <c r="CA7" s="45" t="s">
        <v>77</v>
      </c>
      <c r="CB7" s="46">
        <f t="shared" si="22"/>
        <v>0</v>
      </c>
      <c r="CC7" s="36" t="s">
        <v>421</v>
      </c>
      <c r="CD7" s="46">
        <f t="shared" si="23"/>
        <v>0</v>
      </c>
      <c r="CE7" s="45" t="s">
        <v>421</v>
      </c>
      <c r="CF7" s="45" t="s">
        <v>77</v>
      </c>
      <c r="CG7" s="47">
        <v>0</v>
      </c>
      <c r="CH7" s="45" t="s">
        <v>133</v>
      </c>
      <c r="CI7" s="48">
        <f t="shared" si="24"/>
        <v>0</v>
      </c>
      <c r="CJ7" s="49" t="s">
        <v>81</v>
      </c>
      <c r="CK7" s="49" t="s">
        <v>77</v>
      </c>
      <c r="CL7" s="50" t="s">
        <v>421</v>
      </c>
      <c r="CM7" s="49" t="s">
        <v>77</v>
      </c>
      <c r="CN7" s="46">
        <f t="shared" si="25"/>
        <v>0</v>
      </c>
      <c r="CO7" s="49" t="s">
        <v>77</v>
      </c>
      <c r="CP7" s="48">
        <f t="shared" si="26"/>
        <v>0</v>
      </c>
      <c r="CQ7" s="49" t="s">
        <v>77</v>
      </c>
      <c r="CR7" s="48">
        <f t="shared" si="27"/>
        <v>0</v>
      </c>
      <c r="CS7" s="49" t="s">
        <v>77</v>
      </c>
      <c r="CT7" s="48">
        <f t="shared" si="28"/>
        <v>0</v>
      </c>
      <c r="CU7" s="49" t="s">
        <v>77</v>
      </c>
      <c r="CV7" s="48">
        <f t="shared" si="29"/>
        <v>0</v>
      </c>
      <c r="CW7" s="50" t="s">
        <v>451</v>
      </c>
      <c r="CX7" s="51">
        <f t="shared" si="30"/>
        <v>0.5</v>
      </c>
      <c r="CY7" s="52" t="s">
        <v>81</v>
      </c>
      <c r="CZ7" s="53">
        <f t="shared" si="31"/>
        <v>0.5</v>
      </c>
      <c r="DA7" s="52">
        <v>4</v>
      </c>
      <c r="DB7" s="53">
        <f t="shared" si="32"/>
        <v>0.66600000000000004</v>
      </c>
      <c r="DC7" s="52" t="s">
        <v>77</v>
      </c>
      <c r="DD7" s="53">
        <f t="shared" si="33"/>
        <v>0</v>
      </c>
      <c r="DE7" s="52" t="s">
        <v>81</v>
      </c>
      <c r="DF7" s="53">
        <f t="shared" si="34"/>
        <v>0.5</v>
      </c>
      <c r="DG7" s="50" t="s">
        <v>77</v>
      </c>
      <c r="DH7" s="50" t="s">
        <v>77</v>
      </c>
      <c r="DI7" s="50" t="s">
        <v>81</v>
      </c>
      <c r="DJ7" s="50" t="s">
        <v>81</v>
      </c>
      <c r="DK7" s="50" t="s">
        <v>77</v>
      </c>
      <c r="DL7" s="50" t="s">
        <v>81</v>
      </c>
      <c r="DM7" s="50" t="s">
        <v>77</v>
      </c>
      <c r="DN7" s="50" t="s">
        <v>77</v>
      </c>
      <c r="DO7" s="50" t="s">
        <v>77</v>
      </c>
      <c r="DP7" s="52" t="s">
        <v>81</v>
      </c>
      <c r="DQ7" s="50" t="s">
        <v>77</v>
      </c>
      <c r="DR7" s="52" t="s">
        <v>77</v>
      </c>
      <c r="DS7" s="53">
        <f t="shared" si="3"/>
        <v>0.25</v>
      </c>
      <c r="DT7" s="52" t="s">
        <v>77</v>
      </c>
      <c r="DU7" s="53">
        <f t="shared" si="35"/>
        <v>0</v>
      </c>
      <c r="DV7" s="52" t="s">
        <v>77</v>
      </c>
      <c r="DW7" s="53">
        <f t="shared" si="36"/>
        <v>0</v>
      </c>
      <c r="DX7" s="52" t="s">
        <v>81</v>
      </c>
      <c r="DY7" s="53">
        <f t="shared" si="37"/>
        <v>0.5</v>
      </c>
      <c r="DZ7" s="52" t="s">
        <v>77</v>
      </c>
      <c r="EA7" s="53">
        <f t="shared" si="38"/>
        <v>0</v>
      </c>
      <c r="EB7" s="52" t="s">
        <v>81</v>
      </c>
      <c r="EC7" s="53">
        <f t="shared" si="39"/>
        <v>0.25</v>
      </c>
      <c r="ED7" s="52" t="s">
        <v>452</v>
      </c>
      <c r="EE7" s="54">
        <f t="shared" si="40"/>
        <v>2.6659999999999999</v>
      </c>
      <c r="EF7" s="50">
        <v>5</v>
      </c>
      <c r="EG7" s="55">
        <f t="shared" si="41"/>
        <v>0.58000000000000007</v>
      </c>
      <c r="EH7" s="50" t="s">
        <v>77</v>
      </c>
      <c r="EI7" s="55">
        <f t="shared" si="42"/>
        <v>0</v>
      </c>
      <c r="EJ7" s="50" t="s">
        <v>81</v>
      </c>
      <c r="EK7" s="55">
        <f t="shared" si="43"/>
        <v>0.5</v>
      </c>
      <c r="EL7" s="50" t="s">
        <v>77</v>
      </c>
      <c r="EM7" s="55">
        <f t="shared" si="44"/>
        <v>0</v>
      </c>
      <c r="EN7" s="50" t="s">
        <v>81</v>
      </c>
      <c r="EO7" s="55">
        <f t="shared" si="45"/>
        <v>0.5</v>
      </c>
      <c r="EP7" s="50" t="s">
        <v>133</v>
      </c>
      <c r="EQ7" s="55">
        <f t="shared" si="45"/>
        <v>0</v>
      </c>
      <c r="ER7" s="50" t="s">
        <v>453</v>
      </c>
      <c r="ES7" s="56">
        <f t="shared" si="46"/>
        <v>2.2571428571428571</v>
      </c>
      <c r="ET7" s="57" t="s">
        <v>68</v>
      </c>
      <c r="EU7" s="58">
        <f t="shared" si="47"/>
        <v>0.5</v>
      </c>
      <c r="EV7" s="57" t="s">
        <v>68</v>
      </c>
      <c r="EW7" s="58">
        <f t="shared" si="48"/>
        <v>0.5</v>
      </c>
      <c r="EX7" s="57" t="s">
        <v>68</v>
      </c>
      <c r="EY7" s="58">
        <f t="shared" si="49"/>
        <v>0.25</v>
      </c>
      <c r="EZ7" s="57" t="s">
        <v>77</v>
      </c>
      <c r="FA7" s="58">
        <f t="shared" si="50"/>
        <v>0</v>
      </c>
      <c r="FB7" s="57" t="s">
        <v>81</v>
      </c>
      <c r="FC7" s="58">
        <f t="shared" si="51"/>
        <v>0.5</v>
      </c>
      <c r="FD7" s="57" t="s">
        <v>77</v>
      </c>
      <c r="FE7" s="58">
        <f t="shared" si="51"/>
        <v>0</v>
      </c>
      <c r="FF7" s="57" t="s">
        <v>421</v>
      </c>
      <c r="FG7" s="58">
        <f t="shared" si="52"/>
        <v>0</v>
      </c>
      <c r="FH7" s="57" t="s">
        <v>77</v>
      </c>
      <c r="FI7" s="58">
        <f t="shared" si="53"/>
        <v>0</v>
      </c>
      <c r="FJ7" s="57" t="s">
        <v>81</v>
      </c>
      <c r="FK7" s="58">
        <f t="shared" si="53"/>
        <v>0.5</v>
      </c>
      <c r="FL7" s="59" t="s">
        <v>454</v>
      </c>
      <c r="FM7" s="60">
        <f t="shared" si="54"/>
        <v>2.8125</v>
      </c>
      <c r="FN7" s="61">
        <f t="shared" si="55"/>
        <v>15.653642857142856</v>
      </c>
    </row>
    <row r="8" spans="1:170" ht="105">
      <c r="A8" s="31">
        <v>6</v>
      </c>
      <c r="B8" s="64" t="s">
        <v>87</v>
      </c>
      <c r="C8" s="33" t="str">
        <f>VLOOKUP(B8,[1]Sheet1!$A:$C,2,FALSE)</f>
        <v>Labelux Group Inc</v>
      </c>
      <c r="D8" s="34" t="s">
        <v>412</v>
      </c>
      <c r="E8" s="35" t="str">
        <f>VLOOKUP(B8,[1]Sheet1!$A:$C,3,FALSE)</f>
        <v>United Kingdom</v>
      </c>
      <c r="F8" s="34" t="s">
        <v>413</v>
      </c>
      <c r="G8" s="65" t="s">
        <v>88</v>
      </c>
      <c r="H8" s="36" t="s">
        <v>81</v>
      </c>
      <c r="I8" s="36" t="s">
        <v>421</v>
      </c>
      <c r="J8" s="36" t="s">
        <v>421</v>
      </c>
      <c r="K8" s="66" t="s">
        <v>415</v>
      </c>
      <c r="L8" s="66" t="s">
        <v>133</v>
      </c>
      <c r="M8" s="37">
        <f t="shared" si="4"/>
        <v>0</v>
      </c>
      <c r="N8" s="67">
        <f>AVERAGE(N7,N16,N13)</f>
        <v>2.4266666666666663</v>
      </c>
      <c r="O8" s="38">
        <f t="shared" si="5"/>
        <v>0.47799999999999998</v>
      </c>
      <c r="P8" s="36" t="s">
        <v>455</v>
      </c>
      <c r="Q8" s="39">
        <v>0.5</v>
      </c>
      <c r="R8" s="36" t="s">
        <v>77</v>
      </c>
      <c r="S8" s="37">
        <f t="shared" si="6"/>
        <v>0</v>
      </c>
      <c r="T8" s="36" t="s">
        <v>77</v>
      </c>
      <c r="U8" s="37">
        <f t="shared" si="7"/>
        <v>0.5</v>
      </c>
      <c r="V8" s="36" t="s">
        <v>81</v>
      </c>
      <c r="W8" s="36" t="s">
        <v>77</v>
      </c>
      <c r="X8" s="37">
        <f t="shared" si="8"/>
        <v>0</v>
      </c>
      <c r="Y8" s="36" t="s">
        <v>421</v>
      </c>
      <c r="Z8" s="40" t="s">
        <v>456</v>
      </c>
      <c r="AA8" s="41">
        <f t="shared" si="9"/>
        <v>1.478</v>
      </c>
      <c r="AB8" s="36">
        <v>0</v>
      </c>
      <c r="AC8" s="42">
        <f t="shared" si="0"/>
        <v>0.5</v>
      </c>
      <c r="AD8" s="36" t="s">
        <v>77</v>
      </c>
      <c r="AE8" s="42">
        <f t="shared" si="10"/>
        <v>0.25</v>
      </c>
      <c r="AF8" s="36" t="s">
        <v>421</v>
      </c>
      <c r="AG8" s="36">
        <v>2</v>
      </c>
      <c r="AH8" s="42">
        <f t="shared" si="11"/>
        <v>1</v>
      </c>
      <c r="AI8" s="36" t="s">
        <v>81</v>
      </c>
      <c r="AJ8" s="42">
        <f t="shared" si="1"/>
        <v>0.25</v>
      </c>
      <c r="AK8" s="36" t="s">
        <v>81</v>
      </c>
      <c r="AL8" s="36" t="s">
        <v>77</v>
      </c>
      <c r="AM8" s="36" t="s">
        <v>81</v>
      </c>
      <c r="AN8" s="36" t="s">
        <v>77</v>
      </c>
      <c r="AO8" s="36" t="s">
        <v>77</v>
      </c>
      <c r="AP8" s="42">
        <f t="shared" si="12"/>
        <v>0.25</v>
      </c>
      <c r="AQ8" s="36" t="s">
        <v>77</v>
      </c>
      <c r="AR8" s="36" t="s">
        <v>421</v>
      </c>
      <c r="AS8" s="42">
        <f t="shared" si="13"/>
        <v>0</v>
      </c>
      <c r="AT8" s="36" t="s">
        <v>421</v>
      </c>
      <c r="AU8" s="36" t="s">
        <v>421</v>
      </c>
      <c r="AV8" s="42">
        <f t="shared" si="14"/>
        <v>0</v>
      </c>
      <c r="AW8" s="36" t="s">
        <v>421</v>
      </c>
      <c r="AX8" s="36" t="s">
        <v>77</v>
      </c>
      <c r="AY8" s="42">
        <f t="shared" si="15"/>
        <v>0</v>
      </c>
      <c r="AZ8" s="36" t="s">
        <v>457</v>
      </c>
      <c r="BA8" s="36" t="s">
        <v>81</v>
      </c>
      <c r="BB8" s="42">
        <f t="shared" si="2"/>
        <v>0.25</v>
      </c>
      <c r="BC8" s="36" t="s">
        <v>77</v>
      </c>
      <c r="BD8" s="42">
        <f t="shared" si="16"/>
        <v>0</v>
      </c>
      <c r="BE8" s="36" t="s">
        <v>77</v>
      </c>
      <c r="BF8" s="42">
        <f t="shared" si="17"/>
        <v>0</v>
      </c>
      <c r="BG8" s="36" t="s">
        <v>81</v>
      </c>
      <c r="BH8" s="36" t="s">
        <v>81</v>
      </c>
      <c r="BI8" s="42">
        <f t="shared" si="18"/>
        <v>0.5</v>
      </c>
      <c r="BJ8" s="36" t="s">
        <v>77</v>
      </c>
      <c r="BK8" s="36" t="s">
        <v>81</v>
      </c>
      <c r="BL8" s="36" t="s">
        <v>77</v>
      </c>
      <c r="BM8" s="36" t="s">
        <v>77</v>
      </c>
      <c r="BN8" s="36" t="s">
        <v>77</v>
      </c>
      <c r="BO8" s="36" t="s">
        <v>77</v>
      </c>
      <c r="BP8" s="42">
        <f t="shared" si="19"/>
        <v>0</v>
      </c>
      <c r="BQ8" s="36" t="s">
        <v>421</v>
      </c>
      <c r="BR8" s="36" t="s">
        <v>421</v>
      </c>
      <c r="BS8" s="36" t="s">
        <v>414</v>
      </c>
      <c r="BT8" s="36" t="s">
        <v>414</v>
      </c>
      <c r="BU8" s="36" t="s">
        <v>414</v>
      </c>
      <c r="BV8" s="36" t="s">
        <v>414</v>
      </c>
      <c r="BW8" s="43" t="s">
        <v>458</v>
      </c>
      <c r="BX8" s="44">
        <f t="shared" si="20"/>
        <v>3</v>
      </c>
      <c r="BY8" s="45" t="s">
        <v>81</v>
      </c>
      <c r="BZ8" s="46">
        <f t="shared" si="21"/>
        <v>0.5</v>
      </c>
      <c r="CA8" s="45" t="s">
        <v>77</v>
      </c>
      <c r="CB8" s="46">
        <f t="shared" si="22"/>
        <v>0</v>
      </c>
      <c r="CC8" s="36" t="s">
        <v>421</v>
      </c>
      <c r="CD8" s="46">
        <f t="shared" si="23"/>
        <v>0</v>
      </c>
      <c r="CE8" s="45" t="s">
        <v>421</v>
      </c>
      <c r="CF8" s="45" t="s">
        <v>77</v>
      </c>
      <c r="CG8" s="47">
        <v>0</v>
      </c>
      <c r="CH8" s="45" t="s">
        <v>133</v>
      </c>
      <c r="CI8" s="48">
        <f t="shared" si="24"/>
        <v>0</v>
      </c>
      <c r="CJ8" s="49" t="s">
        <v>81</v>
      </c>
      <c r="CK8" s="49" t="s">
        <v>81</v>
      </c>
      <c r="CL8" s="50" t="s">
        <v>459</v>
      </c>
      <c r="CM8" s="49" t="s">
        <v>77</v>
      </c>
      <c r="CN8" s="46">
        <f t="shared" si="25"/>
        <v>0</v>
      </c>
      <c r="CO8" s="49" t="s">
        <v>81</v>
      </c>
      <c r="CP8" s="48">
        <f t="shared" si="26"/>
        <v>0.75</v>
      </c>
      <c r="CQ8" s="49" t="s">
        <v>77</v>
      </c>
      <c r="CR8" s="48">
        <f t="shared" si="27"/>
        <v>0</v>
      </c>
      <c r="CS8" s="49" t="s">
        <v>77</v>
      </c>
      <c r="CT8" s="48">
        <f t="shared" si="28"/>
        <v>0</v>
      </c>
      <c r="CU8" s="49" t="s">
        <v>77</v>
      </c>
      <c r="CV8" s="48">
        <f t="shared" si="29"/>
        <v>0</v>
      </c>
      <c r="CW8" s="50" t="s">
        <v>460</v>
      </c>
      <c r="CX8" s="51">
        <f t="shared" si="30"/>
        <v>1.25</v>
      </c>
      <c r="CY8" s="52" t="s">
        <v>81</v>
      </c>
      <c r="CZ8" s="53">
        <f t="shared" si="31"/>
        <v>0.5</v>
      </c>
      <c r="DA8" s="52">
        <v>5</v>
      </c>
      <c r="DB8" s="53">
        <f t="shared" si="32"/>
        <v>0.92</v>
      </c>
      <c r="DC8" s="52" t="s">
        <v>77</v>
      </c>
      <c r="DD8" s="53">
        <f t="shared" si="33"/>
        <v>0</v>
      </c>
      <c r="DE8" s="52" t="s">
        <v>81</v>
      </c>
      <c r="DF8" s="53">
        <f t="shared" si="34"/>
        <v>0.5</v>
      </c>
      <c r="DG8" s="50" t="s">
        <v>77</v>
      </c>
      <c r="DH8" s="50" t="s">
        <v>77</v>
      </c>
      <c r="DI8" s="50" t="s">
        <v>81</v>
      </c>
      <c r="DJ8" s="50" t="s">
        <v>81</v>
      </c>
      <c r="DK8" s="50" t="s">
        <v>77</v>
      </c>
      <c r="DL8" s="50" t="s">
        <v>77</v>
      </c>
      <c r="DM8" s="50" t="s">
        <v>81</v>
      </c>
      <c r="DN8" s="50" t="s">
        <v>77</v>
      </c>
      <c r="DO8" s="50" t="s">
        <v>81</v>
      </c>
      <c r="DP8" s="52" t="s">
        <v>77</v>
      </c>
      <c r="DQ8" s="50" t="s">
        <v>77</v>
      </c>
      <c r="DR8" s="52" t="s">
        <v>77</v>
      </c>
      <c r="DS8" s="53">
        <f t="shared" si="3"/>
        <v>0.25</v>
      </c>
      <c r="DT8" s="52" t="s">
        <v>77</v>
      </c>
      <c r="DU8" s="53">
        <f t="shared" si="35"/>
        <v>0</v>
      </c>
      <c r="DV8" s="52" t="s">
        <v>77</v>
      </c>
      <c r="DW8" s="53">
        <f t="shared" si="36"/>
        <v>0</v>
      </c>
      <c r="DX8" s="52" t="s">
        <v>77</v>
      </c>
      <c r="DY8" s="53">
        <f t="shared" si="37"/>
        <v>0</v>
      </c>
      <c r="DZ8" s="52" t="s">
        <v>81</v>
      </c>
      <c r="EA8" s="53">
        <f t="shared" si="38"/>
        <v>0.5</v>
      </c>
      <c r="EB8" s="52" t="s">
        <v>81</v>
      </c>
      <c r="EC8" s="53">
        <f t="shared" si="39"/>
        <v>0.25</v>
      </c>
      <c r="ED8" s="52" t="s">
        <v>461</v>
      </c>
      <c r="EE8" s="54">
        <f t="shared" si="40"/>
        <v>2.92</v>
      </c>
      <c r="EF8" s="50">
        <v>5</v>
      </c>
      <c r="EG8" s="55">
        <f t="shared" si="41"/>
        <v>0.58000000000000007</v>
      </c>
      <c r="EH8" s="50" t="s">
        <v>77</v>
      </c>
      <c r="EI8" s="55">
        <f t="shared" si="42"/>
        <v>0</v>
      </c>
      <c r="EJ8" s="50" t="s">
        <v>77</v>
      </c>
      <c r="EK8" s="55">
        <f t="shared" si="43"/>
        <v>0</v>
      </c>
      <c r="EL8" s="50" t="s">
        <v>77</v>
      </c>
      <c r="EM8" s="55">
        <f t="shared" si="44"/>
        <v>0</v>
      </c>
      <c r="EN8" s="50" t="s">
        <v>81</v>
      </c>
      <c r="EO8" s="55">
        <f t="shared" si="45"/>
        <v>0.5</v>
      </c>
      <c r="EP8" s="50" t="s">
        <v>133</v>
      </c>
      <c r="EQ8" s="55">
        <f t="shared" si="45"/>
        <v>0</v>
      </c>
      <c r="ER8" s="50" t="s">
        <v>417</v>
      </c>
      <c r="ES8" s="56">
        <f t="shared" si="46"/>
        <v>1.5428571428571429</v>
      </c>
      <c r="ET8" s="57" t="s">
        <v>133</v>
      </c>
      <c r="EU8" s="58">
        <f t="shared" si="47"/>
        <v>0</v>
      </c>
      <c r="EV8" s="57" t="s">
        <v>414</v>
      </c>
      <c r="EW8" s="58">
        <f t="shared" si="48"/>
        <v>0</v>
      </c>
      <c r="EX8" s="57" t="s">
        <v>414</v>
      </c>
      <c r="EY8" s="58">
        <f t="shared" si="49"/>
        <v>0</v>
      </c>
      <c r="EZ8" s="57" t="s">
        <v>77</v>
      </c>
      <c r="FA8" s="58">
        <f t="shared" si="50"/>
        <v>0</v>
      </c>
      <c r="FB8" s="57" t="s">
        <v>77</v>
      </c>
      <c r="FC8" s="58">
        <f t="shared" si="51"/>
        <v>0</v>
      </c>
      <c r="FD8" s="57" t="s">
        <v>421</v>
      </c>
      <c r="FE8" s="58">
        <f t="shared" si="51"/>
        <v>0</v>
      </c>
      <c r="FF8" s="57" t="s">
        <v>421</v>
      </c>
      <c r="FG8" s="58">
        <f t="shared" si="52"/>
        <v>0</v>
      </c>
      <c r="FH8" s="57" t="s">
        <v>77</v>
      </c>
      <c r="FI8" s="58">
        <f t="shared" si="53"/>
        <v>0</v>
      </c>
      <c r="FJ8" s="57" t="s">
        <v>81</v>
      </c>
      <c r="FK8" s="58">
        <f t="shared" si="53"/>
        <v>0.5</v>
      </c>
      <c r="FL8" s="59" t="s">
        <v>462</v>
      </c>
      <c r="FM8" s="60">
        <f t="shared" si="54"/>
        <v>0.625</v>
      </c>
      <c r="FN8" s="61">
        <f t="shared" si="55"/>
        <v>10.815857142857142</v>
      </c>
    </row>
    <row r="9" spans="1:170" ht="73">
      <c r="A9" s="31">
        <v>7</v>
      </c>
      <c r="B9" s="32" t="s">
        <v>90</v>
      </c>
      <c r="C9" s="33" t="str">
        <f>VLOOKUP(B9,[1]Sheet1!$A:$C,2,FALSE)</f>
        <v>Gucci Group (PPR)</v>
      </c>
      <c r="D9" s="34" t="s">
        <v>412</v>
      </c>
      <c r="E9" s="35" t="str">
        <f>VLOOKUP(B9,[1]Sheet1!$A:$C,3,FALSE)</f>
        <v>Italy</v>
      </c>
      <c r="F9" s="34" t="s">
        <v>413</v>
      </c>
      <c r="G9" s="32" t="s">
        <v>92</v>
      </c>
      <c r="H9" s="36" t="s">
        <v>81</v>
      </c>
      <c r="I9" s="36" t="s">
        <v>421</v>
      </c>
      <c r="J9" s="36" t="s">
        <v>421</v>
      </c>
      <c r="K9" s="36" t="s">
        <v>415</v>
      </c>
      <c r="L9" s="36" t="s">
        <v>68</v>
      </c>
      <c r="M9" s="37">
        <f t="shared" si="4"/>
        <v>0.75</v>
      </c>
      <c r="N9" s="36">
        <v>1.593</v>
      </c>
      <c r="O9" s="38">
        <f t="shared" si="5"/>
        <v>1.1440000000000001</v>
      </c>
      <c r="P9" s="36" t="s">
        <v>463</v>
      </c>
      <c r="Q9" s="39">
        <v>0.5</v>
      </c>
      <c r="R9" s="36" t="s">
        <v>77</v>
      </c>
      <c r="S9" s="37">
        <f t="shared" si="6"/>
        <v>0</v>
      </c>
      <c r="T9" s="36" t="s">
        <v>133</v>
      </c>
      <c r="U9" s="37">
        <f t="shared" si="7"/>
        <v>0.5</v>
      </c>
      <c r="V9" s="36" t="s">
        <v>81</v>
      </c>
      <c r="W9" s="36" t="s">
        <v>81</v>
      </c>
      <c r="X9" s="37">
        <f t="shared" si="8"/>
        <v>0.25</v>
      </c>
      <c r="Y9" s="36" t="s">
        <v>464</v>
      </c>
      <c r="Z9" s="40" t="s">
        <v>417</v>
      </c>
      <c r="AA9" s="41">
        <f t="shared" si="9"/>
        <v>3.1440000000000001</v>
      </c>
      <c r="AB9" s="36">
        <v>0</v>
      </c>
      <c r="AC9" s="42">
        <f t="shared" si="0"/>
        <v>0.5</v>
      </c>
      <c r="AD9" s="36" t="s">
        <v>77</v>
      </c>
      <c r="AE9" s="42">
        <f t="shared" si="10"/>
        <v>0.25</v>
      </c>
      <c r="AF9" s="36" t="s">
        <v>421</v>
      </c>
      <c r="AG9" s="36">
        <v>4</v>
      </c>
      <c r="AH9" s="42">
        <f t="shared" si="11"/>
        <v>0.20699999999999996</v>
      </c>
      <c r="AI9" s="36" t="s">
        <v>81</v>
      </c>
      <c r="AJ9" s="42">
        <f t="shared" si="1"/>
        <v>0.25</v>
      </c>
      <c r="AK9" s="36" t="s">
        <v>81</v>
      </c>
      <c r="AL9" s="36" t="s">
        <v>77</v>
      </c>
      <c r="AM9" s="36" t="s">
        <v>77</v>
      </c>
      <c r="AN9" s="36" t="s">
        <v>77</v>
      </c>
      <c r="AO9" s="36" t="s">
        <v>77</v>
      </c>
      <c r="AP9" s="42">
        <f t="shared" si="12"/>
        <v>0.25</v>
      </c>
      <c r="AQ9" s="36" t="s">
        <v>77</v>
      </c>
      <c r="AR9" s="36" t="s">
        <v>77</v>
      </c>
      <c r="AS9" s="42">
        <f t="shared" si="13"/>
        <v>0</v>
      </c>
      <c r="AT9" s="36" t="s">
        <v>77</v>
      </c>
      <c r="AU9" s="36" t="s">
        <v>77</v>
      </c>
      <c r="AV9" s="42">
        <f t="shared" si="14"/>
        <v>0</v>
      </c>
      <c r="AW9" s="36" t="s">
        <v>77</v>
      </c>
      <c r="AX9" s="36" t="s">
        <v>77</v>
      </c>
      <c r="AY9" s="42">
        <f t="shared" si="15"/>
        <v>0</v>
      </c>
      <c r="AZ9" s="36" t="s">
        <v>465</v>
      </c>
      <c r="BA9" s="36" t="s">
        <v>81</v>
      </c>
      <c r="BB9" s="42">
        <f t="shared" si="2"/>
        <v>0.25</v>
      </c>
      <c r="BC9" s="36" t="s">
        <v>77</v>
      </c>
      <c r="BD9" s="42">
        <f t="shared" si="16"/>
        <v>0</v>
      </c>
      <c r="BE9" s="36" t="s">
        <v>77</v>
      </c>
      <c r="BF9" s="42">
        <f t="shared" si="17"/>
        <v>0</v>
      </c>
      <c r="BG9" s="36" t="s">
        <v>81</v>
      </c>
      <c r="BH9" s="36" t="s">
        <v>81</v>
      </c>
      <c r="BI9" s="42">
        <f t="shared" si="18"/>
        <v>0.5</v>
      </c>
      <c r="BJ9" s="36" t="s">
        <v>77</v>
      </c>
      <c r="BK9" s="36" t="s">
        <v>81</v>
      </c>
      <c r="BL9" s="36" t="s">
        <v>77</v>
      </c>
      <c r="BM9" s="36" t="s">
        <v>77</v>
      </c>
      <c r="BN9" s="36" t="s">
        <v>77</v>
      </c>
      <c r="BO9" s="36" t="s">
        <v>77</v>
      </c>
      <c r="BP9" s="42">
        <f t="shared" si="19"/>
        <v>0</v>
      </c>
      <c r="BQ9" s="36" t="s">
        <v>414</v>
      </c>
      <c r="BR9" s="36" t="s">
        <v>414</v>
      </c>
      <c r="BS9" s="36" t="s">
        <v>414</v>
      </c>
      <c r="BT9" s="36" t="s">
        <v>414</v>
      </c>
      <c r="BU9" s="36" t="s">
        <v>414</v>
      </c>
      <c r="BV9" s="36" t="s">
        <v>414</v>
      </c>
      <c r="BW9" s="43" t="s">
        <v>466</v>
      </c>
      <c r="BX9" s="44">
        <f t="shared" si="20"/>
        <v>2.2069999999999999</v>
      </c>
      <c r="BY9" s="45" t="s">
        <v>77</v>
      </c>
      <c r="BZ9" s="46">
        <f t="shared" si="21"/>
        <v>0</v>
      </c>
      <c r="CA9" s="45" t="s">
        <v>77</v>
      </c>
      <c r="CB9" s="46">
        <f t="shared" si="22"/>
        <v>0</v>
      </c>
      <c r="CC9" s="36" t="s">
        <v>421</v>
      </c>
      <c r="CD9" s="46">
        <f t="shared" si="23"/>
        <v>0</v>
      </c>
      <c r="CE9" s="45" t="s">
        <v>414</v>
      </c>
      <c r="CF9" s="45" t="s">
        <v>77</v>
      </c>
      <c r="CG9" s="47">
        <v>0</v>
      </c>
      <c r="CH9" s="45" t="s">
        <v>133</v>
      </c>
      <c r="CI9" s="48">
        <f t="shared" si="24"/>
        <v>0</v>
      </c>
      <c r="CJ9" s="49" t="s">
        <v>81</v>
      </c>
      <c r="CK9" s="49" t="s">
        <v>77</v>
      </c>
      <c r="CL9" s="50" t="s">
        <v>421</v>
      </c>
      <c r="CM9" s="49" t="s">
        <v>77</v>
      </c>
      <c r="CN9" s="46">
        <f t="shared" si="25"/>
        <v>0</v>
      </c>
      <c r="CO9" s="49" t="s">
        <v>81</v>
      </c>
      <c r="CP9" s="48">
        <f t="shared" si="26"/>
        <v>0.75</v>
      </c>
      <c r="CQ9" s="49" t="s">
        <v>77</v>
      </c>
      <c r="CR9" s="48">
        <f t="shared" si="27"/>
        <v>0</v>
      </c>
      <c r="CS9" s="49" t="s">
        <v>77</v>
      </c>
      <c r="CT9" s="48">
        <f t="shared" si="28"/>
        <v>0</v>
      </c>
      <c r="CU9" s="49" t="s">
        <v>77</v>
      </c>
      <c r="CV9" s="48">
        <f t="shared" si="29"/>
        <v>0</v>
      </c>
      <c r="CW9" s="50" t="s">
        <v>467</v>
      </c>
      <c r="CX9" s="51">
        <f t="shared" si="30"/>
        <v>0.75</v>
      </c>
      <c r="CY9" s="52" t="s">
        <v>81</v>
      </c>
      <c r="CZ9" s="53">
        <f t="shared" si="31"/>
        <v>0.5</v>
      </c>
      <c r="DA9" s="52">
        <v>4</v>
      </c>
      <c r="DB9" s="53">
        <f t="shared" si="32"/>
        <v>0.66600000000000004</v>
      </c>
      <c r="DC9" s="52" t="s">
        <v>77</v>
      </c>
      <c r="DD9" s="53">
        <f t="shared" si="33"/>
        <v>0</v>
      </c>
      <c r="DE9" s="52" t="s">
        <v>81</v>
      </c>
      <c r="DF9" s="53">
        <f t="shared" si="34"/>
        <v>0.5</v>
      </c>
      <c r="DG9" s="50" t="s">
        <v>77</v>
      </c>
      <c r="DH9" s="50" t="s">
        <v>77</v>
      </c>
      <c r="DI9" s="50" t="s">
        <v>77</v>
      </c>
      <c r="DJ9" s="50" t="s">
        <v>77</v>
      </c>
      <c r="DK9" s="50" t="s">
        <v>77</v>
      </c>
      <c r="DL9" s="50" t="s">
        <v>68</v>
      </c>
      <c r="DM9" s="50" t="s">
        <v>81</v>
      </c>
      <c r="DN9" s="50" t="s">
        <v>77</v>
      </c>
      <c r="DO9" s="50" t="s">
        <v>81</v>
      </c>
      <c r="DP9" s="52" t="s">
        <v>68</v>
      </c>
      <c r="DQ9" s="50" t="s">
        <v>77</v>
      </c>
      <c r="DR9" s="52" t="s">
        <v>77</v>
      </c>
      <c r="DS9" s="53">
        <f t="shared" si="3"/>
        <v>0.25</v>
      </c>
      <c r="DT9" s="52" t="s">
        <v>77</v>
      </c>
      <c r="DU9" s="53">
        <f t="shared" si="35"/>
        <v>0</v>
      </c>
      <c r="DV9" s="52" t="s">
        <v>77</v>
      </c>
      <c r="DW9" s="53">
        <f t="shared" si="36"/>
        <v>0</v>
      </c>
      <c r="DX9" s="52" t="s">
        <v>77</v>
      </c>
      <c r="DY9" s="53">
        <f t="shared" si="37"/>
        <v>0</v>
      </c>
      <c r="DZ9" s="52" t="s">
        <v>77</v>
      </c>
      <c r="EA9" s="53">
        <f t="shared" si="38"/>
        <v>0</v>
      </c>
      <c r="EB9" s="52" t="s">
        <v>81</v>
      </c>
      <c r="EC9" s="53">
        <f t="shared" si="39"/>
        <v>0.25</v>
      </c>
      <c r="ED9" s="52" t="s">
        <v>468</v>
      </c>
      <c r="EE9" s="54">
        <f t="shared" si="40"/>
        <v>2.1659999999999999</v>
      </c>
      <c r="EF9" s="50">
        <v>3</v>
      </c>
      <c r="EG9" s="55">
        <f t="shared" si="41"/>
        <v>0.94</v>
      </c>
      <c r="EH9" s="50" t="s">
        <v>81</v>
      </c>
      <c r="EI9" s="55">
        <f t="shared" si="42"/>
        <v>0.5</v>
      </c>
      <c r="EJ9" s="50" t="s">
        <v>77</v>
      </c>
      <c r="EK9" s="55">
        <f t="shared" si="43"/>
        <v>0</v>
      </c>
      <c r="EL9" s="50" t="s">
        <v>77</v>
      </c>
      <c r="EM9" s="55">
        <f t="shared" si="44"/>
        <v>0</v>
      </c>
      <c r="EN9" s="50" t="s">
        <v>81</v>
      </c>
      <c r="EO9" s="55">
        <f t="shared" si="45"/>
        <v>0.5</v>
      </c>
      <c r="EP9" s="50" t="s">
        <v>133</v>
      </c>
      <c r="EQ9" s="55">
        <f t="shared" si="45"/>
        <v>0</v>
      </c>
      <c r="ER9" s="50" t="s">
        <v>469</v>
      </c>
      <c r="ES9" s="56">
        <f t="shared" si="46"/>
        <v>2.7714285714285714</v>
      </c>
      <c r="ET9" s="57" t="s">
        <v>68</v>
      </c>
      <c r="EU9" s="58">
        <f t="shared" si="47"/>
        <v>0.5</v>
      </c>
      <c r="EV9" s="57" t="s">
        <v>68</v>
      </c>
      <c r="EW9" s="58">
        <f t="shared" si="48"/>
        <v>0.5</v>
      </c>
      <c r="EX9" s="57" t="s">
        <v>133</v>
      </c>
      <c r="EY9" s="58">
        <f t="shared" si="49"/>
        <v>0</v>
      </c>
      <c r="EZ9" s="57" t="s">
        <v>77</v>
      </c>
      <c r="FA9" s="58">
        <f t="shared" si="50"/>
        <v>0</v>
      </c>
      <c r="FB9" s="57" t="s">
        <v>81</v>
      </c>
      <c r="FC9" s="58">
        <f t="shared" si="51"/>
        <v>0.5</v>
      </c>
      <c r="FD9" s="57" t="s">
        <v>77</v>
      </c>
      <c r="FE9" s="58">
        <f t="shared" si="51"/>
        <v>0</v>
      </c>
      <c r="FF9" s="57" t="s">
        <v>421</v>
      </c>
      <c r="FG9" s="58">
        <f t="shared" si="52"/>
        <v>0</v>
      </c>
      <c r="FH9" s="57" t="s">
        <v>77</v>
      </c>
      <c r="FI9" s="58">
        <f t="shared" si="53"/>
        <v>0</v>
      </c>
      <c r="FJ9" s="57" t="s">
        <v>81</v>
      </c>
      <c r="FK9" s="58">
        <f t="shared" si="53"/>
        <v>0.5</v>
      </c>
      <c r="FL9" s="59" t="s">
        <v>470</v>
      </c>
      <c r="FM9" s="60">
        <f t="shared" si="54"/>
        <v>2.5</v>
      </c>
      <c r="FN9" s="61">
        <f t="shared" si="55"/>
        <v>13.53842857142857</v>
      </c>
    </row>
    <row r="10" spans="1:170" ht="131">
      <c r="A10" s="31">
        <v>8</v>
      </c>
      <c r="B10" s="32" t="s">
        <v>93</v>
      </c>
      <c r="C10" s="33" t="str">
        <f>VLOOKUP(B10,[1]Sheet1!$A:$C,2,FALSE)</f>
        <v>Burberry</v>
      </c>
      <c r="D10" s="34" t="s">
        <v>412</v>
      </c>
      <c r="E10" s="35" t="str">
        <f>VLOOKUP(B10,[1]Sheet1!$A:$C,3,FALSE)</f>
        <v>United Kingdom</v>
      </c>
      <c r="F10" s="34" t="s">
        <v>413</v>
      </c>
      <c r="G10" s="32" t="s">
        <v>94</v>
      </c>
      <c r="H10" s="36" t="s">
        <v>68</v>
      </c>
      <c r="I10" s="36" t="s">
        <v>421</v>
      </c>
      <c r="J10" s="36" t="s">
        <v>421</v>
      </c>
      <c r="K10" s="36" t="s">
        <v>415</v>
      </c>
      <c r="L10" s="36" t="s">
        <v>68</v>
      </c>
      <c r="M10" s="37">
        <f t="shared" si="4"/>
        <v>0.75</v>
      </c>
      <c r="N10" s="36">
        <v>1.218</v>
      </c>
      <c r="O10" s="38">
        <f t="shared" si="5"/>
        <v>1.62</v>
      </c>
      <c r="P10" s="36" t="s">
        <v>416</v>
      </c>
      <c r="Q10" s="39">
        <v>0.5</v>
      </c>
      <c r="R10" s="36" t="s">
        <v>68</v>
      </c>
      <c r="S10" s="37">
        <f t="shared" si="6"/>
        <v>0.5</v>
      </c>
      <c r="T10" s="36" t="s">
        <v>133</v>
      </c>
      <c r="U10" s="37">
        <f t="shared" si="7"/>
        <v>0.5</v>
      </c>
      <c r="V10" s="36" t="s">
        <v>68</v>
      </c>
      <c r="W10" s="36" t="s">
        <v>68</v>
      </c>
      <c r="X10" s="37">
        <f t="shared" si="8"/>
        <v>0.25</v>
      </c>
      <c r="Y10" s="36" t="s">
        <v>471</v>
      </c>
      <c r="Z10" s="40" t="s">
        <v>472</v>
      </c>
      <c r="AA10" s="41">
        <f t="shared" si="9"/>
        <v>4.12</v>
      </c>
      <c r="AB10" s="36">
        <v>1</v>
      </c>
      <c r="AC10" s="42">
        <f t="shared" si="0"/>
        <v>0.1855</v>
      </c>
      <c r="AD10" s="36" t="s">
        <v>133</v>
      </c>
      <c r="AE10" s="42">
        <f t="shared" si="10"/>
        <v>0.25</v>
      </c>
      <c r="AF10" s="36" t="s">
        <v>421</v>
      </c>
      <c r="AG10" s="36">
        <v>3</v>
      </c>
      <c r="AH10" s="42">
        <f t="shared" si="11"/>
        <v>0.52400000000000002</v>
      </c>
      <c r="AI10" s="36" t="s">
        <v>68</v>
      </c>
      <c r="AJ10" s="42">
        <f t="shared" si="1"/>
        <v>0.25</v>
      </c>
      <c r="AK10" s="36" t="s">
        <v>68</v>
      </c>
      <c r="AL10" s="36" t="s">
        <v>421</v>
      </c>
      <c r="AM10" s="36" t="s">
        <v>421</v>
      </c>
      <c r="AN10" s="36" t="s">
        <v>421</v>
      </c>
      <c r="AO10" s="36" t="s">
        <v>421</v>
      </c>
      <c r="AP10" s="42">
        <f t="shared" si="12"/>
        <v>0.25</v>
      </c>
      <c r="AQ10" s="36" t="s">
        <v>133</v>
      </c>
      <c r="AR10" s="36" t="s">
        <v>421</v>
      </c>
      <c r="AS10" s="42">
        <f t="shared" si="13"/>
        <v>0</v>
      </c>
      <c r="AT10" s="36" t="s">
        <v>421</v>
      </c>
      <c r="AU10" s="36" t="s">
        <v>421</v>
      </c>
      <c r="AV10" s="42">
        <f t="shared" si="14"/>
        <v>0</v>
      </c>
      <c r="AW10" s="36" t="s">
        <v>421</v>
      </c>
      <c r="AX10" s="36" t="s">
        <v>68</v>
      </c>
      <c r="AY10" s="42">
        <f t="shared" si="15"/>
        <v>0.25</v>
      </c>
      <c r="AZ10" s="36" t="s">
        <v>473</v>
      </c>
      <c r="BA10" s="36" t="s">
        <v>68</v>
      </c>
      <c r="BB10" s="42">
        <f t="shared" si="2"/>
        <v>0.25</v>
      </c>
      <c r="BC10" s="36" t="s">
        <v>68</v>
      </c>
      <c r="BD10" s="42">
        <f t="shared" si="16"/>
        <v>0.5</v>
      </c>
      <c r="BE10" s="36" t="s">
        <v>133</v>
      </c>
      <c r="BF10" s="42">
        <f t="shared" si="17"/>
        <v>0</v>
      </c>
      <c r="BG10" s="36" t="s">
        <v>68</v>
      </c>
      <c r="BH10" s="36" t="s">
        <v>133</v>
      </c>
      <c r="BI10" s="42">
        <f t="shared" si="18"/>
        <v>0</v>
      </c>
      <c r="BJ10" s="36" t="s">
        <v>421</v>
      </c>
      <c r="BK10" s="36" t="s">
        <v>421</v>
      </c>
      <c r="BL10" s="36" t="s">
        <v>421</v>
      </c>
      <c r="BM10" s="36" t="s">
        <v>421</v>
      </c>
      <c r="BN10" s="36" t="s">
        <v>421</v>
      </c>
      <c r="BO10" s="36" t="s">
        <v>68</v>
      </c>
      <c r="BP10" s="42">
        <f t="shared" si="19"/>
        <v>0.5</v>
      </c>
      <c r="BQ10" s="36" t="s">
        <v>421</v>
      </c>
      <c r="BR10" s="36" t="s">
        <v>421</v>
      </c>
      <c r="BS10" s="36" t="s">
        <v>68</v>
      </c>
      <c r="BT10" s="36" t="s">
        <v>421</v>
      </c>
      <c r="BU10" s="36" t="s">
        <v>421</v>
      </c>
      <c r="BV10" s="36" t="s">
        <v>421</v>
      </c>
      <c r="BW10" s="43" t="s">
        <v>474</v>
      </c>
      <c r="BX10" s="44">
        <f t="shared" si="20"/>
        <v>2.9595000000000002</v>
      </c>
      <c r="BY10" s="45" t="s">
        <v>68</v>
      </c>
      <c r="BZ10" s="46">
        <f t="shared" si="21"/>
        <v>0.5</v>
      </c>
      <c r="CA10" s="45" t="s">
        <v>68</v>
      </c>
      <c r="CB10" s="46">
        <f t="shared" si="22"/>
        <v>0.75</v>
      </c>
      <c r="CC10" s="36" t="s">
        <v>68</v>
      </c>
      <c r="CD10" s="46">
        <f t="shared" si="23"/>
        <v>0.5</v>
      </c>
      <c r="CE10" s="45" t="s">
        <v>68</v>
      </c>
      <c r="CF10" s="45" t="s">
        <v>68</v>
      </c>
      <c r="CG10" s="47">
        <v>0.5</v>
      </c>
      <c r="CH10" s="45" t="s">
        <v>133</v>
      </c>
      <c r="CI10" s="48">
        <f t="shared" si="24"/>
        <v>0</v>
      </c>
      <c r="CJ10" s="49" t="s">
        <v>68</v>
      </c>
      <c r="CK10" s="49" t="s">
        <v>133</v>
      </c>
      <c r="CL10" s="50" t="s">
        <v>421</v>
      </c>
      <c r="CM10" s="49" t="s">
        <v>133</v>
      </c>
      <c r="CN10" s="46">
        <f t="shared" si="25"/>
        <v>0</v>
      </c>
      <c r="CO10" s="49" t="s">
        <v>133</v>
      </c>
      <c r="CP10" s="48">
        <f t="shared" si="26"/>
        <v>0</v>
      </c>
      <c r="CQ10" s="49" t="s">
        <v>133</v>
      </c>
      <c r="CR10" s="48">
        <f t="shared" si="27"/>
        <v>0</v>
      </c>
      <c r="CS10" s="49" t="s">
        <v>68</v>
      </c>
      <c r="CT10" s="48">
        <f t="shared" si="28"/>
        <v>0.5</v>
      </c>
      <c r="CU10" s="49" t="s">
        <v>133</v>
      </c>
      <c r="CV10" s="48">
        <f t="shared" si="29"/>
        <v>0</v>
      </c>
      <c r="CW10" s="50" t="s">
        <v>475</v>
      </c>
      <c r="CX10" s="51">
        <f t="shared" si="30"/>
        <v>2.75</v>
      </c>
      <c r="CY10" s="52" t="s">
        <v>68</v>
      </c>
      <c r="CZ10" s="53">
        <f t="shared" si="31"/>
        <v>0.5</v>
      </c>
      <c r="DA10" s="52">
        <v>4</v>
      </c>
      <c r="DB10" s="53">
        <f t="shared" si="32"/>
        <v>0.66600000000000004</v>
      </c>
      <c r="DC10" s="52" t="s">
        <v>68</v>
      </c>
      <c r="DD10" s="53">
        <f t="shared" si="33"/>
        <v>0.5</v>
      </c>
      <c r="DE10" s="52" t="s">
        <v>68</v>
      </c>
      <c r="DF10" s="53">
        <f t="shared" si="34"/>
        <v>0.5</v>
      </c>
      <c r="DG10" s="50" t="s">
        <v>133</v>
      </c>
      <c r="DH10" s="50" t="s">
        <v>133</v>
      </c>
      <c r="DI10" s="50" t="s">
        <v>133</v>
      </c>
      <c r="DJ10" s="50" t="s">
        <v>68</v>
      </c>
      <c r="DK10" s="50" t="s">
        <v>133</v>
      </c>
      <c r="DL10" s="50" t="s">
        <v>133</v>
      </c>
      <c r="DM10" s="50" t="s">
        <v>68</v>
      </c>
      <c r="DN10" s="50" t="s">
        <v>133</v>
      </c>
      <c r="DO10" s="50" t="s">
        <v>68</v>
      </c>
      <c r="DP10" s="52" t="s">
        <v>133</v>
      </c>
      <c r="DQ10" s="50" t="s">
        <v>133</v>
      </c>
      <c r="DR10" s="52" t="s">
        <v>133</v>
      </c>
      <c r="DS10" s="53">
        <f t="shared" si="3"/>
        <v>0.25</v>
      </c>
      <c r="DT10" s="52" t="s">
        <v>133</v>
      </c>
      <c r="DU10" s="53">
        <f t="shared" si="35"/>
        <v>0</v>
      </c>
      <c r="DV10" s="52" t="s">
        <v>133</v>
      </c>
      <c r="DW10" s="53">
        <f t="shared" si="36"/>
        <v>0</v>
      </c>
      <c r="DX10" s="52" t="s">
        <v>68</v>
      </c>
      <c r="DY10" s="53">
        <f t="shared" si="37"/>
        <v>0.5</v>
      </c>
      <c r="DZ10" s="52" t="s">
        <v>133</v>
      </c>
      <c r="EA10" s="53">
        <f t="shared" si="38"/>
        <v>0</v>
      </c>
      <c r="EB10" s="52" t="s">
        <v>133</v>
      </c>
      <c r="EC10" s="53">
        <f t="shared" si="39"/>
        <v>0</v>
      </c>
      <c r="ED10" s="52" t="s">
        <v>476</v>
      </c>
      <c r="EE10" s="54">
        <f t="shared" si="40"/>
        <v>2.9159999999999999</v>
      </c>
      <c r="EF10" s="50">
        <v>5</v>
      </c>
      <c r="EG10" s="55">
        <f t="shared" si="41"/>
        <v>0.58000000000000007</v>
      </c>
      <c r="EH10" s="50" t="s">
        <v>68</v>
      </c>
      <c r="EI10" s="55">
        <f t="shared" si="42"/>
        <v>0.5</v>
      </c>
      <c r="EJ10" s="50" t="s">
        <v>133</v>
      </c>
      <c r="EK10" s="55">
        <f t="shared" si="43"/>
        <v>0</v>
      </c>
      <c r="EL10" s="50" t="s">
        <v>133</v>
      </c>
      <c r="EM10" s="55">
        <f t="shared" si="44"/>
        <v>0</v>
      </c>
      <c r="EN10" s="50" t="s">
        <v>68</v>
      </c>
      <c r="EO10" s="55">
        <f t="shared" si="45"/>
        <v>0.5</v>
      </c>
      <c r="EP10" s="50" t="s">
        <v>133</v>
      </c>
      <c r="EQ10" s="55">
        <f t="shared" si="45"/>
        <v>0</v>
      </c>
      <c r="ER10" s="50" t="s">
        <v>477</v>
      </c>
      <c r="ES10" s="56">
        <f t="shared" si="46"/>
        <v>2.2571428571428571</v>
      </c>
      <c r="ET10" s="57" t="s">
        <v>68</v>
      </c>
      <c r="EU10" s="58">
        <f t="shared" si="47"/>
        <v>0.5</v>
      </c>
      <c r="EV10" s="57" t="s">
        <v>68</v>
      </c>
      <c r="EW10" s="58">
        <f t="shared" si="48"/>
        <v>0.5</v>
      </c>
      <c r="EX10" s="57" t="s">
        <v>133</v>
      </c>
      <c r="EY10" s="58">
        <f t="shared" si="49"/>
        <v>0</v>
      </c>
      <c r="EZ10" s="57" t="s">
        <v>68</v>
      </c>
      <c r="FA10" s="58">
        <f t="shared" si="50"/>
        <v>0.5</v>
      </c>
      <c r="FB10" s="57" t="s">
        <v>68</v>
      </c>
      <c r="FC10" s="58">
        <f t="shared" si="51"/>
        <v>0.5</v>
      </c>
      <c r="FD10" s="57" t="s">
        <v>68</v>
      </c>
      <c r="FE10" s="58">
        <f t="shared" si="51"/>
        <v>0.5</v>
      </c>
      <c r="FF10" s="57" t="s">
        <v>68</v>
      </c>
      <c r="FG10" s="58">
        <f t="shared" si="52"/>
        <v>0.25</v>
      </c>
      <c r="FH10" s="57" t="s">
        <v>133</v>
      </c>
      <c r="FI10" s="58">
        <f t="shared" si="53"/>
        <v>0</v>
      </c>
      <c r="FJ10" s="57" t="s">
        <v>68</v>
      </c>
      <c r="FK10" s="58">
        <f t="shared" si="53"/>
        <v>0.5</v>
      </c>
      <c r="FL10" s="59" t="s">
        <v>478</v>
      </c>
      <c r="FM10" s="60">
        <f t="shared" si="54"/>
        <v>4.0625</v>
      </c>
      <c r="FN10" s="61">
        <f t="shared" si="55"/>
        <v>19.065142857142856</v>
      </c>
    </row>
    <row r="11" spans="1:170" ht="144">
      <c r="A11" s="31">
        <v>9</v>
      </c>
      <c r="B11" s="32" t="s">
        <v>96</v>
      </c>
      <c r="C11" s="33" t="str">
        <f>VLOOKUP(B11,[1]Sheet1!$A:$C,2,FALSE)</f>
        <v>Phillips-Van Heusen</v>
      </c>
      <c r="D11" s="34" t="s">
        <v>412</v>
      </c>
      <c r="E11" s="35" t="str">
        <f>VLOOKUP(B11,[1]Sheet1!$A:$C,3,FALSE)</f>
        <v>United States</v>
      </c>
      <c r="F11" s="34" t="s">
        <v>413</v>
      </c>
      <c r="G11" s="32" t="s">
        <v>98</v>
      </c>
      <c r="H11" s="36" t="s">
        <v>81</v>
      </c>
      <c r="I11" s="36" t="s">
        <v>414</v>
      </c>
      <c r="J11" s="36" t="s">
        <v>421</v>
      </c>
      <c r="K11" s="36" t="s">
        <v>415</v>
      </c>
      <c r="L11" s="36" t="s">
        <v>133</v>
      </c>
      <c r="M11" s="37">
        <f t="shared" si="4"/>
        <v>0</v>
      </c>
      <c r="N11" s="36">
        <v>1.6120000000000001</v>
      </c>
      <c r="O11" s="38">
        <f t="shared" si="5"/>
        <v>1.08</v>
      </c>
      <c r="P11" s="36" t="s">
        <v>479</v>
      </c>
      <c r="Q11" s="39">
        <v>1</v>
      </c>
      <c r="R11" s="36" t="s">
        <v>77</v>
      </c>
      <c r="S11" s="37">
        <f t="shared" si="6"/>
        <v>0</v>
      </c>
      <c r="T11" s="36" t="s">
        <v>133</v>
      </c>
      <c r="U11" s="37">
        <f t="shared" si="7"/>
        <v>0.5</v>
      </c>
      <c r="V11" s="36" t="s">
        <v>81</v>
      </c>
      <c r="W11" s="36" t="s">
        <v>81</v>
      </c>
      <c r="X11" s="37">
        <f t="shared" si="8"/>
        <v>0.25</v>
      </c>
      <c r="Y11" s="36" t="s">
        <v>480</v>
      </c>
      <c r="Z11" s="40" t="s">
        <v>481</v>
      </c>
      <c r="AA11" s="41">
        <f t="shared" si="9"/>
        <v>2.83</v>
      </c>
      <c r="AB11" s="36">
        <v>0</v>
      </c>
      <c r="AC11" s="42">
        <f t="shared" si="0"/>
        <v>0.5</v>
      </c>
      <c r="AD11" s="36" t="s">
        <v>81</v>
      </c>
      <c r="AE11" s="42">
        <f t="shared" si="10"/>
        <v>0</v>
      </c>
      <c r="AF11" s="36" t="s">
        <v>81</v>
      </c>
      <c r="AG11" s="36">
        <v>3</v>
      </c>
      <c r="AH11" s="42">
        <f t="shared" si="11"/>
        <v>0.52400000000000002</v>
      </c>
      <c r="AI11" s="36" t="s">
        <v>81</v>
      </c>
      <c r="AJ11" s="42">
        <f t="shared" si="1"/>
        <v>0.25</v>
      </c>
      <c r="AK11" s="36" t="s">
        <v>81</v>
      </c>
      <c r="AL11" s="36" t="s">
        <v>77</v>
      </c>
      <c r="AM11" s="36" t="s">
        <v>77</v>
      </c>
      <c r="AN11" s="36" t="s">
        <v>77</v>
      </c>
      <c r="AO11" s="36" t="s">
        <v>81</v>
      </c>
      <c r="AP11" s="42">
        <f t="shared" si="12"/>
        <v>0.25</v>
      </c>
      <c r="AQ11" s="36" t="s">
        <v>77</v>
      </c>
      <c r="AR11" s="36" t="s">
        <v>414</v>
      </c>
      <c r="AS11" s="42">
        <f t="shared" si="13"/>
        <v>0</v>
      </c>
      <c r="AT11" s="36" t="s">
        <v>81</v>
      </c>
      <c r="AU11" s="36" t="s">
        <v>414</v>
      </c>
      <c r="AV11" s="42">
        <f t="shared" si="14"/>
        <v>0</v>
      </c>
      <c r="AW11" s="36" t="s">
        <v>414</v>
      </c>
      <c r="AX11" s="36" t="s">
        <v>77</v>
      </c>
      <c r="AY11" s="42">
        <f t="shared" si="15"/>
        <v>0</v>
      </c>
      <c r="AZ11" s="36" t="s">
        <v>482</v>
      </c>
      <c r="BA11" s="36" t="s">
        <v>81</v>
      </c>
      <c r="BB11" s="42">
        <f t="shared" si="2"/>
        <v>0.25</v>
      </c>
      <c r="BC11" s="36" t="s">
        <v>77</v>
      </c>
      <c r="BD11" s="42">
        <f t="shared" si="16"/>
        <v>0</v>
      </c>
      <c r="BE11" s="36" t="s">
        <v>77</v>
      </c>
      <c r="BF11" s="42">
        <f t="shared" si="17"/>
        <v>0</v>
      </c>
      <c r="BG11" s="36" t="s">
        <v>81</v>
      </c>
      <c r="BH11" s="36" t="s">
        <v>81</v>
      </c>
      <c r="BI11" s="42">
        <f t="shared" si="18"/>
        <v>0.5</v>
      </c>
      <c r="BJ11" s="36" t="s">
        <v>81</v>
      </c>
      <c r="BK11" s="36" t="s">
        <v>81</v>
      </c>
      <c r="BL11" s="36" t="s">
        <v>77</v>
      </c>
      <c r="BM11" s="36" t="s">
        <v>77</v>
      </c>
      <c r="BN11" s="36" t="s">
        <v>77</v>
      </c>
      <c r="BO11" s="36" t="s">
        <v>77</v>
      </c>
      <c r="BP11" s="42">
        <f t="shared" si="19"/>
        <v>0</v>
      </c>
      <c r="BQ11" s="36" t="s">
        <v>414</v>
      </c>
      <c r="BR11" s="36" t="s">
        <v>414</v>
      </c>
      <c r="BS11" s="36" t="s">
        <v>414</v>
      </c>
      <c r="BT11" s="36" t="s">
        <v>414</v>
      </c>
      <c r="BU11" s="36" t="s">
        <v>414</v>
      </c>
      <c r="BV11" s="36" t="s">
        <v>414</v>
      </c>
      <c r="BW11" s="43" t="s">
        <v>483</v>
      </c>
      <c r="BX11" s="44">
        <f t="shared" si="20"/>
        <v>2.274</v>
      </c>
      <c r="BY11" s="45" t="s">
        <v>81</v>
      </c>
      <c r="BZ11" s="46">
        <f t="shared" si="21"/>
        <v>0.5</v>
      </c>
      <c r="CA11" s="45" t="s">
        <v>77</v>
      </c>
      <c r="CB11" s="46">
        <f t="shared" si="22"/>
        <v>0</v>
      </c>
      <c r="CC11" s="36" t="s">
        <v>421</v>
      </c>
      <c r="CD11" s="46">
        <f t="shared" si="23"/>
        <v>0</v>
      </c>
      <c r="CE11" s="45" t="s">
        <v>421</v>
      </c>
      <c r="CF11" s="45" t="s">
        <v>81</v>
      </c>
      <c r="CG11" s="47">
        <v>0.5</v>
      </c>
      <c r="CH11" s="45" t="s">
        <v>133</v>
      </c>
      <c r="CI11" s="48">
        <f t="shared" si="24"/>
        <v>0</v>
      </c>
      <c r="CJ11" s="49" t="s">
        <v>81</v>
      </c>
      <c r="CK11" s="49" t="s">
        <v>77</v>
      </c>
      <c r="CL11" s="50" t="s">
        <v>421</v>
      </c>
      <c r="CM11" s="49" t="s">
        <v>421</v>
      </c>
      <c r="CN11" s="46">
        <f t="shared" si="25"/>
        <v>0</v>
      </c>
      <c r="CO11" s="49" t="s">
        <v>81</v>
      </c>
      <c r="CP11" s="48">
        <f t="shared" si="26"/>
        <v>0.75</v>
      </c>
      <c r="CQ11" s="49" t="s">
        <v>77</v>
      </c>
      <c r="CR11" s="48">
        <f t="shared" si="27"/>
        <v>0</v>
      </c>
      <c r="CS11" s="49" t="s">
        <v>77</v>
      </c>
      <c r="CT11" s="48">
        <f t="shared" si="28"/>
        <v>0</v>
      </c>
      <c r="CU11" s="49" t="s">
        <v>77</v>
      </c>
      <c r="CV11" s="48">
        <f t="shared" si="29"/>
        <v>0</v>
      </c>
      <c r="CW11" s="50" t="s">
        <v>484</v>
      </c>
      <c r="CX11" s="51">
        <f t="shared" si="30"/>
        <v>1.75</v>
      </c>
      <c r="CY11" s="52" t="s">
        <v>81</v>
      </c>
      <c r="CZ11" s="53">
        <f t="shared" si="31"/>
        <v>0.5</v>
      </c>
      <c r="DA11" s="52">
        <v>2</v>
      </c>
      <c r="DB11" s="53">
        <f t="shared" si="32"/>
        <v>0.23799999999999999</v>
      </c>
      <c r="DC11" s="52" t="s">
        <v>77</v>
      </c>
      <c r="DD11" s="53">
        <f t="shared" si="33"/>
        <v>0</v>
      </c>
      <c r="DE11" s="52" t="s">
        <v>81</v>
      </c>
      <c r="DF11" s="53">
        <f t="shared" si="34"/>
        <v>0.5</v>
      </c>
      <c r="DG11" s="50" t="s">
        <v>81</v>
      </c>
      <c r="DH11" s="50" t="s">
        <v>77</v>
      </c>
      <c r="DI11" s="50" t="s">
        <v>77</v>
      </c>
      <c r="DJ11" s="50" t="s">
        <v>81</v>
      </c>
      <c r="DK11" s="50" t="s">
        <v>77</v>
      </c>
      <c r="DL11" s="50" t="s">
        <v>77</v>
      </c>
      <c r="DM11" s="50" t="s">
        <v>81</v>
      </c>
      <c r="DN11" s="50" t="s">
        <v>77</v>
      </c>
      <c r="DO11" s="50" t="s">
        <v>81</v>
      </c>
      <c r="DP11" s="52" t="s">
        <v>81</v>
      </c>
      <c r="DQ11" s="50" t="s">
        <v>77</v>
      </c>
      <c r="DR11" s="52" t="s">
        <v>77</v>
      </c>
      <c r="DS11" s="53">
        <f t="shared" si="3"/>
        <v>0.25</v>
      </c>
      <c r="DT11" s="52" t="s">
        <v>81</v>
      </c>
      <c r="DU11" s="53">
        <f t="shared" si="35"/>
        <v>0.5</v>
      </c>
      <c r="DV11" s="52" t="s">
        <v>81</v>
      </c>
      <c r="DW11" s="53">
        <f t="shared" si="36"/>
        <v>0.5</v>
      </c>
      <c r="DX11" s="52" t="s">
        <v>81</v>
      </c>
      <c r="DY11" s="53">
        <f t="shared" si="37"/>
        <v>0.5</v>
      </c>
      <c r="DZ11" s="52" t="s">
        <v>81</v>
      </c>
      <c r="EA11" s="53">
        <f t="shared" si="38"/>
        <v>0.5</v>
      </c>
      <c r="EB11" s="52" t="s">
        <v>81</v>
      </c>
      <c r="EC11" s="53">
        <f t="shared" si="39"/>
        <v>0.25</v>
      </c>
      <c r="ED11" s="52" t="s">
        <v>485</v>
      </c>
      <c r="EE11" s="54">
        <f t="shared" si="40"/>
        <v>3.738</v>
      </c>
      <c r="EF11" s="50">
        <v>6</v>
      </c>
      <c r="EG11" s="55">
        <f t="shared" si="41"/>
        <v>0.24</v>
      </c>
      <c r="EH11" s="50" t="s">
        <v>81</v>
      </c>
      <c r="EI11" s="55">
        <f t="shared" si="42"/>
        <v>0.5</v>
      </c>
      <c r="EJ11" s="50" t="s">
        <v>77</v>
      </c>
      <c r="EK11" s="55">
        <f t="shared" si="43"/>
        <v>0</v>
      </c>
      <c r="EL11" s="50" t="s">
        <v>77</v>
      </c>
      <c r="EM11" s="55">
        <f t="shared" si="44"/>
        <v>0</v>
      </c>
      <c r="EN11" s="50" t="s">
        <v>81</v>
      </c>
      <c r="EO11" s="55">
        <f t="shared" si="45"/>
        <v>0.5</v>
      </c>
      <c r="EP11" s="50" t="s">
        <v>81</v>
      </c>
      <c r="EQ11" s="55">
        <f t="shared" si="45"/>
        <v>0.5</v>
      </c>
      <c r="ER11" s="50" t="s">
        <v>417</v>
      </c>
      <c r="ES11" s="56">
        <f t="shared" si="46"/>
        <v>2.4857142857142858</v>
      </c>
      <c r="ET11" s="57" t="s">
        <v>133</v>
      </c>
      <c r="EU11" s="58">
        <f t="shared" si="47"/>
        <v>0</v>
      </c>
      <c r="EV11" s="57" t="s">
        <v>414</v>
      </c>
      <c r="EW11" s="58">
        <f t="shared" si="48"/>
        <v>0</v>
      </c>
      <c r="EX11" s="57" t="s">
        <v>414</v>
      </c>
      <c r="EY11" s="58">
        <f t="shared" si="49"/>
        <v>0</v>
      </c>
      <c r="EZ11" s="57" t="s">
        <v>77</v>
      </c>
      <c r="FA11" s="58">
        <f t="shared" si="50"/>
        <v>0</v>
      </c>
      <c r="FB11" s="57" t="s">
        <v>81</v>
      </c>
      <c r="FC11" s="58">
        <f t="shared" si="51"/>
        <v>0.5</v>
      </c>
      <c r="FD11" s="57" t="s">
        <v>81</v>
      </c>
      <c r="FE11" s="58">
        <f t="shared" si="51"/>
        <v>0.5</v>
      </c>
      <c r="FF11" s="57" t="s">
        <v>77</v>
      </c>
      <c r="FG11" s="58">
        <f t="shared" si="52"/>
        <v>0</v>
      </c>
      <c r="FH11" s="57" t="s">
        <v>77</v>
      </c>
      <c r="FI11" s="58">
        <f t="shared" si="53"/>
        <v>0</v>
      </c>
      <c r="FJ11" s="57" t="s">
        <v>81</v>
      </c>
      <c r="FK11" s="58">
        <f t="shared" si="53"/>
        <v>0.5</v>
      </c>
      <c r="FL11" s="59" t="s">
        <v>486</v>
      </c>
      <c r="FM11" s="60">
        <f t="shared" si="54"/>
        <v>1.875</v>
      </c>
      <c r="FN11" s="61">
        <f t="shared" si="55"/>
        <v>14.952714285714285</v>
      </c>
    </row>
    <row r="12" spans="1:170" ht="183">
      <c r="A12" s="31">
        <v>10</v>
      </c>
      <c r="B12" s="32" t="s">
        <v>100</v>
      </c>
      <c r="C12" s="33" t="str">
        <f>VLOOKUP(B12,[1]Sheet1!$A:$C,2,FALSE)</f>
        <v>Catherine Malandrino</v>
      </c>
      <c r="D12" s="34" t="s">
        <v>412</v>
      </c>
      <c r="E12" s="35" t="str">
        <f>VLOOKUP(B12,[1]Sheet1!$A:$C,3,FALSE)</f>
        <v>United States</v>
      </c>
      <c r="F12" s="34" t="s">
        <v>413</v>
      </c>
      <c r="G12" s="32" t="s">
        <v>101</v>
      </c>
      <c r="H12" s="36" t="s">
        <v>81</v>
      </c>
      <c r="I12" s="36" t="s">
        <v>414</v>
      </c>
      <c r="J12" s="36" t="s">
        <v>414</v>
      </c>
      <c r="K12" s="66" t="s">
        <v>415</v>
      </c>
      <c r="L12" s="66" t="s">
        <v>133</v>
      </c>
      <c r="M12" s="37">
        <f t="shared" si="4"/>
        <v>0</v>
      </c>
      <c r="N12" s="67">
        <f>AVERAGE(N11,N9,N13,N10)</f>
        <v>1.5967500000000001</v>
      </c>
      <c r="O12" s="38">
        <f t="shared" si="5"/>
        <v>1.1120000000000001</v>
      </c>
      <c r="P12" s="36" t="s">
        <v>416</v>
      </c>
      <c r="Q12" s="39">
        <v>0.5</v>
      </c>
      <c r="R12" s="36" t="s">
        <v>77</v>
      </c>
      <c r="S12" s="37">
        <f t="shared" si="6"/>
        <v>0</v>
      </c>
      <c r="T12" s="36" t="s">
        <v>133</v>
      </c>
      <c r="U12" s="37">
        <f t="shared" si="7"/>
        <v>0.5</v>
      </c>
      <c r="V12" s="36" t="s">
        <v>81</v>
      </c>
      <c r="W12" s="36" t="s">
        <v>77</v>
      </c>
      <c r="X12" s="37">
        <f t="shared" si="8"/>
        <v>0</v>
      </c>
      <c r="Y12" s="36" t="s">
        <v>421</v>
      </c>
      <c r="Z12" s="40" t="s">
        <v>487</v>
      </c>
      <c r="AA12" s="41">
        <f t="shared" si="9"/>
        <v>2.1120000000000001</v>
      </c>
      <c r="AB12" s="36">
        <v>0</v>
      </c>
      <c r="AC12" s="42">
        <f t="shared" si="0"/>
        <v>0.5</v>
      </c>
      <c r="AD12" s="36" t="s">
        <v>77</v>
      </c>
      <c r="AE12" s="42">
        <f t="shared" si="10"/>
        <v>0.25</v>
      </c>
      <c r="AF12" s="36" t="s">
        <v>414</v>
      </c>
      <c r="AG12" s="36">
        <v>2</v>
      </c>
      <c r="AH12" s="42">
        <f t="shared" si="11"/>
        <v>1</v>
      </c>
      <c r="AI12" s="36" t="s">
        <v>81</v>
      </c>
      <c r="AJ12" s="42">
        <f t="shared" si="1"/>
        <v>0.25</v>
      </c>
      <c r="AK12" s="36" t="s">
        <v>81</v>
      </c>
      <c r="AL12" s="36" t="s">
        <v>81</v>
      </c>
      <c r="AM12" s="36" t="s">
        <v>81</v>
      </c>
      <c r="AN12" s="36" t="s">
        <v>77</v>
      </c>
      <c r="AO12" s="36" t="s">
        <v>77</v>
      </c>
      <c r="AP12" s="42">
        <f t="shared" si="12"/>
        <v>0.25</v>
      </c>
      <c r="AQ12" s="36" t="s">
        <v>81</v>
      </c>
      <c r="AR12" s="36" t="s">
        <v>81</v>
      </c>
      <c r="AS12" s="42">
        <f t="shared" si="13"/>
        <v>0.25</v>
      </c>
      <c r="AT12" s="36" t="s">
        <v>77</v>
      </c>
      <c r="AU12" s="36" t="s">
        <v>77</v>
      </c>
      <c r="AV12" s="42">
        <f t="shared" si="14"/>
        <v>0.25</v>
      </c>
      <c r="AW12" s="36" t="s">
        <v>77</v>
      </c>
      <c r="AX12" s="36" t="s">
        <v>81</v>
      </c>
      <c r="AY12" s="42">
        <f t="shared" si="15"/>
        <v>0.25</v>
      </c>
      <c r="AZ12" s="36" t="s">
        <v>488</v>
      </c>
      <c r="BA12" s="36" t="s">
        <v>81</v>
      </c>
      <c r="BB12" s="42">
        <f t="shared" si="2"/>
        <v>0.25</v>
      </c>
      <c r="BC12" s="36" t="s">
        <v>77</v>
      </c>
      <c r="BD12" s="42">
        <f t="shared" si="16"/>
        <v>0</v>
      </c>
      <c r="BE12" s="36" t="s">
        <v>77</v>
      </c>
      <c r="BF12" s="42">
        <f t="shared" si="17"/>
        <v>0</v>
      </c>
      <c r="BG12" s="36" t="s">
        <v>81</v>
      </c>
      <c r="BH12" s="36" t="s">
        <v>77</v>
      </c>
      <c r="BI12" s="42">
        <f t="shared" si="18"/>
        <v>0</v>
      </c>
      <c r="BJ12" s="36" t="s">
        <v>421</v>
      </c>
      <c r="BK12" s="36" t="s">
        <v>421</v>
      </c>
      <c r="BL12" s="36" t="s">
        <v>421</v>
      </c>
      <c r="BM12" s="36" t="s">
        <v>421</v>
      </c>
      <c r="BN12" s="36" t="s">
        <v>421</v>
      </c>
      <c r="BO12" s="36" t="s">
        <v>81</v>
      </c>
      <c r="BP12" s="42">
        <f t="shared" si="19"/>
        <v>0.5</v>
      </c>
      <c r="BQ12" s="36" t="s">
        <v>81</v>
      </c>
      <c r="BR12" s="36" t="s">
        <v>414</v>
      </c>
      <c r="BS12" s="36" t="s">
        <v>414</v>
      </c>
      <c r="BT12" s="36" t="s">
        <v>414</v>
      </c>
      <c r="BU12" s="36" t="s">
        <v>414</v>
      </c>
      <c r="BV12" s="36" t="s">
        <v>414</v>
      </c>
      <c r="BW12" s="43" t="s">
        <v>489</v>
      </c>
      <c r="BX12" s="44">
        <f t="shared" si="20"/>
        <v>3.75</v>
      </c>
      <c r="BY12" s="45" t="s">
        <v>81</v>
      </c>
      <c r="BZ12" s="46">
        <f t="shared" si="21"/>
        <v>0.5</v>
      </c>
      <c r="CA12" s="45" t="s">
        <v>77</v>
      </c>
      <c r="CB12" s="46">
        <f t="shared" si="22"/>
        <v>0</v>
      </c>
      <c r="CC12" s="36" t="s">
        <v>414</v>
      </c>
      <c r="CD12" s="46">
        <f t="shared" si="23"/>
        <v>0</v>
      </c>
      <c r="CE12" s="45" t="s">
        <v>414</v>
      </c>
      <c r="CF12" s="45" t="s">
        <v>77</v>
      </c>
      <c r="CG12" s="47">
        <v>0</v>
      </c>
      <c r="CH12" s="45" t="s">
        <v>133</v>
      </c>
      <c r="CI12" s="48">
        <f t="shared" si="24"/>
        <v>0</v>
      </c>
      <c r="CJ12" s="49" t="s">
        <v>81</v>
      </c>
      <c r="CK12" s="49" t="s">
        <v>77</v>
      </c>
      <c r="CL12" s="50" t="s">
        <v>414</v>
      </c>
      <c r="CM12" s="49" t="s">
        <v>421</v>
      </c>
      <c r="CN12" s="46">
        <f t="shared" si="25"/>
        <v>0</v>
      </c>
      <c r="CO12" s="49" t="s">
        <v>81</v>
      </c>
      <c r="CP12" s="48">
        <f t="shared" si="26"/>
        <v>0.75</v>
      </c>
      <c r="CQ12" s="49" t="s">
        <v>77</v>
      </c>
      <c r="CR12" s="48">
        <f t="shared" si="27"/>
        <v>0</v>
      </c>
      <c r="CS12" s="49" t="s">
        <v>77</v>
      </c>
      <c r="CT12" s="48">
        <f t="shared" si="28"/>
        <v>0</v>
      </c>
      <c r="CU12" s="49" t="s">
        <v>77</v>
      </c>
      <c r="CV12" s="48">
        <f t="shared" si="29"/>
        <v>0</v>
      </c>
      <c r="CW12" s="50" t="s">
        <v>490</v>
      </c>
      <c r="CX12" s="51">
        <f t="shared" si="30"/>
        <v>1.25</v>
      </c>
      <c r="CY12" s="52" t="s">
        <v>81</v>
      </c>
      <c r="CZ12" s="53">
        <f t="shared" si="31"/>
        <v>0.5</v>
      </c>
      <c r="DA12" s="52">
        <v>1</v>
      </c>
      <c r="DB12" s="53">
        <f t="shared" si="32"/>
        <v>3.1E-2</v>
      </c>
      <c r="DC12" s="52" t="s">
        <v>77</v>
      </c>
      <c r="DD12" s="53">
        <f t="shared" si="33"/>
        <v>0</v>
      </c>
      <c r="DE12" s="52" t="s">
        <v>81</v>
      </c>
      <c r="DF12" s="53">
        <f t="shared" si="34"/>
        <v>0.5</v>
      </c>
      <c r="DG12" s="50" t="s">
        <v>81</v>
      </c>
      <c r="DH12" s="50" t="s">
        <v>81</v>
      </c>
      <c r="DI12" s="50" t="s">
        <v>81</v>
      </c>
      <c r="DJ12" s="50" t="s">
        <v>81</v>
      </c>
      <c r="DK12" s="50" t="s">
        <v>77</v>
      </c>
      <c r="DL12" s="50" t="s">
        <v>81</v>
      </c>
      <c r="DM12" s="50" t="s">
        <v>81</v>
      </c>
      <c r="DN12" s="50" t="s">
        <v>81</v>
      </c>
      <c r="DO12" s="50" t="s">
        <v>81</v>
      </c>
      <c r="DP12" s="52" t="s">
        <v>81</v>
      </c>
      <c r="DQ12" s="50" t="s">
        <v>77</v>
      </c>
      <c r="DR12" s="52" t="s">
        <v>77</v>
      </c>
      <c r="DS12" s="53">
        <f t="shared" si="3"/>
        <v>0.25</v>
      </c>
      <c r="DT12" s="52" t="s">
        <v>77</v>
      </c>
      <c r="DU12" s="53">
        <f t="shared" si="35"/>
        <v>0</v>
      </c>
      <c r="DV12" s="52" t="s">
        <v>77</v>
      </c>
      <c r="DW12" s="53">
        <f t="shared" si="36"/>
        <v>0</v>
      </c>
      <c r="DX12" s="52" t="s">
        <v>77</v>
      </c>
      <c r="DY12" s="53">
        <f t="shared" si="37"/>
        <v>0</v>
      </c>
      <c r="DZ12" s="52" t="s">
        <v>77</v>
      </c>
      <c r="EA12" s="53">
        <f t="shared" si="38"/>
        <v>0</v>
      </c>
      <c r="EB12" s="52" t="s">
        <v>81</v>
      </c>
      <c r="EC12" s="53">
        <f t="shared" si="39"/>
        <v>0.25</v>
      </c>
      <c r="ED12" s="52" t="s">
        <v>491</v>
      </c>
      <c r="EE12" s="54">
        <f t="shared" si="40"/>
        <v>1.5309999999999999</v>
      </c>
      <c r="EF12" s="50">
        <v>6</v>
      </c>
      <c r="EG12" s="55">
        <f t="shared" si="41"/>
        <v>0.24</v>
      </c>
      <c r="EH12" s="50" t="s">
        <v>81</v>
      </c>
      <c r="EI12" s="55">
        <f t="shared" si="42"/>
        <v>0.5</v>
      </c>
      <c r="EJ12" s="50" t="s">
        <v>77</v>
      </c>
      <c r="EK12" s="55">
        <f t="shared" si="43"/>
        <v>0</v>
      </c>
      <c r="EL12" s="50" t="s">
        <v>77</v>
      </c>
      <c r="EM12" s="55">
        <f t="shared" si="44"/>
        <v>0</v>
      </c>
      <c r="EN12" s="50" t="s">
        <v>81</v>
      </c>
      <c r="EO12" s="55">
        <f t="shared" si="45"/>
        <v>0.5</v>
      </c>
      <c r="EP12" s="50" t="s">
        <v>133</v>
      </c>
      <c r="EQ12" s="55">
        <f t="shared" si="45"/>
        <v>0</v>
      </c>
      <c r="ER12" s="50" t="s">
        <v>492</v>
      </c>
      <c r="ES12" s="56">
        <f t="shared" si="46"/>
        <v>1.7714285714285714</v>
      </c>
      <c r="ET12" s="57" t="s">
        <v>133</v>
      </c>
      <c r="EU12" s="58">
        <f t="shared" si="47"/>
        <v>0</v>
      </c>
      <c r="EV12" s="57" t="s">
        <v>414</v>
      </c>
      <c r="EW12" s="58">
        <f t="shared" si="48"/>
        <v>0</v>
      </c>
      <c r="EX12" s="57" t="s">
        <v>414</v>
      </c>
      <c r="EY12" s="58">
        <f t="shared" si="49"/>
        <v>0</v>
      </c>
      <c r="EZ12" s="57" t="s">
        <v>77</v>
      </c>
      <c r="FA12" s="58">
        <f t="shared" si="50"/>
        <v>0</v>
      </c>
      <c r="FB12" s="57" t="s">
        <v>77</v>
      </c>
      <c r="FC12" s="58">
        <f t="shared" si="51"/>
        <v>0</v>
      </c>
      <c r="FD12" s="57" t="s">
        <v>421</v>
      </c>
      <c r="FE12" s="58">
        <f t="shared" si="51"/>
        <v>0</v>
      </c>
      <c r="FF12" s="57" t="s">
        <v>421</v>
      </c>
      <c r="FG12" s="58">
        <f t="shared" si="52"/>
        <v>0</v>
      </c>
      <c r="FH12" s="57" t="s">
        <v>77</v>
      </c>
      <c r="FI12" s="58">
        <f t="shared" si="53"/>
        <v>0</v>
      </c>
      <c r="FJ12" s="57" t="s">
        <v>81</v>
      </c>
      <c r="FK12" s="58">
        <f t="shared" si="53"/>
        <v>0.5</v>
      </c>
      <c r="FL12" s="59" t="s">
        <v>462</v>
      </c>
      <c r="FM12" s="60">
        <f t="shared" si="54"/>
        <v>0.625</v>
      </c>
      <c r="FN12" s="61">
        <f t="shared" si="55"/>
        <v>11.039428571428571</v>
      </c>
    </row>
    <row r="13" spans="1:170" ht="105">
      <c r="A13" s="31">
        <v>11</v>
      </c>
      <c r="B13" s="32" t="s">
        <v>102</v>
      </c>
      <c r="C13" s="33" t="str">
        <f>VLOOKUP(B13,[1]Sheet1!$A:$C,2,FALSE)</f>
        <v>Chanel</v>
      </c>
      <c r="D13" s="34" t="s">
        <v>412</v>
      </c>
      <c r="E13" s="35" t="str">
        <f>VLOOKUP(B13,[1]Sheet1!$A:$C,3,FALSE)</f>
        <v>France</v>
      </c>
      <c r="F13" s="34" t="s">
        <v>413</v>
      </c>
      <c r="G13" s="32" t="s">
        <v>103</v>
      </c>
      <c r="H13" s="36" t="s">
        <v>77</v>
      </c>
      <c r="I13" s="36" t="s">
        <v>77</v>
      </c>
      <c r="J13" s="36" t="s">
        <v>421</v>
      </c>
      <c r="K13" s="36" t="s">
        <v>446</v>
      </c>
      <c r="L13" s="36" t="s">
        <v>68</v>
      </c>
      <c r="M13" s="37">
        <f t="shared" si="4"/>
        <v>0.75</v>
      </c>
      <c r="N13" s="36">
        <v>1.964</v>
      </c>
      <c r="O13" s="38">
        <f t="shared" si="5"/>
        <v>0.7</v>
      </c>
      <c r="P13" s="36" t="s">
        <v>493</v>
      </c>
      <c r="Q13" s="39">
        <v>0.5</v>
      </c>
      <c r="R13" s="36" t="s">
        <v>77</v>
      </c>
      <c r="S13" s="37">
        <f t="shared" si="6"/>
        <v>0</v>
      </c>
      <c r="T13" s="36" t="s">
        <v>81</v>
      </c>
      <c r="U13" s="37">
        <f t="shared" si="7"/>
        <v>0</v>
      </c>
      <c r="V13" s="36" t="s">
        <v>81</v>
      </c>
      <c r="W13" s="36" t="s">
        <v>77</v>
      </c>
      <c r="X13" s="37">
        <f t="shared" si="8"/>
        <v>0</v>
      </c>
      <c r="Y13" s="36" t="s">
        <v>421</v>
      </c>
      <c r="Z13" s="40" t="s">
        <v>494</v>
      </c>
      <c r="AA13" s="41">
        <f t="shared" si="9"/>
        <v>1.95</v>
      </c>
      <c r="AB13" s="36">
        <v>2</v>
      </c>
      <c r="AC13" s="42">
        <f t="shared" si="0"/>
        <v>1.6500000000000015E-2</v>
      </c>
      <c r="AD13" s="36" t="s">
        <v>77</v>
      </c>
      <c r="AE13" s="42">
        <f t="shared" si="10"/>
        <v>0.25</v>
      </c>
      <c r="AF13" s="36" t="s">
        <v>421</v>
      </c>
      <c r="AG13" s="36">
        <v>4</v>
      </c>
      <c r="AH13" s="42">
        <f t="shared" si="11"/>
        <v>0.20699999999999996</v>
      </c>
      <c r="AI13" s="36" t="s">
        <v>77</v>
      </c>
      <c r="AJ13" s="42">
        <f t="shared" si="1"/>
        <v>0</v>
      </c>
      <c r="AK13" s="36" t="s">
        <v>77</v>
      </c>
      <c r="AL13" s="36" t="s">
        <v>421</v>
      </c>
      <c r="AM13" s="36" t="s">
        <v>421</v>
      </c>
      <c r="AN13" s="36" t="s">
        <v>421</v>
      </c>
      <c r="AO13" s="36" t="s">
        <v>421</v>
      </c>
      <c r="AP13" s="42">
        <f t="shared" si="12"/>
        <v>0</v>
      </c>
      <c r="AQ13" s="36" t="s">
        <v>421</v>
      </c>
      <c r="AR13" s="36" t="s">
        <v>421</v>
      </c>
      <c r="AS13" s="42">
        <f t="shared" si="13"/>
        <v>0</v>
      </c>
      <c r="AT13" s="36" t="s">
        <v>421</v>
      </c>
      <c r="AU13" s="36" t="s">
        <v>421</v>
      </c>
      <c r="AV13" s="42">
        <f t="shared" si="14"/>
        <v>0</v>
      </c>
      <c r="AW13" s="36" t="s">
        <v>421</v>
      </c>
      <c r="AX13" s="36" t="s">
        <v>421</v>
      </c>
      <c r="AY13" s="42">
        <f t="shared" si="15"/>
        <v>0</v>
      </c>
      <c r="AZ13" s="36" t="s">
        <v>495</v>
      </c>
      <c r="BA13" s="36" t="s">
        <v>77</v>
      </c>
      <c r="BB13" s="42">
        <f t="shared" si="2"/>
        <v>0</v>
      </c>
      <c r="BC13" s="36" t="s">
        <v>421</v>
      </c>
      <c r="BD13" s="42">
        <f t="shared" si="16"/>
        <v>0</v>
      </c>
      <c r="BE13" s="36" t="s">
        <v>421</v>
      </c>
      <c r="BF13" s="42">
        <f t="shared" si="17"/>
        <v>0</v>
      </c>
      <c r="BG13" s="36" t="s">
        <v>421</v>
      </c>
      <c r="BH13" s="36" t="s">
        <v>421</v>
      </c>
      <c r="BI13" s="42">
        <f t="shared" si="18"/>
        <v>0</v>
      </c>
      <c r="BJ13" s="36" t="s">
        <v>421</v>
      </c>
      <c r="BK13" s="36" t="s">
        <v>421</v>
      </c>
      <c r="BL13" s="36" t="s">
        <v>421</v>
      </c>
      <c r="BM13" s="36" t="s">
        <v>421</v>
      </c>
      <c r="BN13" s="36" t="s">
        <v>421</v>
      </c>
      <c r="BO13" s="36" t="s">
        <v>421</v>
      </c>
      <c r="BP13" s="42">
        <f t="shared" si="19"/>
        <v>0</v>
      </c>
      <c r="BQ13" s="36" t="s">
        <v>421</v>
      </c>
      <c r="BR13" s="36" t="s">
        <v>421</v>
      </c>
      <c r="BS13" s="36" t="s">
        <v>421</v>
      </c>
      <c r="BT13" s="36" t="s">
        <v>421</v>
      </c>
      <c r="BU13" s="36" t="s">
        <v>421</v>
      </c>
      <c r="BV13" s="36" t="s">
        <v>421</v>
      </c>
      <c r="BW13" s="43" t="s">
        <v>433</v>
      </c>
      <c r="BX13" s="44">
        <f t="shared" si="20"/>
        <v>0.47349999999999998</v>
      </c>
      <c r="BY13" s="45" t="s">
        <v>81</v>
      </c>
      <c r="BZ13" s="46">
        <f t="shared" si="21"/>
        <v>0.5</v>
      </c>
      <c r="CA13" s="45" t="s">
        <v>77</v>
      </c>
      <c r="CB13" s="46">
        <f t="shared" si="22"/>
        <v>0</v>
      </c>
      <c r="CC13" s="36" t="s">
        <v>421</v>
      </c>
      <c r="CD13" s="46">
        <f t="shared" si="23"/>
        <v>0</v>
      </c>
      <c r="CE13" s="45" t="s">
        <v>421</v>
      </c>
      <c r="CF13" s="45" t="s">
        <v>77</v>
      </c>
      <c r="CG13" s="47">
        <v>0</v>
      </c>
      <c r="CH13" s="45" t="s">
        <v>133</v>
      </c>
      <c r="CI13" s="48">
        <f t="shared" si="24"/>
        <v>0</v>
      </c>
      <c r="CJ13" s="49" t="s">
        <v>81</v>
      </c>
      <c r="CK13" s="49" t="s">
        <v>81</v>
      </c>
      <c r="CL13" s="50" t="s">
        <v>496</v>
      </c>
      <c r="CM13" s="49" t="s">
        <v>81</v>
      </c>
      <c r="CN13" s="46">
        <f t="shared" si="25"/>
        <v>0.5</v>
      </c>
      <c r="CO13" s="49" t="s">
        <v>81</v>
      </c>
      <c r="CP13" s="48">
        <f t="shared" si="26"/>
        <v>0.75</v>
      </c>
      <c r="CQ13" s="49" t="s">
        <v>81</v>
      </c>
      <c r="CR13" s="48">
        <f t="shared" si="27"/>
        <v>0.25</v>
      </c>
      <c r="CS13" s="49" t="s">
        <v>81</v>
      </c>
      <c r="CT13" s="48">
        <f t="shared" si="28"/>
        <v>0.5</v>
      </c>
      <c r="CU13" s="49" t="s">
        <v>81</v>
      </c>
      <c r="CV13" s="48">
        <f t="shared" si="29"/>
        <v>0.25</v>
      </c>
      <c r="CW13" s="50" t="s">
        <v>497</v>
      </c>
      <c r="CX13" s="51">
        <f t="shared" si="30"/>
        <v>2.75</v>
      </c>
      <c r="CY13" s="52" t="s">
        <v>77</v>
      </c>
      <c r="CZ13" s="53">
        <f t="shared" si="31"/>
        <v>0</v>
      </c>
      <c r="DA13" s="52">
        <v>1</v>
      </c>
      <c r="DB13" s="53">
        <f t="shared" si="32"/>
        <v>3.1E-2</v>
      </c>
      <c r="DC13" s="52" t="s">
        <v>77</v>
      </c>
      <c r="DD13" s="53">
        <f t="shared" si="33"/>
        <v>0</v>
      </c>
      <c r="DE13" s="52" t="s">
        <v>81</v>
      </c>
      <c r="DF13" s="53">
        <f t="shared" si="34"/>
        <v>0.5</v>
      </c>
      <c r="DG13" s="50" t="s">
        <v>77</v>
      </c>
      <c r="DH13" s="50" t="s">
        <v>77</v>
      </c>
      <c r="DI13" s="50" t="s">
        <v>77</v>
      </c>
      <c r="DJ13" s="50" t="s">
        <v>77</v>
      </c>
      <c r="DK13" s="50" t="s">
        <v>77</v>
      </c>
      <c r="DL13" s="50" t="s">
        <v>77</v>
      </c>
      <c r="DM13" s="50" t="s">
        <v>81</v>
      </c>
      <c r="DN13" s="50" t="s">
        <v>77</v>
      </c>
      <c r="DO13" s="50" t="s">
        <v>77</v>
      </c>
      <c r="DP13" s="52" t="s">
        <v>77</v>
      </c>
      <c r="DQ13" s="50" t="s">
        <v>77</v>
      </c>
      <c r="DR13" s="52" t="s">
        <v>77</v>
      </c>
      <c r="DS13" s="53">
        <f t="shared" si="3"/>
        <v>0</v>
      </c>
      <c r="DT13" s="52" t="s">
        <v>77</v>
      </c>
      <c r="DU13" s="53">
        <f t="shared" si="35"/>
        <v>0</v>
      </c>
      <c r="DV13" s="52" t="s">
        <v>77</v>
      </c>
      <c r="DW13" s="53">
        <f t="shared" si="36"/>
        <v>0</v>
      </c>
      <c r="DX13" s="52" t="s">
        <v>77</v>
      </c>
      <c r="DY13" s="53">
        <f t="shared" si="37"/>
        <v>0</v>
      </c>
      <c r="DZ13" s="52" t="s">
        <v>77</v>
      </c>
      <c r="EA13" s="53">
        <f t="shared" si="38"/>
        <v>0</v>
      </c>
      <c r="EB13" s="52" t="s">
        <v>77</v>
      </c>
      <c r="EC13" s="53">
        <f t="shared" si="39"/>
        <v>0</v>
      </c>
      <c r="ED13" s="52" t="s">
        <v>498</v>
      </c>
      <c r="EE13" s="54">
        <f t="shared" si="40"/>
        <v>0.53100000000000003</v>
      </c>
      <c r="EF13" s="50" t="s">
        <v>421</v>
      </c>
      <c r="EG13" s="55">
        <v>0</v>
      </c>
      <c r="EH13" s="50" t="s">
        <v>421</v>
      </c>
      <c r="EI13" s="55">
        <f t="shared" si="42"/>
        <v>0</v>
      </c>
      <c r="EJ13" s="50" t="s">
        <v>421</v>
      </c>
      <c r="EK13" s="55">
        <f t="shared" si="43"/>
        <v>0</v>
      </c>
      <c r="EL13" s="50" t="s">
        <v>421</v>
      </c>
      <c r="EM13" s="55">
        <f t="shared" si="44"/>
        <v>0</v>
      </c>
      <c r="EN13" s="50" t="s">
        <v>421</v>
      </c>
      <c r="EO13" s="55">
        <f t="shared" si="45"/>
        <v>0</v>
      </c>
      <c r="EP13" s="50" t="s">
        <v>133</v>
      </c>
      <c r="EQ13" s="55">
        <f t="shared" si="45"/>
        <v>0</v>
      </c>
      <c r="ER13" s="50" t="s">
        <v>436</v>
      </c>
      <c r="ES13" s="56">
        <f t="shared" si="46"/>
        <v>0</v>
      </c>
      <c r="ET13" s="57" t="s">
        <v>133</v>
      </c>
      <c r="EU13" s="58">
        <f t="shared" si="47"/>
        <v>0</v>
      </c>
      <c r="EV13" s="57" t="s">
        <v>414</v>
      </c>
      <c r="EW13" s="58">
        <f t="shared" si="48"/>
        <v>0</v>
      </c>
      <c r="EX13" s="57" t="s">
        <v>414</v>
      </c>
      <c r="EY13" s="58">
        <f t="shared" si="49"/>
        <v>0</v>
      </c>
      <c r="EZ13" s="57" t="s">
        <v>77</v>
      </c>
      <c r="FA13" s="58">
        <f t="shared" si="50"/>
        <v>0</v>
      </c>
      <c r="FB13" s="57" t="s">
        <v>421</v>
      </c>
      <c r="FC13" s="58">
        <f t="shared" si="51"/>
        <v>0</v>
      </c>
      <c r="FD13" s="57" t="s">
        <v>421</v>
      </c>
      <c r="FE13" s="58">
        <f t="shared" si="51"/>
        <v>0</v>
      </c>
      <c r="FF13" s="57" t="s">
        <v>421</v>
      </c>
      <c r="FG13" s="58">
        <f t="shared" si="52"/>
        <v>0</v>
      </c>
      <c r="FH13" s="57" t="s">
        <v>421</v>
      </c>
      <c r="FI13" s="58">
        <f t="shared" si="53"/>
        <v>0</v>
      </c>
      <c r="FJ13" s="57" t="s">
        <v>421</v>
      </c>
      <c r="FK13" s="58">
        <f t="shared" si="53"/>
        <v>0</v>
      </c>
      <c r="FL13" s="59" t="s">
        <v>437</v>
      </c>
      <c r="FM13" s="60">
        <f t="shared" si="54"/>
        <v>0</v>
      </c>
      <c r="FN13" s="61">
        <f t="shared" si="55"/>
        <v>5.7045000000000003</v>
      </c>
    </row>
    <row r="14" spans="1:170" ht="118">
      <c r="A14" s="31">
        <v>12</v>
      </c>
      <c r="B14" s="32" t="s">
        <v>104</v>
      </c>
      <c r="C14" s="33" t="str">
        <f>VLOOKUP(B14,[1]Sheet1!$A:$C,2,FALSE)</f>
        <v>Compagnie Financiere Richemont S.A</v>
      </c>
      <c r="D14" s="34" t="s">
        <v>412</v>
      </c>
      <c r="E14" s="35" t="str">
        <f>VLOOKUP(B14,[1]Sheet1!$A:$C,3,FALSE)</f>
        <v>France</v>
      </c>
      <c r="F14" s="34" t="s">
        <v>413</v>
      </c>
      <c r="G14" s="32" t="s">
        <v>105</v>
      </c>
      <c r="H14" s="36" t="s">
        <v>77</v>
      </c>
      <c r="I14" s="36" t="s">
        <v>81</v>
      </c>
      <c r="J14" s="36" t="s">
        <v>421</v>
      </c>
      <c r="K14" s="66" t="s">
        <v>446</v>
      </c>
      <c r="L14" s="66" t="s">
        <v>68</v>
      </c>
      <c r="M14" s="37">
        <f t="shared" si="4"/>
        <v>0.75</v>
      </c>
      <c r="N14" s="67">
        <f>AVERAGE(N9:N11)</f>
        <v>1.4743333333333333</v>
      </c>
      <c r="O14" s="38">
        <f t="shared" si="5"/>
        <v>1.302</v>
      </c>
      <c r="P14" s="36" t="s">
        <v>416</v>
      </c>
      <c r="Q14" s="39">
        <v>0.5</v>
      </c>
      <c r="R14" s="36" t="s">
        <v>77</v>
      </c>
      <c r="S14" s="37">
        <f t="shared" si="6"/>
        <v>0</v>
      </c>
      <c r="T14" s="36" t="s">
        <v>81</v>
      </c>
      <c r="U14" s="37">
        <f t="shared" si="7"/>
        <v>0</v>
      </c>
      <c r="V14" s="36" t="s">
        <v>81</v>
      </c>
      <c r="W14" s="36" t="s">
        <v>77</v>
      </c>
      <c r="X14" s="37">
        <f t="shared" si="8"/>
        <v>0</v>
      </c>
      <c r="Y14" s="36" t="s">
        <v>421</v>
      </c>
      <c r="Z14" s="40" t="s">
        <v>499</v>
      </c>
      <c r="AA14" s="41">
        <f t="shared" si="9"/>
        <v>2.552</v>
      </c>
      <c r="AB14" s="36">
        <v>0</v>
      </c>
      <c r="AC14" s="42">
        <f t="shared" si="0"/>
        <v>0.5</v>
      </c>
      <c r="AD14" s="36" t="s">
        <v>77</v>
      </c>
      <c r="AE14" s="42">
        <f t="shared" si="10"/>
        <v>0.25</v>
      </c>
      <c r="AF14" s="36" t="s">
        <v>421</v>
      </c>
      <c r="AG14" s="36">
        <v>3</v>
      </c>
      <c r="AH14" s="42">
        <f t="shared" si="11"/>
        <v>0.52400000000000002</v>
      </c>
      <c r="AI14" s="36" t="s">
        <v>77</v>
      </c>
      <c r="AJ14" s="42">
        <f t="shared" si="1"/>
        <v>0</v>
      </c>
      <c r="AK14" s="36" t="s">
        <v>77</v>
      </c>
      <c r="AL14" s="36" t="s">
        <v>421</v>
      </c>
      <c r="AM14" s="36" t="s">
        <v>421</v>
      </c>
      <c r="AN14" s="36" t="s">
        <v>421</v>
      </c>
      <c r="AO14" s="36" t="s">
        <v>421</v>
      </c>
      <c r="AP14" s="42">
        <f t="shared" si="12"/>
        <v>0</v>
      </c>
      <c r="AQ14" s="36" t="s">
        <v>77</v>
      </c>
      <c r="AR14" s="36" t="s">
        <v>421</v>
      </c>
      <c r="AS14" s="42">
        <f t="shared" si="13"/>
        <v>0</v>
      </c>
      <c r="AT14" s="36" t="s">
        <v>421</v>
      </c>
      <c r="AU14" s="36" t="s">
        <v>421</v>
      </c>
      <c r="AV14" s="42">
        <f t="shared" si="14"/>
        <v>0</v>
      </c>
      <c r="AW14" s="36" t="s">
        <v>421</v>
      </c>
      <c r="AX14" s="36" t="s">
        <v>77</v>
      </c>
      <c r="AY14" s="42">
        <f t="shared" si="15"/>
        <v>0</v>
      </c>
      <c r="AZ14" s="36" t="s">
        <v>500</v>
      </c>
      <c r="BA14" s="36" t="s">
        <v>77</v>
      </c>
      <c r="BB14" s="42">
        <f t="shared" si="2"/>
        <v>0</v>
      </c>
      <c r="BC14" s="36" t="s">
        <v>421</v>
      </c>
      <c r="BD14" s="42">
        <f t="shared" si="16"/>
        <v>0</v>
      </c>
      <c r="BE14" s="36" t="s">
        <v>421</v>
      </c>
      <c r="BF14" s="42">
        <f t="shared" si="17"/>
        <v>0</v>
      </c>
      <c r="BG14" s="36" t="s">
        <v>421</v>
      </c>
      <c r="BH14" s="36" t="s">
        <v>421</v>
      </c>
      <c r="BI14" s="42">
        <f t="shared" si="18"/>
        <v>0</v>
      </c>
      <c r="BJ14" s="36" t="s">
        <v>421</v>
      </c>
      <c r="BK14" s="36" t="s">
        <v>421</v>
      </c>
      <c r="BL14" s="36" t="s">
        <v>421</v>
      </c>
      <c r="BM14" s="36" t="s">
        <v>421</v>
      </c>
      <c r="BN14" s="36" t="s">
        <v>421</v>
      </c>
      <c r="BO14" s="36" t="s">
        <v>421</v>
      </c>
      <c r="BP14" s="42">
        <f t="shared" si="19"/>
        <v>0</v>
      </c>
      <c r="BQ14" s="36" t="s">
        <v>421</v>
      </c>
      <c r="BR14" s="36" t="s">
        <v>421</v>
      </c>
      <c r="BS14" s="36" t="s">
        <v>421</v>
      </c>
      <c r="BT14" s="36" t="s">
        <v>421</v>
      </c>
      <c r="BU14" s="36" t="s">
        <v>421</v>
      </c>
      <c r="BV14" s="36" t="s">
        <v>421</v>
      </c>
      <c r="BW14" s="43" t="s">
        <v>433</v>
      </c>
      <c r="BX14" s="44">
        <f t="shared" si="20"/>
        <v>1.274</v>
      </c>
      <c r="BY14" s="45" t="s">
        <v>81</v>
      </c>
      <c r="BZ14" s="46">
        <f t="shared" si="21"/>
        <v>0.5</v>
      </c>
      <c r="CA14" s="45" t="s">
        <v>77</v>
      </c>
      <c r="CB14" s="46">
        <f t="shared" si="22"/>
        <v>0</v>
      </c>
      <c r="CC14" s="36" t="s">
        <v>421</v>
      </c>
      <c r="CD14" s="46">
        <f t="shared" si="23"/>
        <v>0</v>
      </c>
      <c r="CE14" s="45" t="s">
        <v>421</v>
      </c>
      <c r="CF14" s="45" t="s">
        <v>77</v>
      </c>
      <c r="CG14" s="47">
        <v>0</v>
      </c>
      <c r="CH14" s="45" t="s">
        <v>133</v>
      </c>
      <c r="CI14" s="48">
        <f t="shared" si="24"/>
        <v>0</v>
      </c>
      <c r="CJ14" s="49" t="s">
        <v>81</v>
      </c>
      <c r="CK14" s="49" t="s">
        <v>77</v>
      </c>
      <c r="CL14" s="50" t="s">
        <v>421</v>
      </c>
      <c r="CM14" s="49" t="s">
        <v>77</v>
      </c>
      <c r="CN14" s="46">
        <f t="shared" si="25"/>
        <v>0</v>
      </c>
      <c r="CO14" s="49" t="s">
        <v>77</v>
      </c>
      <c r="CP14" s="48">
        <f t="shared" si="26"/>
        <v>0</v>
      </c>
      <c r="CQ14" s="49" t="s">
        <v>77</v>
      </c>
      <c r="CR14" s="48">
        <f t="shared" si="27"/>
        <v>0</v>
      </c>
      <c r="CS14" s="49" t="s">
        <v>81</v>
      </c>
      <c r="CT14" s="48">
        <f t="shared" si="28"/>
        <v>0.5</v>
      </c>
      <c r="CU14" s="49" t="s">
        <v>81</v>
      </c>
      <c r="CV14" s="48">
        <f t="shared" si="29"/>
        <v>0.25</v>
      </c>
      <c r="CW14" s="50" t="s">
        <v>501</v>
      </c>
      <c r="CX14" s="51">
        <f t="shared" si="30"/>
        <v>1.25</v>
      </c>
      <c r="CY14" s="52" t="s">
        <v>77</v>
      </c>
      <c r="CZ14" s="53">
        <f t="shared" si="31"/>
        <v>0</v>
      </c>
      <c r="DA14" s="52">
        <v>1</v>
      </c>
      <c r="DB14" s="53">
        <f t="shared" si="32"/>
        <v>3.1E-2</v>
      </c>
      <c r="DC14" s="52" t="s">
        <v>77</v>
      </c>
      <c r="DD14" s="53">
        <f t="shared" si="33"/>
        <v>0</v>
      </c>
      <c r="DE14" s="52" t="s">
        <v>77</v>
      </c>
      <c r="DF14" s="53">
        <f t="shared" si="34"/>
        <v>0</v>
      </c>
      <c r="DG14" s="50" t="s">
        <v>421</v>
      </c>
      <c r="DH14" s="50" t="s">
        <v>421</v>
      </c>
      <c r="DI14" s="50" t="s">
        <v>421</v>
      </c>
      <c r="DJ14" s="50" t="s">
        <v>421</v>
      </c>
      <c r="DK14" s="50" t="s">
        <v>421</v>
      </c>
      <c r="DL14" s="50" t="s">
        <v>421</v>
      </c>
      <c r="DM14" s="50" t="s">
        <v>421</v>
      </c>
      <c r="DN14" s="50" t="s">
        <v>421</v>
      </c>
      <c r="DO14" s="50" t="s">
        <v>421</v>
      </c>
      <c r="DP14" s="52" t="s">
        <v>421</v>
      </c>
      <c r="DQ14" s="50" t="s">
        <v>421</v>
      </c>
      <c r="DR14" s="52" t="s">
        <v>421</v>
      </c>
      <c r="DS14" s="53">
        <f t="shared" si="3"/>
        <v>0</v>
      </c>
      <c r="DT14" s="52" t="s">
        <v>77</v>
      </c>
      <c r="DU14" s="53">
        <f t="shared" si="35"/>
        <v>0</v>
      </c>
      <c r="DV14" s="52" t="s">
        <v>77</v>
      </c>
      <c r="DW14" s="53">
        <f t="shared" si="36"/>
        <v>0</v>
      </c>
      <c r="DX14" s="52" t="s">
        <v>421</v>
      </c>
      <c r="DY14" s="53">
        <f t="shared" si="37"/>
        <v>0</v>
      </c>
      <c r="DZ14" s="52" t="s">
        <v>421</v>
      </c>
      <c r="EA14" s="53">
        <f t="shared" si="38"/>
        <v>0</v>
      </c>
      <c r="EB14" s="52" t="s">
        <v>81</v>
      </c>
      <c r="EC14" s="53">
        <f t="shared" si="39"/>
        <v>0.25</v>
      </c>
      <c r="ED14" s="52" t="s">
        <v>502</v>
      </c>
      <c r="EE14" s="54">
        <f t="shared" si="40"/>
        <v>0.28100000000000003</v>
      </c>
      <c r="EF14" s="50" t="s">
        <v>421</v>
      </c>
      <c r="EG14" s="55">
        <v>0</v>
      </c>
      <c r="EH14" s="50" t="s">
        <v>421</v>
      </c>
      <c r="EI14" s="55">
        <f t="shared" si="42"/>
        <v>0</v>
      </c>
      <c r="EJ14" s="50" t="s">
        <v>421</v>
      </c>
      <c r="EK14" s="55">
        <f t="shared" si="43"/>
        <v>0</v>
      </c>
      <c r="EL14" s="50" t="s">
        <v>421</v>
      </c>
      <c r="EM14" s="55">
        <f t="shared" si="44"/>
        <v>0</v>
      </c>
      <c r="EN14" s="50" t="s">
        <v>421</v>
      </c>
      <c r="EO14" s="55">
        <f t="shared" si="45"/>
        <v>0</v>
      </c>
      <c r="EP14" s="50" t="s">
        <v>133</v>
      </c>
      <c r="EQ14" s="55">
        <f t="shared" si="45"/>
        <v>0</v>
      </c>
      <c r="ER14" s="50" t="s">
        <v>436</v>
      </c>
      <c r="ES14" s="56">
        <f t="shared" si="46"/>
        <v>0</v>
      </c>
      <c r="ET14" s="57" t="s">
        <v>133</v>
      </c>
      <c r="EU14" s="58">
        <f t="shared" si="47"/>
        <v>0</v>
      </c>
      <c r="EV14" s="57" t="s">
        <v>414</v>
      </c>
      <c r="EW14" s="58">
        <f t="shared" si="48"/>
        <v>0</v>
      </c>
      <c r="EX14" s="57" t="s">
        <v>414</v>
      </c>
      <c r="EY14" s="58">
        <f t="shared" si="49"/>
        <v>0</v>
      </c>
      <c r="EZ14" s="57" t="s">
        <v>77</v>
      </c>
      <c r="FA14" s="58">
        <f t="shared" si="50"/>
        <v>0</v>
      </c>
      <c r="FB14" s="57" t="s">
        <v>421</v>
      </c>
      <c r="FC14" s="58">
        <f t="shared" si="51"/>
        <v>0</v>
      </c>
      <c r="FD14" s="57" t="s">
        <v>421</v>
      </c>
      <c r="FE14" s="58">
        <f t="shared" si="51"/>
        <v>0</v>
      </c>
      <c r="FF14" s="57" t="s">
        <v>421</v>
      </c>
      <c r="FG14" s="58">
        <f t="shared" si="52"/>
        <v>0</v>
      </c>
      <c r="FH14" s="57" t="s">
        <v>421</v>
      </c>
      <c r="FI14" s="58">
        <f t="shared" si="53"/>
        <v>0</v>
      </c>
      <c r="FJ14" s="57" t="s">
        <v>421</v>
      </c>
      <c r="FK14" s="58">
        <f t="shared" si="53"/>
        <v>0</v>
      </c>
      <c r="FL14" s="59" t="s">
        <v>437</v>
      </c>
      <c r="FM14" s="60">
        <f t="shared" si="54"/>
        <v>0</v>
      </c>
      <c r="FN14" s="61">
        <f t="shared" si="55"/>
        <v>5.3570000000000002</v>
      </c>
    </row>
    <row r="15" spans="1:170" ht="144">
      <c r="A15" s="31">
        <v>13</v>
      </c>
      <c r="B15" s="32" t="s">
        <v>106</v>
      </c>
      <c r="C15" s="33" t="str">
        <f>VLOOKUP(B15,[1]Sheet1!$A:$C,2,FALSE)</f>
        <v>LVMH</v>
      </c>
      <c r="D15" s="34" t="s">
        <v>412</v>
      </c>
      <c r="E15" s="35" t="str">
        <f>VLOOKUP(B15,[1]Sheet1!$A:$C,3,FALSE)</f>
        <v>France</v>
      </c>
      <c r="F15" s="34" t="s">
        <v>413</v>
      </c>
      <c r="G15" s="32" t="s">
        <v>108</v>
      </c>
      <c r="H15" s="36" t="s">
        <v>77</v>
      </c>
      <c r="I15" s="36" t="s">
        <v>421</v>
      </c>
      <c r="J15" s="36" t="s">
        <v>421</v>
      </c>
      <c r="K15" s="36" t="s">
        <v>446</v>
      </c>
      <c r="L15" s="36" t="s">
        <v>68</v>
      </c>
      <c r="M15" s="37">
        <f t="shared" si="4"/>
        <v>0.75</v>
      </c>
      <c r="N15" s="36">
        <v>1.85</v>
      </c>
      <c r="O15" s="38">
        <f t="shared" si="5"/>
        <v>0.79400000000000004</v>
      </c>
      <c r="P15" s="36" t="s">
        <v>416</v>
      </c>
      <c r="Q15" s="39">
        <v>0.5</v>
      </c>
      <c r="R15" s="36" t="s">
        <v>77</v>
      </c>
      <c r="S15" s="37">
        <f t="shared" si="6"/>
        <v>0</v>
      </c>
      <c r="T15" s="36" t="s">
        <v>81</v>
      </c>
      <c r="U15" s="37">
        <f t="shared" si="7"/>
        <v>0</v>
      </c>
      <c r="V15" s="36" t="s">
        <v>81</v>
      </c>
      <c r="W15" s="36" t="s">
        <v>81</v>
      </c>
      <c r="X15" s="37">
        <f t="shared" si="8"/>
        <v>0.25</v>
      </c>
      <c r="Y15" s="36" t="s">
        <v>503</v>
      </c>
      <c r="Z15" s="40" t="s">
        <v>504</v>
      </c>
      <c r="AA15" s="41">
        <f t="shared" si="9"/>
        <v>2.294</v>
      </c>
      <c r="AB15" s="36">
        <v>1</v>
      </c>
      <c r="AC15" s="42">
        <f t="shared" si="0"/>
        <v>0.1855</v>
      </c>
      <c r="AD15" s="36" t="s">
        <v>421</v>
      </c>
      <c r="AE15" s="42">
        <f t="shared" si="10"/>
        <v>0</v>
      </c>
      <c r="AF15" s="36" t="s">
        <v>421</v>
      </c>
      <c r="AG15" s="36">
        <v>2</v>
      </c>
      <c r="AH15" s="42">
        <f t="shared" si="11"/>
        <v>1</v>
      </c>
      <c r="AI15" s="36" t="s">
        <v>77</v>
      </c>
      <c r="AJ15" s="42">
        <f t="shared" si="1"/>
        <v>0</v>
      </c>
      <c r="AK15" s="36" t="s">
        <v>77</v>
      </c>
      <c r="AL15" s="68" t="s">
        <v>421</v>
      </c>
      <c r="AM15" s="68" t="s">
        <v>421</v>
      </c>
      <c r="AN15" s="68" t="s">
        <v>421</v>
      </c>
      <c r="AO15" s="68" t="s">
        <v>421</v>
      </c>
      <c r="AP15" s="42">
        <f t="shared" si="12"/>
        <v>0</v>
      </c>
      <c r="AQ15" s="36" t="s">
        <v>77</v>
      </c>
      <c r="AR15" s="68" t="s">
        <v>421</v>
      </c>
      <c r="AS15" s="42">
        <f t="shared" si="13"/>
        <v>0</v>
      </c>
      <c r="AT15" s="68" t="s">
        <v>421</v>
      </c>
      <c r="AU15" s="68" t="s">
        <v>421</v>
      </c>
      <c r="AV15" s="42">
        <f t="shared" si="14"/>
        <v>0</v>
      </c>
      <c r="AW15" s="68" t="s">
        <v>421</v>
      </c>
      <c r="AX15" s="36" t="s">
        <v>77</v>
      </c>
      <c r="AY15" s="42">
        <f t="shared" si="15"/>
        <v>0</v>
      </c>
      <c r="AZ15" s="36" t="s">
        <v>500</v>
      </c>
      <c r="BA15" s="36" t="s">
        <v>81</v>
      </c>
      <c r="BB15" s="42">
        <f t="shared" si="2"/>
        <v>0.25</v>
      </c>
      <c r="BC15" s="36" t="s">
        <v>77</v>
      </c>
      <c r="BD15" s="42">
        <f t="shared" si="16"/>
        <v>0</v>
      </c>
      <c r="BE15" s="36" t="s">
        <v>77</v>
      </c>
      <c r="BF15" s="42">
        <f t="shared" si="17"/>
        <v>0</v>
      </c>
      <c r="BG15" s="36" t="s">
        <v>77</v>
      </c>
      <c r="BH15" s="36" t="s">
        <v>81</v>
      </c>
      <c r="BI15" s="42">
        <f t="shared" si="18"/>
        <v>0.5</v>
      </c>
      <c r="BJ15" s="36" t="s">
        <v>81</v>
      </c>
      <c r="BK15" s="36" t="s">
        <v>77</v>
      </c>
      <c r="BL15" s="36" t="s">
        <v>77</v>
      </c>
      <c r="BM15" s="36" t="s">
        <v>77</v>
      </c>
      <c r="BN15" s="36" t="s">
        <v>77</v>
      </c>
      <c r="BO15" s="36" t="s">
        <v>77</v>
      </c>
      <c r="BP15" s="42">
        <f t="shared" si="19"/>
        <v>0</v>
      </c>
      <c r="BQ15" s="68" t="s">
        <v>421</v>
      </c>
      <c r="BR15" s="68" t="s">
        <v>421</v>
      </c>
      <c r="BS15" s="68" t="s">
        <v>421</v>
      </c>
      <c r="BT15" s="68" t="s">
        <v>421</v>
      </c>
      <c r="BU15" s="68" t="s">
        <v>421</v>
      </c>
      <c r="BV15" s="68" t="s">
        <v>421</v>
      </c>
      <c r="BW15" s="43" t="s">
        <v>505</v>
      </c>
      <c r="BX15" s="44">
        <f t="shared" si="20"/>
        <v>1.9355</v>
      </c>
      <c r="BY15" s="45" t="s">
        <v>77</v>
      </c>
      <c r="BZ15" s="46">
        <f t="shared" si="21"/>
        <v>0</v>
      </c>
      <c r="CA15" s="45" t="s">
        <v>77</v>
      </c>
      <c r="CB15" s="46">
        <f t="shared" si="22"/>
        <v>0</v>
      </c>
      <c r="CC15" s="36" t="s">
        <v>421</v>
      </c>
      <c r="CD15" s="46">
        <f t="shared" si="23"/>
        <v>0</v>
      </c>
      <c r="CE15" s="36" t="s">
        <v>421</v>
      </c>
      <c r="CF15" s="45" t="s">
        <v>77</v>
      </c>
      <c r="CG15" s="47">
        <v>0</v>
      </c>
      <c r="CH15" s="45" t="s">
        <v>133</v>
      </c>
      <c r="CI15" s="48">
        <f t="shared" si="24"/>
        <v>0</v>
      </c>
      <c r="CJ15" s="49" t="s">
        <v>81</v>
      </c>
      <c r="CK15" s="49" t="s">
        <v>81</v>
      </c>
      <c r="CL15" s="50" t="s">
        <v>506</v>
      </c>
      <c r="CM15" s="49" t="s">
        <v>77</v>
      </c>
      <c r="CN15" s="46">
        <f t="shared" si="25"/>
        <v>0</v>
      </c>
      <c r="CO15" s="49" t="s">
        <v>77</v>
      </c>
      <c r="CP15" s="48">
        <f t="shared" si="26"/>
        <v>0</v>
      </c>
      <c r="CQ15" s="49" t="s">
        <v>421</v>
      </c>
      <c r="CR15" s="48">
        <f t="shared" si="27"/>
        <v>0</v>
      </c>
      <c r="CS15" s="49" t="s">
        <v>77</v>
      </c>
      <c r="CT15" s="48">
        <f t="shared" si="28"/>
        <v>0</v>
      </c>
      <c r="CU15" s="49" t="s">
        <v>81</v>
      </c>
      <c r="CV15" s="48">
        <f t="shared" si="29"/>
        <v>0.25</v>
      </c>
      <c r="CW15" s="50" t="s">
        <v>507</v>
      </c>
      <c r="CX15" s="51">
        <f t="shared" si="30"/>
        <v>0.25</v>
      </c>
      <c r="CY15" s="52" t="s">
        <v>81</v>
      </c>
      <c r="CZ15" s="53">
        <f t="shared" si="31"/>
        <v>0.5</v>
      </c>
      <c r="DA15" s="52">
        <v>3</v>
      </c>
      <c r="DB15" s="53">
        <f t="shared" si="32"/>
        <v>0.39600000000000002</v>
      </c>
      <c r="DC15" s="52" t="s">
        <v>77</v>
      </c>
      <c r="DD15" s="53">
        <f t="shared" si="33"/>
        <v>0</v>
      </c>
      <c r="DE15" s="52" t="s">
        <v>81</v>
      </c>
      <c r="DF15" s="53">
        <f t="shared" si="34"/>
        <v>0.5</v>
      </c>
      <c r="DG15" s="50" t="s">
        <v>77</v>
      </c>
      <c r="DH15" s="50" t="s">
        <v>77</v>
      </c>
      <c r="DI15" s="50" t="s">
        <v>77</v>
      </c>
      <c r="DJ15" s="50" t="s">
        <v>81</v>
      </c>
      <c r="DK15" s="50" t="s">
        <v>77</v>
      </c>
      <c r="DL15" s="50" t="s">
        <v>77</v>
      </c>
      <c r="DM15" s="50" t="s">
        <v>81</v>
      </c>
      <c r="DN15" s="50" t="s">
        <v>77</v>
      </c>
      <c r="DO15" s="50" t="s">
        <v>77</v>
      </c>
      <c r="DP15" s="52" t="s">
        <v>81</v>
      </c>
      <c r="DQ15" s="50" t="s">
        <v>77</v>
      </c>
      <c r="DR15" s="52" t="s">
        <v>77</v>
      </c>
      <c r="DS15" s="53">
        <f t="shared" si="3"/>
        <v>0.25</v>
      </c>
      <c r="DT15" s="52" t="s">
        <v>77</v>
      </c>
      <c r="DU15" s="53">
        <f t="shared" si="35"/>
        <v>0</v>
      </c>
      <c r="DV15" s="52" t="s">
        <v>77</v>
      </c>
      <c r="DW15" s="53">
        <f t="shared" si="36"/>
        <v>0</v>
      </c>
      <c r="DX15" s="52" t="s">
        <v>421</v>
      </c>
      <c r="DY15" s="53">
        <f t="shared" si="37"/>
        <v>0</v>
      </c>
      <c r="DZ15" s="52" t="s">
        <v>77</v>
      </c>
      <c r="EA15" s="53">
        <f t="shared" si="38"/>
        <v>0</v>
      </c>
      <c r="EB15" s="52" t="s">
        <v>81</v>
      </c>
      <c r="EC15" s="53">
        <f t="shared" si="39"/>
        <v>0.25</v>
      </c>
      <c r="ED15" s="52" t="s">
        <v>508</v>
      </c>
      <c r="EE15" s="54">
        <f t="shared" si="40"/>
        <v>1.8959999999999999</v>
      </c>
      <c r="EF15" s="50" t="s">
        <v>421</v>
      </c>
      <c r="EG15" s="55">
        <v>0</v>
      </c>
      <c r="EH15" s="50" t="s">
        <v>421</v>
      </c>
      <c r="EI15" s="55">
        <f t="shared" si="42"/>
        <v>0</v>
      </c>
      <c r="EJ15" s="50" t="s">
        <v>421</v>
      </c>
      <c r="EK15" s="55">
        <f t="shared" si="43"/>
        <v>0</v>
      </c>
      <c r="EL15" s="50" t="s">
        <v>421</v>
      </c>
      <c r="EM15" s="55">
        <f t="shared" si="44"/>
        <v>0</v>
      </c>
      <c r="EN15" s="50" t="s">
        <v>421</v>
      </c>
      <c r="EO15" s="55">
        <f t="shared" si="45"/>
        <v>0</v>
      </c>
      <c r="EP15" s="50" t="s">
        <v>133</v>
      </c>
      <c r="EQ15" s="55">
        <f t="shared" si="45"/>
        <v>0</v>
      </c>
      <c r="ER15" s="50" t="s">
        <v>436</v>
      </c>
      <c r="ES15" s="56">
        <f t="shared" si="46"/>
        <v>0</v>
      </c>
      <c r="ET15" s="57" t="s">
        <v>133</v>
      </c>
      <c r="EU15" s="58">
        <f t="shared" si="47"/>
        <v>0</v>
      </c>
      <c r="EV15" s="57" t="s">
        <v>414</v>
      </c>
      <c r="EW15" s="58">
        <f t="shared" si="48"/>
        <v>0</v>
      </c>
      <c r="EX15" s="57" t="s">
        <v>414</v>
      </c>
      <c r="EY15" s="58">
        <f t="shared" si="49"/>
        <v>0</v>
      </c>
      <c r="EZ15" s="57" t="s">
        <v>77</v>
      </c>
      <c r="FA15" s="58">
        <f t="shared" si="50"/>
        <v>0</v>
      </c>
      <c r="FB15" s="57" t="s">
        <v>77</v>
      </c>
      <c r="FC15" s="58">
        <f t="shared" si="51"/>
        <v>0</v>
      </c>
      <c r="FD15" s="57" t="s">
        <v>421</v>
      </c>
      <c r="FE15" s="58">
        <f t="shared" si="51"/>
        <v>0</v>
      </c>
      <c r="FF15" s="57" t="s">
        <v>421</v>
      </c>
      <c r="FG15" s="58">
        <f t="shared" si="52"/>
        <v>0</v>
      </c>
      <c r="FH15" s="57" t="s">
        <v>77</v>
      </c>
      <c r="FI15" s="58">
        <f t="shared" si="53"/>
        <v>0</v>
      </c>
      <c r="FJ15" s="69" t="s">
        <v>421</v>
      </c>
      <c r="FK15" s="58">
        <f t="shared" si="53"/>
        <v>0</v>
      </c>
      <c r="FL15" s="59" t="s">
        <v>437</v>
      </c>
      <c r="FM15" s="60">
        <f t="shared" si="54"/>
        <v>0</v>
      </c>
      <c r="FN15" s="61">
        <f t="shared" si="55"/>
        <v>6.3755000000000006</v>
      </c>
    </row>
    <row r="16" spans="1:170" ht="53">
      <c r="A16" s="31">
        <v>14</v>
      </c>
      <c r="B16" s="32" t="s">
        <v>109</v>
      </c>
      <c r="C16" s="33" t="str">
        <f>VLOOKUP(B16,[1]Sheet1!$A:$C,2,FALSE)</f>
        <v>Christian Louboutin</v>
      </c>
      <c r="D16" s="34" t="s">
        <v>412</v>
      </c>
      <c r="E16" s="35" t="str">
        <f>VLOOKUP(B16,[1]Sheet1!$A:$C,3,FALSE)</f>
        <v>France</v>
      </c>
      <c r="F16" s="34" t="s">
        <v>413</v>
      </c>
      <c r="G16" s="32" t="s">
        <v>110</v>
      </c>
      <c r="H16" s="36" t="s">
        <v>68</v>
      </c>
      <c r="I16" s="36" t="s">
        <v>414</v>
      </c>
      <c r="J16" s="36" t="s">
        <v>414</v>
      </c>
      <c r="K16" s="70" t="s">
        <v>415</v>
      </c>
      <c r="L16" s="45" t="s">
        <v>133</v>
      </c>
      <c r="M16" s="37">
        <f t="shared" si="4"/>
        <v>0</v>
      </c>
      <c r="N16" s="71">
        <v>3.3039999999999998</v>
      </c>
      <c r="O16" s="38">
        <f t="shared" si="5"/>
        <v>6.4000000000000057E-2</v>
      </c>
      <c r="P16" s="36" t="s">
        <v>416</v>
      </c>
      <c r="Q16" s="39">
        <v>0.5</v>
      </c>
      <c r="R16" s="36" t="s">
        <v>68</v>
      </c>
      <c r="S16" s="37">
        <f t="shared" si="6"/>
        <v>0.5</v>
      </c>
      <c r="T16" s="36" t="s">
        <v>133</v>
      </c>
      <c r="U16" s="37">
        <f t="shared" si="7"/>
        <v>0.5</v>
      </c>
      <c r="V16" s="36" t="s">
        <v>68</v>
      </c>
      <c r="W16" s="36" t="s">
        <v>133</v>
      </c>
      <c r="X16" s="37">
        <f t="shared" si="8"/>
        <v>0</v>
      </c>
      <c r="Y16" s="36" t="s">
        <v>509</v>
      </c>
      <c r="Z16" s="40" t="s">
        <v>510</v>
      </c>
      <c r="AA16" s="41">
        <f t="shared" si="9"/>
        <v>1.5640000000000001</v>
      </c>
      <c r="AB16" s="36">
        <v>2</v>
      </c>
      <c r="AC16" s="42">
        <f t="shared" si="0"/>
        <v>1.6500000000000015E-2</v>
      </c>
      <c r="AD16" s="36" t="s">
        <v>68</v>
      </c>
      <c r="AE16" s="42">
        <f t="shared" si="10"/>
        <v>0</v>
      </c>
      <c r="AF16" s="36" t="s">
        <v>133</v>
      </c>
      <c r="AG16" s="36">
        <v>3</v>
      </c>
      <c r="AH16" s="42">
        <f t="shared" si="11"/>
        <v>0.52400000000000002</v>
      </c>
      <c r="AI16" s="36" t="s">
        <v>68</v>
      </c>
      <c r="AJ16" s="42">
        <f t="shared" si="1"/>
        <v>0.25</v>
      </c>
      <c r="AK16" s="36" t="s">
        <v>68</v>
      </c>
      <c r="AL16" s="36" t="s">
        <v>133</v>
      </c>
      <c r="AM16" s="36" t="s">
        <v>68</v>
      </c>
      <c r="AN16" s="36" t="s">
        <v>133</v>
      </c>
      <c r="AO16" s="36" t="s">
        <v>133</v>
      </c>
      <c r="AP16" s="42">
        <f t="shared" si="12"/>
        <v>0.25</v>
      </c>
      <c r="AQ16" s="36" t="s">
        <v>133</v>
      </c>
      <c r="AR16" s="36" t="s">
        <v>414</v>
      </c>
      <c r="AS16" s="42">
        <f t="shared" si="13"/>
        <v>0</v>
      </c>
      <c r="AT16" s="36" t="s">
        <v>414</v>
      </c>
      <c r="AU16" s="36" t="s">
        <v>414</v>
      </c>
      <c r="AV16" s="42">
        <f t="shared" si="14"/>
        <v>0</v>
      </c>
      <c r="AW16" s="36" t="s">
        <v>414</v>
      </c>
      <c r="AX16" s="36" t="s">
        <v>133</v>
      </c>
      <c r="AY16" s="42">
        <f t="shared" si="15"/>
        <v>0</v>
      </c>
      <c r="AZ16" s="36" t="s">
        <v>511</v>
      </c>
      <c r="BA16" s="36" t="s">
        <v>68</v>
      </c>
      <c r="BB16" s="42">
        <f t="shared" si="2"/>
        <v>0.25</v>
      </c>
      <c r="BC16" s="36" t="s">
        <v>133</v>
      </c>
      <c r="BD16" s="42">
        <f t="shared" si="16"/>
        <v>0</v>
      </c>
      <c r="BE16" s="36" t="s">
        <v>68</v>
      </c>
      <c r="BF16" s="42">
        <f t="shared" si="17"/>
        <v>0.25</v>
      </c>
      <c r="BG16" s="36" t="s">
        <v>68</v>
      </c>
      <c r="BH16" s="36" t="s">
        <v>68</v>
      </c>
      <c r="BI16" s="42">
        <f t="shared" si="18"/>
        <v>0.5</v>
      </c>
      <c r="BJ16" s="36" t="s">
        <v>133</v>
      </c>
      <c r="BK16" s="36" t="s">
        <v>68</v>
      </c>
      <c r="BL16" s="36" t="s">
        <v>133</v>
      </c>
      <c r="BM16" s="36" t="s">
        <v>133</v>
      </c>
      <c r="BN16" s="36" t="s">
        <v>133</v>
      </c>
      <c r="BO16" s="36" t="s">
        <v>133</v>
      </c>
      <c r="BP16" s="42">
        <f t="shared" si="19"/>
        <v>0</v>
      </c>
      <c r="BQ16" s="68" t="s">
        <v>414</v>
      </c>
      <c r="BR16" s="68" t="s">
        <v>414</v>
      </c>
      <c r="BS16" s="68" t="s">
        <v>414</v>
      </c>
      <c r="BT16" s="68" t="s">
        <v>414</v>
      </c>
      <c r="BU16" s="68" t="s">
        <v>414</v>
      </c>
      <c r="BV16" s="68" t="s">
        <v>414</v>
      </c>
      <c r="BW16" s="43" t="s">
        <v>512</v>
      </c>
      <c r="BX16" s="44">
        <f t="shared" si="20"/>
        <v>2.0405000000000002</v>
      </c>
      <c r="BY16" s="45" t="s">
        <v>133</v>
      </c>
      <c r="BZ16" s="46">
        <f t="shared" si="21"/>
        <v>0</v>
      </c>
      <c r="CA16" s="45" t="s">
        <v>68</v>
      </c>
      <c r="CB16" s="46">
        <f t="shared" si="22"/>
        <v>0.75</v>
      </c>
      <c r="CC16" s="36" t="s">
        <v>133</v>
      </c>
      <c r="CD16" s="46">
        <f t="shared" si="23"/>
        <v>0</v>
      </c>
      <c r="CE16" s="45" t="s">
        <v>133</v>
      </c>
      <c r="CF16" s="45" t="s">
        <v>133</v>
      </c>
      <c r="CG16" s="47">
        <v>0</v>
      </c>
      <c r="CH16" s="45" t="s">
        <v>133</v>
      </c>
      <c r="CI16" s="48">
        <f t="shared" si="24"/>
        <v>0</v>
      </c>
      <c r="CJ16" s="49" t="s">
        <v>68</v>
      </c>
      <c r="CK16" s="49" t="s">
        <v>133</v>
      </c>
      <c r="CL16" s="50" t="s">
        <v>414</v>
      </c>
      <c r="CM16" s="49" t="s">
        <v>133</v>
      </c>
      <c r="CN16" s="46">
        <f t="shared" si="25"/>
        <v>0</v>
      </c>
      <c r="CO16" s="49" t="s">
        <v>133</v>
      </c>
      <c r="CP16" s="48">
        <f t="shared" si="26"/>
        <v>0</v>
      </c>
      <c r="CQ16" s="49" t="s">
        <v>133</v>
      </c>
      <c r="CR16" s="48">
        <f t="shared" si="27"/>
        <v>0</v>
      </c>
      <c r="CS16" s="49" t="s">
        <v>68</v>
      </c>
      <c r="CT16" s="48">
        <f t="shared" si="28"/>
        <v>0.5</v>
      </c>
      <c r="CU16" s="49" t="s">
        <v>133</v>
      </c>
      <c r="CV16" s="48">
        <f t="shared" si="29"/>
        <v>0</v>
      </c>
      <c r="CW16" s="50" t="s">
        <v>513</v>
      </c>
      <c r="CX16" s="51">
        <f t="shared" si="30"/>
        <v>1.25</v>
      </c>
      <c r="CY16" s="52" t="s">
        <v>68</v>
      </c>
      <c r="CZ16" s="53">
        <f t="shared" si="31"/>
        <v>0.5</v>
      </c>
      <c r="DA16" s="52">
        <v>3</v>
      </c>
      <c r="DB16" s="53">
        <f t="shared" si="32"/>
        <v>0.39600000000000002</v>
      </c>
      <c r="DC16" s="52" t="s">
        <v>133</v>
      </c>
      <c r="DD16" s="53">
        <f t="shared" si="33"/>
        <v>0</v>
      </c>
      <c r="DE16" s="52" t="s">
        <v>68</v>
      </c>
      <c r="DF16" s="53">
        <f t="shared" si="34"/>
        <v>0.5</v>
      </c>
      <c r="DG16" s="50" t="s">
        <v>133</v>
      </c>
      <c r="DH16" s="50" t="s">
        <v>133</v>
      </c>
      <c r="DI16" s="50" t="s">
        <v>133</v>
      </c>
      <c r="DJ16" s="50" t="s">
        <v>68</v>
      </c>
      <c r="DK16" s="50" t="s">
        <v>133</v>
      </c>
      <c r="DL16" s="50" t="s">
        <v>133</v>
      </c>
      <c r="DM16" s="50" t="s">
        <v>133</v>
      </c>
      <c r="DN16" s="50" t="s">
        <v>133</v>
      </c>
      <c r="DO16" s="50" t="s">
        <v>133</v>
      </c>
      <c r="DP16" s="52" t="s">
        <v>68</v>
      </c>
      <c r="DQ16" s="50" t="s">
        <v>133</v>
      </c>
      <c r="DR16" s="52" t="s">
        <v>133</v>
      </c>
      <c r="DS16" s="53">
        <f t="shared" si="3"/>
        <v>0.25</v>
      </c>
      <c r="DT16" s="52" t="s">
        <v>133</v>
      </c>
      <c r="DU16" s="53">
        <f t="shared" si="35"/>
        <v>0</v>
      </c>
      <c r="DV16" s="52" t="s">
        <v>133</v>
      </c>
      <c r="DW16" s="53">
        <f t="shared" si="36"/>
        <v>0</v>
      </c>
      <c r="DX16" s="52" t="s">
        <v>68</v>
      </c>
      <c r="DY16" s="53">
        <f t="shared" si="37"/>
        <v>0.5</v>
      </c>
      <c r="DZ16" s="52" t="s">
        <v>133</v>
      </c>
      <c r="EA16" s="53">
        <f t="shared" si="38"/>
        <v>0</v>
      </c>
      <c r="EB16" s="52" t="s">
        <v>133</v>
      </c>
      <c r="EC16" s="53">
        <f t="shared" si="39"/>
        <v>0</v>
      </c>
      <c r="ED16" s="52" t="s">
        <v>514</v>
      </c>
      <c r="EE16" s="54">
        <f t="shared" si="40"/>
        <v>2.1459999999999999</v>
      </c>
      <c r="EF16" s="50">
        <v>8</v>
      </c>
      <c r="EG16" s="55">
        <f t="shared" si="41"/>
        <v>2.0000000000000018E-2</v>
      </c>
      <c r="EH16" s="50" t="s">
        <v>133</v>
      </c>
      <c r="EI16" s="55">
        <f t="shared" si="42"/>
        <v>0</v>
      </c>
      <c r="EJ16" s="50" t="s">
        <v>133</v>
      </c>
      <c r="EK16" s="55">
        <f t="shared" si="43"/>
        <v>0</v>
      </c>
      <c r="EL16" s="50" t="s">
        <v>133</v>
      </c>
      <c r="EM16" s="55">
        <f t="shared" si="44"/>
        <v>0</v>
      </c>
      <c r="EN16" s="50" t="s">
        <v>68</v>
      </c>
      <c r="EO16" s="55">
        <f t="shared" si="45"/>
        <v>0.5</v>
      </c>
      <c r="EP16" s="50" t="s">
        <v>133</v>
      </c>
      <c r="EQ16" s="55">
        <f t="shared" si="45"/>
        <v>0</v>
      </c>
      <c r="ER16" s="50" t="s">
        <v>515</v>
      </c>
      <c r="ES16" s="56">
        <f t="shared" si="46"/>
        <v>0.74285714285714288</v>
      </c>
      <c r="ET16" s="57" t="s">
        <v>133</v>
      </c>
      <c r="EU16" s="58">
        <f t="shared" si="47"/>
        <v>0</v>
      </c>
      <c r="EV16" s="57" t="s">
        <v>414</v>
      </c>
      <c r="EW16" s="58">
        <f t="shared" si="48"/>
        <v>0</v>
      </c>
      <c r="EX16" s="57" t="s">
        <v>414</v>
      </c>
      <c r="EY16" s="58">
        <f t="shared" si="49"/>
        <v>0</v>
      </c>
      <c r="EZ16" s="57" t="s">
        <v>133</v>
      </c>
      <c r="FA16" s="58">
        <f t="shared" si="50"/>
        <v>0</v>
      </c>
      <c r="FB16" s="57" t="s">
        <v>68</v>
      </c>
      <c r="FC16" s="58">
        <f t="shared" si="51"/>
        <v>0.5</v>
      </c>
      <c r="FD16" s="57" t="s">
        <v>68</v>
      </c>
      <c r="FE16" s="58">
        <f t="shared" si="51"/>
        <v>0.5</v>
      </c>
      <c r="FF16" s="57" t="s">
        <v>133</v>
      </c>
      <c r="FG16" s="58">
        <f t="shared" si="52"/>
        <v>0</v>
      </c>
      <c r="FH16" s="57" t="s">
        <v>133</v>
      </c>
      <c r="FI16" s="58">
        <f t="shared" si="53"/>
        <v>0</v>
      </c>
      <c r="FJ16" s="57" t="s">
        <v>68</v>
      </c>
      <c r="FK16" s="58">
        <f t="shared" si="53"/>
        <v>0.5</v>
      </c>
      <c r="FL16" s="59" t="s">
        <v>516</v>
      </c>
      <c r="FM16" s="60">
        <f t="shared" si="54"/>
        <v>1.875</v>
      </c>
      <c r="FN16" s="61">
        <f t="shared" si="55"/>
        <v>9.6183571428571426</v>
      </c>
    </row>
    <row r="17" spans="1:170" ht="49">
      <c r="A17" s="31">
        <v>15</v>
      </c>
      <c r="B17" s="32" t="s">
        <v>111</v>
      </c>
      <c r="C17" s="33" t="str">
        <f>VLOOKUP(B17,[1]Sheet1!$A:$C,2,FALSE)</f>
        <v>Coach, Inc.</v>
      </c>
      <c r="D17" s="34" t="s">
        <v>412</v>
      </c>
      <c r="E17" s="35" t="str">
        <f>VLOOKUP(B17,[1]Sheet1!$A:$C,3,FALSE)</f>
        <v>United States</v>
      </c>
      <c r="F17" s="34" t="s">
        <v>413</v>
      </c>
      <c r="G17" s="32" t="s">
        <v>113</v>
      </c>
      <c r="H17" s="36" t="s">
        <v>68</v>
      </c>
      <c r="I17" s="36" t="s">
        <v>421</v>
      </c>
      <c r="J17" s="36"/>
      <c r="K17" s="70" t="s">
        <v>517</v>
      </c>
      <c r="L17" s="45" t="s">
        <v>68</v>
      </c>
      <c r="M17" s="37">
        <f t="shared" si="4"/>
        <v>0.75</v>
      </c>
      <c r="N17" s="71">
        <v>1.23</v>
      </c>
      <c r="O17" s="38">
        <f t="shared" si="5"/>
        <v>1.5880000000000001</v>
      </c>
      <c r="P17" s="36" t="s">
        <v>479</v>
      </c>
      <c r="Q17" s="39">
        <v>1</v>
      </c>
      <c r="R17" s="36" t="s">
        <v>133</v>
      </c>
      <c r="S17" s="37">
        <f t="shared" si="6"/>
        <v>0</v>
      </c>
      <c r="T17" s="36" t="s">
        <v>133</v>
      </c>
      <c r="U17" s="37">
        <f t="shared" si="7"/>
        <v>0.5</v>
      </c>
      <c r="V17" s="36" t="s">
        <v>133</v>
      </c>
      <c r="W17" s="36" t="s">
        <v>414</v>
      </c>
      <c r="X17" s="37">
        <f t="shared" si="8"/>
        <v>0</v>
      </c>
      <c r="Y17" s="36" t="s">
        <v>414</v>
      </c>
      <c r="Z17" s="40" t="s">
        <v>518</v>
      </c>
      <c r="AA17" s="41">
        <f t="shared" si="9"/>
        <v>3.8380000000000001</v>
      </c>
      <c r="AB17" s="36">
        <v>0</v>
      </c>
      <c r="AC17" s="42">
        <f t="shared" si="0"/>
        <v>0.5</v>
      </c>
      <c r="AD17" s="36" t="s">
        <v>133</v>
      </c>
      <c r="AE17" s="42">
        <f t="shared" si="10"/>
        <v>0.25</v>
      </c>
      <c r="AF17" s="36" t="s">
        <v>414</v>
      </c>
      <c r="AG17" s="36">
        <v>2</v>
      </c>
      <c r="AH17" s="42">
        <f t="shared" si="11"/>
        <v>1</v>
      </c>
      <c r="AI17" s="36" t="s">
        <v>68</v>
      </c>
      <c r="AJ17" s="42">
        <f t="shared" si="1"/>
        <v>0.25</v>
      </c>
      <c r="AK17" s="36" t="s">
        <v>68</v>
      </c>
      <c r="AL17" s="36" t="s">
        <v>133</v>
      </c>
      <c r="AM17" s="36" t="s">
        <v>133</v>
      </c>
      <c r="AN17" s="36" t="s">
        <v>133</v>
      </c>
      <c r="AO17" s="36" t="s">
        <v>133</v>
      </c>
      <c r="AP17" s="42">
        <f t="shared" si="12"/>
        <v>0.25</v>
      </c>
      <c r="AQ17" s="36" t="s">
        <v>133</v>
      </c>
      <c r="AR17" s="36" t="s">
        <v>414</v>
      </c>
      <c r="AS17" s="42">
        <f t="shared" si="13"/>
        <v>0</v>
      </c>
      <c r="AT17" s="36" t="s">
        <v>414</v>
      </c>
      <c r="AU17" s="36" t="s">
        <v>414</v>
      </c>
      <c r="AV17" s="42">
        <f t="shared" si="14"/>
        <v>0</v>
      </c>
      <c r="AW17" s="36" t="s">
        <v>414</v>
      </c>
      <c r="AX17" s="36" t="s">
        <v>68</v>
      </c>
      <c r="AY17" s="42">
        <f t="shared" si="15"/>
        <v>0.25</v>
      </c>
      <c r="AZ17" s="36" t="s">
        <v>519</v>
      </c>
      <c r="BA17" s="36" t="s">
        <v>68</v>
      </c>
      <c r="BB17" s="42">
        <f t="shared" si="2"/>
        <v>0.25</v>
      </c>
      <c r="BC17" s="36" t="s">
        <v>68</v>
      </c>
      <c r="BD17" s="42">
        <f t="shared" si="16"/>
        <v>0.5</v>
      </c>
      <c r="BE17" s="36" t="s">
        <v>133</v>
      </c>
      <c r="BF17" s="42">
        <f t="shared" si="17"/>
        <v>0</v>
      </c>
      <c r="BG17" s="36" t="s">
        <v>133</v>
      </c>
      <c r="BH17" s="36" t="s">
        <v>68</v>
      </c>
      <c r="BI17" s="42">
        <f t="shared" si="18"/>
        <v>0.5</v>
      </c>
      <c r="BJ17" s="36" t="s">
        <v>68</v>
      </c>
      <c r="BK17" s="36" t="s">
        <v>133</v>
      </c>
      <c r="BL17" s="36" t="s">
        <v>133</v>
      </c>
      <c r="BM17" s="36" t="s">
        <v>133</v>
      </c>
      <c r="BN17" s="36" t="s">
        <v>133</v>
      </c>
      <c r="BO17" s="36" t="s">
        <v>133</v>
      </c>
      <c r="BP17" s="42">
        <f t="shared" si="19"/>
        <v>0</v>
      </c>
      <c r="BQ17" s="68" t="s">
        <v>414</v>
      </c>
      <c r="BR17" s="68" t="s">
        <v>414</v>
      </c>
      <c r="BS17" s="68" t="s">
        <v>414</v>
      </c>
      <c r="BT17" s="68" t="s">
        <v>414</v>
      </c>
      <c r="BU17" s="68" t="s">
        <v>414</v>
      </c>
      <c r="BV17" s="68" t="s">
        <v>414</v>
      </c>
      <c r="BW17" s="43" t="s">
        <v>520</v>
      </c>
      <c r="BX17" s="44">
        <f t="shared" si="20"/>
        <v>3.75</v>
      </c>
      <c r="BY17" s="45" t="s">
        <v>68</v>
      </c>
      <c r="BZ17" s="46">
        <f t="shared" si="21"/>
        <v>0.5</v>
      </c>
      <c r="CA17" s="45" t="s">
        <v>133</v>
      </c>
      <c r="CB17" s="46">
        <f t="shared" si="22"/>
        <v>0</v>
      </c>
      <c r="CC17" s="36" t="s">
        <v>414</v>
      </c>
      <c r="CD17" s="46">
        <f t="shared" si="23"/>
        <v>0</v>
      </c>
      <c r="CE17" s="36" t="s">
        <v>414</v>
      </c>
      <c r="CF17" s="45" t="s">
        <v>133</v>
      </c>
      <c r="CG17" s="47">
        <v>0</v>
      </c>
      <c r="CH17" s="45" t="s">
        <v>133</v>
      </c>
      <c r="CI17" s="48">
        <f t="shared" si="24"/>
        <v>0</v>
      </c>
      <c r="CJ17" s="49" t="s">
        <v>68</v>
      </c>
      <c r="CK17" s="49" t="s">
        <v>68</v>
      </c>
      <c r="CL17" s="50" t="s">
        <v>521</v>
      </c>
      <c r="CM17" s="49" t="s">
        <v>133</v>
      </c>
      <c r="CN17" s="46">
        <f t="shared" si="25"/>
        <v>0</v>
      </c>
      <c r="CO17" s="49" t="s">
        <v>68</v>
      </c>
      <c r="CP17" s="48">
        <f t="shared" si="26"/>
        <v>0.75</v>
      </c>
      <c r="CQ17" s="49" t="s">
        <v>68</v>
      </c>
      <c r="CR17" s="48">
        <f t="shared" si="27"/>
        <v>0.25</v>
      </c>
      <c r="CS17" s="49" t="s">
        <v>68</v>
      </c>
      <c r="CT17" s="48">
        <f t="shared" si="28"/>
        <v>0.5</v>
      </c>
      <c r="CU17" s="49" t="s">
        <v>68</v>
      </c>
      <c r="CV17" s="48">
        <f t="shared" si="29"/>
        <v>0.25</v>
      </c>
      <c r="CW17" s="50" t="s">
        <v>522</v>
      </c>
      <c r="CX17" s="51">
        <f t="shared" si="30"/>
        <v>2.25</v>
      </c>
      <c r="CY17" s="52" t="s">
        <v>68</v>
      </c>
      <c r="CZ17" s="53">
        <f t="shared" si="31"/>
        <v>0.5</v>
      </c>
      <c r="DA17" s="52">
        <v>4</v>
      </c>
      <c r="DB17" s="53">
        <f t="shared" si="32"/>
        <v>0.66600000000000004</v>
      </c>
      <c r="DC17" s="52" t="s">
        <v>133</v>
      </c>
      <c r="DD17" s="53">
        <f t="shared" si="33"/>
        <v>0</v>
      </c>
      <c r="DE17" s="52" t="s">
        <v>68</v>
      </c>
      <c r="DF17" s="53">
        <f t="shared" si="34"/>
        <v>0.5</v>
      </c>
      <c r="DG17" s="50" t="s">
        <v>133</v>
      </c>
      <c r="DH17" s="50" t="s">
        <v>133</v>
      </c>
      <c r="DI17" s="50" t="s">
        <v>68</v>
      </c>
      <c r="DJ17" s="50" t="s">
        <v>68</v>
      </c>
      <c r="DK17" s="50" t="s">
        <v>133</v>
      </c>
      <c r="DL17" s="50" t="s">
        <v>133</v>
      </c>
      <c r="DM17" s="50" t="s">
        <v>68</v>
      </c>
      <c r="DN17" s="50" t="s">
        <v>133</v>
      </c>
      <c r="DO17" s="50" t="s">
        <v>133</v>
      </c>
      <c r="DP17" s="52" t="s">
        <v>133</v>
      </c>
      <c r="DQ17" s="50" t="s">
        <v>133</v>
      </c>
      <c r="DR17" s="52" t="s">
        <v>68</v>
      </c>
      <c r="DS17" s="53">
        <f t="shared" si="3"/>
        <v>0.25</v>
      </c>
      <c r="DT17" s="52" t="s">
        <v>68</v>
      </c>
      <c r="DU17" s="53">
        <f t="shared" si="35"/>
        <v>0.5</v>
      </c>
      <c r="DV17" s="52" t="s">
        <v>68</v>
      </c>
      <c r="DW17" s="53">
        <f t="shared" si="36"/>
        <v>0.5</v>
      </c>
      <c r="DX17" s="52" t="s">
        <v>68</v>
      </c>
      <c r="DY17" s="53">
        <f t="shared" si="37"/>
        <v>0.5</v>
      </c>
      <c r="DZ17" s="52" t="s">
        <v>133</v>
      </c>
      <c r="EA17" s="53">
        <f t="shared" si="38"/>
        <v>0</v>
      </c>
      <c r="EB17" s="52" t="s">
        <v>68</v>
      </c>
      <c r="EC17" s="53">
        <f t="shared" si="39"/>
        <v>0.25</v>
      </c>
      <c r="ED17" s="52" t="s">
        <v>523</v>
      </c>
      <c r="EE17" s="54">
        <f t="shared" si="40"/>
        <v>3.6659999999999999</v>
      </c>
      <c r="EF17" s="50">
        <v>5</v>
      </c>
      <c r="EG17" s="55">
        <f t="shared" si="41"/>
        <v>0.58000000000000007</v>
      </c>
      <c r="EH17" s="50" t="s">
        <v>133</v>
      </c>
      <c r="EI17" s="55">
        <f t="shared" si="42"/>
        <v>0</v>
      </c>
      <c r="EJ17" s="50" t="s">
        <v>68</v>
      </c>
      <c r="EK17" s="55">
        <f t="shared" si="43"/>
        <v>0.5</v>
      </c>
      <c r="EL17" s="50" t="s">
        <v>68</v>
      </c>
      <c r="EM17" s="55">
        <f t="shared" si="44"/>
        <v>0.5</v>
      </c>
      <c r="EN17" s="50" t="s">
        <v>68</v>
      </c>
      <c r="EO17" s="55">
        <f t="shared" si="45"/>
        <v>0.5</v>
      </c>
      <c r="EP17" s="50" t="s">
        <v>133</v>
      </c>
      <c r="EQ17" s="55">
        <f t="shared" si="45"/>
        <v>0</v>
      </c>
      <c r="ER17" s="50" t="s">
        <v>524</v>
      </c>
      <c r="ES17" s="56">
        <f t="shared" si="46"/>
        <v>2.9714285714285715</v>
      </c>
      <c r="ET17" s="57" t="s">
        <v>133</v>
      </c>
      <c r="EU17" s="58">
        <f t="shared" si="47"/>
        <v>0</v>
      </c>
      <c r="EV17" s="57" t="s">
        <v>414</v>
      </c>
      <c r="EW17" s="58">
        <f t="shared" si="48"/>
        <v>0</v>
      </c>
      <c r="EX17" s="57" t="s">
        <v>414</v>
      </c>
      <c r="EY17" s="58">
        <f t="shared" si="49"/>
        <v>0</v>
      </c>
      <c r="EZ17" s="57" t="s">
        <v>133</v>
      </c>
      <c r="FA17" s="58">
        <f t="shared" si="50"/>
        <v>0</v>
      </c>
      <c r="FB17" s="57" t="s">
        <v>68</v>
      </c>
      <c r="FC17" s="58">
        <f t="shared" si="51"/>
        <v>0.5</v>
      </c>
      <c r="FD17" s="57" t="s">
        <v>68</v>
      </c>
      <c r="FE17" s="58">
        <f t="shared" si="51"/>
        <v>0.5</v>
      </c>
      <c r="FF17" s="57" t="s">
        <v>68</v>
      </c>
      <c r="FG17" s="58">
        <f t="shared" si="52"/>
        <v>0.25</v>
      </c>
      <c r="FH17" s="57" t="s">
        <v>133</v>
      </c>
      <c r="FI17" s="58">
        <f t="shared" si="53"/>
        <v>0</v>
      </c>
      <c r="FJ17" s="57" t="s">
        <v>68</v>
      </c>
      <c r="FK17" s="58">
        <f t="shared" si="53"/>
        <v>0.5</v>
      </c>
      <c r="FL17" s="59" t="s">
        <v>525</v>
      </c>
      <c r="FM17" s="60">
        <f t="shared" si="54"/>
        <v>2.1875</v>
      </c>
      <c r="FN17" s="61">
        <f t="shared" si="55"/>
        <v>18.662928571428573</v>
      </c>
    </row>
    <row r="18" spans="1:170" ht="92">
      <c r="A18" s="31">
        <v>16</v>
      </c>
      <c r="B18" s="32" t="s">
        <v>114</v>
      </c>
      <c r="C18" s="33" t="str">
        <f>VLOOKUP(B18,[1]Sheet1!$A:$C,2,FALSE)</f>
        <v>Nike</v>
      </c>
      <c r="D18" s="34" t="s">
        <v>412</v>
      </c>
      <c r="E18" s="35" t="str">
        <f>VLOOKUP(B18,[1]Sheet1!$A:$C,3,FALSE)</f>
        <v>United States</v>
      </c>
      <c r="F18" s="34" t="s">
        <v>413</v>
      </c>
      <c r="G18" s="32" t="s">
        <v>116</v>
      </c>
      <c r="H18" s="36" t="s">
        <v>81</v>
      </c>
      <c r="I18" s="36" t="s">
        <v>421</v>
      </c>
      <c r="J18" s="36" t="s">
        <v>421</v>
      </c>
      <c r="K18" s="36" t="s">
        <v>446</v>
      </c>
      <c r="L18" s="36" t="s">
        <v>133</v>
      </c>
      <c r="M18" s="37">
        <f t="shared" si="4"/>
        <v>0</v>
      </c>
      <c r="N18" s="36">
        <v>1.871</v>
      </c>
      <c r="O18" s="38">
        <f t="shared" si="5"/>
        <v>0.76200000000000001</v>
      </c>
      <c r="P18" s="36" t="s">
        <v>479</v>
      </c>
      <c r="Q18" s="39">
        <v>1</v>
      </c>
      <c r="R18" s="36" t="s">
        <v>77</v>
      </c>
      <c r="S18" s="37">
        <f t="shared" si="6"/>
        <v>0</v>
      </c>
      <c r="T18" s="36" t="s">
        <v>77</v>
      </c>
      <c r="U18" s="37">
        <f t="shared" si="7"/>
        <v>0.5</v>
      </c>
      <c r="V18" s="36" t="s">
        <v>77</v>
      </c>
      <c r="W18" s="36" t="s">
        <v>421</v>
      </c>
      <c r="X18" s="37">
        <f t="shared" si="8"/>
        <v>0</v>
      </c>
      <c r="Y18" s="36" t="s">
        <v>421</v>
      </c>
      <c r="Z18" s="40" t="s">
        <v>526</v>
      </c>
      <c r="AA18" s="41">
        <f t="shared" si="9"/>
        <v>2.262</v>
      </c>
      <c r="AB18" s="36">
        <v>0</v>
      </c>
      <c r="AC18" s="42">
        <f t="shared" si="0"/>
        <v>0.5</v>
      </c>
      <c r="AD18" s="36" t="s">
        <v>77</v>
      </c>
      <c r="AE18" s="42">
        <f t="shared" si="10"/>
        <v>0.25</v>
      </c>
      <c r="AF18" s="36" t="s">
        <v>421</v>
      </c>
      <c r="AG18" s="36">
        <v>2</v>
      </c>
      <c r="AH18" s="42">
        <f t="shared" si="11"/>
        <v>1</v>
      </c>
      <c r="AI18" s="36" t="s">
        <v>81</v>
      </c>
      <c r="AJ18" s="42">
        <f t="shared" si="1"/>
        <v>0.25</v>
      </c>
      <c r="AK18" s="36" t="s">
        <v>81</v>
      </c>
      <c r="AL18" s="36" t="s">
        <v>77</v>
      </c>
      <c r="AM18" s="36" t="s">
        <v>81</v>
      </c>
      <c r="AN18" s="36" t="s">
        <v>77</v>
      </c>
      <c r="AO18" s="36" t="s">
        <v>77</v>
      </c>
      <c r="AP18" s="42">
        <f t="shared" si="12"/>
        <v>0.25</v>
      </c>
      <c r="AQ18" s="36" t="s">
        <v>81</v>
      </c>
      <c r="AR18" s="36" t="s">
        <v>81</v>
      </c>
      <c r="AS18" s="42">
        <f t="shared" si="13"/>
        <v>0.25</v>
      </c>
      <c r="AT18" s="36" t="s">
        <v>81</v>
      </c>
      <c r="AU18" s="36" t="s">
        <v>77</v>
      </c>
      <c r="AV18" s="42">
        <f t="shared" si="14"/>
        <v>0.25</v>
      </c>
      <c r="AW18" s="36" t="s">
        <v>77</v>
      </c>
      <c r="AX18" s="36" t="s">
        <v>77</v>
      </c>
      <c r="AY18" s="42">
        <f t="shared" si="15"/>
        <v>0</v>
      </c>
      <c r="AZ18" s="36" t="s">
        <v>527</v>
      </c>
      <c r="BA18" s="36" t="s">
        <v>81</v>
      </c>
      <c r="BB18" s="42">
        <f t="shared" si="2"/>
        <v>0.25</v>
      </c>
      <c r="BC18" s="36" t="s">
        <v>81</v>
      </c>
      <c r="BD18" s="42">
        <f t="shared" si="16"/>
        <v>0.5</v>
      </c>
      <c r="BE18" s="36" t="s">
        <v>77</v>
      </c>
      <c r="BF18" s="42">
        <f t="shared" si="17"/>
        <v>0</v>
      </c>
      <c r="BG18" s="36" t="s">
        <v>81</v>
      </c>
      <c r="BH18" s="36" t="s">
        <v>81</v>
      </c>
      <c r="BI18" s="42">
        <f t="shared" si="18"/>
        <v>0.5</v>
      </c>
      <c r="BJ18" s="36" t="s">
        <v>77</v>
      </c>
      <c r="BK18" s="36" t="s">
        <v>81</v>
      </c>
      <c r="BL18" s="36" t="s">
        <v>77</v>
      </c>
      <c r="BM18" s="36" t="s">
        <v>77</v>
      </c>
      <c r="BN18" s="36" t="s">
        <v>77</v>
      </c>
      <c r="BO18" s="36" t="s">
        <v>81</v>
      </c>
      <c r="BP18" s="42">
        <f t="shared" si="19"/>
        <v>0.5</v>
      </c>
      <c r="BQ18" s="36" t="s">
        <v>81</v>
      </c>
      <c r="BR18" s="36" t="s">
        <v>77</v>
      </c>
      <c r="BS18" s="36" t="s">
        <v>81</v>
      </c>
      <c r="BT18" s="36" t="s">
        <v>81</v>
      </c>
      <c r="BU18" s="36" t="s">
        <v>77</v>
      </c>
      <c r="BV18" s="36" t="s">
        <v>77</v>
      </c>
      <c r="BW18" s="43" t="s">
        <v>528</v>
      </c>
      <c r="BX18" s="44">
        <f t="shared" si="20"/>
        <v>4.5</v>
      </c>
      <c r="BY18" s="45" t="s">
        <v>81</v>
      </c>
      <c r="BZ18" s="46">
        <f t="shared" si="21"/>
        <v>0.5</v>
      </c>
      <c r="CA18" s="45" t="s">
        <v>77</v>
      </c>
      <c r="CB18" s="46">
        <f t="shared" si="22"/>
        <v>0</v>
      </c>
      <c r="CC18" s="36" t="s">
        <v>421</v>
      </c>
      <c r="CD18" s="46">
        <f t="shared" si="23"/>
        <v>0</v>
      </c>
      <c r="CE18" s="45" t="s">
        <v>421</v>
      </c>
      <c r="CF18" s="45" t="s">
        <v>77</v>
      </c>
      <c r="CG18" s="47">
        <v>0</v>
      </c>
      <c r="CH18" s="45" t="s">
        <v>133</v>
      </c>
      <c r="CI18" s="48">
        <f t="shared" si="24"/>
        <v>0</v>
      </c>
      <c r="CJ18" s="49" t="s">
        <v>81</v>
      </c>
      <c r="CK18" s="49" t="s">
        <v>77</v>
      </c>
      <c r="CL18" s="50" t="s">
        <v>421</v>
      </c>
      <c r="CM18" s="49" t="s">
        <v>77</v>
      </c>
      <c r="CN18" s="46">
        <f t="shared" si="25"/>
        <v>0</v>
      </c>
      <c r="CO18" s="49" t="s">
        <v>81</v>
      </c>
      <c r="CP18" s="48">
        <f t="shared" si="26"/>
        <v>0.75</v>
      </c>
      <c r="CQ18" s="49" t="s">
        <v>81</v>
      </c>
      <c r="CR18" s="48">
        <f t="shared" si="27"/>
        <v>0.25</v>
      </c>
      <c r="CS18" s="49" t="s">
        <v>81</v>
      </c>
      <c r="CT18" s="48">
        <f t="shared" si="28"/>
        <v>0.5</v>
      </c>
      <c r="CU18" s="49" t="s">
        <v>81</v>
      </c>
      <c r="CV18" s="48">
        <f t="shared" si="29"/>
        <v>0.25</v>
      </c>
      <c r="CW18" s="50" t="s">
        <v>529</v>
      </c>
      <c r="CX18" s="51">
        <f t="shared" si="30"/>
        <v>2.25</v>
      </c>
      <c r="CY18" s="52" t="s">
        <v>81</v>
      </c>
      <c r="CZ18" s="53">
        <f t="shared" si="31"/>
        <v>0.5</v>
      </c>
      <c r="DA18" s="52">
        <v>5</v>
      </c>
      <c r="DB18" s="53">
        <f t="shared" si="32"/>
        <v>0.92</v>
      </c>
      <c r="DC18" s="52" t="s">
        <v>77</v>
      </c>
      <c r="DD18" s="53">
        <f t="shared" si="33"/>
        <v>0</v>
      </c>
      <c r="DE18" s="52" t="s">
        <v>81</v>
      </c>
      <c r="DF18" s="53">
        <f t="shared" si="34"/>
        <v>0.5</v>
      </c>
      <c r="DG18" s="50" t="s">
        <v>77</v>
      </c>
      <c r="DH18" s="50" t="s">
        <v>77</v>
      </c>
      <c r="DI18" s="50" t="s">
        <v>81</v>
      </c>
      <c r="DJ18" s="50" t="s">
        <v>81</v>
      </c>
      <c r="DK18" s="50" t="s">
        <v>77</v>
      </c>
      <c r="DL18" s="50" t="s">
        <v>81</v>
      </c>
      <c r="DM18" s="50" t="s">
        <v>81</v>
      </c>
      <c r="DN18" s="50" t="s">
        <v>77</v>
      </c>
      <c r="DO18" s="50" t="s">
        <v>81</v>
      </c>
      <c r="DP18" s="52" t="s">
        <v>81</v>
      </c>
      <c r="DQ18" s="50" t="s">
        <v>77</v>
      </c>
      <c r="DR18" s="52" t="s">
        <v>77</v>
      </c>
      <c r="DS18" s="53">
        <f t="shared" si="3"/>
        <v>0.25</v>
      </c>
      <c r="DT18" s="52" t="s">
        <v>81</v>
      </c>
      <c r="DU18" s="53">
        <f t="shared" si="35"/>
        <v>0.5</v>
      </c>
      <c r="DV18" s="52" t="s">
        <v>81</v>
      </c>
      <c r="DW18" s="53">
        <f t="shared" si="36"/>
        <v>0.5</v>
      </c>
      <c r="DX18" s="52" t="s">
        <v>81</v>
      </c>
      <c r="DY18" s="53">
        <f t="shared" si="37"/>
        <v>0.5</v>
      </c>
      <c r="DZ18" s="52" t="s">
        <v>77</v>
      </c>
      <c r="EA18" s="53">
        <f t="shared" si="38"/>
        <v>0</v>
      </c>
      <c r="EB18" s="52" t="s">
        <v>81</v>
      </c>
      <c r="EC18" s="53">
        <f t="shared" si="39"/>
        <v>0.25</v>
      </c>
      <c r="ED18" s="52" t="s">
        <v>530</v>
      </c>
      <c r="EE18" s="54">
        <f t="shared" si="40"/>
        <v>3.92</v>
      </c>
      <c r="EF18" s="50">
        <v>3</v>
      </c>
      <c r="EG18" s="55">
        <f t="shared" si="41"/>
        <v>0.94</v>
      </c>
      <c r="EH18" s="50" t="s">
        <v>81</v>
      </c>
      <c r="EI18" s="55">
        <f t="shared" si="42"/>
        <v>0.5</v>
      </c>
      <c r="EJ18" s="50" t="s">
        <v>77</v>
      </c>
      <c r="EK18" s="55">
        <f t="shared" si="43"/>
        <v>0</v>
      </c>
      <c r="EL18" s="50" t="s">
        <v>77</v>
      </c>
      <c r="EM18" s="55">
        <f t="shared" si="44"/>
        <v>0</v>
      </c>
      <c r="EN18" s="50" t="s">
        <v>81</v>
      </c>
      <c r="EO18" s="55">
        <f t="shared" si="45"/>
        <v>0.5</v>
      </c>
      <c r="EP18" s="50" t="s">
        <v>81</v>
      </c>
      <c r="EQ18" s="55">
        <f t="shared" si="45"/>
        <v>0.5</v>
      </c>
      <c r="ER18" s="50" t="s">
        <v>531</v>
      </c>
      <c r="ES18" s="56">
        <f t="shared" si="46"/>
        <v>3.4857142857142858</v>
      </c>
      <c r="ET18" s="57" t="s">
        <v>133</v>
      </c>
      <c r="EU18" s="58">
        <f t="shared" si="47"/>
        <v>0</v>
      </c>
      <c r="EV18" s="57" t="s">
        <v>414</v>
      </c>
      <c r="EW18" s="58">
        <f t="shared" si="48"/>
        <v>0</v>
      </c>
      <c r="EX18" s="57" t="s">
        <v>414</v>
      </c>
      <c r="EY18" s="58">
        <f t="shared" si="49"/>
        <v>0</v>
      </c>
      <c r="EZ18" s="57" t="s">
        <v>77</v>
      </c>
      <c r="FA18" s="58">
        <f t="shared" si="50"/>
        <v>0</v>
      </c>
      <c r="FB18" s="57" t="s">
        <v>81</v>
      </c>
      <c r="FC18" s="58">
        <f t="shared" si="51"/>
        <v>0.5</v>
      </c>
      <c r="FD18" s="57" t="s">
        <v>81</v>
      </c>
      <c r="FE18" s="58">
        <f t="shared" si="51"/>
        <v>0.5</v>
      </c>
      <c r="FF18" s="57" t="s">
        <v>81</v>
      </c>
      <c r="FG18" s="58">
        <f t="shared" si="52"/>
        <v>0.25</v>
      </c>
      <c r="FH18" s="57" t="s">
        <v>77</v>
      </c>
      <c r="FI18" s="58">
        <f t="shared" si="53"/>
        <v>0</v>
      </c>
      <c r="FJ18" s="57" t="s">
        <v>81</v>
      </c>
      <c r="FK18" s="58">
        <f t="shared" si="53"/>
        <v>0.5</v>
      </c>
      <c r="FL18" s="59" t="s">
        <v>532</v>
      </c>
      <c r="FM18" s="60">
        <f t="shared" si="54"/>
        <v>2.1875</v>
      </c>
      <c r="FN18" s="61">
        <f t="shared" si="55"/>
        <v>18.605214285714286</v>
      </c>
    </row>
    <row r="19" spans="1:170" ht="53">
      <c r="A19" s="31">
        <v>17</v>
      </c>
      <c r="B19" s="32" t="s">
        <v>117</v>
      </c>
      <c r="C19" s="33" t="str">
        <f>VLOOKUP(B19,[1]Sheet1!$A:$C,2,FALSE)</f>
        <v>Diane Von Furstenberg</v>
      </c>
      <c r="D19" s="34" t="s">
        <v>412</v>
      </c>
      <c r="E19" s="35" t="str">
        <f>VLOOKUP(B19,[1]Sheet1!$A:$C,3,FALSE)</f>
        <v>United States</v>
      </c>
      <c r="F19" s="34" t="s">
        <v>413</v>
      </c>
      <c r="G19" s="32" t="s">
        <v>119</v>
      </c>
      <c r="H19" s="36" t="s">
        <v>68</v>
      </c>
      <c r="I19" s="36" t="s">
        <v>414</v>
      </c>
      <c r="J19" s="36"/>
      <c r="K19" s="66" t="s">
        <v>415</v>
      </c>
      <c r="L19" s="66" t="s">
        <v>133</v>
      </c>
      <c r="M19" s="37">
        <f t="shared" si="4"/>
        <v>0</v>
      </c>
      <c r="N19" s="67">
        <f>AVERAGE(N17,N15,N14,N27)</f>
        <v>1.4505833333333333</v>
      </c>
      <c r="O19" s="38">
        <f t="shared" si="5"/>
        <v>1.3340000000000001</v>
      </c>
      <c r="P19" s="36" t="s">
        <v>533</v>
      </c>
      <c r="Q19" s="39">
        <v>1</v>
      </c>
      <c r="R19" s="36" t="s">
        <v>133</v>
      </c>
      <c r="S19" s="37">
        <f t="shared" si="6"/>
        <v>0</v>
      </c>
      <c r="T19" s="36" t="s">
        <v>133</v>
      </c>
      <c r="U19" s="37">
        <f t="shared" si="7"/>
        <v>0.5</v>
      </c>
      <c r="V19" s="36" t="s">
        <v>68</v>
      </c>
      <c r="W19" s="36" t="s">
        <v>133</v>
      </c>
      <c r="X19" s="37">
        <f t="shared" si="8"/>
        <v>0</v>
      </c>
      <c r="Y19" s="36" t="s">
        <v>414</v>
      </c>
      <c r="Z19" s="40" t="s">
        <v>534</v>
      </c>
      <c r="AA19" s="41">
        <f t="shared" si="9"/>
        <v>2.8340000000000001</v>
      </c>
      <c r="AB19" s="36">
        <v>0</v>
      </c>
      <c r="AC19" s="42">
        <f t="shared" si="0"/>
        <v>0.5</v>
      </c>
      <c r="AD19" s="36" t="s">
        <v>133</v>
      </c>
      <c r="AE19" s="42">
        <f t="shared" si="10"/>
        <v>0.25</v>
      </c>
      <c r="AF19" s="36" t="s">
        <v>414</v>
      </c>
      <c r="AG19" s="36">
        <v>2</v>
      </c>
      <c r="AH19" s="42">
        <f t="shared" si="11"/>
        <v>1</v>
      </c>
      <c r="AI19" s="36" t="s">
        <v>133</v>
      </c>
      <c r="AJ19" s="42">
        <f t="shared" si="1"/>
        <v>0</v>
      </c>
      <c r="AK19" s="36" t="s">
        <v>68</v>
      </c>
      <c r="AL19" s="36" t="s">
        <v>68</v>
      </c>
      <c r="AM19" s="36" t="s">
        <v>68</v>
      </c>
      <c r="AN19" s="36" t="s">
        <v>133</v>
      </c>
      <c r="AO19" s="36" t="s">
        <v>133</v>
      </c>
      <c r="AP19" s="42">
        <f t="shared" si="12"/>
        <v>0.25</v>
      </c>
      <c r="AQ19" s="36" t="s">
        <v>68</v>
      </c>
      <c r="AR19" s="36" t="s">
        <v>68</v>
      </c>
      <c r="AS19" s="42">
        <f t="shared" si="13"/>
        <v>0.25</v>
      </c>
      <c r="AT19" s="36" t="s">
        <v>133</v>
      </c>
      <c r="AU19" s="36" t="s">
        <v>133</v>
      </c>
      <c r="AV19" s="42">
        <f t="shared" si="14"/>
        <v>0.25</v>
      </c>
      <c r="AW19" s="36" t="s">
        <v>68</v>
      </c>
      <c r="AX19" s="36" t="s">
        <v>68</v>
      </c>
      <c r="AY19" s="42">
        <f t="shared" si="15"/>
        <v>0.25</v>
      </c>
      <c r="AZ19" s="36" t="s">
        <v>535</v>
      </c>
      <c r="BA19" s="36" t="s">
        <v>68</v>
      </c>
      <c r="BB19" s="42">
        <f t="shared" si="2"/>
        <v>0.25</v>
      </c>
      <c r="BC19" s="36" t="s">
        <v>68</v>
      </c>
      <c r="BD19" s="42">
        <f t="shared" si="16"/>
        <v>0.5</v>
      </c>
      <c r="BE19" s="36" t="s">
        <v>133</v>
      </c>
      <c r="BF19" s="42">
        <f t="shared" si="17"/>
        <v>0</v>
      </c>
      <c r="BG19" s="36" t="s">
        <v>133</v>
      </c>
      <c r="BH19" s="36" t="s">
        <v>68</v>
      </c>
      <c r="BI19" s="42">
        <f t="shared" si="18"/>
        <v>0.5</v>
      </c>
      <c r="BJ19" s="36" t="s">
        <v>68</v>
      </c>
      <c r="BK19" s="36" t="s">
        <v>68</v>
      </c>
      <c r="BL19" s="36" t="s">
        <v>68</v>
      </c>
      <c r="BM19" s="36" t="s">
        <v>133</v>
      </c>
      <c r="BN19" s="36" t="s">
        <v>133</v>
      </c>
      <c r="BO19" s="36" t="s">
        <v>133</v>
      </c>
      <c r="BP19" s="42">
        <f t="shared" si="19"/>
        <v>0</v>
      </c>
      <c r="BQ19" s="36" t="s">
        <v>133</v>
      </c>
      <c r="BR19" s="36" t="s">
        <v>414</v>
      </c>
      <c r="BS19" s="36" t="s">
        <v>414</v>
      </c>
      <c r="BT19" s="36" t="s">
        <v>414</v>
      </c>
      <c r="BU19" s="36" t="s">
        <v>414</v>
      </c>
      <c r="BV19" s="36" t="s">
        <v>414</v>
      </c>
      <c r="BW19" s="43" t="s">
        <v>536</v>
      </c>
      <c r="BX19" s="44">
        <f t="shared" si="20"/>
        <v>4</v>
      </c>
      <c r="BY19" s="45" t="s">
        <v>68</v>
      </c>
      <c r="BZ19" s="46">
        <f t="shared" si="21"/>
        <v>0.5</v>
      </c>
      <c r="CA19" s="45" t="s">
        <v>133</v>
      </c>
      <c r="CB19" s="46">
        <f t="shared" si="22"/>
        <v>0</v>
      </c>
      <c r="CC19" s="36" t="s">
        <v>414</v>
      </c>
      <c r="CD19" s="46">
        <f t="shared" si="23"/>
        <v>0</v>
      </c>
      <c r="CE19" s="36" t="s">
        <v>414</v>
      </c>
      <c r="CF19" s="45" t="s">
        <v>133</v>
      </c>
      <c r="CG19" s="47">
        <v>0</v>
      </c>
      <c r="CH19" s="45" t="s">
        <v>133</v>
      </c>
      <c r="CI19" s="48">
        <f t="shared" si="24"/>
        <v>0</v>
      </c>
      <c r="CJ19" s="49" t="s">
        <v>68</v>
      </c>
      <c r="CK19" s="49" t="s">
        <v>133</v>
      </c>
      <c r="CL19" s="50" t="s">
        <v>414</v>
      </c>
      <c r="CM19" s="49" t="s">
        <v>133</v>
      </c>
      <c r="CN19" s="46">
        <f t="shared" si="25"/>
        <v>0</v>
      </c>
      <c r="CO19" s="49" t="s">
        <v>68</v>
      </c>
      <c r="CP19" s="48">
        <f t="shared" si="26"/>
        <v>0.75</v>
      </c>
      <c r="CQ19" s="49" t="s">
        <v>133</v>
      </c>
      <c r="CR19" s="48">
        <f t="shared" si="27"/>
        <v>0</v>
      </c>
      <c r="CS19" s="49" t="s">
        <v>68</v>
      </c>
      <c r="CT19" s="48">
        <f t="shared" si="28"/>
        <v>0.5</v>
      </c>
      <c r="CU19" s="49" t="s">
        <v>133</v>
      </c>
      <c r="CV19" s="48">
        <f t="shared" si="29"/>
        <v>0</v>
      </c>
      <c r="CW19" s="50" t="s">
        <v>537</v>
      </c>
      <c r="CX19" s="51">
        <f t="shared" si="30"/>
        <v>1.75</v>
      </c>
      <c r="CY19" s="52" t="s">
        <v>68</v>
      </c>
      <c r="CZ19" s="53">
        <f t="shared" si="31"/>
        <v>0.5</v>
      </c>
      <c r="DA19" s="52">
        <v>3</v>
      </c>
      <c r="DB19" s="53">
        <f t="shared" si="32"/>
        <v>0.39600000000000002</v>
      </c>
      <c r="DC19" s="52" t="s">
        <v>68</v>
      </c>
      <c r="DD19" s="53">
        <f t="shared" si="33"/>
        <v>0.5</v>
      </c>
      <c r="DE19" s="52" t="s">
        <v>68</v>
      </c>
      <c r="DF19" s="53">
        <f t="shared" si="34"/>
        <v>0.5</v>
      </c>
      <c r="DG19" s="50" t="s">
        <v>133</v>
      </c>
      <c r="DH19" s="50" t="s">
        <v>133</v>
      </c>
      <c r="DI19" s="50" t="s">
        <v>68</v>
      </c>
      <c r="DJ19" s="50" t="s">
        <v>68</v>
      </c>
      <c r="DK19" s="50" t="s">
        <v>133</v>
      </c>
      <c r="DL19" s="50" t="s">
        <v>133</v>
      </c>
      <c r="DM19" s="50" t="s">
        <v>68</v>
      </c>
      <c r="DN19" s="50" t="s">
        <v>133</v>
      </c>
      <c r="DO19" s="50" t="s">
        <v>68</v>
      </c>
      <c r="DP19" s="52" t="s">
        <v>68</v>
      </c>
      <c r="DQ19" s="50" t="s">
        <v>133</v>
      </c>
      <c r="DR19" s="52" t="s">
        <v>133</v>
      </c>
      <c r="DS19" s="53">
        <f t="shared" si="3"/>
        <v>0.25</v>
      </c>
      <c r="DT19" s="52" t="s">
        <v>133</v>
      </c>
      <c r="DU19" s="53">
        <f t="shared" si="35"/>
        <v>0</v>
      </c>
      <c r="DV19" s="52" t="s">
        <v>133</v>
      </c>
      <c r="DW19" s="53">
        <f t="shared" si="36"/>
        <v>0</v>
      </c>
      <c r="DX19" s="52" t="s">
        <v>68</v>
      </c>
      <c r="DY19" s="53">
        <f t="shared" si="37"/>
        <v>0.5</v>
      </c>
      <c r="DZ19" s="52" t="s">
        <v>133</v>
      </c>
      <c r="EA19" s="53">
        <f t="shared" si="38"/>
        <v>0</v>
      </c>
      <c r="EB19" s="52" t="s">
        <v>133</v>
      </c>
      <c r="EC19" s="53">
        <f t="shared" si="39"/>
        <v>0</v>
      </c>
      <c r="ED19" s="52" t="s">
        <v>538</v>
      </c>
      <c r="EE19" s="54">
        <f t="shared" si="40"/>
        <v>2.6459999999999999</v>
      </c>
      <c r="EF19" s="50">
        <v>4</v>
      </c>
      <c r="EG19" s="55">
        <f t="shared" si="41"/>
        <v>0.84</v>
      </c>
      <c r="EH19" s="50" t="s">
        <v>68</v>
      </c>
      <c r="EI19" s="55">
        <f t="shared" si="42"/>
        <v>0.5</v>
      </c>
      <c r="EJ19" s="50" t="s">
        <v>133</v>
      </c>
      <c r="EK19" s="55">
        <f t="shared" si="43"/>
        <v>0</v>
      </c>
      <c r="EL19" s="50" t="s">
        <v>133</v>
      </c>
      <c r="EM19" s="55">
        <f t="shared" si="44"/>
        <v>0</v>
      </c>
      <c r="EN19" s="50" t="s">
        <v>68</v>
      </c>
      <c r="EO19" s="55">
        <f t="shared" si="45"/>
        <v>0.5</v>
      </c>
      <c r="EP19" s="50" t="s">
        <v>68</v>
      </c>
      <c r="EQ19" s="55">
        <f t="shared" si="45"/>
        <v>0.5</v>
      </c>
      <c r="ER19" s="50" t="s">
        <v>539</v>
      </c>
      <c r="ES19" s="56">
        <f t="shared" si="46"/>
        <v>3.3428571428571425</v>
      </c>
      <c r="ET19" s="57" t="s">
        <v>133</v>
      </c>
      <c r="EU19" s="58">
        <f t="shared" si="47"/>
        <v>0</v>
      </c>
      <c r="EV19" s="57" t="s">
        <v>414</v>
      </c>
      <c r="EW19" s="58">
        <f t="shared" si="48"/>
        <v>0</v>
      </c>
      <c r="EX19" s="57" t="s">
        <v>414</v>
      </c>
      <c r="EY19" s="58">
        <f t="shared" si="49"/>
        <v>0</v>
      </c>
      <c r="EZ19" s="57" t="s">
        <v>133</v>
      </c>
      <c r="FA19" s="58">
        <f t="shared" si="50"/>
        <v>0</v>
      </c>
      <c r="FB19" s="57" t="s">
        <v>68</v>
      </c>
      <c r="FC19" s="58">
        <f t="shared" si="51"/>
        <v>0.5</v>
      </c>
      <c r="FD19" s="57" t="s">
        <v>68</v>
      </c>
      <c r="FE19" s="58">
        <f t="shared" si="51"/>
        <v>0.5</v>
      </c>
      <c r="FF19" s="57" t="s">
        <v>68</v>
      </c>
      <c r="FG19" s="58">
        <f t="shared" si="52"/>
        <v>0.25</v>
      </c>
      <c r="FH19" s="57" t="s">
        <v>133</v>
      </c>
      <c r="FI19" s="58">
        <f t="shared" si="53"/>
        <v>0</v>
      </c>
      <c r="FJ19" s="57" t="s">
        <v>68</v>
      </c>
      <c r="FK19" s="58">
        <f t="shared" si="53"/>
        <v>0.5</v>
      </c>
      <c r="FL19" s="59" t="s">
        <v>540</v>
      </c>
      <c r="FM19" s="60">
        <f t="shared" si="54"/>
        <v>2.1875</v>
      </c>
      <c r="FN19" s="61">
        <f t="shared" si="55"/>
        <v>16.760357142857142</v>
      </c>
    </row>
    <row r="20" spans="1:170" ht="40">
      <c r="A20" s="31">
        <v>18</v>
      </c>
      <c r="B20" s="32" t="s">
        <v>120</v>
      </c>
      <c r="C20" s="33" t="str">
        <f>VLOOKUP(B20,[1]Sheet1!$A:$C,2,FALSE)</f>
        <v>Dolce&amp;Gabbana Holding S.r.l.</v>
      </c>
      <c r="D20" s="34" t="s">
        <v>412</v>
      </c>
      <c r="E20" s="35" t="str">
        <f>VLOOKUP(B20,[1]Sheet1!$A:$C,3,FALSE)</f>
        <v>Italy</v>
      </c>
      <c r="F20" s="34" t="s">
        <v>413</v>
      </c>
      <c r="G20" s="32" t="s">
        <v>122</v>
      </c>
      <c r="H20" s="36" t="s">
        <v>68</v>
      </c>
      <c r="I20" s="36" t="s">
        <v>414</v>
      </c>
      <c r="J20" s="36" t="s">
        <v>445</v>
      </c>
      <c r="K20" s="70" t="s">
        <v>517</v>
      </c>
      <c r="L20" s="45" t="s">
        <v>133</v>
      </c>
      <c r="M20" s="37">
        <f t="shared" si="4"/>
        <v>0</v>
      </c>
      <c r="N20" s="71">
        <v>1.694</v>
      </c>
      <c r="O20" s="38">
        <f t="shared" si="5"/>
        <v>1.016</v>
      </c>
      <c r="P20" s="36" t="s">
        <v>533</v>
      </c>
      <c r="Q20" s="39">
        <v>1</v>
      </c>
      <c r="R20" s="36" t="s">
        <v>68</v>
      </c>
      <c r="S20" s="37">
        <f t="shared" si="6"/>
        <v>0.5</v>
      </c>
      <c r="T20" s="36" t="s">
        <v>133</v>
      </c>
      <c r="U20" s="37">
        <f t="shared" si="7"/>
        <v>0.5</v>
      </c>
      <c r="V20" s="36" t="s">
        <v>68</v>
      </c>
      <c r="W20" s="36" t="s">
        <v>133</v>
      </c>
      <c r="X20" s="37">
        <f t="shared" si="8"/>
        <v>0</v>
      </c>
      <c r="Y20" s="36" t="s">
        <v>414</v>
      </c>
      <c r="Z20" s="40" t="s">
        <v>541</v>
      </c>
      <c r="AA20" s="41">
        <f t="shared" si="9"/>
        <v>3.016</v>
      </c>
      <c r="AB20" s="36">
        <v>1</v>
      </c>
      <c r="AC20" s="42">
        <f t="shared" si="0"/>
        <v>0.1855</v>
      </c>
      <c r="AD20" s="36" t="s">
        <v>68</v>
      </c>
      <c r="AE20" s="42">
        <f t="shared" si="10"/>
        <v>0</v>
      </c>
      <c r="AF20" s="36" t="s">
        <v>133</v>
      </c>
      <c r="AG20" s="36">
        <v>4</v>
      </c>
      <c r="AH20" s="42">
        <f t="shared" si="11"/>
        <v>0.20699999999999996</v>
      </c>
      <c r="AI20" s="36" t="s">
        <v>68</v>
      </c>
      <c r="AJ20" s="42">
        <f t="shared" si="1"/>
        <v>0.25</v>
      </c>
      <c r="AK20" s="36" t="s">
        <v>68</v>
      </c>
      <c r="AL20" s="36" t="s">
        <v>133</v>
      </c>
      <c r="AM20" s="36" t="s">
        <v>68</v>
      </c>
      <c r="AN20" s="36" t="s">
        <v>133</v>
      </c>
      <c r="AO20" s="36" t="s">
        <v>133</v>
      </c>
      <c r="AP20" s="42">
        <f t="shared" si="12"/>
        <v>0.25</v>
      </c>
      <c r="AQ20" s="36" t="s">
        <v>68</v>
      </c>
      <c r="AR20" s="36" t="s">
        <v>68</v>
      </c>
      <c r="AS20" s="42">
        <f t="shared" si="13"/>
        <v>0.25</v>
      </c>
      <c r="AT20" s="36" t="s">
        <v>68</v>
      </c>
      <c r="AU20" s="36" t="s">
        <v>133</v>
      </c>
      <c r="AV20" s="42">
        <f t="shared" si="14"/>
        <v>0.25</v>
      </c>
      <c r="AW20" s="36" t="s">
        <v>133</v>
      </c>
      <c r="AX20" s="36" t="s">
        <v>68</v>
      </c>
      <c r="AY20" s="42">
        <f t="shared" si="15"/>
        <v>0.25</v>
      </c>
      <c r="AZ20" s="36" t="s">
        <v>542</v>
      </c>
      <c r="BA20" s="36" t="s">
        <v>133</v>
      </c>
      <c r="BB20" s="42">
        <f t="shared" si="2"/>
        <v>0</v>
      </c>
      <c r="BC20" s="36" t="s">
        <v>414</v>
      </c>
      <c r="BD20" s="42">
        <f t="shared" si="16"/>
        <v>0</v>
      </c>
      <c r="BE20" s="36" t="s">
        <v>414</v>
      </c>
      <c r="BF20" s="42">
        <f t="shared" si="17"/>
        <v>0</v>
      </c>
      <c r="BG20" s="36" t="s">
        <v>414</v>
      </c>
      <c r="BH20" s="36" t="s">
        <v>414</v>
      </c>
      <c r="BI20" s="42">
        <f t="shared" si="18"/>
        <v>0</v>
      </c>
      <c r="BJ20" s="36" t="s">
        <v>414</v>
      </c>
      <c r="BK20" s="36" t="s">
        <v>414</v>
      </c>
      <c r="BL20" s="36" t="s">
        <v>414</v>
      </c>
      <c r="BM20" s="36" t="s">
        <v>414</v>
      </c>
      <c r="BN20" s="36" t="s">
        <v>414</v>
      </c>
      <c r="BO20" s="36" t="s">
        <v>414</v>
      </c>
      <c r="BP20" s="42">
        <f t="shared" si="19"/>
        <v>0</v>
      </c>
      <c r="BQ20" s="36" t="s">
        <v>414</v>
      </c>
      <c r="BR20" s="36" t="s">
        <v>414</v>
      </c>
      <c r="BS20" s="36" t="s">
        <v>414</v>
      </c>
      <c r="BT20" s="36" t="s">
        <v>414</v>
      </c>
      <c r="BU20" s="36" t="s">
        <v>414</v>
      </c>
      <c r="BV20" s="36" t="s">
        <v>414</v>
      </c>
      <c r="BW20" s="43" t="s">
        <v>543</v>
      </c>
      <c r="BX20" s="44">
        <f t="shared" si="20"/>
        <v>1.6424999999999998</v>
      </c>
      <c r="BY20" s="45" t="s">
        <v>68</v>
      </c>
      <c r="BZ20" s="46">
        <f t="shared" si="21"/>
        <v>0.5</v>
      </c>
      <c r="CA20" s="45" t="s">
        <v>133</v>
      </c>
      <c r="CB20" s="46">
        <f t="shared" si="22"/>
        <v>0</v>
      </c>
      <c r="CC20" s="36" t="s">
        <v>414</v>
      </c>
      <c r="CD20" s="46">
        <f t="shared" si="23"/>
        <v>0</v>
      </c>
      <c r="CE20" s="68" t="s">
        <v>414</v>
      </c>
      <c r="CF20" s="68" t="s">
        <v>133</v>
      </c>
      <c r="CG20" s="47">
        <v>0</v>
      </c>
      <c r="CH20" s="45" t="s">
        <v>133</v>
      </c>
      <c r="CI20" s="48">
        <f t="shared" si="24"/>
        <v>0</v>
      </c>
      <c r="CJ20" s="49" t="s">
        <v>68</v>
      </c>
      <c r="CK20" s="49" t="s">
        <v>133</v>
      </c>
      <c r="CL20" s="50" t="s">
        <v>414</v>
      </c>
      <c r="CM20" s="49" t="s">
        <v>133</v>
      </c>
      <c r="CN20" s="46">
        <f t="shared" si="25"/>
        <v>0</v>
      </c>
      <c r="CO20" s="49" t="s">
        <v>68</v>
      </c>
      <c r="CP20" s="48">
        <f t="shared" si="26"/>
        <v>0.75</v>
      </c>
      <c r="CQ20" s="49" t="s">
        <v>133</v>
      </c>
      <c r="CR20" s="48">
        <f t="shared" si="27"/>
        <v>0</v>
      </c>
      <c r="CS20" s="49" t="s">
        <v>133</v>
      </c>
      <c r="CT20" s="48">
        <f t="shared" si="28"/>
        <v>0</v>
      </c>
      <c r="CU20" s="49" t="s">
        <v>133</v>
      </c>
      <c r="CV20" s="48">
        <f t="shared" si="29"/>
        <v>0</v>
      </c>
      <c r="CW20" s="50" t="s">
        <v>544</v>
      </c>
      <c r="CX20" s="51">
        <f t="shared" si="30"/>
        <v>1.25</v>
      </c>
      <c r="CY20" s="52" t="s">
        <v>68</v>
      </c>
      <c r="CZ20" s="53">
        <f t="shared" si="31"/>
        <v>0.5</v>
      </c>
      <c r="DA20" s="52">
        <v>4</v>
      </c>
      <c r="DB20" s="53">
        <f t="shared" si="32"/>
        <v>0.66600000000000004</v>
      </c>
      <c r="DC20" s="52" t="s">
        <v>133</v>
      </c>
      <c r="DD20" s="53">
        <f t="shared" si="33"/>
        <v>0</v>
      </c>
      <c r="DE20" s="52" t="s">
        <v>68</v>
      </c>
      <c r="DF20" s="53">
        <f t="shared" si="34"/>
        <v>0.5</v>
      </c>
      <c r="DG20" s="50" t="s">
        <v>133</v>
      </c>
      <c r="DH20" s="50" t="s">
        <v>68</v>
      </c>
      <c r="DI20" s="50" t="s">
        <v>133</v>
      </c>
      <c r="DJ20" s="50" t="s">
        <v>68</v>
      </c>
      <c r="DK20" s="50" t="s">
        <v>133</v>
      </c>
      <c r="DL20" s="50" t="s">
        <v>133</v>
      </c>
      <c r="DM20" s="50" t="s">
        <v>133</v>
      </c>
      <c r="DN20" s="50" t="s">
        <v>133</v>
      </c>
      <c r="DO20" s="50" t="s">
        <v>133</v>
      </c>
      <c r="DP20" s="52" t="s">
        <v>68</v>
      </c>
      <c r="DQ20" s="50" t="s">
        <v>133</v>
      </c>
      <c r="DR20" s="52" t="s">
        <v>133</v>
      </c>
      <c r="DS20" s="53">
        <f t="shared" si="3"/>
        <v>0.25</v>
      </c>
      <c r="DT20" s="52" t="s">
        <v>133</v>
      </c>
      <c r="DU20" s="53">
        <f t="shared" si="35"/>
        <v>0</v>
      </c>
      <c r="DV20" s="52" t="s">
        <v>133</v>
      </c>
      <c r="DW20" s="53">
        <f t="shared" si="36"/>
        <v>0</v>
      </c>
      <c r="DX20" s="52" t="s">
        <v>133</v>
      </c>
      <c r="DY20" s="53">
        <f t="shared" si="37"/>
        <v>0</v>
      </c>
      <c r="DZ20" s="52" t="s">
        <v>68</v>
      </c>
      <c r="EA20" s="53">
        <f t="shared" si="38"/>
        <v>0.5</v>
      </c>
      <c r="EB20" s="52" t="s">
        <v>133</v>
      </c>
      <c r="EC20" s="53">
        <f t="shared" si="39"/>
        <v>0</v>
      </c>
      <c r="ED20" s="52" t="s">
        <v>545</v>
      </c>
      <c r="EE20" s="54">
        <f t="shared" si="40"/>
        <v>2.4159999999999999</v>
      </c>
      <c r="EF20" s="50">
        <v>5</v>
      </c>
      <c r="EG20" s="55">
        <f t="shared" si="41"/>
        <v>0.58000000000000007</v>
      </c>
      <c r="EH20" s="50" t="s">
        <v>133</v>
      </c>
      <c r="EI20" s="55">
        <f t="shared" si="42"/>
        <v>0</v>
      </c>
      <c r="EJ20" s="50" t="s">
        <v>133</v>
      </c>
      <c r="EK20" s="55">
        <f t="shared" si="43"/>
        <v>0</v>
      </c>
      <c r="EL20" s="50" t="s">
        <v>133</v>
      </c>
      <c r="EM20" s="55">
        <f t="shared" si="44"/>
        <v>0</v>
      </c>
      <c r="EN20" s="50" t="s">
        <v>68</v>
      </c>
      <c r="EO20" s="55">
        <f t="shared" si="45"/>
        <v>0.5</v>
      </c>
      <c r="EP20" s="50" t="s">
        <v>133</v>
      </c>
      <c r="EQ20" s="55">
        <f t="shared" si="45"/>
        <v>0</v>
      </c>
      <c r="ER20" s="50" t="s">
        <v>546</v>
      </c>
      <c r="ES20" s="56">
        <f t="shared" si="46"/>
        <v>1.5428571428571429</v>
      </c>
      <c r="ET20" s="57" t="s">
        <v>133</v>
      </c>
      <c r="EU20" s="58">
        <f t="shared" si="47"/>
        <v>0</v>
      </c>
      <c r="EV20" s="57" t="s">
        <v>414</v>
      </c>
      <c r="EW20" s="58">
        <f t="shared" si="48"/>
        <v>0</v>
      </c>
      <c r="EX20" s="57" t="s">
        <v>414</v>
      </c>
      <c r="EY20" s="58">
        <f t="shared" si="49"/>
        <v>0</v>
      </c>
      <c r="EZ20" s="57" t="s">
        <v>133</v>
      </c>
      <c r="FA20" s="58">
        <f t="shared" si="50"/>
        <v>0</v>
      </c>
      <c r="FB20" s="57" t="s">
        <v>68</v>
      </c>
      <c r="FC20" s="58">
        <f t="shared" ref="FC20:FE35" si="56">IF(FB20="Y",0.5,0)</f>
        <v>0.5</v>
      </c>
      <c r="FD20" s="57" t="s">
        <v>133</v>
      </c>
      <c r="FE20" s="58">
        <f t="shared" si="56"/>
        <v>0</v>
      </c>
      <c r="FF20" s="57" t="s">
        <v>133</v>
      </c>
      <c r="FG20" s="58">
        <f t="shared" si="52"/>
        <v>0</v>
      </c>
      <c r="FH20" s="57" t="s">
        <v>133</v>
      </c>
      <c r="FI20" s="58">
        <f t="shared" si="53"/>
        <v>0</v>
      </c>
      <c r="FJ20" s="57" t="s">
        <v>68</v>
      </c>
      <c r="FK20" s="58">
        <f t="shared" si="53"/>
        <v>0.5</v>
      </c>
      <c r="FL20" s="59" t="s">
        <v>547</v>
      </c>
      <c r="FM20" s="60">
        <f t="shared" si="54"/>
        <v>1.25</v>
      </c>
      <c r="FN20" s="61">
        <f t="shared" si="55"/>
        <v>11.117357142857143</v>
      </c>
    </row>
    <row r="21" spans="1:170" ht="28">
      <c r="A21" s="31">
        <v>19</v>
      </c>
      <c r="B21" s="32" t="s">
        <v>123</v>
      </c>
      <c r="C21" s="33" t="str">
        <f>VLOOKUP(B21,[1]Sheet1!$A:$C,2,FALSE)</f>
        <v>LVMH</v>
      </c>
      <c r="D21" s="34" t="s">
        <v>412</v>
      </c>
      <c r="E21" s="35" t="str">
        <f>VLOOKUP(B21,[1]Sheet1!$A:$C,3,FALSE)</f>
        <v>United States</v>
      </c>
      <c r="F21" s="34" t="s">
        <v>413</v>
      </c>
      <c r="G21" s="32" t="s">
        <v>124</v>
      </c>
      <c r="H21" s="36" t="s">
        <v>68</v>
      </c>
      <c r="I21" s="36" t="s">
        <v>421</v>
      </c>
      <c r="J21" s="36" t="s">
        <v>548</v>
      </c>
      <c r="K21" s="66" t="s">
        <v>415</v>
      </c>
      <c r="L21" s="66" t="s">
        <v>133</v>
      </c>
      <c r="M21" s="37">
        <f t="shared" si="4"/>
        <v>0</v>
      </c>
      <c r="N21" s="67">
        <f>AVERAGE(N17:N20)</f>
        <v>1.5613958333333333</v>
      </c>
      <c r="O21" s="38">
        <f t="shared" si="5"/>
        <v>1.1760000000000002</v>
      </c>
      <c r="P21" s="36" t="s">
        <v>416</v>
      </c>
      <c r="Q21" s="39">
        <v>0.5</v>
      </c>
      <c r="R21" s="36" t="s">
        <v>133</v>
      </c>
      <c r="S21" s="37">
        <f t="shared" si="6"/>
        <v>0</v>
      </c>
      <c r="T21" s="36" t="s">
        <v>133</v>
      </c>
      <c r="U21" s="37">
        <f t="shared" si="7"/>
        <v>0.5</v>
      </c>
      <c r="V21" s="36" t="s">
        <v>68</v>
      </c>
      <c r="W21" s="36" t="s">
        <v>133</v>
      </c>
      <c r="X21" s="37">
        <f t="shared" si="8"/>
        <v>0</v>
      </c>
      <c r="Y21" s="36" t="s">
        <v>414</v>
      </c>
      <c r="Z21" s="40" t="s">
        <v>549</v>
      </c>
      <c r="AA21" s="41">
        <f t="shared" si="9"/>
        <v>2.1760000000000002</v>
      </c>
      <c r="AB21" s="36">
        <v>0</v>
      </c>
      <c r="AC21" s="42">
        <f t="shared" si="0"/>
        <v>0.5</v>
      </c>
      <c r="AD21" s="36" t="s">
        <v>133</v>
      </c>
      <c r="AE21" s="42">
        <f t="shared" si="10"/>
        <v>0.25</v>
      </c>
      <c r="AF21" s="36" t="s">
        <v>414</v>
      </c>
      <c r="AG21" s="36">
        <v>2</v>
      </c>
      <c r="AH21" s="42">
        <f t="shared" si="11"/>
        <v>1</v>
      </c>
      <c r="AI21" s="36" t="s">
        <v>68</v>
      </c>
      <c r="AJ21" s="42">
        <f t="shared" si="1"/>
        <v>0.25</v>
      </c>
      <c r="AK21" s="36" t="s">
        <v>133</v>
      </c>
      <c r="AL21" s="36" t="s">
        <v>414</v>
      </c>
      <c r="AM21" s="36" t="s">
        <v>414</v>
      </c>
      <c r="AN21" s="36" t="s">
        <v>414</v>
      </c>
      <c r="AO21" s="36" t="s">
        <v>414</v>
      </c>
      <c r="AP21" s="42">
        <f t="shared" si="12"/>
        <v>0</v>
      </c>
      <c r="AQ21" s="36" t="s">
        <v>68</v>
      </c>
      <c r="AR21" s="36" t="s">
        <v>68</v>
      </c>
      <c r="AS21" s="42">
        <f t="shared" si="13"/>
        <v>0.25</v>
      </c>
      <c r="AT21" s="36" t="s">
        <v>68</v>
      </c>
      <c r="AU21" s="36" t="s">
        <v>133</v>
      </c>
      <c r="AV21" s="42">
        <f t="shared" si="14"/>
        <v>0.25</v>
      </c>
      <c r="AW21" s="36" t="s">
        <v>68</v>
      </c>
      <c r="AX21" s="36" t="s">
        <v>68</v>
      </c>
      <c r="AY21" s="42">
        <f t="shared" si="15"/>
        <v>0.25</v>
      </c>
      <c r="AZ21" s="36" t="s">
        <v>550</v>
      </c>
      <c r="BA21" s="36" t="s">
        <v>68</v>
      </c>
      <c r="BB21" s="42">
        <f t="shared" si="2"/>
        <v>0.25</v>
      </c>
      <c r="BC21" s="36" t="s">
        <v>133</v>
      </c>
      <c r="BD21" s="42">
        <f t="shared" si="16"/>
        <v>0</v>
      </c>
      <c r="BE21" s="36" t="s">
        <v>133</v>
      </c>
      <c r="BF21" s="42">
        <f t="shared" si="17"/>
        <v>0</v>
      </c>
      <c r="BG21" s="36" t="s">
        <v>68</v>
      </c>
      <c r="BH21" s="36" t="s">
        <v>133</v>
      </c>
      <c r="BI21" s="42">
        <f t="shared" si="18"/>
        <v>0</v>
      </c>
      <c r="BJ21" s="36" t="s">
        <v>414</v>
      </c>
      <c r="BK21" s="36" t="s">
        <v>414</v>
      </c>
      <c r="BL21" s="36" t="s">
        <v>414</v>
      </c>
      <c r="BM21" s="36" t="s">
        <v>414</v>
      </c>
      <c r="BN21" s="36" t="s">
        <v>414</v>
      </c>
      <c r="BO21" s="36" t="s">
        <v>68</v>
      </c>
      <c r="BP21" s="42">
        <f t="shared" si="19"/>
        <v>0.5</v>
      </c>
      <c r="BQ21" s="36" t="s">
        <v>68</v>
      </c>
      <c r="BR21" s="36" t="s">
        <v>133</v>
      </c>
      <c r="BS21" s="36" t="s">
        <v>68</v>
      </c>
      <c r="BT21" s="36" t="s">
        <v>133</v>
      </c>
      <c r="BU21" s="36" t="s">
        <v>133</v>
      </c>
      <c r="BV21" s="36" t="s">
        <v>68</v>
      </c>
      <c r="BW21" s="43" t="s">
        <v>551</v>
      </c>
      <c r="BX21" s="44">
        <f t="shared" si="20"/>
        <v>3.5</v>
      </c>
      <c r="BY21" s="45" t="s">
        <v>133</v>
      </c>
      <c r="BZ21" s="46">
        <f t="shared" si="21"/>
        <v>0</v>
      </c>
      <c r="CA21" s="45" t="s">
        <v>133</v>
      </c>
      <c r="CB21" s="46">
        <f t="shared" si="22"/>
        <v>0</v>
      </c>
      <c r="CC21" s="36" t="s">
        <v>414</v>
      </c>
      <c r="CD21" s="46">
        <f t="shared" si="23"/>
        <v>0</v>
      </c>
      <c r="CE21" s="45" t="s">
        <v>414</v>
      </c>
      <c r="CF21" s="45" t="s">
        <v>68</v>
      </c>
      <c r="CG21" s="47">
        <v>0.5</v>
      </c>
      <c r="CH21" s="45" t="s">
        <v>133</v>
      </c>
      <c r="CI21" s="48">
        <f t="shared" si="24"/>
        <v>0</v>
      </c>
      <c r="CJ21" s="49" t="s">
        <v>68</v>
      </c>
      <c r="CK21" s="49" t="s">
        <v>133</v>
      </c>
      <c r="CL21" s="50" t="s">
        <v>414</v>
      </c>
      <c r="CM21" s="49" t="s">
        <v>133</v>
      </c>
      <c r="CN21" s="46">
        <f t="shared" si="25"/>
        <v>0</v>
      </c>
      <c r="CO21" s="49" t="s">
        <v>133</v>
      </c>
      <c r="CP21" s="48">
        <f t="shared" si="26"/>
        <v>0</v>
      </c>
      <c r="CQ21" s="49" t="s">
        <v>133</v>
      </c>
      <c r="CR21" s="48">
        <f t="shared" si="27"/>
        <v>0</v>
      </c>
      <c r="CS21" s="49" t="s">
        <v>133</v>
      </c>
      <c r="CT21" s="48">
        <f t="shared" si="28"/>
        <v>0</v>
      </c>
      <c r="CU21" s="49" t="s">
        <v>68</v>
      </c>
      <c r="CV21" s="48">
        <f t="shared" si="29"/>
        <v>0.25</v>
      </c>
      <c r="CW21" s="50" t="s">
        <v>552</v>
      </c>
      <c r="CX21" s="51">
        <f t="shared" si="30"/>
        <v>0.75</v>
      </c>
      <c r="CY21" s="52" t="s">
        <v>68</v>
      </c>
      <c r="CZ21" s="53">
        <f t="shared" si="31"/>
        <v>0.5</v>
      </c>
      <c r="DA21" s="52">
        <v>3</v>
      </c>
      <c r="DB21" s="53">
        <f t="shared" si="32"/>
        <v>0.39600000000000002</v>
      </c>
      <c r="DC21" s="52" t="s">
        <v>133</v>
      </c>
      <c r="DD21" s="53">
        <f t="shared" si="33"/>
        <v>0</v>
      </c>
      <c r="DE21" s="52" t="s">
        <v>68</v>
      </c>
      <c r="DF21" s="53">
        <f t="shared" si="34"/>
        <v>0.5</v>
      </c>
      <c r="DG21" s="50" t="s">
        <v>133</v>
      </c>
      <c r="DH21" s="50" t="s">
        <v>133</v>
      </c>
      <c r="DI21" s="50" t="s">
        <v>133</v>
      </c>
      <c r="DJ21" s="50" t="s">
        <v>68</v>
      </c>
      <c r="DK21" s="50" t="s">
        <v>133</v>
      </c>
      <c r="DL21" s="50" t="s">
        <v>133</v>
      </c>
      <c r="DM21" s="50" t="s">
        <v>68</v>
      </c>
      <c r="DN21" s="50" t="s">
        <v>553</v>
      </c>
      <c r="DO21" s="50" t="s">
        <v>68</v>
      </c>
      <c r="DP21" s="52" t="s">
        <v>68</v>
      </c>
      <c r="DQ21" s="50" t="s">
        <v>133</v>
      </c>
      <c r="DR21" s="52" t="s">
        <v>133</v>
      </c>
      <c r="DS21" s="53">
        <f t="shared" si="3"/>
        <v>0.25</v>
      </c>
      <c r="DT21" s="52" t="s">
        <v>133</v>
      </c>
      <c r="DU21" s="53">
        <f t="shared" si="35"/>
        <v>0</v>
      </c>
      <c r="DV21" s="52" t="s">
        <v>133</v>
      </c>
      <c r="DW21" s="53">
        <f t="shared" si="36"/>
        <v>0</v>
      </c>
      <c r="DX21" s="52" t="s">
        <v>133</v>
      </c>
      <c r="DY21" s="53">
        <f t="shared" si="37"/>
        <v>0</v>
      </c>
      <c r="DZ21" s="52" t="s">
        <v>133</v>
      </c>
      <c r="EA21" s="53">
        <f t="shared" si="38"/>
        <v>0</v>
      </c>
      <c r="EB21" s="52" t="s">
        <v>133</v>
      </c>
      <c r="EC21" s="53">
        <f t="shared" si="39"/>
        <v>0</v>
      </c>
      <c r="ED21" s="52" t="s">
        <v>545</v>
      </c>
      <c r="EE21" s="54">
        <f t="shared" si="40"/>
        <v>1.6459999999999999</v>
      </c>
      <c r="EF21" s="50">
        <v>5</v>
      </c>
      <c r="EG21" s="55">
        <f t="shared" si="41"/>
        <v>0.58000000000000007</v>
      </c>
      <c r="EH21" s="50" t="s">
        <v>68</v>
      </c>
      <c r="EI21" s="55">
        <f t="shared" si="42"/>
        <v>0.5</v>
      </c>
      <c r="EJ21" s="50" t="s">
        <v>68</v>
      </c>
      <c r="EK21" s="55">
        <f t="shared" si="43"/>
        <v>0.5</v>
      </c>
      <c r="EL21" s="50" t="s">
        <v>133</v>
      </c>
      <c r="EM21" s="55">
        <f t="shared" si="44"/>
        <v>0</v>
      </c>
      <c r="EN21" s="50" t="s">
        <v>68</v>
      </c>
      <c r="EO21" s="55">
        <f t="shared" si="45"/>
        <v>0.5</v>
      </c>
      <c r="EP21" s="50" t="s">
        <v>133</v>
      </c>
      <c r="EQ21" s="55">
        <f t="shared" si="45"/>
        <v>0</v>
      </c>
      <c r="ER21" s="50" t="s">
        <v>546</v>
      </c>
      <c r="ES21" s="56">
        <f t="shared" si="46"/>
        <v>2.9714285714285715</v>
      </c>
      <c r="ET21" s="57" t="s">
        <v>133</v>
      </c>
      <c r="EU21" s="58">
        <f t="shared" si="47"/>
        <v>0</v>
      </c>
      <c r="EV21" s="57" t="s">
        <v>414</v>
      </c>
      <c r="EW21" s="58">
        <f t="shared" si="48"/>
        <v>0</v>
      </c>
      <c r="EX21" s="57" t="s">
        <v>414</v>
      </c>
      <c r="EY21" s="58">
        <f t="shared" si="49"/>
        <v>0</v>
      </c>
      <c r="EZ21" s="57" t="s">
        <v>133</v>
      </c>
      <c r="FA21" s="58">
        <f t="shared" si="50"/>
        <v>0</v>
      </c>
      <c r="FB21" s="57" t="s">
        <v>68</v>
      </c>
      <c r="FC21" s="58">
        <f t="shared" si="56"/>
        <v>0.5</v>
      </c>
      <c r="FD21" s="57" t="s">
        <v>68</v>
      </c>
      <c r="FE21" s="58">
        <f t="shared" si="56"/>
        <v>0.5</v>
      </c>
      <c r="FF21" s="57" t="s">
        <v>133</v>
      </c>
      <c r="FG21" s="58">
        <f t="shared" si="52"/>
        <v>0</v>
      </c>
      <c r="FH21" s="57" t="s">
        <v>133</v>
      </c>
      <c r="FI21" s="58">
        <f t="shared" si="53"/>
        <v>0</v>
      </c>
      <c r="FJ21" s="57" t="s">
        <v>68</v>
      </c>
      <c r="FK21" s="58">
        <f t="shared" si="53"/>
        <v>0.5</v>
      </c>
      <c r="FL21" s="59" t="s">
        <v>554</v>
      </c>
      <c r="FM21" s="60">
        <f t="shared" si="54"/>
        <v>1.875</v>
      </c>
      <c r="FN21" s="61">
        <f t="shared" si="55"/>
        <v>12.918428571428572</v>
      </c>
    </row>
    <row r="22" spans="1:170" ht="49">
      <c r="A22" s="31">
        <v>20</v>
      </c>
      <c r="B22" s="72" t="s">
        <v>125</v>
      </c>
      <c r="C22" s="33" t="str">
        <f>VLOOKUP(B22,[1]Sheet1!$A:$C,2,FALSE)</f>
        <v>LVMH</v>
      </c>
      <c r="D22" s="34" t="s">
        <v>412</v>
      </c>
      <c r="E22" s="35" t="str">
        <f>VLOOKUP(B22,[1]Sheet1!$A:$C,3,FALSE)</f>
        <v>Italy</v>
      </c>
      <c r="F22" s="34" t="s">
        <v>413</v>
      </c>
      <c r="G22" s="32" t="s">
        <v>126</v>
      </c>
      <c r="H22" s="36" t="s">
        <v>68</v>
      </c>
      <c r="I22" s="36" t="s">
        <v>421</v>
      </c>
      <c r="J22" s="36" t="s">
        <v>445</v>
      </c>
      <c r="K22" s="66" t="s">
        <v>555</v>
      </c>
      <c r="L22" s="66" t="s">
        <v>68</v>
      </c>
      <c r="M22" s="37">
        <f t="shared" si="4"/>
        <v>0.75</v>
      </c>
      <c r="N22" s="67">
        <f>AVERAGE(N15:N18)</f>
        <v>2.0637500000000002</v>
      </c>
      <c r="O22" s="38">
        <f t="shared" si="5"/>
        <v>0.60400000000000009</v>
      </c>
      <c r="P22" s="36" t="s">
        <v>416</v>
      </c>
      <c r="Q22" s="39">
        <v>0.5</v>
      </c>
      <c r="R22" s="36" t="s">
        <v>133</v>
      </c>
      <c r="S22" s="37">
        <f t="shared" si="6"/>
        <v>0</v>
      </c>
      <c r="T22" s="36" t="s">
        <v>133</v>
      </c>
      <c r="U22" s="37">
        <f t="shared" si="7"/>
        <v>0.5</v>
      </c>
      <c r="V22" s="36" t="s">
        <v>68</v>
      </c>
      <c r="W22" s="36" t="s">
        <v>133</v>
      </c>
      <c r="X22" s="37">
        <f t="shared" si="8"/>
        <v>0</v>
      </c>
      <c r="Y22" s="36" t="s">
        <v>414</v>
      </c>
      <c r="Z22" s="40" t="s">
        <v>556</v>
      </c>
      <c r="AA22" s="41">
        <f t="shared" si="9"/>
        <v>2.3540000000000001</v>
      </c>
      <c r="AB22" s="36">
        <v>1</v>
      </c>
      <c r="AC22" s="42">
        <f t="shared" si="0"/>
        <v>0.1855</v>
      </c>
      <c r="AD22" s="36" t="s">
        <v>68</v>
      </c>
      <c r="AE22" s="42">
        <f t="shared" si="10"/>
        <v>0</v>
      </c>
      <c r="AF22" s="36" t="s">
        <v>68</v>
      </c>
      <c r="AG22" s="36">
        <v>3</v>
      </c>
      <c r="AH22" s="42">
        <f t="shared" si="11"/>
        <v>0.52400000000000002</v>
      </c>
      <c r="AI22" s="36" t="s">
        <v>68</v>
      </c>
      <c r="AJ22" s="42">
        <f t="shared" si="1"/>
        <v>0.25</v>
      </c>
      <c r="AK22" s="36" t="s">
        <v>68</v>
      </c>
      <c r="AL22" s="36" t="s">
        <v>133</v>
      </c>
      <c r="AM22" s="36" t="s">
        <v>68</v>
      </c>
      <c r="AN22" s="36" t="s">
        <v>133</v>
      </c>
      <c r="AO22" s="36" t="s">
        <v>133</v>
      </c>
      <c r="AP22" s="42">
        <f t="shared" si="12"/>
        <v>0.25</v>
      </c>
      <c r="AQ22" s="36" t="s">
        <v>133</v>
      </c>
      <c r="AR22" s="36" t="s">
        <v>414</v>
      </c>
      <c r="AS22" s="42">
        <f t="shared" si="13"/>
        <v>0</v>
      </c>
      <c r="AT22" s="36" t="s">
        <v>414</v>
      </c>
      <c r="AU22" s="36" t="s">
        <v>414</v>
      </c>
      <c r="AV22" s="42">
        <f t="shared" si="14"/>
        <v>0</v>
      </c>
      <c r="AW22" s="36" t="s">
        <v>414</v>
      </c>
      <c r="AX22" s="36" t="s">
        <v>133</v>
      </c>
      <c r="AY22" s="42">
        <f t="shared" si="15"/>
        <v>0</v>
      </c>
      <c r="AZ22" s="36" t="s">
        <v>557</v>
      </c>
      <c r="BA22" s="36" t="s">
        <v>133</v>
      </c>
      <c r="BB22" s="42">
        <f t="shared" si="2"/>
        <v>0</v>
      </c>
      <c r="BC22" s="36" t="s">
        <v>414</v>
      </c>
      <c r="BD22" s="42">
        <f t="shared" si="16"/>
        <v>0</v>
      </c>
      <c r="BE22" s="36" t="s">
        <v>414</v>
      </c>
      <c r="BF22" s="42">
        <f t="shared" si="17"/>
        <v>0</v>
      </c>
      <c r="BG22" s="36" t="s">
        <v>414</v>
      </c>
      <c r="BH22" s="36" t="s">
        <v>414</v>
      </c>
      <c r="BI22" s="42">
        <f t="shared" si="18"/>
        <v>0</v>
      </c>
      <c r="BJ22" s="36" t="s">
        <v>414</v>
      </c>
      <c r="BK22" s="36" t="s">
        <v>414</v>
      </c>
      <c r="BL22" s="36" t="s">
        <v>414</v>
      </c>
      <c r="BM22" s="36" t="s">
        <v>414</v>
      </c>
      <c r="BN22" s="36" t="s">
        <v>414</v>
      </c>
      <c r="BO22" s="36" t="s">
        <v>414</v>
      </c>
      <c r="BP22" s="42">
        <f t="shared" si="19"/>
        <v>0</v>
      </c>
      <c r="BQ22" s="36" t="s">
        <v>414</v>
      </c>
      <c r="BR22" s="36" t="s">
        <v>414</v>
      </c>
      <c r="BS22" s="36" t="s">
        <v>414</v>
      </c>
      <c r="BT22" s="36" t="s">
        <v>414</v>
      </c>
      <c r="BU22" s="36" t="s">
        <v>414</v>
      </c>
      <c r="BV22" s="36" t="s">
        <v>414</v>
      </c>
      <c r="BW22" s="36" t="s">
        <v>558</v>
      </c>
      <c r="BX22" s="44">
        <f t="shared" si="20"/>
        <v>1.2095</v>
      </c>
      <c r="BY22" s="45" t="s">
        <v>68</v>
      </c>
      <c r="BZ22" s="46">
        <f t="shared" si="21"/>
        <v>0.5</v>
      </c>
      <c r="CA22" s="45" t="s">
        <v>133</v>
      </c>
      <c r="CB22" s="46">
        <f t="shared" si="22"/>
        <v>0</v>
      </c>
      <c r="CC22" s="36" t="s">
        <v>414</v>
      </c>
      <c r="CD22" s="46">
        <f t="shared" si="23"/>
        <v>0</v>
      </c>
      <c r="CE22" s="36" t="s">
        <v>414</v>
      </c>
      <c r="CF22" s="45" t="s">
        <v>133</v>
      </c>
      <c r="CG22" s="47">
        <v>0</v>
      </c>
      <c r="CH22" s="45" t="s">
        <v>133</v>
      </c>
      <c r="CI22" s="48">
        <f t="shared" si="24"/>
        <v>0</v>
      </c>
      <c r="CJ22" s="49" t="s">
        <v>68</v>
      </c>
      <c r="CK22" s="49" t="s">
        <v>133</v>
      </c>
      <c r="CL22" s="50" t="s">
        <v>414</v>
      </c>
      <c r="CM22" s="49" t="s">
        <v>133</v>
      </c>
      <c r="CN22" s="46">
        <f t="shared" si="25"/>
        <v>0</v>
      </c>
      <c r="CO22" s="49" t="s">
        <v>133</v>
      </c>
      <c r="CP22" s="48">
        <f t="shared" si="26"/>
        <v>0</v>
      </c>
      <c r="CQ22" s="49" t="s">
        <v>133</v>
      </c>
      <c r="CR22" s="48">
        <f t="shared" si="27"/>
        <v>0</v>
      </c>
      <c r="CS22" s="49" t="s">
        <v>133</v>
      </c>
      <c r="CT22" s="48">
        <f t="shared" si="28"/>
        <v>0</v>
      </c>
      <c r="CU22" s="49" t="s">
        <v>133</v>
      </c>
      <c r="CV22" s="48">
        <f t="shared" si="29"/>
        <v>0</v>
      </c>
      <c r="CW22" s="50" t="s">
        <v>559</v>
      </c>
      <c r="CX22" s="51">
        <f t="shared" si="30"/>
        <v>0.5</v>
      </c>
      <c r="CY22" s="52" t="s">
        <v>68</v>
      </c>
      <c r="CZ22" s="53">
        <f t="shared" si="31"/>
        <v>0.5</v>
      </c>
      <c r="DA22" s="52">
        <v>3</v>
      </c>
      <c r="DB22" s="53">
        <f t="shared" si="32"/>
        <v>0.39600000000000002</v>
      </c>
      <c r="DC22" s="52" t="s">
        <v>133</v>
      </c>
      <c r="DD22" s="53">
        <f t="shared" si="33"/>
        <v>0</v>
      </c>
      <c r="DE22" s="52" t="s">
        <v>68</v>
      </c>
      <c r="DF22" s="53">
        <f t="shared" si="34"/>
        <v>0.5</v>
      </c>
      <c r="DG22" s="50" t="s">
        <v>68</v>
      </c>
      <c r="DH22" s="50" t="s">
        <v>133</v>
      </c>
      <c r="DI22" s="50" t="s">
        <v>68</v>
      </c>
      <c r="DJ22" s="50" t="s">
        <v>68</v>
      </c>
      <c r="DK22" s="50" t="s">
        <v>133</v>
      </c>
      <c r="DL22" s="50" t="s">
        <v>68</v>
      </c>
      <c r="DM22" s="50" t="s">
        <v>133</v>
      </c>
      <c r="DN22" s="50" t="s">
        <v>560</v>
      </c>
      <c r="DO22" s="50" t="s">
        <v>68</v>
      </c>
      <c r="DP22" s="52" t="s">
        <v>68</v>
      </c>
      <c r="DQ22" s="50" t="s">
        <v>133</v>
      </c>
      <c r="DR22" s="52" t="s">
        <v>133</v>
      </c>
      <c r="DS22" s="53">
        <f t="shared" si="3"/>
        <v>0.25</v>
      </c>
      <c r="DT22" s="52" t="s">
        <v>133</v>
      </c>
      <c r="DU22" s="53">
        <f t="shared" si="35"/>
        <v>0</v>
      </c>
      <c r="DV22" s="52" t="s">
        <v>133</v>
      </c>
      <c r="DW22" s="53">
        <f t="shared" si="36"/>
        <v>0</v>
      </c>
      <c r="DX22" s="52" t="s">
        <v>68</v>
      </c>
      <c r="DY22" s="53">
        <f t="shared" si="37"/>
        <v>0.5</v>
      </c>
      <c r="DZ22" s="52" t="s">
        <v>133</v>
      </c>
      <c r="EA22" s="53">
        <f t="shared" si="38"/>
        <v>0</v>
      </c>
      <c r="EB22" s="52" t="s">
        <v>133</v>
      </c>
      <c r="EC22" s="53">
        <f t="shared" si="39"/>
        <v>0</v>
      </c>
      <c r="ED22" s="52" t="s">
        <v>561</v>
      </c>
      <c r="EE22" s="54">
        <f t="shared" si="40"/>
        <v>2.1459999999999999</v>
      </c>
      <c r="EF22" s="50">
        <v>5</v>
      </c>
      <c r="EG22" s="55">
        <f t="shared" si="41"/>
        <v>0.58000000000000007</v>
      </c>
      <c r="EH22" s="50" t="s">
        <v>133</v>
      </c>
      <c r="EI22" s="55">
        <f t="shared" si="42"/>
        <v>0</v>
      </c>
      <c r="EJ22" s="50" t="s">
        <v>133</v>
      </c>
      <c r="EK22" s="55">
        <f t="shared" si="43"/>
        <v>0</v>
      </c>
      <c r="EL22" s="50" t="s">
        <v>133</v>
      </c>
      <c r="EM22" s="55">
        <f t="shared" si="44"/>
        <v>0</v>
      </c>
      <c r="EN22" s="50" t="s">
        <v>133</v>
      </c>
      <c r="EO22" s="55">
        <f t="shared" si="45"/>
        <v>0</v>
      </c>
      <c r="EP22" s="50" t="s">
        <v>133</v>
      </c>
      <c r="EQ22" s="55">
        <f t="shared" si="45"/>
        <v>0</v>
      </c>
      <c r="ER22" s="50" t="s">
        <v>562</v>
      </c>
      <c r="ES22" s="56">
        <f t="shared" si="46"/>
        <v>0.82857142857142874</v>
      </c>
      <c r="ET22" s="57" t="s">
        <v>133</v>
      </c>
      <c r="EU22" s="58">
        <f t="shared" si="47"/>
        <v>0</v>
      </c>
      <c r="EV22" s="57" t="s">
        <v>414</v>
      </c>
      <c r="EW22" s="58">
        <f t="shared" si="48"/>
        <v>0</v>
      </c>
      <c r="EX22" s="57" t="s">
        <v>414</v>
      </c>
      <c r="EY22" s="58">
        <f t="shared" si="49"/>
        <v>0</v>
      </c>
      <c r="EZ22" s="57" t="s">
        <v>133</v>
      </c>
      <c r="FA22" s="58">
        <f t="shared" si="50"/>
        <v>0</v>
      </c>
      <c r="FB22" s="57" t="s">
        <v>68</v>
      </c>
      <c r="FC22" s="58">
        <f t="shared" si="56"/>
        <v>0.5</v>
      </c>
      <c r="FD22" s="57" t="s">
        <v>133</v>
      </c>
      <c r="FE22" s="58">
        <f t="shared" si="56"/>
        <v>0</v>
      </c>
      <c r="FF22" s="57" t="s">
        <v>414</v>
      </c>
      <c r="FG22" s="58">
        <f t="shared" si="52"/>
        <v>0</v>
      </c>
      <c r="FH22" s="57" t="s">
        <v>414</v>
      </c>
      <c r="FI22" s="58">
        <f t="shared" si="53"/>
        <v>0</v>
      </c>
      <c r="FJ22" s="57" t="s">
        <v>133</v>
      </c>
      <c r="FK22" s="58">
        <f t="shared" si="53"/>
        <v>0</v>
      </c>
      <c r="FL22" s="59" t="s">
        <v>563</v>
      </c>
      <c r="FM22" s="60">
        <f t="shared" si="54"/>
        <v>0.625</v>
      </c>
      <c r="FN22" s="61">
        <f t="shared" si="55"/>
        <v>7.6630714285714285</v>
      </c>
    </row>
    <row r="23" spans="1:170" ht="79">
      <c r="A23" s="31">
        <v>21</v>
      </c>
      <c r="B23" s="32" t="s">
        <v>127</v>
      </c>
      <c r="C23" s="33" t="str">
        <f>VLOOKUP(B23,[1]Sheet1!$A:$C,2,FALSE)</f>
        <v>Ermenegildo Zegna</v>
      </c>
      <c r="D23" s="34" t="s">
        <v>412</v>
      </c>
      <c r="E23" s="35" t="str">
        <f>VLOOKUP(B23,[1]Sheet1!$A:$C,3,FALSE)</f>
        <v>Italy</v>
      </c>
      <c r="F23" s="34" t="s">
        <v>413</v>
      </c>
      <c r="G23" s="32" t="s">
        <v>128</v>
      </c>
      <c r="H23" s="36" t="s">
        <v>81</v>
      </c>
      <c r="I23" s="36" t="s">
        <v>421</v>
      </c>
      <c r="J23" s="36" t="s">
        <v>445</v>
      </c>
      <c r="K23" s="36" t="s">
        <v>415</v>
      </c>
      <c r="L23" s="36" t="s">
        <v>133</v>
      </c>
      <c r="M23" s="37">
        <f t="shared" si="4"/>
        <v>0</v>
      </c>
      <c r="N23" s="36">
        <v>1.548</v>
      </c>
      <c r="O23" s="38">
        <f t="shared" si="5"/>
        <v>1.208</v>
      </c>
      <c r="P23" s="36" t="s">
        <v>416</v>
      </c>
      <c r="Q23" s="39">
        <v>0.5</v>
      </c>
      <c r="R23" s="36" t="s">
        <v>77</v>
      </c>
      <c r="S23" s="37">
        <f t="shared" si="6"/>
        <v>0</v>
      </c>
      <c r="T23" s="36" t="s">
        <v>77</v>
      </c>
      <c r="U23" s="37">
        <f t="shared" si="7"/>
        <v>0.5</v>
      </c>
      <c r="V23" s="36" t="s">
        <v>81</v>
      </c>
      <c r="W23" s="36" t="s">
        <v>81</v>
      </c>
      <c r="X23" s="37">
        <f t="shared" si="8"/>
        <v>0.25</v>
      </c>
      <c r="Y23" s="36" t="s">
        <v>564</v>
      </c>
      <c r="Z23" s="40" t="s">
        <v>565</v>
      </c>
      <c r="AA23" s="41">
        <f t="shared" si="9"/>
        <v>2.4580000000000002</v>
      </c>
      <c r="AB23" s="36">
        <v>0</v>
      </c>
      <c r="AC23" s="42">
        <f t="shared" si="0"/>
        <v>0.5</v>
      </c>
      <c r="AD23" s="36" t="s">
        <v>133</v>
      </c>
      <c r="AE23" s="42">
        <f t="shared" si="10"/>
        <v>0.25</v>
      </c>
      <c r="AF23" s="36" t="s">
        <v>421</v>
      </c>
      <c r="AG23" s="36">
        <v>3</v>
      </c>
      <c r="AH23" s="42">
        <f t="shared" si="11"/>
        <v>0.52400000000000002</v>
      </c>
      <c r="AI23" s="36" t="s">
        <v>81</v>
      </c>
      <c r="AJ23" s="42">
        <f t="shared" si="1"/>
        <v>0.25</v>
      </c>
      <c r="AK23" s="36" t="s">
        <v>81</v>
      </c>
      <c r="AL23" s="36" t="s">
        <v>77</v>
      </c>
      <c r="AM23" s="36" t="s">
        <v>81</v>
      </c>
      <c r="AN23" s="36" t="s">
        <v>77</v>
      </c>
      <c r="AO23" s="36" t="s">
        <v>77</v>
      </c>
      <c r="AP23" s="42">
        <f t="shared" si="12"/>
        <v>0.25</v>
      </c>
      <c r="AQ23" s="36" t="s">
        <v>81</v>
      </c>
      <c r="AR23" s="36" t="s">
        <v>81</v>
      </c>
      <c r="AS23" s="42">
        <f t="shared" si="13"/>
        <v>0.25</v>
      </c>
      <c r="AT23" s="36" t="s">
        <v>81</v>
      </c>
      <c r="AU23" s="36" t="s">
        <v>77</v>
      </c>
      <c r="AV23" s="42">
        <f t="shared" si="14"/>
        <v>0.25</v>
      </c>
      <c r="AW23" s="36" t="s">
        <v>77</v>
      </c>
      <c r="AX23" s="36" t="s">
        <v>77</v>
      </c>
      <c r="AY23" s="42">
        <f t="shared" si="15"/>
        <v>0</v>
      </c>
      <c r="AZ23" s="36" t="s">
        <v>566</v>
      </c>
      <c r="BA23" s="36" t="s">
        <v>81</v>
      </c>
      <c r="BB23" s="42">
        <f t="shared" si="2"/>
        <v>0.25</v>
      </c>
      <c r="BC23" s="36" t="s">
        <v>81</v>
      </c>
      <c r="BD23" s="42">
        <f t="shared" si="16"/>
        <v>0.5</v>
      </c>
      <c r="BE23" s="36" t="s">
        <v>77</v>
      </c>
      <c r="BF23" s="42">
        <f t="shared" si="17"/>
        <v>0</v>
      </c>
      <c r="BG23" s="36" t="s">
        <v>81</v>
      </c>
      <c r="BH23" s="36" t="s">
        <v>81</v>
      </c>
      <c r="BI23" s="42">
        <f t="shared" si="18"/>
        <v>0.5</v>
      </c>
      <c r="BJ23" s="36" t="s">
        <v>77</v>
      </c>
      <c r="BK23" s="36" t="s">
        <v>81</v>
      </c>
      <c r="BL23" s="36" t="s">
        <v>77</v>
      </c>
      <c r="BM23" s="36" t="s">
        <v>77</v>
      </c>
      <c r="BN23" s="36" t="s">
        <v>77</v>
      </c>
      <c r="BO23" s="36" t="s">
        <v>81</v>
      </c>
      <c r="BP23" s="42">
        <f t="shared" si="19"/>
        <v>0.5</v>
      </c>
      <c r="BQ23" s="36" t="s">
        <v>81</v>
      </c>
      <c r="BR23" s="36" t="s">
        <v>77</v>
      </c>
      <c r="BS23" s="36" t="s">
        <v>81</v>
      </c>
      <c r="BT23" s="36" t="s">
        <v>77</v>
      </c>
      <c r="BU23" s="36" t="s">
        <v>77</v>
      </c>
      <c r="BV23" s="36" t="s">
        <v>77</v>
      </c>
      <c r="BW23" s="43" t="s">
        <v>528</v>
      </c>
      <c r="BX23" s="44">
        <f t="shared" si="20"/>
        <v>4.024</v>
      </c>
      <c r="BY23" s="45" t="s">
        <v>81</v>
      </c>
      <c r="BZ23" s="46">
        <f t="shared" si="21"/>
        <v>0.5</v>
      </c>
      <c r="CA23" s="45" t="s">
        <v>77</v>
      </c>
      <c r="CB23" s="46">
        <f t="shared" si="22"/>
        <v>0</v>
      </c>
      <c r="CC23" s="36" t="s">
        <v>421</v>
      </c>
      <c r="CD23" s="46">
        <f t="shared" si="23"/>
        <v>0</v>
      </c>
      <c r="CE23" s="45" t="s">
        <v>421</v>
      </c>
      <c r="CF23" s="45" t="s">
        <v>77</v>
      </c>
      <c r="CG23" s="47">
        <v>0</v>
      </c>
      <c r="CH23" s="45" t="s">
        <v>133</v>
      </c>
      <c r="CI23" s="48">
        <f t="shared" si="24"/>
        <v>0</v>
      </c>
      <c r="CJ23" s="49" t="s">
        <v>81</v>
      </c>
      <c r="CK23" s="49" t="s">
        <v>81</v>
      </c>
      <c r="CL23" s="50" t="s">
        <v>567</v>
      </c>
      <c r="CM23" s="49" t="s">
        <v>81</v>
      </c>
      <c r="CN23" s="46">
        <f t="shared" si="25"/>
        <v>0.5</v>
      </c>
      <c r="CO23" s="49" t="s">
        <v>81</v>
      </c>
      <c r="CP23" s="48">
        <f t="shared" si="26"/>
        <v>0.75</v>
      </c>
      <c r="CQ23" s="49" t="s">
        <v>77</v>
      </c>
      <c r="CR23" s="48">
        <f t="shared" si="27"/>
        <v>0</v>
      </c>
      <c r="CS23" s="49" t="s">
        <v>81</v>
      </c>
      <c r="CT23" s="48">
        <f t="shared" si="28"/>
        <v>0.5</v>
      </c>
      <c r="CU23" s="49" t="s">
        <v>81</v>
      </c>
      <c r="CV23" s="48">
        <f t="shared" si="29"/>
        <v>0.25</v>
      </c>
      <c r="CW23" s="50" t="s">
        <v>568</v>
      </c>
      <c r="CX23" s="51">
        <f t="shared" si="30"/>
        <v>2.5</v>
      </c>
      <c r="CY23" s="52" t="s">
        <v>81</v>
      </c>
      <c r="CZ23" s="53">
        <f t="shared" si="31"/>
        <v>0.5</v>
      </c>
      <c r="DA23" s="52">
        <v>4</v>
      </c>
      <c r="DB23" s="53">
        <f t="shared" si="32"/>
        <v>0.66600000000000004</v>
      </c>
      <c r="DC23" s="52" t="s">
        <v>81</v>
      </c>
      <c r="DD23" s="53">
        <f t="shared" si="33"/>
        <v>0.5</v>
      </c>
      <c r="DE23" s="52" t="s">
        <v>81</v>
      </c>
      <c r="DF23" s="53">
        <f t="shared" si="34"/>
        <v>0.5</v>
      </c>
      <c r="DG23" s="50" t="s">
        <v>77</v>
      </c>
      <c r="DH23" s="50" t="s">
        <v>77</v>
      </c>
      <c r="DI23" s="50" t="s">
        <v>77</v>
      </c>
      <c r="DJ23" s="50" t="s">
        <v>81</v>
      </c>
      <c r="DK23" s="50" t="s">
        <v>77</v>
      </c>
      <c r="DL23" s="50" t="s">
        <v>81</v>
      </c>
      <c r="DM23" s="50" t="s">
        <v>77</v>
      </c>
      <c r="DN23" s="50" t="s">
        <v>77</v>
      </c>
      <c r="DO23" s="50" t="s">
        <v>77</v>
      </c>
      <c r="DP23" s="52" t="s">
        <v>81</v>
      </c>
      <c r="DQ23" s="50" t="s">
        <v>77</v>
      </c>
      <c r="DR23" s="52" t="s">
        <v>77</v>
      </c>
      <c r="DS23" s="53">
        <f t="shared" si="3"/>
        <v>0.25</v>
      </c>
      <c r="DT23" s="52" t="s">
        <v>77</v>
      </c>
      <c r="DU23" s="53">
        <f t="shared" si="35"/>
        <v>0</v>
      </c>
      <c r="DV23" s="52" t="s">
        <v>77</v>
      </c>
      <c r="DW23" s="53">
        <f t="shared" si="36"/>
        <v>0</v>
      </c>
      <c r="DX23" s="52" t="s">
        <v>81</v>
      </c>
      <c r="DY23" s="53">
        <f t="shared" si="37"/>
        <v>0.5</v>
      </c>
      <c r="DZ23" s="52" t="s">
        <v>133</v>
      </c>
      <c r="EA23" s="53">
        <f t="shared" si="38"/>
        <v>0</v>
      </c>
      <c r="EB23" s="52" t="s">
        <v>81</v>
      </c>
      <c r="EC23" s="53">
        <f t="shared" si="39"/>
        <v>0.25</v>
      </c>
      <c r="ED23" s="52" t="s">
        <v>569</v>
      </c>
      <c r="EE23" s="54">
        <f t="shared" si="40"/>
        <v>3.1659999999999999</v>
      </c>
      <c r="EF23" s="50">
        <v>5</v>
      </c>
      <c r="EG23" s="55">
        <f t="shared" si="41"/>
        <v>0.58000000000000007</v>
      </c>
      <c r="EH23" s="50" t="s">
        <v>81</v>
      </c>
      <c r="EI23" s="55">
        <f t="shared" si="42"/>
        <v>0.5</v>
      </c>
      <c r="EJ23" s="50" t="s">
        <v>77</v>
      </c>
      <c r="EK23" s="55">
        <f t="shared" si="43"/>
        <v>0</v>
      </c>
      <c r="EL23" s="50" t="s">
        <v>77</v>
      </c>
      <c r="EM23" s="55">
        <f t="shared" si="44"/>
        <v>0</v>
      </c>
      <c r="EN23" s="50" t="s">
        <v>81</v>
      </c>
      <c r="EO23" s="55">
        <f t="shared" si="45"/>
        <v>0.5</v>
      </c>
      <c r="EP23" s="50" t="s">
        <v>133</v>
      </c>
      <c r="EQ23" s="55">
        <f t="shared" si="45"/>
        <v>0</v>
      </c>
      <c r="ER23" s="50" t="s">
        <v>570</v>
      </c>
      <c r="ES23" s="56">
        <f t="shared" si="46"/>
        <v>2.2571428571428571</v>
      </c>
      <c r="ET23" s="57" t="s">
        <v>133</v>
      </c>
      <c r="EU23" s="58">
        <f t="shared" si="47"/>
        <v>0</v>
      </c>
      <c r="EV23" s="57" t="s">
        <v>414</v>
      </c>
      <c r="EW23" s="58">
        <f t="shared" si="48"/>
        <v>0</v>
      </c>
      <c r="EX23" s="57" t="s">
        <v>414</v>
      </c>
      <c r="EY23" s="58">
        <f t="shared" si="49"/>
        <v>0</v>
      </c>
      <c r="EZ23" s="57" t="s">
        <v>77</v>
      </c>
      <c r="FA23" s="58">
        <f t="shared" si="50"/>
        <v>0</v>
      </c>
      <c r="FB23" s="57" t="s">
        <v>81</v>
      </c>
      <c r="FC23" s="58">
        <f t="shared" si="56"/>
        <v>0.5</v>
      </c>
      <c r="FD23" s="57" t="s">
        <v>77</v>
      </c>
      <c r="FE23" s="58">
        <f t="shared" si="56"/>
        <v>0</v>
      </c>
      <c r="FF23" s="57" t="s">
        <v>421</v>
      </c>
      <c r="FG23" s="58">
        <f t="shared" si="52"/>
        <v>0</v>
      </c>
      <c r="FH23" s="57" t="s">
        <v>77</v>
      </c>
      <c r="FI23" s="58">
        <f t="shared" si="53"/>
        <v>0</v>
      </c>
      <c r="FJ23" s="57" t="s">
        <v>81</v>
      </c>
      <c r="FK23" s="58">
        <f t="shared" si="53"/>
        <v>0.5</v>
      </c>
      <c r="FL23" s="59" t="s">
        <v>571</v>
      </c>
      <c r="FM23" s="60">
        <f t="shared" si="54"/>
        <v>1.25</v>
      </c>
      <c r="FN23" s="61">
        <f t="shared" si="55"/>
        <v>15.655142857142858</v>
      </c>
    </row>
    <row r="24" spans="1:170" ht="40">
      <c r="A24" s="31">
        <v>22</v>
      </c>
      <c r="B24" s="72" t="s">
        <v>129</v>
      </c>
      <c r="C24" s="33" t="str">
        <f>VLOOKUP(B24,[1]Sheet1!$A:$C,2,FALSE)</f>
        <v>Escada Group</v>
      </c>
      <c r="D24" s="34" t="s">
        <v>412</v>
      </c>
      <c r="E24" s="35" t="str">
        <f>VLOOKUP(B24,[1]Sheet1!$A:$C,3,FALSE)</f>
        <v>Germany</v>
      </c>
      <c r="F24" s="34" t="s">
        <v>413</v>
      </c>
      <c r="G24" s="32" t="s">
        <v>132</v>
      </c>
      <c r="H24" s="36" t="s">
        <v>133</v>
      </c>
      <c r="I24" s="36" t="s">
        <v>133</v>
      </c>
      <c r="J24" s="36" t="s">
        <v>414</v>
      </c>
      <c r="K24" s="66" t="s">
        <v>415</v>
      </c>
      <c r="L24" s="66" t="s">
        <v>68</v>
      </c>
      <c r="M24" s="37">
        <f t="shared" si="4"/>
        <v>0.75</v>
      </c>
      <c r="N24" s="67">
        <f>AVERAGE(N21:N23)</f>
        <v>1.7243819444444446</v>
      </c>
      <c r="O24" s="38">
        <f t="shared" si="5"/>
        <v>0.98599999999999999</v>
      </c>
      <c r="P24" s="36" t="s">
        <v>416</v>
      </c>
      <c r="Q24" s="39">
        <v>0.5</v>
      </c>
      <c r="R24" s="36" t="s">
        <v>68</v>
      </c>
      <c r="S24" s="37">
        <f t="shared" si="6"/>
        <v>0.5</v>
      </c>
      <c r="T24" s="36" t="s">
        <v>133</v>
      </c>
      <c r="U24" s="37">
        <f t="shared" si="7"/>
        <v>0.5</v>
      </c>
      <c r="V24" s="36" t="s">
        <v>133</v>
      </c>
      <c r="W24" s="36" t="s">
        <v>414</v>
      </c>
      <c r="X24" s="37">
        <f t="shared" si="8"/>
        <v>0</v>
      </c>
      <c r="Y24" s="36" t="s">
        <v>414</v>
      </c>
      <c r="Z24" s="40" t="s">
        <v>572</v>
      </c>
      <c r="AA24" s="41">
        <f t="shared" si="9"/>
        <v>3.2359999999999998</v>
      </c>
      <c r="AB24" s="36">
        <v>0</v>
      </c>
      <c r="AC24" s="42">
        <f t="shared" si="0"/>
        <v>0.5</v>
      </c>
      <c r="AD24" s="36" t="s">
        <v>133</v>
      </c>
      <c r="AE24" s="42">
        <f t="shared" si="10"/>
        <v>0.25</v>
      </c>
      <c r="AF24" s="36" t="s">
        <v>414</v>
      </c>
      <c r="AG24" s="36">
        <v>3</v>
      </c>
      <c r="AH24" s="42">
        <f t="shared" si="11"/>
        <v>0.52400000000000002</v>
      </c>
      <c r="AI24" s="36" t="s">
        <v>133</v>
      </c>
      <c r="AJ24" s="42">
        <f t="shared" si="1"/>
        <v>0</v>
      </c>
      <c r="AK24" s="36" t="s">
        <v>133</v>
      </c>
      <c r="AL24" s="36" t="s">
        <v>414</v>
      </c>
      <c r="AM24" s="36" t="s">
        <v>414</v>
      </c>
      <c r="AN24" s="36" t="s">
        <v>414</v>
      </c>
      <c r="AO24" s="36" t="s">
        <v>414</v>
      </c>
      <c r="AP24" s="42">
        <f t="shared" si="12"/>
        <v>0</v>
      </c>
      <c r="AQ24" s="36" t="s">
        <v>133</v>
      </c>
      <c r="AR24" s="68" t="s">
        <v>414</v>
      </c>
      <c r="AS24" s="42">
        <f t="shared" si="13"/>
        <v>0</v>
      </c>
      <c r="AT24" s="68" t="s">
        <v>414</v>
      </c>
      <c r="AU24" s="68" t="s">
        <v>414</v>
      </c>
      <c r="AV24" s="42">
        <f t="shared" si="14"/>
        <v>0</v>
      </c>
      <c r="AW24" s="68" t="s">
        <v>414</v>
      </c>
      <c r="AX24" s="36" t="s">
        <v>133</v>
      </c>
      <c r="AY24" s="42">
        <f t="shared" si="15"/>
        <v>0</v>
      </c>
      <c r="AZ24" s="36" t="s">
        <v>573</v>
      </c>
      <c r="BA24" s="36" t="s">
        <v>133</v>
      </c>
      <c r="BB24" s="42">
        <f t="shared" si="2"/>
        <v>0</v>
      </c>
      <c r="BC24" s="36" t="s">
        <v>414</v>
      </c>
      <c r="BD24" s="42">
        <f t="shared" si="16"/>
        <v>0</v>
      </c>
      <c r="BE24" s="68" t="s">
        <v>414</v>
      </c>
      <c r="BF24" s="42">
        <f t="shared" si="17"/>
        <v>0</v>
      </c>
      <c r="BG24" s="68" t="s">
        <v>414</v>
      </c>
      <c r="BH24" s="68" t="s">
        <v>414</v>
      </c>
      <c r="BI24" s="42">
        <f t="shared" si="18"/>
        <v>0</v>
      </c>
      <c r="BJ24" s="68" t="s">
        <v>414</v>
      </c>
      <c r="BK24" s="68" t="s">
        <v>414</v>
      </c>
      <c r="BL24" s="68" t="s">
        <v>414</v>
      </c>
      <c r="BM24" s="68" t="s">
        <v>414</v>
      </c>
      <c r="BN24" s="68" t="s">
        <v>414</v>
      </c>
      <c r="BO24" s="68" t="s">
        <v>414</v>
      </c>
      <c r="BP24" s="42">
        <f t="shared" si="19"/>
        <v>0</v>
      </c>
      <c r="BQ24" s="68" t="s">
        <v>414</v>
      </c>
      <c r="BR24" s="68" t="s">
        <v>414</v>
      </c>
      <c r="BS24" s="68" t="s">
        <v>414</v>
      </c>
      <c r="BT24" s="68" t="s">
        <v>414</v>
      </c>
      <c r="BU24" s="68" t="s">
        <v>414</v>
      </c>
      <c r="BV24" s="68" t="s">
        <v>414</v>
      </c>
      <c r="BW24" s="43" t="s">
        <v>558</v>
      </c>
      <c r="BX24" s="44">
        <f t="shared" si="20"/>
        <v>1.274</v>
      </c>
      <c r="BY24" s="45" t="s">
        <v>68</v>
      </c>
      <c r="BZ24" s="46">
        <f t="shared" si="21"/>
        <v>0.5</v>
      </c>
      <c r="CA24" s="45" t="s">
        <v>133</v>
      </c>
      <c r="CB24" s="46">
        <f t="shared" si="22"/>
        <v>0</v>
      </c>
      <c r="CC24" s="36" t="s">
        <v>414</v>
      </c>
      <c r="CD24" s="46">
        <f t="shared" si="23"/>
        <v>0</v>
      </c>
      <c r="CE24" s="68" t="s">
        <v>414</v>
      </c>
      <c r="CF24" s="45" t="s">
        <v>133</v>
      </c>
      <c r="CG24" s="47">
        <v>0</v>
      </c>
      <c r="CH24" s="45" t="s">
        <v>133</v>
      </c>
      <c r="CI24" s="48">
        <f t="shared" si="24"/>
        <v>0</v>
      </c>
      <c r="CJ24" s="49" t="s">
        <v>68</v>
      </c>
      <c r="CK24" s="49" t="s">
        <v>68</v>
      </c>
      <c r="CL24" s="50" t="s">
        <v>574</v>
      </c>
      <c r="CM24" s="49" t="s">
        <v>133</v>
      </c>
      <c r="CN24" s="46">
        <f t="shared" si="25"/>
        <v>0</v>
      </c>
      <c r="CO24" s="49" t="s">
        <v>133</v>
      </c>
      <c r="CP24" s="48">
        <f t="shared" si="26"/>
        <v>0</v>
      </c>
      <c r="CQ24" s="49" t="s">
        <v>133</v>
      </c>
      <c r="CR24" s="48">
        <f t="shared" si="27"/>
        <v>0</v>
      </c>
      <c r="CS24" s="49" t="s">
        <v>133</v>
      </c>
      <c r="CT24" s="48">
        <f t="shared" si="28"/>
        <v>0</v>
      </c>
      <c r="CU24" s="49" t="s">
        <v>68</v>
      </c>
      <c r="CV24" s="48">
        <f t="shared" si="29"/>
        <v>0.25</v>
      </c>
      <c r="CW24" s="50" t="s">
        <v>575</v>
      </c>
      <c r="CX24" s="51">
        <f t="shared" si="30"/>
        <v>0.75</v>
      </c>
      <c r="CY24" s="52" t="s">
        <v>68</v>
      </c>
      <c r="CZ24" s="53">
        <f t="shared" si="31"/>
        <v>0.5</v>
      </c>
      <c r="DA24" s="52">
        <v>1</v>
      </c>
      <c r="DB24" s="53">
        <f t="shared" si="32"/>
        <v>3.1E-2</v>
      </c>
      <c r="DC24" s="52" t="s">
        <v>133</v>
      </c>
      <c r="DD24" s="53">
        <f t="shared" si="33"/>
        <v>0</v>
      </c>
      <c r="DE24" s="52" t="s">
        <v>68</v>
      </c>
      <c r="DF24" s="53">
        <f t="shared" si="34"/>
        <v>0.5</v>
      </c>
      <c r="DG24" s="50" t="s">
        <v>133</v>
      </c>
      <c r="DH24" s="50" t="s">
        <v>133</v>
      </c>
      <c r="DI24" s="50" t="s">
        <v>133</v>
      </c>
      <c r="DJ24" s="50" t="s">
        <v>68</v>
      </c>
      <c r="DK24" s="50" t="s">
        <v>133</v>
      </c>
      <c r="DL24" s="50" t="s">
        <v>133</v>
      </c>
      <c r="DM24" s="50" t="s">
        <v>133</v>
      </c>
      <c r="DN24" s="50" t="s">
        <v>133</v>
      </c>
      <c r="DO24" s="50" t="s">
        <v>133</v>
      </c>
      <c r="DP24" s="52" t="s">
        <v>68</v>
      </c>
      <c r="DQ24" s="50" t="s">
        <v>133</v>
      </c>
      <c r="DR24" s="52" t="s">
        <v>133</v>
      </c>
      <c r="DS24" s="53">
        <f t="shared" si="3"/>
        <v>0.25</v>
      </c>
      <c r="DT24" s="52" t="s">
        <v>133</v>
      </c>
      <c r="DU24" s="53">
        <f t="shared" si="35"/>
        <v>0</v>
      </c>
      <c r="DV24" s="52" t="s">
        <v>133</v>
      </c>
      <c r="DW24" s="53">
        <f t="shared" si="36"/>
        <v>0</v>
      </c>
      <c r="DX24" s="52" t="s">
        <v>133</v>
      </c>
      <c r="DY24" s="53">
        <f t="shared" si="37"/>
        <v>0</v>
      </c>
      <c r="DZ24" s="52" t="s">
        <v>133</v>
      </c>
      <c r="EA24" s="53">
        <f t="shared" si="38"/>
        <v>0</v>
      </c>
      <c r="EB24" s="52" t="s">
        <v>68</v>
      </c>
      <c r="EC24" s="53">
        <f t="shared" si="39"/>
        <v>0.25</v>
      </c>
      <c r="ED24" s="52" t="s">
        <v>576</v>
      </c>
      <c r="EE24" s="54">
        <f t="shared" si="40"/>
        <v>1.5309999999999999</v>
      </c>
      <c r="EF24" s="50" t="s">
        <v>414</v>
      </c>
      <c r="EG24" s="55">
        <v>0</v>
      </c>
      <c r="EH24" s="50" t="s">
        <v>414</v>
      </c>
      <c r="EI24" s="55">
        <f t="shared" si="42"/>
        <v>0</v>
      </c>
      <c r="EJ24" s="50" t="s">
        <v>414</v>
      </c>
      <c r="EK24" s="55">
        <f t="shared" si="43"/>
        <v>0</v>
      </c>
      <c r="EL24" s="50" t="s">
        <v>414</v>
      </c>
      <c r="EM24" s="55">
        <f t="shared" si="44"/>
        <v>0</v>
      </c>
      <c r="EN24" s="50" t="s">
        <v>414</v>
      </c>
      <c r="EO24" s="55">
        <f t="shared" si="45"/>
        <v>0</v>
      </c>
      <c r="EP24" s="50" t="s">
        <v>133</v>
      </c>
      <c r="EQ24" s="55">
        <f t="shared" si="45"/>
        <v>0</v>
      </c>
      <c r="ER24" s="50" t="s">
        <v>577</v>
      </c>
      <c r="ES24" s="56">
        <f t="shared" si="46"/>
        <v>0</v>
      </c>
      <c r="ET24" s="57" t="s">
        <v>133</v>
      </c>
      <c r="EU24" s="58">
        <f t="shared" si="47"/>
        <v>0</v>
      </c>
      <c r="EV24" s="57" t="s">
        <v>414</v>
      </c>
      <c r="EW24" s="58">
        <f t="shared" si="48"/>
        <v>0</v>
      </c>
      <c r="EX24" s="57" t="s">
        <v>414</v>
      </c>
      <c r="EY24" s="58">
        <f t="shared" si="49"/>
        <v>0</v>
      </c>
      <c r="EZ24" s="57" t="s">
        <v>133</v>
      </c>
      <c r="FA24" s="58">
        <f t="shared" si="50"/>
        <v>0</v>
      </c>
      <c r="FB24" s="57" t="s">
        <v>68</v>
      </c>
      <c r="FC24" s="58">
        <f t="shared" si="56"/>
        <v>0.5</v>
      </c>
      <c r="FD24" s="57" t="s">
        <v>68</v>
      </c>
      <c r="FE24" s="58">
        <f t="shared" si="56"/>
        <v>0.5</v>
      </c>
      <c r="FF24" s="57" t="s">
        <v>133</v>
      </c>
      <c r="FG24" s="58">
        <f t="shared" si="52"/>
        <v>0</v>
      </c>
      <c r="FH24" s="57" t="s">
        <v>133</v>
      </c>
      <c r="FI24" s="58">
        <f t="shared" si="53"/>
        <v>0</v>
      </c>
      <c r="FJ24" s="57" t="s">
        <v>414</v>
      </c>
      <c r="FK24" s="58">
        <f t="shared" si="53"/>
        <v>0</v>
      </c>
      <c r="FL24" s="59" t="s">
        <v>578</v>
      </c>
      <c r="FM24" s="60">
        <f t="shared" si="54"/>
        <v>1.25</v>
      </c>
      <c r="FN24" s="61">
        <f t="shared" si="55"/>
        <v>8.0410000000000004</v>
      </c>
    </row>
    <row r="25" spans="1:170" ht="40">
      <c r="A25" s="31">
        <v>23</v>
      </c>
      <c r="B25" s="32" t="s">
        <v>134</v>
      </c>
      <c r="C25" s="33" t="str">
        <f>VLOOKUP(B25,[1]Sheet1!$A:$C,2,FALSE)</f>
        <v>LVMH</v>
      </c>
      <c r="D25" s="34" t="s">
        <v>412</v>
      </c>
      <c r="E25" s="35" t="str">
        <f>VLOOKUP(B25,[1]Sheet1!$A:$C,3,FALSE)</f>
        <v>Italy</v>
      </c>
      <c r="F25" s="34" t="s">
        <v>413</v>
      </c>
      <c r="G25" s="32" t="s">
        <v>135</v>
      </c>
      <c r="H25" s="36" t="s">
        <v>133</v>
      </c>
      <c r="I25" s="36" t="s">
        <v>133</v>
      </c>
      <c r="J25" s="36" t="s">
        <v>421</v>
      </c>
      <c r="K25" s="73" t="s">
        <v>517</v>
      </c>
      <c r="L25" s="73" t="s">
        <v>68</v>
      </c>
      <c r="M25" s="37">
        <f t="shared" si="4"/>
        <v>0.75</v>
      </c>
      <c r="N25" s="74">
        <f>AVERAGE(N36:N37)</f>
        <v>1.8474999999999999</v>
      </c>
      <c r="O25" s="38">
        <f t="shared" si="5"/>
        <v>0.82600000000000007</v>
      </c>
      <c r="P25" s="36" t="s">
        <v>579</v>
      </c>
      <c r="Q25" s="39">
        <v>0</v>
      </c>
      <c r="R25" s="36" t="s">
        <v>68</v>
      </c>
      <c r="S25" s="37">
        <f t="shared" si="6"/>
        <v>0.5</v>
      </c>
      <c r="T25" s="36" t="s">
        <v>68</v>
      </c>
      <c r="U25" s="37">
        <f t="shared" si="7"/>
        <v>0</v>
      </c>
      <c r="V25" s="36" t="s">
        <v>68</v>
      </c>
      <c r="W25" s="36" t="s">
        <v>133</v>
      </c>
      <c r="X25" s="37">
        <f t="shared" si="8"/>
        <v>0</v>
      </c>
      <c r="Y25" s="36" t="s">
        <v>414</v>
      </c>
      <c r="Z25" s="40" t="s">
        <v>580</v>
      </c>
      <c r="AA25" s="41">
        <f t="shared" si="9"/>
        <v>2.0760000000000001</v>
      </c>
      <c r="AB25" s="36">
        <v>2</v>
      </c>
      <c r="AC25" s="42">
        <f t="shared" si="0"/>
        <v>1.6500000000000015E-2</v>
      </c>
      <c r="AD25" s="36" t="s">
        <v>133</v>
      </c>
      <c r="AE25" s="42">
        <f t="shared" si="10"/>
        <v>0.25</v>
      </c>
      <c r="AF25" s="36" t="s">
        <v>414</v>
      </c>
      <c r="AG25" s="36">
        <v>5</v>
      </c>
      <c r="AH25" s="42">
        <f t="shared" si="11"/>
        <v>3.2000000000000028E-2</v>
      </c>
      <c r="AI25" s="36" t="s">
        <v>133</v>
      </c>
      <c r="AJ25" s="42">
        <f t="shared" si="1"/>
        <v>0</v>
      </c>
      <c r="AK25" s="36" t="s">
        <v>133</v>
      </c>
      <c r="AL25" s="36" t="s">
        <v>414</v>
      </c>
      <c r="AM25" s="36" t="s">
        <v>414</v>
      </c>
      <c r="AN25" s="36" t="s">
        <v>414</v>
      </c>
      <c r="AO25" s="36" t="s">
        <v>414</v>
      </c>
      <c r="AP25" s="42">
        <f t="shared" si="12"/>
        <v>0</v>
      </c>
      <c r="AQ25" s="36" t="s">
        <v>133</v>
      </c>
      <c r="AR25" s="68" t="s">
        <v>414</v>
      </c>
      <c r="AS25" s="42">
        <f t="shared" si="13"/>
        <v>0</v>
      </c>
      <c r="AT25" s="68" t="s">
        <v>414</v>
      </c>
      <c r="AU25" s="68" t="s">
        <v>414</v>
      </c>
      <c r="AV25" s="42">
        <f t="shared" si="14"/>
        <v>0</v>
      </c>
      <c r="AW25" s="68" t="s">
        <v>414</v>
      </c>
      <c r="AX25" s="36" t="s">
        <v>133</v>
      </c>
      <c r="AY25" s="42">
        <f t="shared" si="15"/>
        <v>0</v>
      </c>
      <c r="AZ25" s="36" t="s">
        <v>573</v>
      </c>
      <c r="BA25" s="36" t="s">
        <v>133</v>
      </c>
      <c r="BB25" s="42">
        <f t="shared" si="2"/>
        <v>0</v>
      </c>
      <c r="BC25" s="36" t="s">
        <v>414</v>
      </c>
      <c r="BD25" s="42">
        <f t="shared" si="16"/>
        <v>0</v>
      </c>
      <c r="BE25" s="68" t="s">
        <v>414</v>
      </c>
      <c r="BF25" s="42">
        <f t="shared" si="17"/>
        <v>0</v>
      </c>
      <c r="BG25" s="68" t="s">
        <v>414</v>
      </c>
      <c r="BH25" s="68" t="s">
        <v>414</v>
      </c>
      <c r="BI25" s="42">
        <f t="shared" si="18"/>
        <v>0</v>
      </c>
      <c r="BJ25" s="68" t="s">
        <v>414</v>
      </c>
      <c r="BK25" s="68" t="s">
        <v>414</v>
      </c>
      <c r="BL25" s="68" t="s">
        <v>414</v>
      </c>
      <c r="BM25" s="68" t="s">
        <v>414</v>
      </c>
      <c r="BN25" s="68" t="s">
        <v>414</v>
      </c>
      <c r="BO25" s="68" t="s">
        <v>414</v>
      </c>
      <c r="BP25" s="42">
        <f t="shared" si="19"/>
        <v>0</v>
      </c>
      <c r="BQ25" s="68" t="s">
        <v>414</v>
      </c>
      <c r="BR25" s="68" t="s">
        <v>414</v>
      </c>
      <c r="BS25" s="68" t="s">
        <v>414</v>
      </c>
      <c r="BT25" s="68" t="s">
        <v>414</v>
      </c>
      <c r="BU25" s="68" t="s">
        <v>414</v>
      </c>
      <c r="BV25" s="68" t="s">
        <v>414</v>
      </c>
      <c r="BW25" s="43" t="s">
        <v>558</v>
      </c>
      <c r="BX25" s="44">
        <f t="shared" si="20"/>
        <v>0.29850000000000004</v>
      </c>
      <c r="BY25" s="45" t="s">
        <v>133</v>
      </c>
      <c r="BZ25" s="46">
        <f t="shared" si="21"/>
        <v>0</v>
      </c>
      <c r="CA25" s="45" t="s">
        <v>133</v>
      </c>
      <c r="CB25" s="46">
        <f t="shared" si="22"/>
        <v>0</v>
      </c>
      <c r="CC25" s="36" t="s">
        <v>414</v>
      </c>
      <c r="CD25" s="46">
        <f t="shared" si="23"/>
        <v>0</v>
      </c>
      <c r="CE25" s="45" t="s">
        <v>414</v>
      </c>
      <c r="CF25" s="45" t="s">
        <v>133</v>
      </c>
      <c r="CG25" s="47">
        <v>0</v>
      </c>
      <c r="CH25" s="45" t="s">
        <v>133</v>
      </c>
      <c r="CI25" s="48">
        <f t="shared" si="24"/>
        <v>0</v>
      </c>
      <c r="CJ25" s="49" t="s">
        <v>68</v>
      </c>
      <c r="CK25" s="49" t="s">
        <v>133</v>
      </c>
      <c r="CL25" s="50" t="s">
        <v>421</v>
      </c>
      <c r="CM25" s="49" t="s">
        <v>133</v>
      </c>
      <c r="CN25" s="46">
        <f t="shared" si="25"/>
        <v>0</v>
      </c>
      <c r="CO25" s="49" t="s">
        <v>133</v>
      </c>
      <c r="CP25" s="48">
        <f t="shared" si="26"/>
        <v>0</v>
      </c>
      <c r="CQ25" s="49" t="s">
        <v>133</v>
      </c>
      <c r="CR25" s="48">
        <f t="shared" si="27"/>
        <v>0</v>
      </c>
      <c r="CS25" s="49" t="s">
        <v>133</v>
      </c>
      <c r="CT25" s="48">
        <f t="shared" si="28"/>
        <v>0</v>
      </c>
      <c r="CU25" s="49" t="s">
        <v>133</v>
      </c>
      <c r="CV25" s="48">
        <f t="shared" si="29"/>
        <v>0</v>
      </c>
      <c r="CW25" s="50" t="s">
        <v>581</v>
      </c>
      <c r="CX25" s="51">
        <f t="shared" si="30"/>
        <v>0</v>
      </c>
      <c r="CY25" s="52" t="s">
        <v>68</v>
      </c>
      <c r="CZ25" s="53">
        <f t="shared" si="31"/>
        <v>0.5</v>
      </c>
      <c r="DA25" s="52">
        <v>1</v>
      </c>
      <c r="DB25" s="53">
        <f t="shared" si="32"/>
        <v>3.1E-2</v>
      </c>
      <c r="DC25" s="52" t="s">
        <v>133</v>
      </c>
      <c r="DD25" s="53">
        <f t="shared" si="33"/>
        <v>0</v>
      </c>
      <c r="DE25" s="52" t="s">
        <v>68</v>
      </c>
      <c r="DF25" s="53">
        <f t="shared" si="34"/>
        <v>0.5</v>
      </c>
      <c r="DG25" s="50" t="s">
        <v>133</v>
      </c>
      <c r="DH25" s="50" t="s">
        <v>133</v>
      </c>
      <c r="DI25" s="50" t="s">
        <v>133</v>
      </c>
      <c r="DJ25" s="50" t="s">
        <v>68</v>
      </c>
      <c r="DK25" s="50" t="s">
        <v>133</v>
      </c>
      <c r="DL25" s="50" t="s">
        <v>133</v>
      </c>
      <c r="DM25" s="50" t="s">
        <v>68</v>
      </c>
      <c r="DN25" s="50" t="s">
        <v>133</v>
      </c>
      <c r="DO25" s="50" t="s">
        <v>133</v>
      </c>
      <c r="DP25" s="52" t="s">
        <v>68</v>
      </c>
      <c r="DQ25" s="50" t="s">
        <v>133</v>
      </c>
      <c r="DR25" s="52" t="s">
        <v>133</v>
      </c>
      <c r="DS25" s="53">
        <f t="shared" si="3"/>
        <v>0.25</v>
      </c>
      <c r="DT25" s="52" t="s">
        <v>133</v>
      </c>
      <c r="DU25" s="53">
        <f t="shared" si="35"/>
        <v>0</v>
      </c>
      <c r="DV25" s="52" t="s">
        <v>133</v>
      </c>
      <c r="DW25" s="53">
        <f t="shared" si="36"/>
        <v>0</v>
      </c>
      <c r="DX25" s="52" t="s">
        <v>133</v>
      </c>
      <c r="DY25" s="53">
        <f t="shared" si="37"/>
        <v>0</v>
      </c>
      <c r="DZ25" s="52" t="s">
        <v>133</v>
      </c>
      <c r="EA25" s="53">
        <f t="shared" si="38"/>
        <v>0</v>
      </c>
      <c r="EB25" s="52" t="s">
        <v>133</v>
      </c>
      <c r="EC25" s="53">
        <f t="shared" si="39"/>
        <v>0</v>
      </c>
      <c r="ED25" s="52" t="s">
        <v>582</v>
      </c>
      <c r="EE25" s="54">
        <f t="shared" si="40"/>
        <v>1.2810000000000001</v>
      </c>
      <c r="EF25" s="50" t="s">
        <v>414</v>
      </c>
      <c r="EG25" s="55">
        <v>0</v>
      </c>
      <c r="EH25" s="50" t="s">
        <v>414</v>
      </c>
      <c r="EI25" s="55">
        <f t="shared" si="42"/>
        <v>0</v>
      </c>
      <c r="EJ25" s="50" t="s">
        <v>414</v>
      </c>
      <c r="EK25" s="55">
        <f t="shared" si="43"/>
        <v>0</v>
      </c>
      <c r="EL25" s="50" t="s">
        <v>414</v>
      </c>
      <c r="EM25" s="55">
        <f t="shared" si="44"/>
        <v>0</v>
      </c>
      <c r="EN25" s="50" t="s">
        <v>414</v>
      </c>
      <c r="EO25" s="55">
        <f t="shared" si="45"/>
        <v>0</v>
      </c>
      <c r="EP25" s="50" t="s">
        <v>133</v>
      </c>
      <c r="EQ25" s="55">
        <f t="shared" si="45"/>
        <v>0</v>
      </c>
      <c r="ER25" s="50" t="s">
        <v>577</v>
      </c>
      <c r="ES25" s="56">
        <f t="shared" si="46"/>
        <v>0</v>
      </c>
      <c r="ET25" s="75" t="s">
        <v>133</v>
      </c>
      <c r="EU25" s="58">
        <f t="shared" si="47"/>
        <v>0</v>
      </c>
      <c r="EV25" s="75" t="s">
        <v>414</v>
      </c>
      <c r="EW25" s="58">
        <f t="shared" si="48"/>
        <v>0</v>
      </c>
      <c r="EX25" s="75" t="s">
        <v>414</v>
      </c>
      <c r="EY25" s="58">
        <f t="shared" si="49"/>
        <v>0</v>
      </c>
      <c r="EZ25" s="75" t="s">
        <v>421</v>
      </c>
      <c r="FA25" s="58">
        <f t="shared" si="50"/>
        <v>0</v>
      </c>
      <c r="FB25" s="75" t="s">
        <v>421</v>
      </c>
      <c r="FC25" s="58">
        <f t="shared" si="56"/>
        <v>0</v>
      </c>
      <c r="FD25" s="75" t="s">
        <v>421</v>
      </c>
      <c r="FE25" s="58">
        <f t="shared" si="56"/>
        <v>0</v>
      </c>
      <c r="FF25" s="75" t="s">
        <v>421</v>
      </c>
      <c r="FG25" s="58">
        <f t="shared" si="52"/>
        <v>0</v>
      </c>
      <c r="FH25" s="75" t="s">
        <v>421</v>
      </c>
      <c r="FI25" s="58">
        <f t="shared" si="53"/>
        <v>0</v>
      </c>
      <c r="FJ25" s="75" t="s">
        <v>421</v>
      </c>
      <c r="FK25" s="58">
        <f t="shared" si="53"/>
        <v>0</v>
      </c>
      <c r="FL25" s="59" t="s">
        <v>437</v>
      </c>
      <c r="FM25" s="60">
        <f t="shared" si="54"/>
        <v>0</v>
      </c>
      <c r="FN25" s="61">
        <f t="shared" si="55"/>
        <v>3.6555</v>
      </c>
    </row>
    <row r="26" spans="1:170" ht="66">
      <c r="A26" s="31">
        <v>24</v>
      </c>
      <c r="B26" s="32" t="s">
        <v>136</v>
      </c>
      <c r="C26" s="33" t="str">
        <f>VLOOKUP(B26,[1]Sheet1!$A:$C,2,FALSE)</f>
        <v>Giorgio Armani Corporation</v>
      </c>
      <c r="D26" s="34" t="s">
        <v>412</v>
      </c>
      <c r="E26" s="35" t="str">
        <f>VLOOKUP(B26,[1]Sheet1!$A:$C,3,FALSE)</f>
        <v>Italy</v>
      </c>
      <c r="F26" s="34" t="s">
        <v>413</v>
      </c>
      <c r="G26" s="32" t="s">
        <v>138</v>
      </c>
      <c r="H26" s="36" t="s">
        <v>68</v>
      </c>
      <c r="I26" s="36" t="s">
        <v>414</v>
      </c>
      <c r="J26" s="36" t="s">
        <v>445</v>
      </c>
      <c r="K26" s="70" t="s">
        <v>517</v>
      </c>
      <c r="L26" s="70" t="s">
        <v>133</v>
      </c>
      <c r="M26" s="37">
        <f t="shared" si="4"/>
        <v>0</v>
      </c>
      <c r="N26" s="71">
        <v>1.7509999999999999</v>
      </c>
      <c r="O26" s="38">
        <f t="shared" si="5"/>
        <v>0.92199999999999993</v>
      </c>
      <c r="P26" s="36" t="s">
        <v>416</v>
      </c>
      <c r="Q26" s="39">
        <v>0.5</v>
      </c>
      <c r="R26" s="36" t="s">
        <v>133</v>
      </c>
      <c r="S26" s="37">
        <f t="shared" si="6"/>
        <v>0</v>
      </c>
      <c r="T26" s="36" t="s">
        <v>133</v>
      </c>
      <c r="U26" s="37">
        <f t="shared" si="7"/>
        <v>0.5</v>
      </c>
      <c r="V26" s="36" t="s">
        <v>68</v>
      </c>
      <c r="W26" s="36" t="s">
        <v>133</v>
      </c>
      <c r="X26" s="37">
        <f t="shared" si="8"/>
        <v>0</v>
      </c>
      <c r="Y26" s="36" t="s">
        <v>414</v>
      </c>
      <c r="Z26" s="40" t="s">
        <v>583</v>
      </c>
      <c r="AA26" s="41">
        <f t="shared" si="9"/>
        <v>1.9219999999999999</v>
      </c>
      <c r="AB26" s="36">
        <v>1</v>
      </c>
      <c r="AC26" s="42">
        <f t="shared" si="0"/>
        <v>0.1855</v>
      </c>
      <c r="AD26" s="36" t="s">
        <v>133</v>
      </c>
      <c r="AE26" s="42">
        <f t="shared" si="10"/>
        <v>0.25</v>
      </c>
      <c r="AF26" s="36" t="s">
        <v>421</v>
      </c>
      <c r="AG26" s="36">
        <v>3</v>
      </c>
      <c r="AH26" s="42">
        <f t="shared" si="11"/>
        <v>0.52400000000000002</v>
      </c>
      <c r="AI26" s="36" t="s">
        <v>68</v>
      </c>
      <c r="AJ26" s="42">
        <f t="shared" si="1"/>
        <v>0.25</v>
      </c>
      <c r="AK26" s="36" t="s">
        <v>68</v>
      </c>
      <c r="AL26" s="36" t="s">
        <v>133</v>
      </c>
      <c r="AM26" s="36" t="s">
        <v>68</v>
      </c>
      <c r="AN26" s="36" t="s">
        <v>133</v>
      </c>
      <c r="AO26" s="36" t="s">
        <v>133</v>
      </c>
      <c r="AP26" s="42">
        <f t="shared" si="12"/>
        <v>0.25</v>
      </c>
      <c r="AQ26" s="36" t="s">
        <v>68</v>
      </c>
      <c r="AR26" s="36" t="s">
        <v>68</v>
      </c>
      <c r="AS26" s="42">
        <f t="shared" si="13"/>
        <v>0.25</v>
      </c>
      <c r="AT26" s="36" t="s">
        <v>68</v>
      </c>
      <c r="AU26" s="36" t="s">
        <v>133</v>
      </c>
      <c r="AV26" s="42">
        <f t="shared" si="14"/>
        <v>0.25</v>
      </c>
      <c r="AW26" s="36" t="s">
        <v>133</v>
      </c>
      <c r="AX26" s="36" t="s">
        <v>133</v>
      </c>
      <c r="AY26" s="42">
        <f t="shared" si="15"/>
        <v>0</v>
      </c>
      <c r="AZ26" s="36" t="s">
        <v>584</v>
      </c>
      <c r="BA26" s="36" t="s">
        <v>68</v>
      </c>
      <c r="BB26" s="42">
        <f t="shared" si="2"/>
        <v>0.25</v>
      </c>
      <c r="BC26" s="36" t="s">
        <v>68</v>
      </c>
      <c r="BD26" s="42">
        <f t="shared" si="16"/>
        <v>0.5</v>
      </c>
      <c r="BE26" s="36" t="s">
        <v>133</v>
      </c>
      <c r="BF26" s="42">
        <f t="shared" si="17"/>
        <v>0</v>
      </c>
      <c r="BG26" s="36" t="s">
        <v>68</v>
      </c>
      <c r="BH26" s="36" t="s">
        <v>68</v>
      </c>
      <c r="BI26" s="42">
        <f t="shared" si="18"/>
        <v>0.5</v>
      </c>
      <c r="BJ26" s="36" t="s">
        <v>133</v>
      </c>
      <c r="BK26" s="36" t="s">
        <v>68</v>
      </c>
      <c r="BL26" s="36" t="s">
        <v>133</v>
      </c>
      <c r="BM26" s="36" t="s">
        <v>133</v>
      </c>
      <c r="BN26" s="36" t="s">
        <v>133</v>
      </c>
      <c r="BO26" s="36" t="s">
        <v>68</v>
      </c>
      <c r="BP26" s="42">
        <f t="shared" si="19"/>
        <v>0.5</v>
      </c>
      <c r="BQ26" s="36" t="s">
        <v>68</v>
      </c>
      <c r="BR26" s="36" t="s">
        <v>133</v>
      </c>
      <c r="BS26" s="36" t="s">
        <v>68</v>
      </c>
      <c r="BT26" s="36" t="s">
        <v>133</v>
      </c>
      <c r="BU26" s="36" t="s">
        <v>133</v>
      </c>
      <c r="BV26" s="36" t="s">
        <v>133</v>
      </c>
      <c r="BW26" s="43" t="s">
        <v>585</v>
      </c>
      <c r="BX26" s="44">
        <f t="shared" si="20"/>
        <v>3.7095000000000002</v>
      </c>
      <c r="BY26" s="45" t="s">
        <v>68</v>
      </c>
      <c r="BZ26" s="46">
        <f t="shared" si="21"/>
        <v>0.5</v>
      </c>
      <c r="CA26" s="45" t="s">
        <v>133</v>
      </c>
      <c r="CB26" s="46">
        <f t="shared" si="22"/>
        <v>0</v>
      </c>
      <c r="CC26" s="36" t="s">
        <v>421</v>
      </c>
      <c r="CD26" s="46">
        <f t="shared" si="23"/>
        <v>0</v>
      </c>
      <c r="CE26" s="45" t="s">
        <v>421</v>
      </c>
      <c r="CF26" s="45" t="s">
        <v>133</v>
      </c>
      <c r="CG26" s="47">
        <v>0</v>
      </c>
      <c r="CH26" s="45" t="s">
        <v>133</v>
      </c>
      <c r="CI26" s="48">
        <f t="shared" si="24"/>
        <v>0</v>
      </c>
      <c r="CJ26" s="49" t="s">
        <v>68</v>
      </c>
      <c r="CK26" s="49" t="s">
        <v>133</v>
      </c>
      <c r="CL26" s="50" t="s">
        <v>421</v>
      </c>
      <c r="CM26" s="49" t="s">
        <v>133</v>
      </c>
      <c r="CN26" s="46">
        <f t="shared" si="25"/>
        <v>0</v>
      </c>
      <c r="CO26" s="49" t="s">
        <v>133</v>
      </c>
      <c r="CP26" s="48">
        <f t="shared" si="26"/>
        <v>0</v>
      </c>
      <c r="CQ26" s="49" t="s">
        <v>133</v>
      </c>
      <c r="CR26" s="48">
        <f t="shared" si="27"/>
        <v>0</v>
      </c>
      <c r="CS26" s="49" t="s">
        <v>133</v>
      </c>
      <c r="CT26" s="48">
        <f t="shared" si="28"/>
        <v>0</v>
      </c>
      <c r="CU26" s="49" t="s">
        <v>68</v>
      </c>
      <c r="CV26" s="48">
        <f t="shared" si="29"/>
        <v>0.25</v>
      </c>
      <c r="CW26" s="50" t="s">
        <v>586</v>
      </c>
      <c r="CX26" s="51">
        <f t="shared" si="30"/>
        <v>0.75</v>
      </c>
      <c r="CY26" s="52" t="s">
        <v>68</v>
      </c>
      <c r="CZ26" s="53">
        <f t="shared" si="31"/>
        <v>0.5</v>
      </c>
      <c r="DA26" s="52">
        <v>4</v>
      </c>
      <c r="DB26" s="53">
        <f t="shared" si="32"/>
        <v>0.66600000000000004</v>
      </c>
      <c r="DC26" s="52" t="s">
        <v>133</v>
      </c>
      <c r="DD26" s="53">
        <f t="shared" si="33"/>
        <v>0</v>
      </c>
      <c r="DE26" s="52" t="s">
        <v>68</v>
      </c>
      <c r="DF26" s="53">
        <f t="shared" si="34"/>
        <v>0.5</v>
      </c>
      <c r="DG26" s="50" t="s">
        <v>133</v>
      </c>
      <c r="DH26" s="50" t="s">
        <v>133</v>
      </c>
      <c r="DI26" s="50" t="s">
        <v>133</v>
      </c>
      <c r="DJ26" s="50" t="s">
        <v>68</v>
      </c>
      <c r="DK26" s="50" t="s">
        <v>133</v>
      </c>
      <c r="DL26" s="50" t="s">
        <v>68</v>
      </c>
      <c r="DM26" s="50" t="s">
        <v>133</v>
      </c>
      <c r="DN26" s="50" t="s">
        <v>133</v>
      </c>
      <c r="DO26" s="50" t="s">
        <v>133</v>
      </c>
      <c r="DP26" s="52" t="s">
        <v>68</v>
      </c>
      <c r="DQ26" s="50" t="s">
        <v>68</v>
      </c>
      <c r="DR26" s="52" t="s">
        <v>133</v>
      </c>
      <c r="DS26" s="53">
        <f t="shared" si="3"/>
        <v>0.25</v>
      </c>
      <c r="DT26" s="52" t="s">
        <v>133</v>
      </c>
      <c r="DU26" s="53">
        <f t="shared" si="35"/>
        <v>0</v>
      </c>
      <c r="DV26" s="52" t="s">
        <v>133</v>
      </c>
      <c r="DW26" s="53">
        <f t="shared" si="36"/>
        <v>0</v>
      </c>
      <c r="DX26" s="52" t="s">
        <v>133</v>
      </c>
      <c r="DY26" s="53">
        <f t="shared" si="37"/>
        <v>0</v>
      </c>
      <c r="DZ26" s="52" t="s">
        <v>133</v>
      </c>
      <c r="EA26" s="53">
        <f t="shared" si="38"/>
        <v>0</v>
      </c>
      <c r="EB26" s="52" t="s">
        <v>133</v>
      </c>
      <c r="EC26" s="53">
        <f t="shared" si="39"/>
        <v>0</v>
      </c>
      <c r="ED26" s="52" t="s">
        <v>587</v>
      </c>
      <c r="EE26" s="54">
        <f t="shared" si="40"/>
        <v>1.9159999999999999</v>
      </c>
      <c r="EF26" s="50">
        <v>4</v>
      </c>
      <c r="EG26" s="55">
        <f t="shared" si="41"/>
        <v>0.84</v>
      </c>
      <c r="EH26" s="50" t="s">
        <v>133</v>
      </c>
      <c r="EI26" s="55">
        <f t="shared" si="42"/>
        <v>0</v>
      </c>
      <c r="EJ26" s="50" t="s">
        <v>133</v>
      </c>
      <c r="EK26" s="55">
        <f t="shared" si="43"/>
        <v>0</v>
      </c>
      <c r="EL26" s="50" t="s">
        <v>133</v>
      </c>
      <c r="EM26" s="55">
        <f t="shared" si="44"/>
        <v>0</v>
      </c>
      <c r="EN26" s="50" t="s">
        <v>68</v>
      </c>
      <c r="EO26" s="55">
        <f t="shared" si="45"/>
        <v>0.5</v>
      </c>
      <c r="EP26" s="50" t="s">
        <v>133</v>
      </c>
      <c r="EQ26" s="55">
        <f t="shared" si="45"/>
        <v>0</v>
      </c>
      <c r="ER26" s="50" t="s">
        <v>588</v>
      </c>
      <c r="ES26" s="56">
        <f t="shared" si="46"/>
        <v>1.9142857142857141</v>
      </c>
      <c r="ET26" s="57" t="s">
        <v>133</v>
      </c>
      <c r="EU26" s="58">
        <f t="shared" si="47"/>
        <v>0</v>
      </c>
      <c r="EV26" s="57" t="s">
        <v>414</v>
      </c>
      <c r="EW26" s="58">
        <f t="shared" si="48"/>
        <v>0</v>
      </c>
      <c r="EX26" s="57" t="s">
        <v>414</v>
      </c>
      <c r="EY26" s="58">
        <f t="shared" si="49"/>
        <v>0</v>
      </c>
      <c r="EZ26" s="57" t="s">
        <v>133</v>
      </c>
      <c r="FA26" s="58">
        <f t="shared" si="50"/>
        <v>0</v>
      </c>
      <c r="FB26" s="57" t="s">
        <v>68</v>
      </c>
      <c r="FC26" s="58">
        <f t="shared" si="56"/>
        <v>0.5</v>
      </c>
      <c r="FD26" s="57" t="s">
        <v>133</v>
      </c>
      <c r="FE26" s="58">
        <f t="shared" si="56"/>
        <v>0</v>
      </c>
      <c r="FF26" s="57" t="s">
        <v>414</v>
      </c>
      <c r="FG26" s="58">
        <f t="shared" si="52"/>
        <v>0</v>
      </c>
      <c r="FH26" s="57" t="s">
        <v>133</v>
      </c>
      <c r="FI26" s="58">
        <f t="shared" si="53"/>
        <v>0</v>
      </c>
      <c r="FJ26" s="57" t="s">
        <v>68</v>
      </c>
      <c r="FK26" s="58">
        <f t="shared" si="53"/>
        <v>0.5</v>
      </c>
      <c r="FL26" s="59" t="s">
        <v>589</v>
      </c>
      <c r="FM26" s="60">
        <f t="shared" si="54"/>
        <v>1.25</v>
      </c>
      <c r="FN26" s="61">
        <f t="shared" si="55"/>
        <v>11.461785714285714</v>
      </c>
    </row>
    <row r="27" spans="1:170" ht="53">
      <c r="A27" s="31">
        <v>25</v>
      </c>
      <c r="B27" s="32" t="s">
        <v>139</v>
      </c>
      <c r="C27" s="33" t="s">
        <v>107</v>
      </c>
      <c r="D27" s="34" t="s">
        <v>412</v>
      </c>
      <c r="E27" s="35" t="s">
        <v>79</v>
      </c>
      <c r="F27" s="34" t="s">
        <v>413</v>
      </c>
      <c r="G27" s="76" t="s">
        <v>140</v>
      </c>
      <c r="H27" s="36" t="s">
        <v>77</v>
      </c>
      <c r="I27" s="36" t="s">
        <v>77</v>
      </c>
      <c r="J27" s="36" t="s">
        <v>421</v>
      </c>
      <c r="K27" s="36" t="s">
        <v>446</v>
      </c>
      <c r="L27" s="36" t="s">
        <v>133</v>
      </c>
      <c r="M27" s="37">
        <f t="shared" si="4"/>
        <v>0</v>
      </c>
      <c r="N27" s="36">
        <v>1.248</v>
      </c>
      <c r="O27" s="38">
        <f t="shared" si="5"/>
        <v>1.556</v>
      </c>
      <c r="P27" s="36" t="s">
        <v>416</v>
      </c>
      <c r="Q27" s="39">
        <v>0.5</v>
      </c>
      <c r="R27" s="36" t="s">
        <v>81</v>
      </c>
      <c r="S27" s="37">
        <f t="shared" si="6"/>
        <v>0.5</v>
      </c>
      <c r="T27" s="36" t="s">
        <v>81</v>
      </c>
      <c r="U27" s="37">
        <f t="shared" si="7"/>
        <v>0</v>
      </c>
      <c r="V27" s="36" t="s">
        <v>77</v>
      </c>
      <c r="W27" s="36" t="s">
        <v>421</v>
      </c>
      <c r="X27" s="37">
        <f t="shared" si="8"/>
        <v>0</v>
      </c>
      <c r="Y27" s="36" t="s">
        <v>421</v>
      </c>
      <c r="Z27" s="40" t="s">
        <v>590</v>
      </c>
      <c r="AA27" s="41">
        <f t="shared" si="9"/>
        <v>2.556</v>
      </c>
      <c r="AB27" s="36">
        <v>1</v>
      </c>
      <c r="AC27" s="42">
        <f t="shared" si="0"/>
        <v>0.1855</v>
      </c>
      <c r="AD27" s="36" t="s">
        <v>421</v>
      </c>
      <c r="AE27" s="42">
        <f t="shared" si="10"/>
        <v>0</v>
      </c>
      <c r="AF27" s="36" t="s">
        <v>421</v>
      </c>
      <c r="AG27" s="36">
        <v>5</v>
      </c>
      <c r="AH27" s="42">
        <f t="shared" si="11"/>
        <v>3.2000000000000028E-2</v>
      </c>
      <c r="AI27" s="36" t="s">
        <v>133</v>
      </c>
      <c r="AJ27" s="42">
        <f t="shared" si="1"/>
        <v>0</v>
      </c>
      <c r="AK27" s="36" t="s">
        <v>133</v>
      </c>
      <c r="AL27" s="36" t="s">
        <v>421</v>
      </c>
      <c r="AM27" s="36" t="s">
        <v>421</v>
      </c>
      <c r="AN27" s="36" t="s">
        <v>421</v>
      </c>
      <c r="AO27" s="36" t="s">
        <v>421</v>
      </c>
      <c r="AP27" s="42">
        <f t="shared" si="12"/>
        <v>0</v>
      </c>
      <c r="AQ27" s="36" t="s">
        <v>421</v>
      </c>
      <c r="AR27" s="36" t="s">
        <v>421</v>
      </c>
      <c r="AS27" s="42">
        <f t="shared" si="13"/>
        <v>0</v>
      </c>
      <c r="AT27" s="36" t="s">
        <v>421</v>
      </c>
      <c r="AU27" s="36" t="s">
        <v>421</v>
      </c>
      <c r="AV27" s="42">
        <f t="shared" si="14"/>
        <v>0</v>
      </c>
      <c r="AW27" s="36" t="s">
        <v>421</v>
      </c>
      <c r="AX27" s="36" t="s">
        <v>421</v>
      </c>
      <c r="AY27" s="42">
        <f t="shared" si="15"/>
        <v>0</v>
      </c>
      <c r="AZ27" s="36" t="s">
        <v>421</v>
      </c>
      <c r="BA27" s="36" t="s">
        <v>77</v>
      </c>
      <c r="BB27" s="42"/>
      <c r="BC27" s="68" t="s">
        <v>421</v>
      </c>
      <c r="BD27" s="42">
        <f t="shared" si="16"/>
        <v>0</v>
      </c>
      <c r="BE27" s="68" t="s">
        <v>421</v>
      </c>
      <c r="BF27" s="42">
        <f t="shared" si="17"/>
        <v>0</v>
      </c>
      <c r="BG27" s="68" t="s">
        <v>421</v>
      </c>
      <c r="BH27" s="68" t="s">
        <v>421</v>
      </c>
      <c r="BI27" s="42">
        <f t="shared" si="18"/>
        <v>0</v>
      </c>
      <c r="BJ27" s="68" t="s">
        <v>421</v>
      </c>
      <c r="BK27" s="68" t="s">
        <v>421</v>
      </c>
      <c r="BL27" s="68" t="s">
        <v>421</v>
      </c>
      <c r="BM27" s="68" t="s">
        <v>421</v>
      </c>
      <c r="BN27" s="68" t="s">
        <v>421</v>
      </c>
      <c r="BO27" s="68" t="s">
        <v>421</v>
      </c>
      <c r="BP27" s="42">
        <f t="shared" si="19"/>
        <v>0</v>
      </c>
      <c r="BQ27" s="68" t="s">
        <v>421</v>
      </c>
      <c r="BR27" s="68" t="s">
        <v>421</v>
      </c>
      <c r="BS27" s="68" t="s">
        <v>421</v>
      </c>
      <c r="BT27" s="68" t="s">
        <v>421</v>
      </c>
      <c r="BU27" s="68" t="s">
        <v>421</v>
      </c>
      <c r="BV27" s="68" t="s">
        <v>421</v>
      </c>
      <c r="BW27" s="68" t="s">
        <v>421</v>
      </c>
      <c r="BX27" s="44">
        <f t="shared" si="20"/>
        <v>0.21750000000000003</v>
      </c>
      <c r="BY27" s="45" t="s">
        <v>77</v>
      </c>
      <c r="BZ27" s="46">
        <f t="shared" si="21"/>
        <v>0</v>
      </c>
      <c r="CA27" s="68" t="s">
        <v>421</v>
      </c>
      <c r="CB27" s="46">
        <f t="shared" si="22"/>
        <v>0</v>
      </c>
      <c r="CC27" s="68" t="s">
        <v>421</v>
      </c>
      <c r="CD27" s="46">
        <f t="shared" si="23"/>
        <v>0</v>
      </c>
      <c r="CE27" s="68" t="s">
        <v>421</v>
      </c>
      <c r="CF27" s="45" t="s">
        <v>77</v>
      </c>
      <c r="CG27" s="47">
        <v>0</v>
      </c>
      <c r="CH27" s="45" t="s">
        <v>133</v>
      </c>
      <c r="CI27" s="48">
        <f t="shared" si="24"/>
        <v>0</v>
      </c>
      <c r="CJ27" s="49" t="s">
        <v>81</v>
      </c>
      <c r="CK27" s="49" t="s">
        <v>77</v>
      </c>
      <c r="CL27" s="75" t="s">
        <v>421</v>
      </c>
      <c r="CM27" s="49" t="s">
        <v>77</v>
      </c>
      <c r="CN27" s="46">
        <f t="shared" si="25"/>
        <v>0</v>
      </c>
      <c r="CO27" s="49" t="s">
        <v>77</v>
      </c>
      <c r="CP27" s="48">
        <f t="shared" si="26"/>
        <v>0</v>
      </c>
      <c r="CQ27" s="75" t="s">
        <v>421</v>
      </c>
      <c r="CR27" s="48">
        <f t="shared" si="27"/>
        <v>0</v>
      </c>
      <c r="CS27" s="49" t="s">
        <v>77</v>
      </c>
      <c r="CT27" s="48">
        <f t="shared" si="28"/>
        <v>0</v>
      </c>
      <c r="CU27" s="49" t="s">
        <v>81</v>
      </c>
      <c r="CV27" s="48">
        <f t="shared" si="29"/>
        <v>0.25</v>
      </c>
      <c r="CW27" s="50" t="s">
        <v>591</v>
      </c>
      <c r="CX27" s="51">
        <f t="shared" si="30"/>
        <v>0.25</v>
      </c>
      <c r="CY27" s="75" t="s">
        <v>133</v>
      </c>
      <c r="CZ27" s="53">
        <f t="shared" si="31"/>
        <v>0</v>
      </c>
      <c r="DA27" s="75">
        <v>1</v>
      </c>
      <c r="DB27" s="53">
        <f t="shared" si="32"/>
        <v>3.1E-2</v>
      </c>
      <c r="DC27" s="75" t="s">
        <v>133</v>
      </c>
      <c r="DD27" s="53">
        <f t="shared" si="33"/>
        <v>0</v>
      </c>
      <c r="DE27" s="75" t="s">
        <v>133</v>
      </c>
      <c r="DF27" s="53">
        <f t="shared" si="34"/>
        <v>0</v>
      </c>
      <c r="DG27" s="75" t="s">
        <v>421</v>
      </c>
      <c r="DH27" s="75" t="s">
        <v>421</v>
      </c>
      <c r="DI27" s="75" t="s">
        <v>421</v>
      </c>
      <c r="DJ27" s="75" t="s">
        <v>421</v>
      </c>
      <c r="DK27" s="75" t="s">
        <v>421</v>
      </c>
      <c r="DL27" s="75" t="s">
        <v>421</v>
      </c>
      <c r="DM27" s="75" t="s">
        <v>421</v>
      </c>
      <c r="DN27" s="75" t="s">
        <v>421</v>
      </c>
      <c r="DO27" s="75" t="s">
        <v>421</v>
      </c>
      <c r="DP27" s="75" t="s">
        <v>421</v>
      </c>
      <c r="DQ27" s="75" t="s">
        <v>421</v>
      </c>
      <c r="DR27" s="75" t="s">
        <v>421</v>
      </c>
      <c r="DS27" s="53">
        <f t="shared" si="3"/>
        <v>0</v>
      </c>
      <c r="DT27" s="75" t="s">
        <v>421</v>
      </c>
      <c r="DU27" s="53">
        <f t="shared" si="35"/>
        <v>0</v>
      </c>
      <c r="DV27" s="75" t="s">
        <v>421</v>
      </c>
      <c r="DW27" s="53">
        <f t="shared" si="36"/>
        <v>0</v>
      </c>
      <c r="DX27" s="52" t="s">
        <v>421</v>
      </c>
      <c r="DY27" s="53">
        <f t="shared" si="37"/>
        <v>0</v>
      </c>
      <c r="DZ27" s="75" t="s">
        <v>421</v>
      </c>
      <c r="EA27" s="53">
        <f t="shared" si="38"/>
        <v>0</v>
      </c>
      <c r="EB27" s="75" t="s">
        <v>421</v>
      </c>
      <c r="EC27" s="53">
        <f t="shared" si="39"/>
        <v>0</v>
      </c>
      <c r="ED27" s="52" t="s">
        <v>436</v>
      </c>
      <c r="EE27" s="54">
        <f t="shared" si="40"/>
        <v>3.1E-2</v>
      </c>
      <c r="EF27" s="75" t="s">
        <v>421</v>
      </c>
      <c r="EG27" s="55">
        <v>0</v>
      </c>
      <c r="EH27" s="75" t="s">
        <v>421</v>
      </c>
      <c r="EI27" s="55">
        <f t="shared" si="42"/>
        <v>0</v>
      </c>
      <c r="EJ27" s="75" t="s">
        <v>421</v>
      </c>
      <c r="EK27" s="55">
        <f t="shared" si="43"/>
        <v>0</v>
      </c>
      <c r="EL27" s="75" t="s">
        <v>421</v>
      </c>
      <c r="EM27" s="55">
        <f t="shared" si="44"/>
        <v>0</v>
      </c>
      <c r="EN27" s="75" t="s">
        <v>421</v>
      </c>
      <c r="EO27" s="55">
        <f t="shared" si="45"/>
        <v>0</v>
      </c>
      <c r="EP27" s="50" t="s">
        <v>133</v>
      </c>
      <c r="EQ27" s="55">
        <f t="shared" si="45"/>
        <v>0</v>
      </c>
      <c r="ER27" s="50" t="s">
        <v>436</v>
      </c>
      <c r="ES27" s="56">
        <f t="shared" si="46"/>
        <v>0</v>
      </c>
      <c r="ET27" s="75" t="s">
        <v>133</v>
      </c>
      <c r="EU27" s="58">
        <f t="shared" si="47"/>
        <v>0</v>
      </c>
      <c r="EV27" s="75" t="s">
        <v>414</v>
      </c>
      <c r="EW27" s="58">
        <f t="shared" si="48"/>
        <v>0</v>
      </c>
      <c r="EX27" s="75" t="s">
        <v>414</v>
      </c>
      <c r="EY27" s="58">
        <f t="shared" si="49"/>
        <v>0</v>
      </c>
      <c r="EZ27" s="75" t="s">
        <v>421</v>
      </c>
      <c r="FA27" s="58">
        <f t="shared" si="50"/>
        <v>0</v>
      </c>
      <c r="FB27" s="75" t="s">
        <v>421</v>
      </c>
      <c r="FC27" s="58">
        <f t="shared" si="56"/>
        <v>0</v>
      </c>
      <c r="FD27" s="75" t="s">
        <v>421</v>
      </c>
      <c r="FE27" s="58">
        <f t="shared" si="56"/>
        <v>0</v>
      </c>
      <c r="FF27" s="75" t="s">
        <v>421</v>
      </c>
      <c r="FG27" s="58">
        <f t="shared" si="52"/>
        <v>0</v>
      </c>
      <c r="FH27" s="75" t="s">
        <v>421</v>
      </c>
      <c r="FI27" s="58">
        <f t="shared" si="53"/>
        <v>0</v>
      </c>
      <c r="FJ27" s="75" t="s">
        <v>421</v>
      </c>
      <c r="FK27" s="58">
        <f t="shared" si="53"/>
        <v>0</v>
      </c>
      <c r="FL27" s="59" t="s">
        <v>437</v>
      </c>
      <c r="FM27" s="60">
        <f t="shared" si="54"/>
        <v>0</v>
      </c>
      <c r="FN27" s="61">
        <f t="shared" si="55"/>
        <v>3.0545</v>
      </c>
    </row>
    <row r="28" spans="1:170" ht="97">
      <c r="A28" s="31">
        <v>26</v>
      </c>
      <c r="B28" s="32" t="s">
        <v>141</v>
      </c>
      <c r="C28" s="33" t="str">
        <f>VLOOKUP(B28,[1]Sheet1!$A:$C,2,FALSE)</f>
        <v>Gucci Group (PPR)</v>
      </c>
      <c r="D28" s="34" t="s">
        <v>412</v>
      </c>
      <c r="E28" s="35" t="str">
        <f>VLOOKUP(B28,[1]Sheet1!$A:$C,3,FALSE)</f>
        <v>Italy</v>
      </c>
      <c r="F28" s="34" t="s">
        <v>413</v>
      </c>
      <c r="G28" s="32" t="s">
        <v>142</v>
      </c>
      <c r="H28" s="36" t="s">
        <v>81</v>
      </c>
      <c r="I28" s="36" t="s">
        <v>421</v>
      </c>
      <c r="J28" s="36" t="s">
        <v>421</v>
      </c>
      <c r="K28" s="36" t="s">
        <v>415</v>
      </c>
      <c r="L28" s="36" t="s">
        <v>133</v>
      </c>
      <c r="M28" s="37">
        <f t="shared" si="4"/>
        <v>0</v>
      </c>
      <c r="N28" s="36">
        <v>1.1539999999999999</v>
      </c>
      <c r="O28" s="38">
        <f t="shared" si="5"/>
        <v>1.716</v>
      </c>
      <c r="P28" s="36" t="s">
        <v>416</v>
      </c>
      <c r="Q28" s="39">
        <v>0.5</v>
      </c>
      <c r="R28" s="36" t="s">
        <v>77</v>
      </c>
      <c r="S28" s="37">
        <f t="shared" si="6"/>
        <v>0</v>
      </c>
      <c r="T28" s="36" t="s">
        <v>77</v>
      </c>
      <c r="U28" s="37">
        <f t="shared" si="7"/>
        <v>0.5</v>
      </c>
      <c r="V28" s="36" t="s">
        <v>81</v>
      </c>
      <c r="W28" s="36" t="s">
        <v>81</v>
      </c>
      <c r="X28" s="37">
        <f t="shared" si="8"/>
        <v>0.25</v>
      </c>
      <c r="Y28" s="36" t="s">
        <v>592</v>
      </c>
      <c r="Z28" s="40" t="s">
        <v>593</v>
      </c>
      <c r="AA28" s="41">
        <f t="shared" si="9"/>
        <v>2.9660000000000002</v>
      </c>
      <c r="AB28" s="36">
        <v>0</v>
      </c>
      <c r="AC28" s="42">
        <f t="shared" si="0"/>
        <v>0.5</v>
      </c>
      <c r="AD28" s="36" t="s">
        <v>77</v>
      </c>
      <c r="AE28" s="42">
        <f t="shared" si="10"/>
        <v>0.25</v>
      </c>
      <c r="AF28" s="36" t="s">
        <v>421</v>
      </c>
      <c r="AG28" s="36">
        <v>2</v>
      </c>
      <c r="AH28" s="42">
        <f t="shared" si="11"/>
        <v>1</v>
      </c>
      <c r="AI28" s="36" t="s">
        <v>81</v>
      </c>
      <c r="AJ28" s="42">
        <f t="shared" si="1"/>
        <v>0.25</v>
      </c>
      <c r="AK28" s="36" t="s">
        <v>81</v>
      </c>
      <c r="AL28" s="36" t="s">
        <v>77</v>
      </c>
      <c r="AM28" s="36" t="s">
        <v>77</v>
      </c>
      <c r="AN28" s="36" t="s">
        <v>77</v>
      </c>
      <c r="AO28" s="36" t="s">
        <v>77</v>
      </c>
      <c r="AP28" s="42">
        <f t="shared" si="12"/>
        <v>0.25</v>
      </c>
      <c r="AQ28" s="36" t="s">
        <v>77</v>
      </c>
      <c r="AR28" s="36" t="s">
        <v>77</v>
      </c>
      <c r="AS28" s="42">
        <f t="shared" si="13"/>
        <v>0</v>
      </c>
      <c r="AT28" s="36" t="s">
        <v>77</v>
      </c>
      <c r="AU28" s="36" t="s">
        <v>77</v>
      </c>
      <c r="AV28" s="42">
        <f t="shared" si="14"/>
        <v>0</v>
      </c>
      <c r="AW28" s="36" t="s">
        <v>77</v>
      </c>
      <c r="AX28" s="36" t="s">
        <v>81</v>
      </c>
      <c r="AY28" s="42">
        <f t="shared" si="15"/>
        <v>0.25</v>
      </c>
      <c r="AZ28" s="36" t="s">
        <v>594</v>
      </c>
      <c r="BA28" s="36" t="s">
        <v>81</v>
      </c>
      <c r="BB28" s="42">
        <f t="shared" ref="BB28:BB66" si="57">IF(BA28="Y",0.25,IF(BA28="N",0,"CHECK"))</f>
        <v>0.25</v>
      </c>
      <c r="BC28" s="36" t="s">
        <v>77</v>
      </c>
      <c r="BD28" s="42">
        <f t="shared" si="16"/>
        <v>0</v>
      </c>
      <c r="BE28" s="36" t="s">
        <v>77</v>
      </c>
      <c r="BF28" s="42">
        <f t="shared" si="17"/>
        <v>0</v>
      </c>
      <c r="BG28" s="36" t="s">
        <v>77</v>
      </c>
      <c r="BH28" s="36" t="s">
        <v>81</v>
      </c>
      <c r="BI28" s="42">
        <f t="shared" si="18"/>
        <v>0.5</v>
      </c>
      <c r="BJ28" s="36" t="s">
        <v>77</v>
      </c>
      <c r="BK28" s="36" t="s">
        <v>77</v>
      </c>
      <c r="BL28" s="36" t="s">
        <v>77</v>
      </c>
      <c r="BM28" s="36" t="s">
        <v>77</v>
      </c>
      <c r="BN28" s="36" t="s">
        <v>77</v>
      </c>
      <c r="BO28" s="36" t="s">
        <v>81</v>
      </c>
      <c r="BP28" s="42">
        <f t="shared" si="19"/>
        <v>0.5</v>
      </c>
      <c r="BQ28" s="36" t="s">
        <v>81</v>
      </c>
      <c r="BR28" s="36" t="s">
        <v>81</v>
      </c>
      <c r="BS28" s="36" t="s">
        <v>77</v>
      </c>
      <c r="BT28" s="36" t="s">
        <v>77</v>
      </c>
      <c r="BU28" s="36" t="s">
        <v>77</v>
      </c>
      <c r="BV28" s="36" t="s">
        <v>77</v>
      </c>
      <c r="BW28" s="43" t="s">
        <v>595</v>
      </c>
      <c r="BX28" s="44">
        <f t="shared" si="20"/>
        <v>3.75</v>
      </c>
      <c r="BY28" s="45" t="s">
        <v>81</v>
      </c>
      <c r="BZ28" s="46">
        <f t="shared" si="21"/>
        <v>0.5</v>
      </c>
      <c r="CA28" s="45" t="s">
        <v>77</v>
      </c>
      <c r="CB28" s="46">
        <f t="shared" si="22"/>
        <v>0</v>
      </c>
      <c r="CC28" s="36" t="s">
        <v>421</v>
      </c>
      <c r="CD28" s="46">
        <f t="shared" si="23"/>
        <v>0</v>
      </c>
      <c r="CE28" s="45" t="s">
        <v>421</v>
      </c>
      <c r="CF28" s="45" t="s">
        <v>77</v>
      </c>
      <c r="CG28" s="47">
        <v>0</v>
      </c>
      <c r="CH28" s="45" t="s">
        <v>68</v>
      </c>
      <c r="CI28" s="48">
        <f t="shared" si="24"/>
        <v>0.5</v>
      </c>
      <c r="CJ28" s="49" t="s">
        <v>81</v>
      </c>
      <c r="CK28" s="49" t="s">
        <v>77</v>
      </c>
      <c r="CL28" s="50" t="s">
        <v>421</v>
      </c>
      <c r="CM28" s="49" t="s">
        <v>81</v>
      </c>
      <c r="CN28" s="46">
        <f t="shared" si="25"/>
        <v>0.5</v>
      </c>
      <c r="CO28" s="49" t="s">
        <v>77</v>
      </c>
      <c r="CP28" s="48">
        <f t="shared" si="26"/>
        <v>0</v>
      </c>
      <c r="CQ28" s="49" t="s">
        <v>421</v>
      </c>
      <c r="CR28" s="48">
        <f t="shared" si="27"/>
        <v>0</v>
      </c>
      <c r="CS28" s="49" t="s">
        <v>77</v>
      </c>
      <c r="CT28" s="48">
        <f t="shared" si="28"/>
        <v>0</v>
      </c>
      <c r="CU28" s="49" t="s">
        <v>77</v>
      </c>
      <c r="CV28" s="48">
        <f t="shared" si="29"/>
        <v>0</v>
      </c>
      <c r="CW28" s="50" t="s">
        <v>596</v>
      </c>
      <c r="CX28" s="51">
        <f t="shared" si="30"/>
        <v>1.5</v>
      </c>
      <c r="CY28" s="52" t="s">
        <v>81</v>
      </c>
      <c r="CZ28" s="53">
        <f t="shared" si="31"/>
        <v>0.5</v>
      </c>
      <c r="DA28" s="52">
        <v>5</v>
      </c>
      <c r="DB28" s="53">
        <f t="shared" si="32"/>
        <v>0.92</v>
      </c>
      <c r="DC28" s="52" t="s">
        <v>81</v>
      </c>
      <c r="DD28" s="53">
        <f t="shared" si="33"/>
        <v>0.5</v>
      </c>
      <c r="DE28" s="52" t="s">
        <v>81</v>
      </c>
      <c r="DF28" s="53">
        <f t="shared" si="34"/>
        <v>0.5</v>
      </c>
      <c r="DG28" s="50" t="s">
        <v>77</v>
      </c>
      <c r="DH28" s="50" t="s">
        <v>77</v>
      </c>
      <c r="DI28" s="50" t="s">
        <v>77</v>
      </c>
      <c r="DJ28" s="50" t="s">
        <v>81</v>
      </c>
      <c r="DK28" s="50" t="s">
        <v>81</v>
      </c>
      <c r="DL28" s="50" t="s">
        <v>77</v>
      </c>
      <c r="DM28" s="50" t="s">
        <v>81</v>
      </c>
      <c r="DN28" s="50" t="s">
        <v>77</v>
      </c>
      <c r="DO28" s="50" t="s">
        <v>77</v>
      </c>
      <c r="DP28" s="52" t="s">
        <v>81</v>
      </c>
      <c r="DQ28" s="50" t="s">
        <v>77</v>
      </c>
      <c r="DR28" s="52" t="s">
        <v>77</v>
      </c>
      <c r="DS28" s="53">
        <f t="shared" si="3"/>
        <v>0.25</v>
      </c>
      <c r="DT28" s="52" t="s">
        <v>77</v>
      </c>
      <c r="DU28" s="53">
        <f t="shared" si="35"/>
        <v>0</v>
      </c>
      <c r="DV28" s="52" t="s">
        <v>77</v>
      </c>
      <c r="DW28" s="53">
        <f t="shared" si="36"/>
        <v>0</v>
      </c>
      <c r="DX28" s="52" t="s">
        <v>77</v>
      </c>
      <c r="DY28" s="53">
        <f t="shared" si="37"/>
        <v>0</v>
      </c>
      <c r="DZ28" s="52" t="s">
        <v>77</v>
      </c>
      <c r="EA28" s="53">
        <f t="shared" si="38"/>
        <v>0</v>
      </c>
      <c r="EB28" s="52" t="s">
        <v>81</v>
      </c>
      <c r="EC28" s="53">
        <f t="shared" si="39"/>
        <v>0.25</v>
      </c>
      <c r="ED28" s="52" t="s">
        <v>597</v>
      </c>
      <c r="EE28" s="54">
        <f t="shared" si="40"/>
        <v>2.92</v>
      </c>
      <c r="EF28" s="50">
        <v>7</v>
      </c>
      <c r="EG28" s="55">
        <f t="shared" si="41"/>
        <v>6.0000000000000053E-2</v>
      </c>
      <c r="EH28" s="50" t="s">
        <v>81</v>
      </c>
      <c r="EI28" s="55">
        <f t="shared" si="42"/>
        <v>0.5</v>
      </c>
      <c r="EJ28" s="50" t="s">
        <v>77</v>
      </c>
      <c r="EK28" s="55">
        <f t="shared" si="43"/>
        <v>0</v>
      </c>
      <c r="EL28" s="50" t="s">
        <v>77</v>
      </c>
      <c r="EM28" s="55">
        <f t="shared" si="44"/>
        <v>0</v>
      </c>
      <c r="EN28" s="50" t="s">
        <v>81</v>
      </c>
      <c r="EO28" s="55">
        <f t="shared" si="45"/>
        <v>0.5</v>
      </c>
      <c r="EP28" s="50" t="s">
        <v>133</v>
      </c>
      <c r="EQ28" s="55">
        <f t="shared" si="45"/>
        <v>0</v>
      </c>
      <c r="ER28" s="50" t="s">
        <v>598</v>
      </c>
      <c r="ES28" s="56">
        <f t="shared" si="46"/>
        <v>1.5142857142857145</v>
      </c>
      <c r="ET28" s="57" t="s">
        <v>68</v>
      </c>
      <c r="EU28" s="58">
        <f t="shared" si="47"/>
        <v>0.5</v>
      </c>
      <c r="EV28" s="57" t="s">
        <v>68</v>
      </c>
      <c r="EW28" s="58">
        <f t="shared" si="48"/>
        <v>0.5</v>
      </c>
      <c r="EX28" s="57" t="s">
        <v>133</v>
      </c>
      <c r="EY28" s="58">
        <f t="shared" si="49"/>
        <v>0</v>
      </c>
      <c r="EZ28" s="57" t="s">
        <v>77</v>
      </c>
      <c r="FA28" s="58">
        <f t="shared" si="50"/>
        <v>0</v>
      </c>
      <c r="FB28" s="57" t="s">
        <v>77</v>
      </c>
      <c r="FC28" s="58">
        <f t="shared" si="56"/>
        <v>0</v>
      </c>
      <c r="FD28" s="57" t="s">
        <v>421</v>
      </c>
      <c r="FE28" s="58">
        <f t="shared" si="56"/>
        <v>0</v>
      </c>
      <c r="FF28" s="57" t="s">
        <v>421</v>
      </c>
      <c r="FG28" s="58">
        <f t="shared" si="52"/>
        <v>0</v>
      </c>
      <c r="FH28" s="57" t="s">
        <v>77</v>
      </c>
      <c r="FI28" s="58">
        <f t="shared" si="53"/>
        <v>0</v>
      </c>
      <c r="FJ28" s="57" t="s">
        <v>81</v>
      </c>
      <c r="FK28" s="58">
        <f t="shared" si="53"/>
        <v>0.5</v>
      </c>
      <c r="FL28" s="59" t="s">
        <v>599</v>
      </c>
      <c r="FM28" s="60">
        <f t="shared" si="54"/>
        <v>1.875</v>
      </c>
      <c r="FN28" s="61">
        <f t="shared" si="55"/>
        <v>14.525285714285715</v>
      </c>
    </row>
    <row r="29" spans="1:170" ht="97">
      <c r="A29" s="31">
        <v>27</v>
      </c>
      <c r="B29" s="32" t="s">
        <v>143</v>
      </c>
      <c r="C29" s="33" t="str">
        <f>VLOOKUP(B29,[1]Sheet1!$A:$C,2,FALSE)</f>
        <v>Hermes</v>
      </c>
      <c r="D29" s="34" t="s">
        <v>412</v>
      </c>
      <c r="E29" s="35" t="str">
        <f>VLOOKUP(B29,[1]Sheet1!$A:$C,3,FALSE)</f>
        <v>France</v>
      </c>
      <c r="F29" s="34" t="s">
        <v>413</v>
      </c>
      <c r="G29" s="32" t="s">
        <v>144</v>
      </c>
      <c r="H29" s="36" t="s">
        <v>81</v>
      </c>
      <c r="I29" s="36" t="s">
        <v>421</v>
      </c>
      <c r="J29" s="36" t="s">
        <v>421</v>
      </c>
      <c r="K29" s="36" t="s">
        <v>446</v>
      </c>
      <c r="L29" s="36" t="s">
        <v>133</v>
      </c>
      <c r="M29" s="37">
        <f t="shared" si="4"/>
        <v>0</v>
      </c>
      <c r="N29" s="36">
        <v>0.748</v>
      </c>
      <c r="O29" s="38">
        <f t="shared" si="5"/>
        <v>2</v>
      </c>
      <c r="P29" s="36" t="s">
        <v>600</v>
      </c>
      <c r="Q29" s="39">
        <v>0.5</v>
      </c>
      <c r="R29" s="36" t="s">
        <v>77</v>
      </c>
      <c r="S29" s="37">
        <f t="shared" si="6"/>
        <v>0</v>
      </c>
      <c r="T29" s="36" t="s">
        <v>133</v>
      </c>
      <c r="U29" s="37">
        <f t="shared" si="7"/>
        <v>0.5</v>
      </c>
      <c r="V29" s="36" t="s">
        <v>81</v>
      </c>
      <c r="W29" s="36" t="s">
        <v>77</v>
      </c>
      <c r="X29" s="37">
        <f t="shared" si="8"/>
        <v>0</v>
      </c>
      <c r="Y29" s="36" t="s">
        <v>421</v>
      </c>
      <c r="Z29" s="40" t="s">
        <v>601</v>
      </c>
      <c r="AA29" s="41">
        <f t="shared" si="9"/>
        <v>3</v>
      </c>
      <c r="AB29" s="36">
        <v>1</v>
      </c>
      <c r="AC29" s="42">
        <f t="shared" si="0"/>
        <v>0.1855</v>
      </c>
      <c r="AD29" s="36" t="s">
        <v>81</v>
      </c>
      <c r="AE29" s="42">
        <f t="shared" si="10"/>
        <v>0</v>
      </c>
      <c r="AF29" s="36" t="s">
        <v>81</v>
      </c>
      <c r="AG29" s="36">
        <v>4</v>
      </c>
      <c r="AH29" s="42">
        <f t="shared" si="11"/>
        <v>0.20699999999999996</v>
      </c>
      <c r="AI29" s="36" t="s">
        <v>77</v>
      </c>
      <c r="AJ29" s="42">
        <f t="shared" si="1"/>
        <v>0</v>
      </c>
      <c r="AK29" s="36" t="s">
        <v>77</v>
      </c>
      <c r="AL29" s="36" t="s">
        <v>77</v>
      </c>
      <c r="AM29" s="36" t="s">
        <v>77</v>
      </c>
      <c r="AN29" s="36" t="s">
        <v>77</v>
      </c>
      <c r="AO29" s="36" t="s">
        <v>77</v>
      </c>
      <c r="AP29" s="42">
        <f t="shared" si="12"/>
        <v>0</v>
      </c>
      <c r="AQ29" s="36" t="s">
        <v>77</v>
      </c>
      <c r="AR29" s="36" t="s">
        <v>77</v>
      </c>
      <c r="AS29" s="42">
        <f t="shared" si="13"/>
        <v>0</v>
      </c>
      <c r="AT29" s="36" t="s">
        <v>77</v>
      </c>
      <c r="AU29" s="36" t="s">
        <v>77</v>
      </c>
      <c r="AV29" s="42">
        <f t="shared" si="14"/>
        <v>0</v>
      </c>
      <c r="AW29" s="36" t="s">
        <v>77</v>
      </c>
      <c r="AX29" s="36" t="s">
        <v>77</v>
      </c>
      <c r="AY29" s="42">
        <f t="shared" si="15"/>
        <v>0</v>
      </c>
      <c r="AZ29" s="36" t="s">
        <v>602</v>
      </c>
      <c r="BA29" s="36" t="s">
        <v>77</v>
      </c>
      <c r="BB29" s="42">
        <f t="shared" si="57"/>
        <v>0</v>
      </c>
      <c r="BC29" s="36" t="s">
        <v>421</v>
      </c>
      <c r="BD29" s="42">
        <f t="shared" si="16"/>
        <v>0</v>
      </c>
      <c r="BE29" s="36" t="s">
        <v>421</v>
      </c>
      <c r="BF29" s="42">
        <f t="shared" si="17"/>
        <v>0</v>
      </c>
      <c r="BG29" s="36" t="s">
        <v>421</v>
      </c>
      <c r="BH29" s="36" t="s">
        <v>421</v>
      </c>
      <c r="BI29" s="42">
        <f t="shared" si="18"/>
        <v>0</v>
      </c>
      <c r="BJ29" s="36" t="s">
        <v>421</v>
      </c>
      <c r="BK29" s="36" t="s">
        <v>421</v>
      </c>
      <c r="BL29" s="36" t="s">
        <v>421</v>
      </c>
      <c r="BM29" s="36" t="s">
        <v>421</v>
      </c>
      <c r="BN29" s="36" t="s">
        <v>421</v>
      </c>
      <c r="BO29" s="36" t="s">
        <v>421</v>
      </c>
      <c r="BP29" s="42">
        <f t="shared" si="19"/>
        <v>0</v>
      </c>
      <c r="BQ29" s="36" t="s">
        <v>421</v>
      </c>
      <c r="BR29" s="36" t="s">
        <v>421</v>
      </c>
      <c r="BS29" s="36" t="s">
        <v>421</v>
      </c>
      <c r="BT29" s="36" t="s">
        <v>421</v>
      </c>
      <c r="BU29" s="36" t="s">
        <v>421</v>
      </c>
      <c r="BV29" s="36" t="s">
        <v>421</v>
      </c>
      <c r="BW29" s="36" t="s">
        <v>421</v>
      </c>
      <c r="BX29" s="44">
        <f t="shared" si="20"/>
        <v>0.39249999999999996</v>
      </c>
      <c r="BY29" s="45" t="s">
        <v>81</v>
      </c>
      <c r="BZ29" s="46">
        <f t="shared" si="21"/>
        <v>0.5</v>
      </c>
      <c r="CA29" s="45" t="s">
        <v>77</v>
      </c>
      <c r="CB29" s="46">
        <f t="shared" si="22"/>
        <v>0</v>
      </c>
      <c r="CC29" s="68" t="s">
        <v>421</v>
      </c>
      <c r="CD29" s="46">
        <f t="shared" si="23"/>
        <v>0</v>
      </c>
      <c r="CE29" s="68" t="s">
        <v>421</v>
      </c>
      <c r="CF29" s="45" t="s">
        <v>77</v>
      </c>
      <c r="CG29" s="47">
        <v>0</v>
      </c>
      <c r="CH29" s="45" t="s">
        <v>133</v>
      </c>
      <c r="CI29" s="48">
        <f t="shared" si="24"/>
        <v>0</v>
      </c>
      <c r="CJ29" s="49" t="s">
        <v>81</v>
      </c>
      <c r="CK29" s="49" t="s">
        <v>77</v>
      </c>
      <c r="CL29" s="50" t="s">
        <v>421</v>
      </c>
      <c r="CM29" s="49" t="s">
        <v>81</v>
      </c>
      <c r="CN29" s="46">
        <f t="shared" si="25"/>
        <v>0.5</v>
      </c>
      <c r="CO29" s="49" t="s">
        <v>81</v>
      </c>
      <c r="CP29" s="48">
        <f t="shared" si="26"/>
        <v>0.75</v>
      </c>
      <c r="CQ29" s="49" t="s">
        <v>81</v>
      </c>
      <c r="CR29" s="48">
        <f t="shared" si="27"/>
        <v>0.25</v>
      </c>
      <c r="CS29" s="49" t="s">
        <v>81</v>
      </c>
      <c r="CT29" s="48">
        <f t="shared" si="28"/>
        <v>0.5</v>
      </c>
      <c r="CU29" s="49" t="s">
        <v>77</v>
      </c>
      <c r="CV29" s="48">
        <f t="shared" si="29"/>
        <v>0</v>
      </c>
      <c r="CW29" s="50" t="s">
        <v>603</v>
      </c>
      <c r="CX29" s="51">
        <f t="shared" si="30"/>
        <v>2.5</v>
      </c>
      <c r="CY29" s="52" t="s">
        <v>77</v>
      </c>
      <c r="CZ29" s="53">
        <f t="shared" si="31"/>
        <v>0</v>
      </c>
      <c r="DA29" s="52">
        <v>1</v>
      </c>
      <c r="DB29" s="53">
        <f t="shared" si="32"/>
        <v>3.1E-2</v>
      </c>
      <c r="DC29" s="52" t="s">
        <v>77</v>
      </c>
      <c r="DD29" s="53">
        <f t="shared" si="33"/>
        <v>0</v>
      </c>
      <c r="DE29" s="52" t="s">
        <v>77</v>
      </c>
      <c r="DF29" s="53">
        <f t="shared" si="34"/>
        <v>0</v>
      </c>
      <c r="DG29" s="50" t="s">
        <v>421</v>
      </c>
      <c r="DH29" s="50" t="s">
        <v>421</v>
      </c>
      <c r="DI29" s="50" t="s">
        <v>421</v>
      </c>
      <c r="DJ29" s="50" t="s">
        <v>421</v>
      </c>
      <c r="DK29" s="50" t="s">
        <v>421</v>
      </c>
      <c r="DL29" s="50" t="s">
        <v>421</v>
      </c>
      <c r="DM29" s="50" t="s">
        <v>421</v>
      </c>
      <c r="DN29" s="50" t="s">
        <v>421</v>
      </c>
      <c r="DO29" s="50" t="s">
        <v>421</v>
      </c>
      <c r="DP29" s="50" t="s">
        <v>421</v>
      </c>
      <c r="DQ29" s="50" t="s">
        <v>421</v>
      </c>
      <c r="DR29" s="50" t="s">
        <v>421</v>
      </c>
      <c r="DS29" s="53">
        <f t="shared" si="3"/>
        <v>0</v>
      </c>
      <c r="DT29" s="52" t="s">
        <v>77</v>
      </c>
      <c r="DU29" s="53">
        <f t="shared" si="35"/>
        <v>0</v>
      </c>
      <c r="DV29" s="52" t="s">
        <v>77</v>
      </c>
      <c r="DW29" s="53">
        <f t="shared" si="36"/>
        <v>0</v>
      </c>
      <c r="DX29" s="52" t="s">
        <v>77</v>
      </c>
      <c r="DY29" s="53">
        <f t="shared" si="37"/>
        <v>0</v>
      </c>
      <c r="DZ29" s="52" t="s">
        <v>77</v>
      </c>
      <c r="EA29" s="53">
        <f t="shared" si="38"/>
        <v>0</v>
      </c>
      <c r="EB29" s="52" t="s">
        <v>77</v>
      </c>
      <c r="EC29" s="53">
        <f t="shared" si="39"/>
        <v>0</v>
      </c>
      <c r="ED29" s="52" t="s">
        <v>604</v>
      </c>
      <c r="EE29" s="54">
        <f t="shared" si="40"/>
        <v>3.1E-2</v>
      </c>
      <c r="EF29" s="50">
        <v>6</v>
      </c>
      <c r="EG29" s="55">
        <f t="shared" si="41"/>
        <v>0.24</v>
      </c>
      <c r="EH29" s="50" t="s">
        <v>81</v>
      </c>
      <c r="EI29" s="55">
        <f t="shared" si="42"/>
        <v>0.5</v>
      </c>
      <c r="EJ29" s="50" t="s">
        <v>77</v>
      </c>
      <c r="EK29" s="55">
        <f t="shared" si="43"/>
        <v>0</v>
      </c>
      <c r="EL29" s="50" t="s">
        <v>77</v>
      </c>
      <c r="EM29" s="55">
        <f t="shared" si="44"/>
        <v>0</v>
      </c>
      <c r="EN29" s="50" t="s">
        <v>77</v>
      </c>
      <c r="EO29" s="55">
        <f t="shared" si="45"/>
        <v>0</v>
      </c>
      <c r="EP29" s="50" t="s">
        <v>133</v>
      </c>
      <c r="EQ29" s="55">
        <f t="shared" si="45"/>
        <v>0</v>
      </c>
      <c r="ER29" s="50" t="s">
        <v>605</v>
      </c>
      <c r="ES29" s="56">
        <f t="shared" si="46"/>
        <v>1.0571428571428572</v>
      </c>
      <c r="ET29" s="57" t="s">
        <v>133</v>
      </c>
      <c r="EU29" s="58">
        <f t="shared" si="47"/>
        <v>0</v>
      </c>
      <c r="EV29" s="57" t="s">
        <v>414</v>
      </c>
      <c r="EW29" s="58">
        <f t="shared" si="48"/>
        <v>0</v>
      </c>
      <c r="EX29" s="57" t="s">
        <v>414</v>
      </c>
      <c r="EY29" s="58">
        <f t="shared" si="49"/>
        <v>0</v>
      </c>
      <c r="EZ29" s="57" t="s">
        <v>77</v>
      </c>
      <c r="FA29" s="58">
        <f t="shared" si="50"/>
        <v>0</v>
      </c>
      <c r="FB29" s="57" t="s">
        <v>77</v>
      </c>
      <c r="FC29" s="58">
        <f t="shared" si="56"/>
        <v>0</v>
      </c>
      <c r="FD29" s="57" t="s">
        <v>421</v>
      </c>
      <c r="FE29" s="58">
        <f t="shared" si="56"/>
        <v>0</v>
      </c>
      <c r="FF29" s="57" t="s">
        <v>421</v>
      </c>
      <c r="FG29" s="58">
        <f t="shared" si="52"/>
        <v>0</v>
      </c>
      <c r="FH29" s="57" t="s">
        <v>77</v>
      </c>
      <c r="FI29" s="58">
        <f t="shared" si="53"/>
        <v>0</v>
      </c>
      <c r="FJ29" s="57" t="s">
        <v>81</v>
      </c>
      <c r="FK29" s="58">
        <f t="shared" si="53"/>
        <v>0.5</v>
      </c>
      <c r="FL29" s="59" t="s">
        <v>606</v>
      </c>
      <c r="FM29" s="60">
        <f t="shared" si="54"/>
        <v>0.625</v>
      </c>
      <c r="FN29" s="61">
        <f t="shared" si="55"/>
        <v>7.6056428571428576</v>
      </c>
    </row>
    <row r="30" spans="1:170" ht="121">
      <c r="A30" s="31">
        <v>28</v>
      </c>
      <c r="B30" s="32" t="s">
        <v>145</v>
      </c>
      <c r="C30" s="33" t="str">
        <f>VLOOKUP(B30,[1]Sheet1!$A:$C,2,FALSE)</f>
        <v>HUGO BOSS Group</v>
      </c>
      <c r="D30" s="34" t="s">
        <v>412</v>
      </c>
      <c r="E30" s="35" t="str">
        <f>VLOOKUP(B30,[1]Sheet1!$A:$C,3,FALSE)</f>
        <v>Germany</v>
      </c>
      <c r="F30" s="34" t="s">
        <v>413</v>
      </c>
      <c r="G30" s="77" t="s">
        <v>147</v>
      </c>
      <c r="H30" s="36" t="s">
        <v>81</v>
      </c>
      <c r="I30" s="36" t="s">
        <v>421</v>
      </c>
      <c r="J30" s="36" t="s">
        <v>421</v>
      </c>
      <c r="K30" s="36" t="s">
        <v>446</v>
      </c>
      <c r="L30" s="36" t="s">
        <v>133</v>
      </c>
      <c r="M30" s="37">
        <f t="shared" si="4"/>
        <v>0</v>
      </c>
      <c r="N30" s="36">
        <v>1.5089999999999999</v>
      </c>
      <c r="O30" s="38">
        <f t="shared" si="5"/>
        <v>1.24</v>
      </c>
      <c r="P30" s="36" t="s">
        <v>607</v>
      </c>
      <c r="Q30" s="39">
        <v>0.5</v>
      </c>
      <c r="R30" s="36" t="s">
        <v>77</v>
      </c>
      <c r="S30" s="37">
        <f t="shared" si="6"/>
        <v>0</v>
      </c>
      <c r="T30" s="36" t="s">
        <v>77</v>
      </c>
      <c r="U30" s="37">
        <f t="shared" si="7"/>
        <v>0.5</v>
      </c>
      <c r="V30" s="36" t="s">
        <v>81</v>
      </c>
      <c r="W30" s="36" t="s">
        <v>81</v>
      </c>
      <c r="X30" s="37">
        <f t="shared" si="8"/>
        <v>0.25</v>
      </c>
      <c r="Y30" s="36" t="s">
        <v>608</v>
      </c>
      <c r="Z30" s="40" t="s">
        <v>609</v>
      </c>
      <c r="AA30" s="41">
        <f t="shared" si="9"/>
        <v>2.4900000000000002</v>
      </c>
      <c r="AB30" s="36">
        <v>1</v>
      </c>
      <c r="AC30" s="42">
        <f t="shared" si="0"/>
        <v>0.1855</v>
      </c>
      <c r="AD30" s="36" t="s">
        <v>81</v>
      </c>
      <c r="AE30" s="42">
        <f t="shared" si="10"/>
        <v>0</v>
      </c>
      <c r="AF30" s="36" t="s">
        <v>81</v>
      </c>
      <c r="AG30" s="36">
        <v>3</v>
      </c>
      <c r="AH30" s="42">
        <f t="shared" si="11"/>
        <v>0.52400000000000002</v>
      </c>
      <c r="AI30" s="36" t="s">
        <v>81</v>
      </c>
      <c r="AJ30" s="42">
        <f t="shared" si="1"/>
        <v>0.25</v>
      </c>
      <c r="AK30" s="36" t="s">
        <v>81</v>
      </c>
      <c r="AL30" s="36" t="s">
        <v>77</v>
      </c>
      <c r="AM30" s="36" t="s">
        <v>81</v>
      </c>
      <c r="AN30" s="36" t="s">
        <v>77</v>
      </c>
      <c r="AO30" s="36" t="s">
        <v>77</v>
      </c>
      <c r="AP30" s="42">
        <f t="shared" si="12"/>
        <v>0.25</v>
      </c>
      <c r="AQ30" s="36" t="s">
        <v>81</v>
      </c>
      <c r="AR30" s="36" t="s">
        <v>81</v>
      </c>
      <c r="AS30" s="42">
        <f t="shared" si="13"/>
        <v>0.25</v>
      </c>
      <c r="AT30" s="36" t="s">
        <v>77</v>
      </c>
      <c r="AU30" s="36" t="s">
        <v>77</v>
      </c>
      <c r="AV30" s="42">
        <f t="shared" si="14"/>
        <v>0.25</v>
      </c>
      <c r="AW30" s="36" t="s">
        <v>77</v>
      </c>
      <c r="AX30" s="36" t="s">
        <v>81</v>
      </c>
      <c r="AY30" s="42">
        <f t="shared" si="15"/>
        <v>0.25</v>
      </c>
      <c r="AZ30" s="36" t="s">
        <v>610</v>
      </c>
      <c r="BA30" s="36" t="s">
        <v>81</v>
      </c>
      <c r="BB30" s="42">
        <f t="shared" si="57"/>
        <v>0.25</v>
      </c>
      <c r="BC30" s="36" t="s">
        <v>77</v>
      </c>
      <c r="BD30" s="42">
        <f t="shared" si="16"/>
        <v>0</v>
      </c>
      <c r="BE30" s="36" t="s">
        <v>77</v>
      </c>
      <c r="BF30" s="42">
        <f t="shared" si="17"/>
        <v>0</v>
      </c>
      <c r="BG30" s="36" t="s">
        <v>81</v>
      </c>
      <c r="BH30" s="36" t="s">
        <v>81</v>
      </c>
      <c r="BI30" s="42">
        <f t="shared" si="18"/>
        <v>0.5</v>
      </c>
      <c r="BJ30" s="36" t="s">
        <v>77</v>
      </c>
      <c r="BK30" s="36" t="s">
        <v>81</v>
      </c>
      <c r="BL30" s="36" t="s">
        <v>77</v>
      </c>
      <c r="BM30" s="36" t="s">
        <v>77</v>
      </c>
      <c r="BN30" s="36" t="s">
        <v>77</v>
      </c>
      <c r="BO30" s="36" t="s">
        <v>81</v>
      </c>
      <c r="BP30" s="42">
        <f t="shared" si="19"/>
        <v>0.5</v>
      </c>
      <c r="BQ30" s="36" t="s">
        <v>81</v>
      </c>
      <c r="BR30" s="36" t="s">
        <v>81</v>
      </c>
      <c r="BS30" s="36" t="s">
        <v>77</v>
      </c>
      <c r="BT30" s="36" t="s">
        <v>77</v>
      </c>
      <c r="BU30" s="36" t="s">
        <v>77</v>
      </c>
      <c r="BV30" s="36" t="s">
        <v>77</v>
      </c>
      <c r="BW30" s="43" t="s">
        <v>611</v>
      </c>
      <c r="BX30" s="44">
        <f t="shared" si="20"/>
        <v>3.2095000000000002</v>
      </c>
      <c r="BY30" s="45" t="s">
        <v>81</v>
      </c>
      <c r="BZ30" s="46">
        <f t="shared" si="21"/>
        <v>0.5</v>
      </c>
      <c r="CA30" s="45" t="s">
        <v>77</v>
      </c>
      <c r="CB30" s="46">
        <f t="shared" si="22"/>
        <v>0</v>
      </c>
      <c r="CC30" s="36" t="s">
        <v>421</v>
      </c>
      <c r="CD30" s="46">
        <f t="shared" si="23"/>
        <v>0</v>
      </c>
      <c r="CE30" s="36" t="s">
        <v>421</v>
      </c>
      <c r="CF30" s="45" t="s">
        <v>81</v>
      </c>
      <c r="CG30" s="47">
        <v>0.5</v>
      </c>
      <c r="CH30" s="45" t="s">
        <v>133</v>
      </c>
      <c r="CI30" s="48">
        <f t="shared" si="24"/>
        <v>0</v>
      </c>
      <c r="CJ30" s="49" t="s">
        <v>81</v>
      </c>
      <c r="CK30" s="49" t="s">
        <v>81</v>
      </c>
      <c r="CL30" s="75" t="s">
        <v>612</v>
      </c>
      <c r="CM30" s="49" t="s">
        <v>81</v>
      </c>
      <c r="CN30" s="46">
        <f t="shared" si="25"/>
        <v>0.5</v>
      </c>
      <c r="CO30" s="49" t="s">
        <v>81</v>
      </c>
      <c r="CP30" s="48">
        <f t="shared" si="26"/>
        <v>0.75</v>
      </c>
      <c r="CQ30" s="49" t="s">
        <v>77</v>
      </c>
      <c r="CR30" s="48">
        <f t="shared" si="27"/>
        <v>0</v>
      </c>
      <c r="CS30" s="49" t="s">
        <v>81</v>
      </c>
      <c r="CT30" s="48">
        <f t="shared" si="28"/>
        <v>0.5</v>
      </c>
      <c r="CU30" s="49" t="s">
        <v>81</v>
      </c>
      <c r="CV30" s="48">
        <f t="shared" si="29"/>
        <v>0.25</v>
      </c>
      <c r="CW30" s="50" t="s">
        <v>613</v>
      </c>
      <c r="CX30" s="51">
        <f t="shared" si="30"/>
        <v>3</v>
      </c>
      <c r="CY30" s="52" t="s">
        <v>81</v>
      </c>
      <c r="CZ30" s="53">
        <f t="shared" si="31"/>
        <v>0.5</v>
      </c>
      <c r="DA30" s="52">
        <v>3</v>
      </c>
      <c r="DB30" s="53">
        <f t="shared" si="32"/>
        <v>0.39600000000000002</v>
      </c>
      <c r="DC30" s="52" t="s">
        <v>77</v>
      </c>
      <c r="DD30" s="53">
        <f t="shared" si="33"/>
        <v>0</v>
      </c>
      <c r="DE30" s="52" t="s">
        <v>81</v>
      </c>
      <c r="DF30" s="53">
        <f t="shared" si="34"/>
        <v>0.5</v>
      </c>
      <c r="DG30" s="50" t="s">
        <v>77</v>
      </c>
      <c r="DH30" s="50" t="s">
        <v>77</v>
      </c>
      <c r="DI30" s="50" t="s">
        <v>77</v>
      </c>
      <c r="DJ30" s="50" t="s">
        <v>81</v>
      </c>
      <c r="DK30" s="50" t="s">
        <v>77</v>
      </c>
      <c r="DL30" s="50" t="s">
        <v>81</v>
      </c>
      <c r="DM30" s="50" t="s">
        <v>81</v>
      </c>
      <c r="DN30" s="50" t="s">
        <v>77</v>
      </c>
      <c r="DO30" s="50" t="s">
        <v>81</v>
      </c>
      <c r="DP30" s="52" t="s">
        <v>81</v>
      </c>
      <c r="DQ30" s="50" t="s">
        <v>77</v>
      </c>
      <c r="DR30" s="52" t="s">
        <v>77</v>
      </c>
      <c r="DS30" s="53">
        <f t="shared" si="3"/>
        <v>0.25</v>
      </c>
      <c r="DT30" s="52" t="s">
        <v>81</v>
      </c>
      <c r="DU30" s="53">
        <f t="shared" si="35"/>
        <v>0.5</v>
      </c>
      <c r="DV30" s="52" t="s">
        <v>81</v>
      </c>
      <c r="DW30" s="53">
        <f t="shared" si="36"/>
        <v>0.5</v>
      </c>
      <c r="DX30" s="52" t="s">
        <v>81</v>
      </c>
      <c r="DY30" s="53">
        <f t="shared" si="37"/>
        <v>0.5</v>
      </c>
      <c r="DZ30" s="52" t="s">
        <v>81</v>
      </c>
      <c r="EA30" s="53">
        <f t="shared" si="38"/>
        <v>0.5</v>
      </c>
      <c r="EB30" s="52" t="s">
        <v>81</v>
      </c>
      <c r="EC30" s="53">
        <f t="shared" si="39"/>
        <v>0.25</v>
      </c>
      <c r="ED30" s="52" t="s">
        <v>614</v>
      </c>
      <c r="EE30" s="54">
        <f t="shared" si="40"/>
        <v>3.8959999999999999</v>
      </c>
      <c r="EF30" s="50">
        <v>5</v>
      </c>
      <c r="EG30" s="55">
        <f t="shared" si="41"/>
        <v>0.58000000000000007</v>
      </c>
      <c r="EH30" s="50" t="s">
        <v>81</v>
      </c>
      <c r="EI30" s="55">
        <f t="shared" si="42"/>
        <v>0.5</v>
      </c>
      <c r="EJ30" s="50" t="s">
        <v>81</v>
      </c>
      <c r="EK30" s="55">
        <f t="shared" si="43"/>
        <v>0.5</v>
      </c>
      <c r="EL30" s="50" t="s">
        <v>77</v>
      </c>
      <c r="EM30" s="55">
        <f t="shared" si="44"/>
        <v>0</v>
      </c>
      <c r="EN30" s="50" t="s">
        <v>81</v>
      </c>
      <c r="EO30" s="55">
        <f t="shared" si="45"/>
        <v>0.5</v>
      </c>
      <c r="EP30" s="50" t="s">
        <v>133</v>
      </c>
      <c r="EQ30" s="55">
        <f t="shared" si="45"/>
        <v>0</v>
      </c>
      <c r="ER30" s="50" t="s">
        <v>615</v>
      </c>
      <c r="ES30" s="56">
        <f t="shared" si="46"/>
        <v>2.9714285714285715</v>
      </c>
      <c r="ET30" s="57" t="s">
        <v>133</v>
      </c>
      <c r="EU30" s="58">
        <f t="shared" si="47"/>
        <v>0</v>
      </c>
      <c r="EV30" s="57" t="s">
        <v>414</v>
      </c>
      <c r="EW30" s="58">
        <f t="shared" si="48"/>
        <v>0</v>
      </c>
      <c r="EX30" s="57" t="s">
        <v>414</v>
      </c>
      <c r="EY30" s="58">
        <f t="shared" si="49"/>
        <v>0</v>
      </c>
      <c r="EZ30" s="57" t="s">
        <v>77</v>
      </c>
      <c r="FA30" s="58">
        <f t="shared" si="50"/>
        <v>0</v>
      </c>
      <c r="FB30" s="57" t="s">
        <v>81</v>
      </c>
      <c r="FC30" s="58">
        <f t="shared" si="56"/>
        <v>0.5</v>
      </c>
      <c r="FD30" s="57" t="s">
        <v>81</v>
      </c>
      <c r="FE30" s="58">
        <f t="shared" si="56"/>
        <v>0.5</v>
      </c>
      <c r="FF30" s="57" t="s">
        <v>81</v>
      </c>
      <c r="FG30" s="58">
        <f t="shared" si="52"/>
        <v>0.25</v>
      </c>
      <c r="FH30" s="57" t="s">
        <v>77</v>
      </c>
      <c r="FI30" s="58">
        <f t="shared" si="53"/>
        <v>0</v>
      </c>
      <c r="FJ30" s="57" t="s">
        <v>81</v>
      </c>
      <c r="FK30" s="58">
        <f t="shared" si="53"/>
        <v>0.5</v>
      </c>
      <c r="FL30" s="59" t="s">
        <v>616</v>
      </c>
      <c r="FM30" s="60">
        <f t="shared" si="54"/>
        <v>2.1875</v>
      </c>
      <c r="FN30" s="61">
        <f t="shared" si="55"/>
        <v>17.754428571428573</v>
      </c>
    </row>
    <row r="31" spans="1:170" ht="97">
      <c r="A31" s="31">
        <v>29</v>
      </c>
      <c r="B31" s="32" t="s">
        <v>148</v>
      </c>
      <c r="C31" s="33" t="str">
        <f>VLOOKUP(B31,[1]Sheet1!$A:$C,2,FALSE)</f>
        <v>Labelux Group Inc</v>
      </c>
      <c r="D31" s="34" t="s">
        <v>412</v>
      </c>
      <c r="E31" s="35" t="str">
        <f>VLOOKUP(B31,[1]Sheet1!$A:$C,3,FALSE)</f>
        <v>United Kingdom</v>
      </c>
      <c r="F31" s="34" t="s">
        <v>413</v>
      </c>
      <c r="G31" s="32" t="s">
        <v>149</v>
      </c>
      <c r="H31" s="36" t="s">
        <v>81</v>
      </c>
      <c r="I31" s="36" t="s">
        <v>421</v>
      </c>
      <c r="J31" s="36" t="s">
        <v>617</v>
      </c>
      <c r="K31" s="36" t="s">
        <v>618</v>
      </c>
      <c r="L31" s="36" t="s">
        <v>133</v>
      </c>
      <c r="M31" s="37">
        <f t="shared" si="4"/>
        <v>0</v>
      </c>
      <c r="N31" s="36">
        <v>3.1539999999999999</v>
      </c>
      <c r="O31" s="38">
        <f t="shared" si="5"/>
        <v>0.12799999999999989</v>
      </c>
      <c r="P31" s="36" t="s">
        <v>416</v>
      </c>
      <c r="Q31" s="39">
        <v>0.5</v>
      </c>
      <c r="R31" s="36" t="s">
        <v>77</v>
      </c>
      <c r="S31" s="37">
        <f t="shared" si="6"/>
        <v>0</v>
      </c>
      <c r="T31" s="36" t="s">
        <v>77</v>
      </c>
      <c r="U31" s="37">
        <f t="shared" si="7"/>
        <v>0.5</v>
      </c>
      <c r="V31" s="36" t="s">
        <v>77</v>
      </c>
      <c r="W31" s="36" t="s">
        <v>421</v>
      </c>
      <c r="X31" s="37">
        <f t="shared" si="8"/>
        <v>0</v>
      </c>
      <c r="Y31" s="36" t="s">
        <v>421</v>
      </c>
      <c r="Z31" s="40" t="s">
        <v>619</v>
      </c>
      <c r="AA31" s="41">
        <f t="shared" si="9"/>
        <v>1.1279999999999999</v>
      </c>
      <c r="AB31" s="36">
        <v>0</v>
      </c>
      <c r="AC31" s="42">
        <f t="shared" si="0"/>
        <v>0.5</v>
      </c>
      <c r="AD31" s="36" t="s">
        <v>77</v>
      </c>
      <c r="AE31" s="42">
        <f t="shared" si="10"/>
        <v>0.25</v>
      </c>
      <c r="AF31" s="36" t="s">
        <v>421</v>
      </c>
      <c r="AG31" s="36">
        <v>3</v>
      </c>
      <c r="AH31" s="42">
        <f t="shared" si="11"/>
        <v>0.52400000000000002</v>
      </c>
      <c r="AI31" s="36" t="s">
        <v>81</v>
      </c>
      <c r="AJ31" s="42">
        <f t="shared" si="1"/>
        <v>0.25</v>
      </c>
      <c r="AK31" s="36" t="s">
        <v>81</v>
      </c>
      <c r="AL31" s="36" t="s">
        <v>77</v>
      </c>
      <c r="AM31" s="36" t="s">
        <v>77</v>
      </c>
      <c r="AN31" s="36" t="s">
        <v>77</v>
      </c>
      <c r="AO31" s="36" t="s">
        <v>77</v>
      </c>
      <c r="AP31" s="42">
        <f t="shared" si="12"/>
        <v>0.25</v>
      </c>
      <c r="AQ31" s="36" t="s">
        <v>77</v>
      </c>
      <c r="AR31" s="36" t="s">
        <v>421</v>
      </c>
      <c r="AS31" s="42">
        <f t="shared" si="13"/>
        <v>0</v>
      </c>
      <c r="AT31" s="36" t="s">
        <v>421</v>
      </c>
      <c r="AU31" s="36" t="s">
        <v>421</v>
      </c>
      <c r="AV31" s="42">
        <f t="shared" si="14"/>
        <v>0</v>
      </c>
      <c r="AW31" s="36" t="s">
        <v>421</v>
      </c>
      <c r="AX31" s="36" t="s">
        <v>81</v>
      </c>
      <c r="AY31" s="42">
        <f t="shared" si="15"/>
        <v>0.25</v>
      </c>
      <c r="AZ31" s="36" t="s">
        <v>620</v>
      </c>
      <c r="BA31" s="36" t="s">
        <v>81</v>
      </c>
      <c r="BB31" s="42">
        <f t="shared" si="57"/>
        <v>0.25</v>
      </c>
      <c r="BC31" s="36" t="s">
        <v>81</v>
      </c>
      <c r="BD31" s="42">
        <f t="shared" si="16"/>
        <v>0.5</v>
      </c>
      <c r="BE31" s="36" t="s">
        <v>77</v>
      </c>
      <c r="BF31" s="42">
        <f t="shared" si="17"/>
        <v>0</v>
      </c>
      <c r="BG31" s="36" t="s">
        <v>81</v>
      </c>
      <c r="BH31" s="36" t="s">
        <v>81</v>
      </c>
      <c r="BI31" s="42">
        <f t="shared" si="18"/>
        <v>0.5</v>
      </c>
      <c r="BJ31" s="36" t="s">
        <v>77</v>
      </c>
      <c r="BK31" s="36" t="s">
        <v>77</v>
      </c>
      <c r="BL31" s="36" t="s">
        <v>77</v>
      </c>
      <c r="BM31" s="36" t="s">
        <v>77</v>
      </c>
      <c r="BN31" s="36" t="s">
        <v>77</v>
      </c>
      <c r="BO31" s="36" t="s">
        <v>77</v>
      </c>
      <c r="BP31" s="42">
        <f t="shared" si="19"/>
        <v>0</v>
      </c>
      <c r="BQ31" s="36" t="s">
        <v>421</v>
      </c>
      <c r="BR31" s="36" t="s">
        <v>421</v>
      </c>
      <c r="BS31" s="36" t="s">
        <v>421</v>
      </c>
      <c r="BT31" s="36" t="s">
        <v>421</v>
      </c>
      <c r="BU31" s="36" t="s">
        <v>421</v>
      </c>
      <c r="BV31" s="36" t="s">
        <v>421</v>
      </c>
      <c r="BW31" s="43" t="s">
        <v>528</v>
      </c>
      <c r="BX31" s="44">
        <f t="shared" si="20"/>
        <v>3.274</v>
      </c>
      <c r="BY31" s="45" t="s">
        <v>81</v>
      </c>
      <c r="BZ31" s="46">
        <f t="shared" si="21"/>
        <v>0.5</v>
      </c>
      <c r="CA31" s="45" t="s">
        <v>77</v>
      </c>
      <c r="CB31" s="46">
        <f t="shared" si="22"/>
        <v>0</v>
      </c>
      <c r="CC31" s="36" t="s">
        <v>421</v>
      </c>
      <c r="CD31" s="46">
        <f t="shared" si="23"/>
        <v>0</v>
      </c>
      <c r="CE31" s="45" t="s">
        <v>421</v>
      </c>
      <c r="CF31" s="45" t="s">
        <v>81</v>
      </c>
      <c r="CG31" s="47">
        <v>0.5</v>
      </c>
      <c r="CH31" s="45" t="s">
        <v>133</v>
      </c>
      <c r="CI31" s="48">
        <f t="shared" si="24"/>
        <v>0</v>
      </c>
      <c r="CJ31" s="49" t="s">
        <v>81</v>
      </c>
      <c r="CK31" s="49" t="s">
        <v>77</v>
      </c>
      <c r="CL31" s="50" t="s">
        <v>421</v>
      </c>
      <c r="CM31" s="49" t="s">
        <v>77</v>
      </c>
      <c r="CN31" s="46">
        <f t="shared" si="25"/>
        <v>0</v>
      </c>
      <c r="CO31" s="49" t="s">
        <v>77</v>
      </c>
      <c r="CP31" s="48">
        <f t="shared" si="26"/>
        <v>0</v>
      </c>
      <c r="CQ31" s="49" t="s">
        <v>421</v>
      </c>
      <c r="CR31" s="48">
        <f t="shared" si="27"/>
        <v>0</v>
      </c>
      <c r="CS31" s="49" t="s">
        <v>77</v>
      </c>
      <c r="CT31" s="48">
        <f t="shared" si="28"/>
        <v>0</v>
      </c>
      <c r="CU31" s="49" t="s">
        <v>77</v>
      </c>
      <c r="CV31" s="48">
        <f t="shared" si="29"/>
        <v>0</v>
      </c>
      <c r="CW31" s="50" t="s">
        <v>621</v>
      </c>
      <c r="CX31" s="51">
        <f t="shared" si="30"/>
        <v>1</v>
      </c>
      <c r="CY31" s="52" t="s">
        <v>81</v>
      </c>
      <c r="CZ31" s="53">
        <f t="shared" si="31"/>
        <v>0.5</v>
      </c>
      <c r="DA31" s="52">
        <v>8</v>
      </c>
      <c r="DB31" s="53">
        <f t="shared" si="32"/>
        <v>1</v>
      </c>
      <c r="DC31" s="52" t="s">
        <v>77</v>
      </c>
      <c r="DD31" s="53">
        <f t="shared" si="33"/>
        <v>0</v>
      </c>
      <c r="DE31" s="52" t="s">
        <v>81</v>
      </c>
      <c r="DF31" s="53">
        <f t="shared" si="34"/>
        <v>0.5</v>
      </c>
      <c r="DG31" s="50" t="s">
        <v>77</v>
      </c>
      <c r="DH31" s="50" t="s">
        <v>77</v>
      </c>
      <c r="DI31" s="50" t="s">
        <v>77</v>
      </c>
      <c r="DJ31" s="50" t="s">
        <v>77</v>
      </c>
      <c r="DK31" s="50" t="s">
        <v>77</v>
      </c>
      <c r="DL31" s="50" t="s">
        <v>77</v>
      </c>
      <c r="DM31" s="50" t="s">
        <v>81</v>
      </c>
      <c r="DN31" s="50" t="s">
        <v>77</v>
      </c>
      <c r="DO31" s="50" t="s">
        <v>77</v>
      </c>
      <c r="DP31" s="52" t="s">
        <v>77</v>
      </c>
      <c r="DQ31" s="50" t="s">
        <v>77</v>
      </c>
      <c r="DR31" s="52" t="s">
        <v>77</v>
      </c>
      <c r="DS31" s="53">
        <f t="shared" si="3"/>
        <v>0</v>
      </c>
      <c r="DT31" s="52" t="s">
        <v>77</v>
      </c>
      <c r="DU31" s="53">
        <f t="shared" si="35"/>
        <v>0</v>
      </c>
      <c r="DV31" s="52" t="s">
        <v>77</v>
      </c>
      <c r="DW31" s="53">
        <f t="shared" si="36"/>
        <v>0</v>
      </c>
      <c r="DX31" s="52" t="s">
        <v>81</v>
      </c>
      <c r="DY31" s="53">
        <f t="shared" si="37"/>
        <v>0.5</v>
      </c>
      <c r="DZ31" s="52" t="s">
        <v>77</v>
      </c>
      <c r="EA31" s="53">
        <f t="shared" si="38"/>
        <v>0</v>
      </c>
      <c r="EB31" s="52" t="s">
        <v>81</v>
      </c>
      <c r="EC31" s="53">
        <f t="shared" si="39"/>
        <v>0.25</v>
      </c>
      <c r="ED31" s="52" t="s">
        <v>622</v>
      </c>
      <c r="EE31" s="54">
        <f t="shared" si="40"/>
        <v>2.75</v>
      </c>
      <c r="EF31" s="50">
        <v>2</v>
      </c>
      <c r="EG31" s="55">
        <f t="shared" si="41"/>
        <v>1</v>
      </c>
      <c r="EH31" s="50" t="s">
        <v>81</v>
      </c>
      <c r="EI31" s="55">
        <f t="shared" si="42"/>
        <v>0.5</v>
      </c>
      <c r="EJ31" s="50" t="s">
        <v>77</v>
      </c>
      <c r="EK31" s="55">
        <f t="shared" si="43"/>
        <v>0</v>
      </c>
      <c r="EL31" s="50" t="s">
        <v>77</v>
      </c>
      <c r="EM31" s="55">
        <f t="shared" si="44"/>
        <v>0</v>
      </c>
      <c r="EN31" s="50" t="s">
        <v>81</v>
      </c>
      <c r="EO31" s="55">
        <f t="shared" si="45"/>
        <v>0.5</v>
      </c>
      <c r="EP31" s="50" t="s">
        <v>133</v>
      </c>
      <c r="EQ31" s="55">
        <f t="shared" si="45"/>
        <v>0</v>
      </c>
      <c r="ER31" s="50" t="s">
        <v>623</v>
      </c>
      <c r="ES31" s="56">
        <f t="shared" si="46"/>
        <v>2.8571428571428572</v>
      </c>
      <c r="ET31" s="57" t="s">
        <v>133</v>
      </c>
      <c r="EU31" s="58">
        <f t="shared" si="47"/>
        <v>0</v>
      </c>
      <c r="EV31" s="57" t="s">
        <v>414</v>
      </c>
      <c r="EW31" s="58">
        <f t="shared" si="48"/>
        <v>0</v>
      </c>
      <c r="EX31" s="57" t="s">
        <v>414</v>
      </c>
      <c r="EY31" s="58">
        <f t="shared" si="49"/>
        <v>0</v>
      </c>
      <c r="EZ31" s="57" t="s">
        <v>81</v>
      </c>
      <c r="FA31" s="58">
        <f t="shared" si="50"/>
        <v>0.5</v>
      </c>
      <c r="FB31" s="57" t="s">
        <v>77</v>
      </c>
      <c r="FC31" s="58">
        <f t="shared" si="56"/>
        <v>0</v>
      </c>
      <c r="FD31" s="57" t="s">
        <v>421</v>
      </c>
      <c r="FE31" s="58">
        <f t="shared" si="56"/>
        <v>0</v>
      </c>
      <c r="FF31" s="57" t="s">
        <v>421</v>
      </c>
      <c r="FG31" s="58">
        <f t="shared" si="52"/>
        <v>0</v>
      </c>
      <c r="FH31" s="57" t="s">
        <v>77</v>
      </c>
      <c r="FI31" s="58">
        <f t="shared" si="53"/>
        <v>0</v>
      </c>
      <c r="FJ31" s="57" t="s">
        <v>81</v>
      </c>
      <c r="FK31" s="58">
        <f t="shared" si="53"/>
        <v>0.5</v>
      </c>
      <c r="FL31" s="59" t="s">
        <v>624</v>
      </c>
      <c r="FM31" s="60">
        <f t="shared" si="54"/>
        <v>1.25</v>
      </c>
      <c r="FN31" s="61">
        <f t="shared" si="55"/>
        <v>12.259142857142859</v>
      </c>
    </row>
    <row r="32" spans="1:170" ht="92">
      <c r="A32" s="31">
        <v>30</v>
      </c>
      <c r="B32" s="32" t="s">
        <v>150</v>
      </c>
      <c r="C32" s="33" t="str">
        <f>VLOOKUP(B32,[1]Sheet1!$A:$C,2,FALSE)</f>
        <v>John Varvatos</v>
      </c>
      <c r="D32" s="34" t="s">
        <v>412</v>
      </c>
      <c r="E32" s="35" t="str">
        <f>VLOOKUP(B32,[1]Sheet1!$A:$C,3,FALSE)</f>
        <v>United States</v>
      </c>
      <c r="F32" s="34" t="s">
        <v>413</v>
      </c>
      <c r="G32" s="32" t="s">
        <v>152</v>
      </c>
      <c r="H32" s="36" t="s">
        <v>81</v>
      </c>
      <c r="I32" s="36" t="s">
        <v>421</v>
      </c>
      <c r="J32" s="36" t="s">
        <v>421</v>
      </c>
      <c r="K32" s="36" t="s">
        <v>446</v>
      </c>
      <c r="L32" s="36" t="s">
        <v>133</v>
      </c>
      <c r="M32" s="37">
        <f t="shared" si="4"/>
        <v>0</v>
      </c>
      <c r="N32" s="36">
        <v>3.01</v>
      </c>
      <c r="O32" s="38">
        <f t="shared" si="5"/>
        <v>0.19199999999999995</v>
      </c>
      <c r="P32" s="36" t="s">
        <v>479</v>
      </c>
      <c r="Q32" s="39">
        <v>1</v>
      </c>
      <c r="R32" s="36" t="s">
        <v>77</v>
      </c>
      <c r="S32" s="37">
        <f t="shared" si="6"/>
        <v>0</v>
      </c>
      <c r="T32" s="36" t="s">
        <v>133</v>
      </c>
      <c r="U32" s="37">
        <f t="shared" si="7"/>
        <v>0.5</v>
      </c>
      <c r="V32" s="36" t="s">
        <v>81</v>
      </c>
      <c r="W32" s="36" t="s">
        <v>77</v>
      </c>
      <c r="X32" s="37">
        <f t="shared" si="8"/>
        <v>0</v>
      </c>
      <c r="Y32" s="36" t="s">
        <v>421</v>
      </c>
      <c r="Z32" s="40" t="s">
        <v>625</v>
      </c>
      <c r="AA32" s="41">
        <f t="shared" si="9"/>
        <v>1.6919999999999999</v>
      </c>
      <c r="AB32" s="36">
        <v>0</v>
      </c>
      <c r="AC32" s="42">
        <f t="shared" si="0"/>
        <v>0.5</v>
      </c>
      <c r="AD32" s="36" t="s">
        <v>77</v>
      </c>
      <c r="AE32" s="42">
        <f t="shared" si="10"/>
        <v>0.25</v>
      </c>
      <c r="AF32" s="36" t="s">
        <v>421</v>
      </c>
      <c r="AG32" s="36">
        <v>2</v>
      </c>
      <c r="AH32" s="42">
        <f t="shared" si="11"/>
        <v>1</v>
      </c>
      <c r="AI32" s="36" t="s">
        <v>81</v>
      </c>
      <c r="AJ32" s="42">
        <f t="shared" si="1"/>
        <v>0.25</v>
      </c>
      <c r="AK32" s="36" t="s">
        <v>81</v>
      </c>
      <c r="AL32" s="36" t="s">
        <v>77</v>
      </c>
      <c r="AM32" s="36" t="s">
        <v>81</v>
      </c>
      <c r="AN32" s="36" t="s">
        <v>77</v>
      </c>
      <c r="AO32" s="36" t="s">
        <v>77</v>
      </c>
      <c r="AP32" s="42">
        <f t="shared" si="12"/>
        <v>0.25</v>
      </c>
      <c r="AQ32" s="36" t="s">
        <v>81</v>
      </c>
      <c r="AR32" s="36" t="s">
        <v>81</v>
      </c>
      <c r="AS32" s="42">
        <f t="shared" si="13"/>
        <v>0.25</v>
      </c>
      <c r="AT32" s="36" t="s">
        <v>77</v>
      </c>
      <c r="AU32" s="36" t="s">
        <v>77</v>
      </c>
      <c r="AV32" s="42">
        <f t="shared" si="14"/>
        <v>0.25</v>
      </c>
      <c r="AW32" s="36" t="s">
        <v>77</v>
      </c>
      <c r="AX32" s="36" t="s">
        <v>81</v>
      </c>
      <c r="AY32" s="42">
        <f t="shared" si="15"/>
        <v>0.25</v>
      </c>
      <c r="AZ32" s="36" t="s">
        <v>626</v>
      </c>
      <c r="BA32" s="36" t="s">
        <v>81</v>
      </c>
      <c r="BB32" s="42">
        <f t="shared" si="57"/>
        <v>0.25</v>
      </c>
      <c r="BC32" s="36" t="s">
        <v>77</v>
      </c>
      <c r="BD32" s="42">
        <f t="shared" si="16"/>
        <v>0</v>
      </c>
      <c r="BE32" s="36" t="s">
        <v>77</v>
      </c>
      <c r="BF32" s="42">
        <f t="shared" si="17"/>
        <v>0</v>
      </c>
      <c r="BG32" s="36" t="s">
        <v>81</v>
      </c>
      <c r="BH32" s="36" t="s">
        <v>81</v>
      </c>
      <c r="BI32" s="42">
        <f t="shared" si="18"/>
        <v>0.5</v>
      </c>
      <c r="BJ32" s="36" t="s">
        <v>81</v>
      </c>
      <c r="BK32" s="36" t="s">
        <v>81</v>
      </c>
      <c r="BL32" s="36" t="s">
        <v>77</v>
      </c>
      <c r="BM32" s="36" t="s">
        <v>77</v>
      </c>
      <c r="BN32" s="36" t="s">
        <v>77</v>
      </c>
      <c r="BO32" s="36" t="s">
        <v>81</v>
      </c>
      <c r="BP32" s="42">
        <f t="shared" si="19"/>
        <v>0.5</v>
      </c>
      <c r="BQ32" s="36" t="s">
        <v>81</v>
      </c>
      <c r="BR32" s="36" t="s">
        <v>77</v>
      </c>
      <c r="BS32" s="36" t="s">
        <v>77</v>
      </c>
      <c r="BT32" s="36" t="s">
        <v>77</v>
      </c>
      <c r="BU32" s="36" t="s">
        <v>77</v>
      </c>
      <c r="BV32" s="36" t="s">
        <v>81</v>
      </c>
      <c r="BW32" s="43" t="s">
        <v>627</v>
      </c>
      <c r="BX32" s="44">
        <f t="shared" si="20"/>
        <v>4.25</v>
      </c>
      <c r="BY32" s="45" t="s">
        <v>81</v>
      </c>
      <c r="BZ32" s="46">
        <f t="shared" si="21"/>
        <v>0.5</v>
      </c>
      <c r="CA32" s="45" t="s">
        <v>77</v>
      </c>
      <c r="CB32" s="46">
        <f t="shared" si="22"/>
        <v>0</v>
      </c>
      <c r="CC32" s="36" t="s">
        <v>421</v>
      </c>
      <c r="CD32" s="46">
        <f t="shared" si="23"/>
        <v>0</v>
      </c>
      <c r="CE32" s="36" t="s">
        <v>421</v>
      </c>
      <c r="CF32" s="45" t="s">
        <v>77</v>
      </c>
      <c r="CG32" s="47">
        <v>0</v>
      </c>
      <c r="CH32" s="45" t="s">
        <v>133</v>
      </c>
      <c r="CI32" s="48">
        <f t="shared" si="24"/>
        <v>0</v>
      </c>
      <c r="CJ32" s="49" t="s">
        <v>81</v>
      </c>
      <c r="CK32" s="49" t="s">
        <v>77</v>
      </c>
      <c r="CL32" s="75" t="s">
        <v>421</v>
      </c>
      <c r="CM32" s="49" t="s">
        <v>77</v>
      </c>
      <c r="CN32" s="46">
        <f t="shared" si="25"/>
        <v>0</v>
      </c>
      <c r="CO32" s="49" t="s">
        <v>81</v>
      </c>
      <c r="CP32" s="48">
        <f t="shared" si="26"/>
        <v>0.75</v>
      </c>
      <c r="CQ32" s="49" t="s">
        <v>77</v>
      </c>
      <c r="CR32" s="48">
        <f t="shared" si="27"/>
        <v>0</v>
      </c>
      <c r="CS32" s="49" t="s">
        <v>81</v>
      </c>
      <c r="CT32" s="48">
        <f t="shared" si="28"/>
        <v>0.5</v>
      </c>
      <c r="CU32" s="49" t="s">
        <v>77</v>
      </c>
      <c r="CV32" s="48">
        <f t="shared" si="29"/>
        <v>0</v>
      </c>
      <c r="CW32" s="50" t="s">
        <v>628</v>
      </c>
      <c r="CX32" s="51">
        <f t="shared" si="30"/>
        <v>1.75</v>
      </c>
      <c r="CY32" s="52" t="s">
        <v>81</v>
      </c>
      <c r="CZ32" s="53">
        <f t="shared" si="31"/>
        <v>0.5</v>
      </c>
      <c r="DA32" s="52">
        <v>3</v>
      </c>
      <c r="DB32" s="53">
        <f t="shared" si="32"/>
        <v>0.39600000000000002</v>
      </c>
      <c r="DC32" s="52" t="s">
        <v>77</v>
      </c>
      <c r="DD32" s="53">
        <f t="shared" si="33"/>
        <v>0</v>
      </c>
      <c r="DE32" s="52" t="s">
        <v>81</v>
      </c>
      <c r="DF32" s="53">
        <f t="shared" si="34"/>
        <v>0.5</v>
      </c>
      <c r="DG32" s="50" t="s">
        <v>77</v>
      </c>
      <c r="DH32" s="50" t="s">
        <v>81</v>
      </c>
      <c r="DI32" s="50" t="s">
        <v>81</v>
      </c>
      <c r="DJ32" s="50" t="s">
        <v>81</v>
      </c>
      <c r="DK32" s="50" t="s">
        <v>77</v>
      </c>
      <c r="DL32" s="50" t="s">
        <v>77</v>
      </c>
      <c r="DM32" s="50" t="s">
        <v>77</v>
      </c>
      <c r="DN32" s="50" t="s">
        <v>77</v>
      </c>
      <c r="DO32" s="50" t="s">
        <v>77</v>
      </c>
      <c r="DP32" s="52" t="s">
        <v>81</v>
      </c>
      <c r="DQ32" s="50" t="s">
        <v>77</v>
      </c>
      <c r="DR32" s="52" t="s">
        <v>77</v>
      </c>
      <c r="DS32" s="53">
        <f t="shared" si="3"/>
        <v>0.25</v>
      </c>
      <c r="DT32" s="52" t="s">
        <v>77</v>
      </c>
      <c r="DU32" s="53">
        <f t="shared" si="35"/>
        <v>0</v>
      </c>
      <c r="DV32" s="52" t="s">
        <v>77</v>
      </c>
      <c r="DW32" s="53">
        <f t="shared" si="36"/>
        <v>0</v>
      </c>
      <c r="DX32" s="52" t="s">
        <v>81</v>
      </c>
      <c r="DY32" s="53">
        <f t="shared" si="37"/>
        <v>0.5</v>
      </c>
      <c r="DZ32" s="52" t="s">
        <v>77</v>
      </c>
      <c r="EA32" s="53">
        <f t="shared" si="38"/>
        <v>0</v>
      </c>
      <c r="EB32" s="52" t="s">
        <v>81</v>
      </c>
      <c r="EC32" s="53">
        <f t="shared" si="39"/>
        <v>0.25</v>
      </c>
      <c r="ED32" s="52" t="s">
        <v>629</v>
      </c>
      <c r="EE32" s="54">
        <f t="shared" si="40"/>
        <v>2.3959999999999999</v>
      </c>
      <c r="EF32" s="50">
        <v>6</v>
      </c>
      <c r="EG32" s="55">
        <f t="shared" si="41"/>
        <v>0.24</v>
      </c>
      <c r="EH32" s="49" t="s">
        <v>81</v>
      </c>
      <c r="EI32" s="55">
        <f t="shared" si="42"/>
        <v>0.5</v>
      </c>
      <c r="EJ32" s="50" t="s">
        <v>81</v>
      </c>
      <c r="EK32" s="55">
        <f t="shared" si="43"/>
        <v>0.5</v>
      </c>
      <c r="EL32" s="50" t="s">
        <v>77</v>
      </c>
      <c r="EM32" s="55">
        <f t="shared" si="44"/>
        <v>0</v>
      </c>
      <c r="EN32" s="50" t="s">
        <v>81</v>
      </c>
      <c r="EO32" s="55">
        <f t="shared" si="45"/>
        <v>0.5</v>
      </c>
      <c r="EP32" s="50" t="s">
        <v>81</v>
      </c>
      <c r="EQ32" s="55">
        <f t="shared" si="45"/>
        <v>0.5</v>
      </c>
      <c r="ER32" s="50" t="s">
        <v>630</v>
      </c>
      <c r="ES32" s="56">
        <f t="shared" si="46"/>
        <v>3.2</v>
      </c>
      <c r="ET32" s="57" t="s">
        <v>133</v>
      </c>
      <c r="EU32" s="58">
        <f t="shared" si="47"/>
        <v>0</v>
      </c>
      <c r="EV32" s="57" t="s">
        <v>414</v>
      </c>
      <c r="EW32" s="58">
        <f t="shared" si="48"/>
        <v>0</v>
      </c>
      <c r="EX32" s="57" t="s">
        <v>414</v>
      </c>
      <c r="EY32" s="58">
        <f t="shared" si="49"/>
        <v>0</v>
      </c>
      <c r="EZ32" s="57" t="s">
        <v>77</v>
      </c>
      <c r="FA32" s="58">
        <f t="shared" si="50"/>
        <v>0</v>
      </c>
      <c r="FB32" s="57" t="s">
        <v>81</v>
      </c>
      <c r="FC32" s="58">
        <f t="shared" si="56"/>
        <v>0.5</v>
      </c>
      <c r="FD32" s="57" t="s">
        <v>81</v>
      </c>
      <c r="FE32" s="58">
        <f t="shared" si="56"/>
        <v>0.5</v>
      </c>
      <c r="FF32" s="57" t="s">
        <v>77</v>
      </c>
      <c r="FG32" s="58">
        <f t="shared" si="52"/>
        <v>0</v>
      </c>
      <c r="FH32" s="57" t="s">
        <v>77</v>
      </c>
      <c r="FI32" s="58">
        <f t="shared" si="53"/>
        <v>0</v>
      </c>
      <c r="FJ32" s="57" t="s">
        <v>81</v>
      </c>
      <c r="FK32" s="58">
        <f t="shared" si="53"/>
        <v>0.5</v>
      </c>
      <c r="FL32" s="59" t="s">
        <v>631</v>
      </c>
      <c r="FM32" s="60">
        <f t="shared" si="54"/>
        <v>1.875</v>
      </c>
      <c r="FN32" s="61">
        <f t="shared" si="55"/>
        <v>15.163</v>
      </c>
    </row>
    <row r="33" spans="1:170" ht="66">
      <c r="A33" s="31">
        <v>31</v>
      </c>
      <c r="B33" s="32" t="s">
        <v>153</v>
      </c>
      <c r="C33" s="33" t="str">
        <f>VLOOKUP(B33,[1]Sheet1!$A:$C,2,FALSE)</f>
        <v>Fifth &amp; Pacific</v>
      </c>
      <c r="D33" s="34" t="s">
        <v>412</v>
      </c>
      <c r="E33" s="35" t="s">
        <v>74</v>
      </c>
      <c r="F33" s="34" t="s">
        <v>413</v>
      </c>
      <c r="G33" s="32" t="s">
        <v>155</v>
      </c>
      <c r="H33" s="36" t="s">
        <v>68</v>
      </c>
      <c r="I33" s="36" t="s">
        <v>414</v>
      </c>
      <c r="J33" s="36" t="s">
        <v>414</v>
      </c>
      <c r="K33" s="70" t="s">
        <v>555</v>
      </c>
      <c r="L33" s="70" t="s">
        <v>133</v>
      </c>
      <c r="M33" s="37">
        <f t="shared" si="4"/>
        <v>0</v>
      </c>
      <c r="N33" s="71">
        <v>2.2200000000000002</v>
      </c>
      <c r="O33" s="38">
        <f t="shared" si="5"/>
        <v>0.57200000000000006</v>
      </c>
      <c r="P33" s="36" t="s">
        <v>416</v>
      </c>
      <c r="Q33" s="39">
        <v>0.5</v>
      </c>
      <c r="R33" s="36" t="s">
        <v>133</v>
      </c>
      <c r="S33" s="37">
        <f t="shared" si="6"/>
        <v>0</v>
      </c>
      <c r="T33" s="36" t="s">
        <v>133</v>
      </c>
      <c r="U33" s="37">
        <f t="shared" si="7"/>
        <v>0.5</v>
      </c>
      <c r="V33" s="36" t="s">
        <v>68</v>
      </c>
      <c r="W33" s="36" t="s">
        <v>68</v>
      </c>
      <c r="X33" s="37">
        <f t="shared" si="8"/>
        <v>0.25</v>
      </c>
      <c r="Y33" s="36" t="s">
        <v>632</v>
      </c>
      <c r="Z33" s="40" t="s">
        <v>633</v>
      </c>
      <c r="AA33" s="41">
        <f t="shared" si="9"/>
        <v>1.8220000000000001</v>
      </c>
      <c r="AB33" s="36">
        <v>0</v>
      </c>
      <c r="AC33" s="42">
        <f t="shared" si="0"/>
        <v>0.5</v>
      </c>
      <c r="AD33" s="36" t="s">
        <v>133</v>
      </c>
      <c r="AE33" s="42">
        <f t="shared" si="10"/>
        <v>0.25</v>
      </c>
      <c r="AF33" s="36" t="s">
        <v>414</v>
      </c>
      <c r="AG33" s="36">
        <v>2</v>
      </c>
      <c r="AH33" s="42">
        <f t="shared" si="11"/>
        <v>1</v>
      </c>
      <c r="AI33" s="36" t="s">
        <v>133</v>
      </c>
      <c r="AJ33" s="42">
        <f t="shared" si="1"/>
        <v>0</v>
      </c>
      <c r="AK33" s="36" t="s">
        <v>68</v>
      </c>
      <c r="AL33" s="36" t="s">
        <v>133</v>
      </c>
      <c r="AM33" s="36" t="s">
        <v>68</v>
      </c>
      <c r="AN33" s="36" t="s">
        <v>133</v>
      </c>
      <c r="AO33" s="36" t="s">
        <v>133</v>
      </c>
      <c r="AP33" s="42">
        <f t="shared" si="12"/>
        <v>0.25</v>
      </c>
      <c r="AQ33" s="36" t="s">
        <v>133</v>
      </c>
      <c r="AR33" s="36" t="s">
        <v>414</v>
      </c>
      <c r="AS33" s="42">
        <f t="shared" si="13"/>
        <v>0</v>
      </c>
      <c r="AT33" s="36" t="s">
        <v>414</v>
      </c>
      <c r="AU33" s="36" t="s">
        <v>414</v>
      </c>
      <c r="AV33" s="42">
        <f t="shared" si="14"/>
        <v>0</v>
      </c>
      <c r="AW33" s="36" t="s">
        <v>414</v>
      </c>
      <c r="AX33" s="36" t="s">
        <v>68</v>
      </c>
      <c r="AY33" s="42">
        <f t="shared" si="15"/>
        <v>0.25</v>
      </c>
      <c r="AZ33" s="36" t="s">
        <v>634</v>
      </c>
      <c r="BA33" s="36" t="s">
        <v>68</v>
      </c>
      <c r="BB33" s="42">
        <f t="shared" si="57"/>
        <v>0.25</v>
      </c>
      <c r="BC33" s="36" t="s">
        <v>68</v>
      </c>
      <c r="BD33" s="42">
        <f t="shared" si="16"/>
        <v>0.5</v>
      </c>
      <c r="BE33" s="36" t="s">
        <v>133</v>
      </c>
      <c r="BF33" s="42">
        <f t="shared" si="17"/>
        <v>0</v>
      </c>
      <c r="BG33" s="36" t="s">
        <v>133</v>
      </c>
      <c r="BH33" s="36" t="s">
        <v>68</v>
      </c>
      <c r="BI33" s="42">
        <f t="shared" si="18"/>
        <v>0.5</v>
      </c>
      <c r="BJ33" s="36" t="s">
        <v>68</v>
      </c>
      <c r="BK33" s="36" t="s">
        <v>68</v>
      </c>
      <c r="BL33" s="36" t="s">
        <v>68</v>
      </c>
      <c r="BM33" s="36" t="s">
        <v>133</v>
      </c>
      <c r="BN33" s="36" t="s">
        <v>133</v>
      </c>
      <c r="BO33" s="36" t="s">
        <v>68</v>
      </c>
      <c r="BP33" s="42">
        <f t="shared" si="19"/>
        <v>0.5</v>
      </c>
      <c r="BQ33" s="36" t="s">
        <v>68</v>
      </c>
      <c r="BR33" s="36" t="s">
        <v>133</v>
      </c>
      <c r="BS33" s="36" t="s">
        <v>133</v>
      </c>
      <c r="BT33" s="36" t="s">
        <v>133</v>
      </c>
      <c r="BU33" s="36" t="s">
        <v>133</v>
      </c>
      <c r="BV33" s="36" t="s">
        <v>133</v>
      </c>
      <c r="BW33" s="43" t="s">
        <v>635</v>
      </c>
      <c r="BX33" s="44">
        <f t="shared" si="20"/>
        <v>4</v>
      </c>
      <c r="BY33" s="45" t="s">
        <v>68</v>
      </c>
      <c r="BZ33" s="46">
        <f t="shared" si="21"/>
        <v>0.5</v>
      </c>
      <c r="CA33" s="45" t="s">
        <v>133</v>
      </c>
      <c r="CB33" s="46">
        <f t="shared" si="22"/>
        <v>0</v>
      </c>
      <c r="CC33" s="36" t="s">
        <v>414</v>
      </c>
      <c r="CD33" s="46">
        <f t="shared" si="23"/>
        <v>0</v>
      </c>
      <c r="CE33" s="45" t="s">
        <v>414</v>
      </c>
      <c r="CF33" s="45" t="s">
        <v>133</v>
      </c>
      <c r="CG33" s="47">
        <v>0</v>
      </c>
      <c r="CH33" s="45" t="s">
        <v>133</v>
      </c>
      <c r="CI33" s="48">
        <f t="shared" si="24"/>
        <v>0</v>
      </c>
      <c r="CJ33" s="49" t="s">
        <v>68</v>
      </c>
      <c r="CK33" s="49" t="s">
        <v>133</v>
      </c>
      <c r="CL33" s="50" t="s">
        <v>421</v>
      </c>
      <c r="CM33" s="49" t="s">
        <v>133</v>
      </c>
      <c r="CN33" s="46">
        <f t="shared" si="25"/>
        <v>0</v>
      </c>
      <c r="CO33" s="49" t="s">
        <v>68</v>
      </c>
      <c r="CP33" s="48">
        <f t="shared" si="26"/>
        <v>0.75</v>
      </c>
      <c r="CQ33" s="49" t="s">
        <v>133</v>
      </c>
      <c r="CR33" s="48">
        <f t="shared" si="27"/>
        <v>0</v>
      </c>
      <c r="CS33" s="49" t="s">
        <v>68</v>
      </c>
      <c r="CT33" s="48">
        <f t="shared" si="28"/>
        <v>0.5</v>
      </c>
      <c r="CU33" s="49" t="s">
        <v>133</v>
      </c>
      <c r="CV33" s="48">
        <f t="shared" si="29"/>
        <v>0</v>
      </c>
      <c r="CW33" s="50" t="s">
        <v>636</v>
      </c>
      <c r="CX33" s="51">
        <f t="shared" si="30"/>
        <v>1.75</v>
      </c>
      <c r="CY33" s="52" t="s">
        <v>68</v>
      </c>
      <c r="CZ33" s="53">
        <f t="shared" si="31"/>
        <v>0.5</v>
      </c>
      <c r="DA33" s="52">
        <v>3</v>
      </c>
      <c r="DB33" s="53">
        <f t="shared" si="32"/>
        <v>0.39600000000000002</v>
      </c>
      <c r="DC33" s="52" t="s">
        <v>133</v>
      </c>
      <c r="DD33" s="53">
        <f t="shared" si="33"/>
        <v>0</v>
      </c>
      <c r="DE33" s="52" t="s">
        <v>68</v>
      </c>
      <c r="DF33" s="53">
        <f t="shared" si="34"/>
        <v>0.5</v>
      </c>
      <c r="DG33" s="50" t="s">
        <v>133</v>
      </c>
      <c r="DH33" s="50" t="s">
        <v>68</v>
      </c>
      <c r="DI33" s="50" t="s">
        <v>133</v>
      </c>
      <c r="DJ33" s="50" t="s">
        <v>68</v>
      </c>
      <c r="DK33" s="50" t="s">
        <v>133</v>
      </c>
      <c r="DL33" s="50" t="s">
        <v>133</v>
      </c>
      <c r="DM33" s="50" t="s">
        <v>68</v>
      </c>
      <c r="DN33" s="50" t="s">
        <v>560</v>
      </c>
      <c r="DO33" s="50" t="s">
        <v>68</v>
      </c>
      <c r="DP33" s="52" t="s">
        <v>133</v>
      </c>
      <c r="DQ33" s="50" t="s">
        <v>133</v>
      </c>
      <c r="DR33" s="52" t="s">
        <v>133</v>
      </c>
      <c r="DS33" s="53">
        <f t="shared" si="3"/>
        <v>0.25</v>
      </c>
      <c r="DT33" s="52" t="s">
        <v>68</v>
      </c>
      <c r="DU33" s="53">
        <f t="shared" si="35"/>
        <v>0.5</v>
      </c>
      <c r="DV33" s="52" t="s">
        <v>68</v>
      </c>
      <c r="DW33" s="53">
        <f t="shared" si="36"/>
        <v>0.5</v>
      </c>
      <c r="DX33" s="52" t="s">
        <v>68</v>
      </c>
      <c r="DY33" s="53">
        <f t="shared" si="37"/>
        <v>0.5</v>
      </c>
      <c r="DZ33" s="52" t="s">
        <v>68</v>
      </c>
      <c r="EA33" s="53">
        <f t="shared" si="38"/>
        <v>0.5</v>
      </c>
      <c r="EB33" s="52" t="s">
        <v>133</v>
      </c>
      <c r="EC33" s="53">
        <f t="shared" si="39"/>
        <v>0</v>
      </c>
      <c r="ED33" s="52" t="s">
        <v>637</v>
      </c>
      <c r="EE33" s="54">
        <f t="shared" si="40"/>
        <v>3.6459999999999999</v>
      </c>
      <c r="EF33" s="50">
        <v>4</v>
      </c>
      <c r="EG33" s="55">
        <f t="shared" si="41"/>
        <v>0.84</v>
      </c>
      <c r="EH33" s="50" t="s">
        <v>68</v>
      </c>
      <c r="EI33" s="55">
        <f t="shared" si="42"/>
        <v>0.5</v>
      </c>
      <c r="EJ33" s="50" t="s">
        <v>68</v>
      </c>
      <c r="EK33" s="55">
        <f t="shared" si="43"/>
        <v>0.5</v>
      </c>
      <c r="EL33" s="50" t="s">
        <v>133</v>
      </c>
      <c r="EM33" s="55">
        <f t="shared" si="44"/>
        <v>0</v>
      </c>
      <c r="EN33" s="50" t="s">
        <v>68</v>
      </c>
      <c r="EO33" s="55">
        <f t="shared" si="45"/>
        <v>0.5</v>
      </c>
      <c r="EP33" s="50" t="s">
        <v>68</v>
      </c>
      <c r="EQ33" s="55">
        <f t="shared" si="45"/>
        <v>0.5</v>
      </c>
      <c r="ER33" s="50" t="s">
        <v>638</v>
      </c>
      <c r="ES33" s="56">
        <f t="shared" si="46"/>
        <v>4.0571428571428569</v>
      </c>
      <c r="ET33" s="57" t="s">
        <v>133</v>
      </c>
      <c r="EU33" s="58">
        <f t="shared" si="47"/>
        <v>0</v>
      </c>
      <c r="EV33" s="57" t="s">
        <v>414</v>
      </c>
      <c r="EW33" s="58">
        <f t="shared" si="48"/>
        <v>0</v>
      </c>
      <c r="EX33" s="57" t="s">
        <v>414</v>
      </c>
      <c r="EY33" s="58">
        <f t="shared" si="49"/>
        <v>0</v>
      </c>
      <c r="EZ33" s="57" t="s">
        <v>133</v>
      </c>
      <c r="FA33" s="58">
        <f t="shared" si="50"/>
        <v>0</v>
      </c>
      <c r="FB33" s="57" t="s">
        <v>68</v>
      </c>
      <c r="FC33" s="58">
        <f t="shared" si="56"/>
        <v>0.5</v>
      </c>
      <c r="FD33" s="57" t="s">
        <v>68</v>
      </c>
      <c r="FE33" s="58">
        <f t="shared" si="56"/>
        <v>0.5</v>
      </c>
      <c r="FF33" s="57" t="s">
        <v>133</v>
      </c>
      <c r="FG33" s="58">
        <f t="shared" si="52"/>
        <v>0</v>
      </c>
      <c r="FH33" s="57" t="s">
        <v>133</v>
      </c>
      <c r="FI33" s="58">
        <f t="shared" si="53"/>
        <v>0</v>
      </c>
      <c r="FJ33" s="57" t="s">
        <v>68</v>
      </c>
      <c r="FK33" s="58">
        <f t="shared" si="53"/>
        <v>0.5</v>
      </c>
      <c r="FL33" s="59" t="s">
        <v>639</v>
      </c>
      <c r="FM33" s="60">
        <f t="shared" si="54"/>
        <v>1.875</v>
      </c>
      <c r="FN33" s="61">
        <f t="shared" si="55"/>
        <v>17.150142857142857</v>
      </c>
    </row>
    <row r="34" spans="1:170" ht="53">
      <c r="A34" s="31">
        <v>32</v>
      </c>
      <c r="B34" s="72" t="s">
        <v>156</v>
      </c>
      <c r="C34" s="33" t="str">
        <f>VLOOKUP(B34,[1]Sheet1!$A:$C,2,FALSE)</f>
        <v>Lacoste</v>
      </c>
      <c r="D34" s="34" t="s">
        <v>412</v>
      </c>
      <c r="E34" s="35" t="str">
        <f>VLOOKUP(B34,[1]Sheet1!$A:$C,3,FALSE)</f>
        <v>France</v>
      </c>
      <c r="F34" s="34" t="s">
        <v>413</v>
      </c>
      <c r="G34" s="32" t="s">
        <v>157</v>
      </c>
      <c r="H34" s="36" t="s">
        <v>68</v>
      </c>
      <c r="I34" s="36" t="s">
        <v>414</v>
      </c>
      <c r="J34" s="36" t="s">
        <v>421</v>
      </c>
      <c r="K34" s="70" t="s">
        <v>517</v>
      </c>
      <c r="L34" s="70" t="s">
        <v>133</v>
      </c>
      <c r="M34" s="37">
        <f t="shared" si="4"/>
        <v>0</v>
      </c>
      <c r="N34" s="71">
        <v>1.1180000000000001</v>
      </c>
      <c r="O34" s="38">
        <f t="shared" si="5"/>
        <v>1.81</v>
      </c>
      <c r="P34" s="36" t="s">
        <v>640</v>
      </c>
      <c r="Q34" s="39">
        <v>0.5</v>
      </c>
      <c r="R34" s="36" t="s">
        <v>133</v>
      </c>
      <c r="S34" s="37">
        <f t="shared" si="6"/>
        <v>0</v>
      </c>
      <c r="T34" s="36" t="s">
        <v>133</v>
      </c>
      <c r="U34" s="37">
        <f t="shared" si="7"/>
        <v>0.5</v>
      </c>
      <c r="V34" s="36" t="s">
        <v>68</v>
      </c>
      <c r="W34" s="36" t="s">
        <v>68</v>
      </c>
      <c r="X34" s="37">
        <f t="shared" si="8"/>
        <v>0.25</v>
      </c>
      <c r="Y34" s="36" t="s">
        <v>641</v>
      </c>
      <c r="Z34" s="40" t="s">
        <v>642</v>
      </c>
      <c r="AA34" s="41">
        <f t="shared" si="9"/>
        <v>3.06</v>
      </c>
      <c r="AB34" s="36">
        <v>1</v>
      </c>
      <c r="AC34" s="42">
        <f t="shared" si="0"/>
        <v>0.1855</v>
      </c>
      <c r="AD34" s="36" t="s">
        <v>68</v>
      </c>
      <c r="AE34" s="42">
        <f t="shared" si="10"/>
        <v>0</v>
      </c>
      <c r="AF34" s="36" t="s">
        <v>133</v>
      </c>
      <c r="AG34" s="36">
        <v>4</v>
      </c>
      <c r="AH34" s="42">
        <f t="shared" si="11"/>
        <v>0.20699999999999996</v>
      </c>
      <c r="AI34" s="36" t="s">
        <v>68</v>
      </c>
      <c r="AJ34" s="42">
        <f t="shared" si="1"/>
        <v>0.25</v>
      </c>
      <c r="AK34" s="36" t="s">
        <v>68</v>
      </c>
      <c r="AL34" s="36" t="s">
        <v>133</v>
      </c>
      <c r="AM34" s="36" t="s">
        <v>133</v>
      </c>
      <c r="AN34" s="36" t="s">
        <v>133</v>
      </c>
      <c r="AO34" s="36" t="s">
        <v>133</v>
      </c>
      <c r="AP34" s="42">
        <f t="shared" si="12"/>
        <v>0.25</v>
      </c>
      <c r="AQ34" s="36" t="s">
        <v>68</v>
      </c>
      <c r="AR34" s="36" t="s">
        <v>68</v>
      </c>
      <c r="AS34" s="42">
        <f t="shared" si="13"/>
        <v>0.25</v>
      </c>
      <c r="AT34" s="36" t="s">
        <v>68</v>
      </c>
      <c r="AU34" s="36" t="s">
        <v>133</v>
      </c>
      <c r="AV34" s="42">
        <f t="shared" si="14"/>
        <v>0.25</v>
      </c>
      <c r="AW34" s="36" t="s">
        <v>68</v>
      </c>
      <c r="AX34" s="36" t="s">
        <v>133</v>
      </c>
      <c r="AY34" s="42">
        <f t="shared" si="15"/>
        <v>0</v>
      </c>
      <c r="AZ34" s="36" t="s">
        <v>643</v>
      </c>
      <c r="BA34" s="36" t="s">
        <v>68</v>
      </c>
      <c r="BB34" s="42">
        <f t="shared" si="57"/>
        <v>0.25</v>
      </c>
      <c r="BC34" s="36" t="s">
        <v>133</v>
      </c>
      <c r="BD34" s="42">
        <f t="shared" si="16"/>
        <v>0</v>
      </c>
      <c r="BE34" s="36" t="s">
        <v>133</v>
      </c>
      <c r="BF34" s="42">
        <f t="shared" si="17"/>
        <v>0</v>
      </c>
      <c r="BG34" s="36" t="s">
        <v>133</v>
      </c>
      <c r="BH34" s="36" t="s">
        <v>68</v>
      </c>
      <c r="BI34" s="42">
        <f t="shared" si="18"/>
        <v>0.5</v>
      </c>
      <c r="BJ34" s="36" t="s">
        <v>68</v>
      </c>
      <c r="BK34" s="36" t="s">
        <v>68</v>
      </c>
      <c r="BL34" s="36" t="s">
        <v>133</v>
      </c>
      <c r="BM34" s="36" t="s">
        <v>133</v>
      </c>
      <c r="BN34" s="36" t="s">
        <v>133</v>
      </c>
      <c r="BO34" s="36" t="s">
        <v>68</v>
      </c>
      <c r="BP34" s="42">
        <f t="shared" si="19"/>
        <v>0.5</v>
      </c>
      <c r="BQ34" s="36" t="s">
        <v>68</v>
      </c>
      <c r="BR34" s="36" t="s">
        <v>133</v>
      </c>
      <c r="BS34" s="36" t="s">
        <v>68</v>
      </c>
      <c r="BT34" s="36" t="s">
        <v>133</v>
      </c>
      <c r="BU34" s="36" t="s">
        <v>133</v>
      </c>
      <c r="BV34" s="36" t="s">
        <v>68</v>
      </c>
      <c r="BW34" s="43" t="s">
        <v>644</v>
      </c>
      <c r="BX34" s="44">
        <f t="shared" si="20"/>
        <v>2.6425000000000001</v>
      </c>
      <c r="BY34" s="45" t="s">
        <v>68</v>
      </c>
      <c r="BZ34" s="46">
        <f t="shared" si="21"/>
        <v>0.5</v>
      </c>
      <c r="CA34" s="45" t="s">
        <v>68</v>
      </c>
      <c r="CB34" s="46">
        <f t="shared" si="22"/>
        <v>0.75</v>
      </c>
      <c r="CC34" s="36" t="s">
        <v>133</v>
      </c>
      <c r="CD34" s="46">
        <f t="shared" si="23"/>
        <v>0</v>
      </c>
      <c r="CE34" s="45" t="s">
        <v>133</v>
      </c>
      <c r="CF34" s="45" t="s">
        <v>133</v>
      </c>
      <c r="CG34" s="47">
        <v>0</v>
      </c>
      <c r="CH34" s="45" t="s">
        <v>133</v>
      </c>
      <c r="CI34" s="48">
        <f t="shared" si="24"/>
        <v>0</v>
      </c>
      <c r="CJ34" s="49" t="s">
        <v>68</v>
      </c>
      <c r="CK34" s="49" t="s">
        <v>133</v>
      </c>
      <c r="CL34" s="50" t="s">
        <v>414</v>
      </c>
      <c r="CM34" s="49" t="s">
        <v>133</v>
      </c>
      <c r="CN34" s="46">
        <f t="shared" si="25"/>
        <v>0</v>
      </c>
      <c r="CO34" s="49" t="s">
        <v>133</v>
      </c>
      <c r="CP34" s="48">
        <f t="shared" si="26"/>
        <v>0</v>
      </c>
      <c r="CQ34" s="49" t="s">
        <v>133</v>
      </c>
      <c r="CR34" s="48">
        <f t="shared" si="27"/>
        <v>0</v>
      </c>
      <c r="CS34" s="49" t="s">
        <v>68</v>
      </c>
      <c r="CT34" s="48">
        <f t="shared" si="28"/>
        <v>0.5</v>
      </c>
      <c r="CU34" s="49" t="s">
        <v>133</v>
      </c>
      <c r="CV34" s="48">
        <f t="shared" si="29"/>
        <v>0</v>
      </c>
      <c r="CW34" s="50" t="s">
        <v>645</v>
      </c>
      <c r="CX34" s="51">
        <f t="shared" si="30"/>
        <v>1.75</v>
      </c>
      <c r="CY34" s="52" t="s">
        <v>68</v>
      </c>
      <c r="CZ34" s="53">
        <f t="shared" si="31"/>
        <v>0.5</v>
      </c>
      <c r="DA34" s="52">
        <v>3</v>
      </c>
      <c r="DB34" s="53">
        <f t="shared" si="32"/>
        <v>0.39600000000000002</v>
      </c>
      <c r="DC34" s="52" t="s">
        <v>133</v>
      </c>
      <c r="DD34" s="53">
        <f t="shared" si="33"/>
        <v>0</v>
      </c>
      <c r="DE34" s="52" t="s">
        <v>68</v>
      </c>
      <c r="DF34" s="53">
        <f t="shared" si="34"/>
        <v>0.5</v>
      </c>
      <c r="DG34" s="50" t="s">
        <v>68</v>
      </c>
      <c r="DH34" s="50" t="s">
        <v>68</v>
      </c>
      <c r="DI34" s="50" t="s">
        <v>68</v>
      </c>
      <c r="DJ34" s="50" t="s">
        <v>68</v>
      </c>
      <c r="DK34" s="50" t="s">
        <v>133</v>
      </c>
      <c r="DL34" s="50" t="s">
        <v>133</v>
      </c>
      <c r="DM34" s="50" t="s">
        <v>68</v>
      </c>
      <c r="DN34" s="50" t="s">
        <v>560</v>
      </c>
      <c r="DO34" s="50" t="s">
        <v>68</v>
      </c>
      <c r="DP34" s="52" t="s">
        <v>68</v>
      </c>
      <c r="DQ34" s="50" t="s">
        <v>133</v>
      </c>
      <c r="DR34" s="52" t="s">
        <v>133</v>
      </c>
      <c r="DS34" s="53">
        <f t="shared" si="3"/>
        <v>0.25</v>
      </c>
      <c r="DT34" s="52" t="s">
        <v>133</v>
      </c>
      <c r="DU34" s="53">
        <f t="shared" si="35"/>
        <v>0</v>
      </c>
      <c r="DV34" s="52" t="s">
        <v>133</v>
      </c>
      <c r="DW34" s="53">
        <f t="shared" si="36"/>
        <v>0</v>
      </c>
      <c r="DX34" s="52" t="s">
        <v>68</v>
      </c>
      <c r="DY34" s="53">
        <f t="shared" si="37"/>
        <v>0.5</v>
      </c>
      <c r="DZ34" s="52" t="s">
        <v>68</v>
      </c>
      <c r="EA34" s="53">
        <f t="shared" si="38"/>
        <v>0.5</v>
      </c>
      <c r="EB34" s="52" t="s">
        <v>133</v>
      </c>
      <c r="EC34" s="53">
        <f t="shared" si="39"/>
        <v>0</v>
      </c>
      <c r="ED34" s="52" t="s">
        <v>418</v>
      </c>
      <c r="EE34" s="54">
        <f t="shared" si="40"/>
        <v>2.6459999999999999</v>
      </c>
      <c r="EF34" s="50">
        <v>5</v>
      </c>
      <c r="EG34" s="55">
        <f t="shared" si="41"/>
        <v>0.58000000000000007</v>
      </c>
      <c r="EH34" s="50" t="s">
        <v>133</v>
      </c>
      <c r="EI34" s="55">
        <f t="shared" si="42"/>
        <v>0</v>
      </c>
      <c r="EJ34" s="50" t="s">
        <v>68</v>
      </c>
      <c r="EK34" s="55">
        <f t="shared" si="43"/>
        <v>0.5</v>
      </c>
      <c r="EL34" s="50" t="s">
        <v>133</v>
      </c>
      <c r="EM34" s="55">
        <f t="shared" si="44"/>
        <v>0</v>
      </c>
      <c r="EN34" s="50" t="s">
        <v>68</v>
      </c>
      <c r="EO34" s="55">
        <f t="shared" si="45"/>
        <v>0.5</v>
      </c>
      <c r="EP34" s="50" t="s">
        <v>133</v>
      </c>
      <c r="EQ34" s="55">
        <f t="shared" si="45"/>
        <v>0</v>
      </c>
      <c r="ER34" s="50" t="s">
        <v>646</v>
      </c>
      <c r="ES34" s="56">
        <f t="shared" si="46"/>
        <v>2.2571428571428571</v>
      </c>
      <c r="ET34" s="57" t="s">
        <v>133</v>
      </c>
      <c r="EU34" s="58">
        <f t="shared" si="47"/>
        <v>0</v>
      </c>
      <c r="EV34" s="57" t="s">
        <v>414</v>
      </c>
      <c r="EW34" s="58">
        <f t="shared" si="48"/>
        <v>0</v>
      </c>
      <c r="EX34" s="57" t="s">
        <v>414</v>
      </c>
      <c r="EY34" s="58">
        <f t="shared" si="49"/>
        <v>0</v>
      </c>
      <c r="EZ34" s="57" t="s">
        <v>133</v>
      </c>
      <c r="FA34" s="58">
        <f t="shared" si="50"/>
        <v>0</v>
      </c>
      <c r="FB34" s="57" t="s">
        <v>133</v>
      </c>
      <c r="FC34" s="58">
        <f t="shared" si="56"/>
        <v>0</v>
      </c>
      <c r="FD34" s="57" t="s">
        <v>414</v>
      </c>
      <c r="FE34" s="58">
        <f t="shared" si="56"/>
        <v>0</v>
      </c>
      <c r="FF34" s="57" t="s">
        <v>414</v>
      </c>
      <c r="FG34" s="58">
        <f t="shared" si="52"/>
        <v>0</v>
      </c>
      <c r="FH34" s="57" t="s">
        <v>133</v>
      </c>
      <c r="FI34" s="58">
        <f t="shared" si="53"/>
        <v>0</v>
      </c>
      <c r="FJ34" s="57" t="s">
        <v>68</v>
      </c>
      <c r="FK34" s="58">
        <f t="shared" si="53"/>
        <v>0.5</v>
      </c>
      <c r="FL34" s="59" t="s">
        <v>647</v>
      </c>
      <c r="FM34" s="60">
        <f t="shared" si="54"/>
        <v>0.625</v>
      </c>
      <c r="FN34" s="61">
        <f t="shared" si="55"/>
        <v>12.980642857142858</v>
      </c>
    </row>
    <row r="35" spans="1:170" ht="79">
      <c r="A35" s="31">
        <v>33</v>
      </c>
      <c r="B35" s="72" t="s">
        <v>158</v>
      </c>
      <c r="C35" s="33" t="str">
        <f>VLOOKUP(B35,[1]Sheet1!$A:$C,2,FALSE)</f>
        <v>Richemont</v>
      </c>
      <c r="D35" s="34" t="s">
        <v>412</v>
      </c>
      <c r="E35" s="35" t="str">
        <f>VLOOKUP(B35,[1]Sheet1!$A:$C,3,FALSE)</f>
        <v>France</v>
      </c>
      <c r="F35" s="34" t="s">
        <v>413</v>
      </c>
      <c r="G35" s="32" t="s">
        <v>160</v>
      </c>
      <c r="H35" s="36" t="s">
        <v>133</v>
      </c>
      <c r="I35" s="36" t="s">
        <v>133</v>
      </c>
      <c r="J35" s="36" t="s">
        <v>648</v>
      </c>
      <c r="K35" s="66" t="s">
        <v>517</v>
      </c>
      <c r="L35" s="66" t="s">
        <v>68</v>
      </c>
      <c r="M35" s="37">
        <f t="shared" si="4"/>
        <v>0.75</v>
      </c>
      <c r="N35" s="67">
        <f>AVERAGE(N36,N22,N32,N31)</f>
        <v>2.6891875000000001</v>
      </c>
      <c r="O35" s="38">
        <f t="shared" si="5"/>
        <v>0.31800000000000006</v>
      </c>
      <c r="P35" s="36" t="s">
        <v>416</v>
      </c>
      <c r="Q35" s="39">
        <v>0.5</v>
      </c>
      <c r="R35" s="36" t="s">
        <v>68</v>
      </c>
      <c r="S35" s="37">
        <f t="shared" si="6"/>
        <v>0.5</v>
      </c>
      <c r="T35" s="36" t="s">
        <v>68</v>
      </c>
      <c r="U35" s="37">
        <f t="shared" si="7"/>
        <v>0</v>
      </c>
      <c r="V35" s="36" t="s">
        <v>133</v>
      </c>
      <c r="W35" s="36" t="s">
        <v>414</v>
      </c>
      <c r="X35" s="37">
        <f t="shared" si="8"/>
        <v>0</v>
      </c>
      <c r="Y35" s="36" t="s">
        <v>414</v>
      </c>
      <c r="Z35" s="40" t="s">
        <v>649</v>
      </c>
      <c r="AA35" s="41">
        <f t="shared" si="9"/>
        <v>2.0680000000000001</v>
      </c>
      <c r="AB35" s="36">
        <v>1</v>
      </c>
      <c r="AC35" s="42">
        <f t="shared" si="0"/>
        <v>0.1855</v>
      </c>
      <c r="AD35" s="36" t="s">
        <v>133</v>
      </c>
      <c r="AE35" s="42">
        <f t="shared" si="10"/>
        <v>0.25</v>
      </c>
      <c r="AF35" s="36" t="s">
        <v>414</v>
      </c>
      <c r="AG35" s="36">
        <v>3</v>
      </c>
      <c r="AH35" s="42">
        <f t="shared" si="11"/>
        <v>0.52400000000000002</v>
      </c>
      <c r="AI35" s="36" t="s">
        <v>133</v>
      </c>
      <c r="AJ35" s="42">
        <f t="shared" si="1"/>
        <v>0</v>
      </c>
      <c r="AK35" s="36" t="s">
        <v>68</v>
      </c>
      <c r="AL35" s="36" t="s">
        <v>133</v>
      </c>
      <c r="AM35" s="36" t="s">
        <v>133</v>
      </c>
      <c r="AN35" s="36" t="s">
        <v>133</v>
      </c>
      <c r="AO35" s="36" t="s">
        <v>133</v>
      </c>
      <c r="AP35" s="42">
        <f t="shared" si="12"/>
        <v>0.25</v>
      </c>
      <c r="AQ35" s="36" t="s">
        <v>133</v>
      </c>
      <c r="AR35" s="36" t="s">
        <v>414</v>
      </c>
      <c r="AS35" s="42">
        <f t="shared" si="13"/>
        <v>0</v>
      </c>
      <c r="AT35" s="36" t="s">
        <v>414</v>
      </c>
      <c r="AU35" s="36" t="s">
        <v>414</v>
      </c>
      <c r="AV35" s="42">
        <f t="shared" si="14"/>
        <v>0</v>
      </c>
      <c r="AW35" s="36" t="s">
        <v>414</v>
      </c>
      <c r="AX35" s="36" t="s">
        <v>133</v>
      </c>
      <c r="AY35" s="42">
        <f t="shared" si="15"/>
        <v>0</v>
      </c>
      <c r="AZ35" s="36" t="s">
        <v>650</v>
      </c>
      <c r="BA35" s="36" t="s">
        <v>133</v>
      </c>
      <c r="BB35" s="42">
        <f t="shared" si="57"/>
        <v>0</v>
      </c>
      <c r="BC35" s="68" t="s">
        <v>414</v>
      </c>
      <c r="BD35" s="42">
        <f t="shared" si="16"/>
        <v>0</v>
      </c>
      <c r="BE35" s="68" t="s">
        <v>414</v>
      </c>
      <c r="BF35" s="42">
        <f t="shared" si="17"/>
        <v>0</v>
      </c>
      <c r="BG35" s="68" t="s">
        <v>414</v>
      </c>
      <c r="BH35" s="68" t="s">
        <v>414</v>
      </c>
      <c r="BI35" s="42">
        <f t="shared" si="18"/>
        <v>0</v>
      </c>
      <c r="BJ35" s="68" t="s">
        <v>414</v>
      </c>
      <c r="BK35" s="68" t="s">
        <v>414</v>
      </c>
      <c r="BL35" s="68" t="s">
        <v>414</v>
      </c>
      <c r="BM35" s="68" t="s">
        <v>414</v>
      </c>
      <c r="BN35" s="68" t="s">
        <v>414</v>
      </c>
      <c r="BO35" s="68" t="s">
        <v>414</v>
      </c>
      <c r="BP35" s="42">
        <f t="shared" si="19"/>
        <v>0</v>
      </c>
      <c r="BQ35" s="68" t="s">
        <v>414</v>
      </c>
      <c r="BR35" s="68" t="s">
        <v>414</v>
      </c>
      <c r="BS35" s="68" t="s">
        <v>414</v>
      </c>
      <c r="BT35" s="68" t="s">
        <v>414</v>
      </c>
      <c r="BU35" s="68" t="s">
        <v>414</v>
      </c>
      <c r="BV35" s="68" t="s">
        <v>414</v>
      </c>
      <c r="BW35" s="43" t="s">
        <v>651</v>
      </c>
      <c r="BX35" s="44">
        <f t="shared" si="20"/>
        <v>1.2095</v>
      </c>
      <c r="BY35" s="45" t="s">
        <v>133</v>
      </c>
      <c r="BZ35" s="46">
        <f t="shared" si="21"/>
        <v>0</v>
      </c>
      <c r="CA35" s="45" t="s">
        <v>133</v>
      </c>
      <c r="CB35" s="46">
        <f t="shared" si="22"/>
        <v>0</v>
      </c>
      <c r="CC35" s="36" t="s">
        <v>414</v>
      </c>
      <c r="CD35" s="46">
        <f t="shared" si="23"/>
        <v>0</v>
      </c>
      <c r="CE35" s="68" t="s">
        <v>414</v>
      </c>
      <c r="CF35" s="45" t="s">
        <v>414</v>
      </c>
      <c r="CG35" s="47">
        <v>0</v>
      </c>
      <c r="CH35" s="45" t="s">
        <v>133</v>
      </c>
      <c r="CI35" s="48">
        <f t="shared" si="24"/>
        <v>0</v>
      </c>
      <c r="CJ35" s="49" t="s">
        <v>68</v>
      </c>
      <c r="CK35" s="49" t="s">
        <v>133</v>
      </c>
      <c r="CL35" s="50" t="s">
        <v>414</v>
      </c>
      <c r="CM35" s="49" t="s">
        <v>133</v>
      </c>
      <c r="CN35" s="46">
        <f t="shared" si="25"/>
        <v>0</v>
      </c>
      <c r="CO35" s="49" t="s">
        <v>133</v>
      </c>
      <c r="CP35" s="48">
        <f t="shared" si="26"/>
        <v>0</v>
      </c>
      <c r="CQ35" s="49" t="s">
        <v>133</v>
      </c>
      <c r="CR35" s="48">
        <f t="shared" si="27"/>
        <v>0</v>
      </c>
      <c r="CS35" s="49" t="s">
        <v>133</v>
      </c>
      <c r="CT35" s="48">
        <f t="shared" si="28"/>
        <v>0</v>
      </c>
      <c r="CU35" s="49" t="s">
        <v>133</v>
      </c>
      <c r="CV35" s="48">
        <f t="shared" si="29"/>
        <v>0</v>
      </c>
      <c r="CW35" s="50" t="s">
        <v>652</v>
      </c>
      <c r="CX35" s="51">
        <f t="shared" si="30"/>
        <v>0</v>
      </c>
      <c r="CY35" s="52" t="s">
        <v>133</v>
      </c>
      <c r="CZ35" s="53">
        <f t="shared" si="31"/>
        <v>0</v>
      </c>
      <c r="DA35" s="52">
        <v>1</v>
      </c>
      <c r="DB35" s="53">
        <f t="shared" si="32"/>
        <v>3.1E-2</v>
      </c>
      <c r="DC35" s="52" t="s">
        <v>133</v>
      </c>
      <c r="DD35" s="53">
        <f t="shared" si="33"/>
        <v>0</v>
      </c>
      <c r="DE35" s="52" t="s">
        <v>68</v>
      </c>
      <c r="DF35" s="53">
        <f t="shared" si="34"/>
        <v>0.5</v>
      </c>
      <c r="DG35" s="50" t="s">
        <v>133</v>
      </c>
      <c r="DH35" s="50" t="s">
        <v>133</v>
      </c>
      <c r="DI35" s="50" t="s">
        <v>133</v>
      </c>
      <c r="DJ35" s="50" t="s">
        <v>68</v>
      </c>
      <c r="DK35" s="50" t="s">
        <v>133</v>
      </c>
      <c r="DL35" s="50" t="s">
        <v>133</v>
      </c>
      <c r="DM35" s="50" t="s">
        <v>68</v>
      </c>
      <c r="DN35" s="50" t="s">
        <v>133</v>
      </c>
      <c r="DO35" s="50" t="s">
        <v>133</v>
      </c>
      <c r="DP35" s="52" t="s">
        <v>68</v>
      </c>
      <c r="DQ35" s="50" t="s">
        <v>133</v>
      </c>
      <c r="DR35" s="52" t="s">
        <v>133</v>
      </c>
      <c r="DS35" s="53">
        <f t="shared" si="3"/>
        <v>0.25</v>
      </c>
      <c r="DT35" s="52" t="s">
        <v>133</v>
      </c>
      <c r="DU35" s="53">
        <f t="shared" si="35"/>
        <v>0</v>
      </c>
      <c r="DV35" s="52" t="s">
        <v>133</v>
      </c>
      <c r="DW35" s="53">
        <f t="shared" si="36"/>
        <v>0</v>
      </c>
      <c r="DX35" s="52" t="s">
        <v>68</v>
      </c>
      <c r="DY35" s="53">
        <f t="shared" si="37"/>
        <v>0.5</v>
      </c>
      <c r="DZ35" s="52" t="s">
        <v>133</v>
      </c>
      <c r="EA35" s="53">
        <f t="shared" si="38"/>
        <v>0</v>
      </c>
      <c r="EB35" s="52" t="s">
        <v>133</v>
      </c>
      <c r="EC35" s="53">
        <f t="shared" si="39"/>
        <v>0</v>
      </c>
      <c r="ED35" s="52" t="s">
        <v>653</v>
      </c>
      <c r="EE35" s="54">
        <f t="shared" si="40"/>
        <v>1.2809999999999999</v>
      </c>
      <c r="EF35" s="50" t="s">
        <v>414</v>
      </c>
      <c r="EG35" s="55">
        <v>0</v>
      </c>
      <c r="EH35" s="50" t="s">
        <v>414</v>
      </c>
      <c r="EI35" s="55">
        <f t="shared" si="42"/>
        <v>0</v>
      </c>
      <c r="EJ35" s="50" t="s">
        <v>414</v>
      </c>
      <c r="EK35" s="55">
        <f t="shared" si="43"/>
        <v>0</v>
      </c>
      <c r="EL35" s="50" t="s">
        <v>414</v>
      </c>
      <c r="EM35" s="55">
        <f t="shared" si="44"/>
        <v>0</v>
      </c>
      <c r="EN35" s="50" t="s">
        <v>414</v>
      </c>
      <c r="EO35" s="55">
        <f t="shared" si="45"/>
        <v>0</v>
      </c>
      <c r="EP35" s="50" t="s">
        <v>133</v>
      </c>
      <c r="EQ35" s="55">
        <f t="shared" si="45"/>
        <v>0</v>
      </c>
      <c r="ER35" s="50" t="s">
        <v>577</v>
      </c>
      <c r="ES35" s="56">
        <f t="shared" si="46"/>
        <v>0</v>
      </c>
      <c r="ET35" s="75" t="s">
        <v>133</v>
      </c>
      <c r="EU35" s="58">
        <f t="shared" si="47"/>
        <v>0</v>
      </c>
      <c r="EV35" s="75" t="s">
        <v>414</v>
      </c>
      <c r="EW35" s="58">
        <f t="shared" si="48"/>
        <v>0</v>
      </c>
      <c r="EX35" s="75" t="s">
        <v>414</v>
      </c>
      <c r="EY35" s="58">
        <f t="shared" si="49"/>
        <v>0</v>
      </c>
      <c r="EZ35" s="75" t="s">
        <v>414</v>
      </c>
      <c r="FA35" s="58">
        <f t="shared" si="50"/>
        <v>0</v>
      </c>
      <c r="FB35" s="75" t="s">
        <v>414</v>
      </c>
      <c r="FC35" s="58">
        <f t="shared" si="56"/>
        <v>0</v>
      </c>
      <c r="FD35" s="75" t="s">
        <v>414</v>
      </c>
      <c r="FE35" s="58">
        <f t="shared" si="56"/>
        <v>0</v>
      </c>
      <c r="FF35" s="75" t="s">
        <v>414</v>
      </c>
      <c r="FG35" s="58">
        <f t="shared" si="52"/>
        <v>0</v>
      </c>
      <c r="FH35" s="75" t="s">
        <v>414</v>
      </c>
      <c r="FI35" s="58">
        <f t="shared" si="53"/>
        <v>0</v>
      </c>
      <c r="FJ35" s="75" t="s">
        <v>414</v>
      </c>
      <c r="FK35" s="58">
        <f t="shared" si="53"/>
        <v>0</v>
      </c>
      <c r="FL35" s="59" t="s">
        <v>654</v>
      </c>
      <c r="FM35" s="60">
        <f t="shared" si="54"/>
        <v>0</v>
      </c>
      <c r="FN35" s="61">
        <f t="shared" si="55"/>
        <v>4.5585000000000004</v>
      </c>
    </row>
    <row r="36" spans="1:170" ht="53">
      <c r="A36" s="31">
        <v>34</v>
      </c>
      <c r="B36" s="72" t="s">
        <v>161</v>
      </c>
      <c r="C36" s="33" t="str">
        <f>VLOOKUP(B36,[1]Sheet1!$A:$C,2,FALSE)</f>
        <v>Lanvin</v>
      </c>
      <c r="D36" s="34" t="s">
        <v>412</v>
      </c>
      <c r="E36" s="35" t="str">
        <f>VLOOKUP(B36,[1]Sheet1!$A:$C,3,FALSE)</f>
        <v>France</v>
      </c>
      <c r="F36" s="34" t="s">
        <v>413</v>
      </c>
      <c r="G36" s="32" t="s">
        <v>162</v>
      </c>
      <c r="H36" s="36" t="s">
        <v>68</v>
      </c>
      <c r="I36" s="36" t="s">
        <v>414</v>
      </c>
      <c r="J36" s="36" t="s">
        <v>414</v>
      </c>
      <c r="K36" s="70" t="s">
        <v>517</v>
      </c>
      <c r="L36" s="70" t="s">
        <v>133</v>
      </c>
      <c r="M36" s="37">
        <f t="shared" si="4"/>
        <v>0</v>
      </c>
      <c r="N36" s="71">
        <v>2.5289999999999999</v>
      </c>
      <c r="O36" s="38">
        <f t="shared" si="5"/>
        <v>0.3819999999999999</v>
      </c>
      <c r="P36" s="36" t="s">
        <v>416</v>
      </c>
      <c r="Q36" s="39">
        <v>0.5</v>
      </c>
      <c r="R36" s="36" t="s">
        <v>68</v>
      </c>
      <c r="S36" s="37">
        <f t="shared" si="6"/>
        <v>0.5</v>
      </c>
      <c r="T36" s="36" t="s">
        <v>68</v>
      </c>
      <c r="U36" s="37">
        <f t="shared" si="7"/>
        <v>0</v>
      </c>
      <c r="V36" s="36" t="s">
        <v>68</v>
      </c>
      <c r="W36" s="36" t="s">
        <v>133</v>
      </c>
      <c r="X36" s="37">
        <f t="shared" si="8"/>
        <v>0</v>
      </c>
      <c r="Y36" s="36" t="s">
        <v>414</v>
      </c>
      <c r="Z36" s="40" t="s">
        <v>655</v>
      </c>
      <c r="AA36" s="41">
        <f t="shared" si="9"/>
        <v>1.3819999999999999</v>
      </c>
      <c r="AB36" s="36">
        <v>1</v>
      </c>
      <c r="AC36" s="42">
        <f t="shared" si="0"/>
        <v>0.1855</v>
      </c>
      <c r="AD36" s="36" t="s">
        <v>68</v>
      </c>
      <c r="AE36" s="42">
        <f t="shared" si="10"/>
        <v>0</v>
      </c>
      <c r="AF36" s="36" t="s">
        <v>68</v>
      </c>
      <c r="AG36" s="36">
        <v>4</v>
      </c>
      <c r="AH36" s="42">
        <f t="shared" si="11"/>
        <v>0.20699999999999996</v>
      </c>
      <c r="AI36" s="36" t="s">
        <v>68</v>
      </c>
      <c r="AJ36" s="42">
        <f t="shared" si="1"/>
        <v>0.25</v>
      </c>
      <c r="AK36" s="36" t="s">
        <v>68</v>
      </c>
      <c r="AL36" s="36" t="s">
        <v>133</v>
      </c>
      <c r="AM36" s="36" t="s">
        <v>133</v>
      </c>
      <c r="AN36" s="36" t="s">
        <v>133</v>
      </c>
      <c r="AO36" s="36" t="s">
        <v>133</v>
      </c>
      <c r="AP36" s="42">
        <f t="shared" si="12"/>
        <v>0.25</v>
      </c>
      <c r="AQ36" s="36" t="s">
        <v>133</v>
      </c>
      <c r="AR36" s="36" t="s">
        <v>414</v>
      </c>
      <c r="AS36" s="42">
        <f t="shared" si="13"/>
        <v>0</v>
      </c>
      <c r="AT36" s="36" t="s">
        <v>414</v>
      </c>
      <c r="AU36" s="36" t="s">
        <v>414</v>
      </c>
      <c r="AV36" s="42">
        <f t="shared" si="14"/>
        <v>0</v>
      </c>
      <c r="AW36" s="36" t="s">
        <v>414</v>
      </c>
      <c r="AX36" s="36" t="s">
        <v>133</v>
      </c>
      <c r="AY36" s="42">
        <f t="shared" si="15"/>
        <v>0</v>
      </c>
      <c r="AZ36" s="36" t="s">
        <v>656</v>
      </c>
      <c r="BA36" s="36" t="s">
        <v>68</v>
      </c>
      <c r="BB36" s="42">
        <f t="shared" si="57"/>
        <v>0.25</v>
      </c>
      <c r="BC36" s="36" t="s">
        <v>133</v>
      </c>
      <c r="BD36" s="42">
        <f t="shared" si="16"/>
        <v>0</v>
      </c>
      <c r="BE36" s="36" t="s">
        <v>68</v>
      </c>
      <c r="BF36" s="42">
        <f t="shared" si="17"/>
        <v>0.25</v>
      </c>
      <c r="BG36" s="36" t="s">
        <v>133</v>
      </c>
      <c r="BH36" s="36" t="s">
        <v>68</v>
      </c>
      <c r="BI36" s="42">
        <f t="shared" si="18"/>
        <v>0.5</v>
      </c>
      <c r="BJ36" s="36" t="s">
        <v>133</v>
      </c>
      <c r="BK36" s="36" t="s">
        <v>68</v>
      </c>
      <c r="BL36" s="36" t="s">
        <v>133</v>
      </c>
      <c r="BM36" s="36" t="s">
        <v>133</v>
      </c>
      <c r="BN36" s="36" t="s">
        <v>133</v>
      </c>
      <c r="BO36" s="36" t="s">
        <v>133</v>
      </c>
      <c r="BP36" s="42">
        <f t="shared" si="19"/>
        <v>0</v>
      </c>
      <c r="BQ36" s="68" t="s">
        <v>414</v>
      </c>
      <c r="BR36" s="68" t="s">
        <v>414</v>
      </c>
      <c r="BS36" s="68" t="s">
        <v>414</v>
      </c>
      <c r="BT36" s="68" t="s">
        <v>414</v>
      </c>
      <c r="BU36" s="68" t="s">
        <v>414</v>
      </c>
      <c r="BV36" s="68" t="s">
        <v>414</v>
      </c>
      <c r="BW36" s="43" t="s">
        <v>657</v>
      </c>
      <c r="BX36" s="44">
        <f t="shared" si="20"/>
        <v>1.8924999999999998</v>
      </c>
      <c r="BY36" s="45" t="s">
        <v>133</v>
      </c>
      <c r="BZ36" s="46">
        <f t="shared" si="21"/>
        <v>0</v>
      </c>
      <c r="CA36" s="45" t="s">
        <v>133</v>
      </c>
      <c r="CB36" s="46">
        <f t="shared" si="22"/>
        <v>0</v>
      </c>
      <c r="CC36" s="36" t="s">
        <v>421</v>
      </c>
      <c r="CD36" s="46">
        <f t="shared" si="23"/>
        <v>0</v>
      </c>
      <c r="CE36" s="45" t="s">
        <v>421</v>
      </c>
      <c r="CF36" s="45" t="s">
        <v>414</v>
      </c>
      <c r="CG36" s="47">
        <v>0</v>
      </c>
      <c r="CH36" s="45" t="s">
        <v>133</v>
      </c>
      <c r="CI36" s="48">
        <f t="shared" si="24"/>
        <v>0</v>
      </c>
      <c r="CJ36" s="49" t="s">
        <v>68</v>
      </c>
      <c r="CK36" s="49" t="s">
        <v>133</v>
      </c>
      <c r="CL36" s="50" t="s">
        <v>414</v>
      </c>
      <c r="CM36" s="49" t="s">
        <v>133</v>
      </c>
      <c r="CN36" s="46">
        <f t="shared" si="25"/>
        <v>0</v>
      </c>
      <c r="CO36" s="49" t="s">
        <v>133</v>
      </c>
      <c r="CP36" s="48">
        <f t="shared" si="26"/>
        <v>0</v>
      </c>
      <c r="CQ36" s="49" t="s">
        <v>421</v>
      </c>
      <c r="CR36" s="48">
        <f t="shared" si="27"/>
        <v>0</v>
      </c>
      <c r="CS36" s="49" t="s">
        <v>68</v>
      </c>
      <c r="CT36" s="48">
        <f t="shared" si="28"/>
        <v>0.5</v>
      </c>
      <c r="CU36" s="49" t="s">
        <v>68</v>
      </c>
      <c r="CV36" s="48">
        <f t="shared" si="29"/>
        <v>0.25</v>
      </c>
      <c r="CW36" s="50" t="s">
        <v>658</v>
      </c>
      <c r="CX36" s="51">
        <f t="shared" si="30"/>
        <v>0.75</v>
      </c>
      <c r="CY36" s="52" t="s">
        <v>68</v>
      </c>
      <c r="CZ36" s="53">
        <f t="shared" si="31"/>
        <v>0.5</v>
      </c>
      <c r="DA36" s="52">
        <v>3</v>
      </c>
      <c r="DB36" s="53">
        <f t="shared" si="32"/>
        <v>0.39600000000000002</v>
      </c>
      <c r="DC36" s="52" t="s">
        <v>133</v>
      </c>
      <c r="DD36" s="53">
        <f t="shared" si="33"/>
        <v>0</v>
      </c>
      <c r="DE36" s="52" t="s">
        <v>68</v>
      </c>
      <c r="DF36" s="53">
        <f t="shared" si="34"/>
        <v>0.5</v>
      </c>
      <c r="DG36" s="50" t="s">
        <v>133</v>
      </c>
      <c r="DH36" s="50" t="s">
        <v>133</v>
      </c>
      <c r="DI36" s="50" t="s">
        <v>133</v>
      </c>
      <c r="DJ36" s="50" t="s">
        <v>68</v>
      </c>
      <c r="DK36" s="50" t="s">
        <v>133</v>
      </c>
      <c r="DL36" s="50" t="s">
        <v>68</v>
      </c>
      <c r="DM36" s="50" t="s">
        <v>68</v>
      </c>
      <c r="DN36" s="50" t="s">
        <v>560</v>
      </c>
      <c r="DO36" s="50" t="s">
        <v>133</v>
      </c>
      <c r="DP36" s="52" t="s">
        <v>68</v>
      </c>
      <c r="DQ36" s="50" t="s">
        <v>133</v>
      </c>
      <c r="DR36" s="52" t="s">
        <v>133</v>
      </c>
      <c r="DS36" s="53">
        <f t="shared" si="3"/>
        <v>0.25</v>
      </c>
      <c r="DT36" s="52" t="s">
        <v>133</v>
      </c>
      <c r="DU36" s="53">
        <f t="shared" si="35"/>
        <v>0</v>
      </c>
      <c r="DV36" s="52" t="s">
        <v>133</v>
      </c>
      <c r="DW36" s="53">
        <f t="shared" si="36"/>
        <v>0</v>
      </c>
      <c r="DX36" s="52" t="s">
        <v>68</v>
      </c>
      <c r="DY36" s="53">
        <f t="shared" si="37"/>
        <v>0.5</v>
      </c>
      <c r="DZ36" s="52" t="s">
        <v>133</v>
      </c>
      <c r="EA36" s="53">
        <f t="shared" si="38"/>
        <v>0</v>
      </c>
      <c r="EB36" s="52" t="s">
        <v>133</v>
      </c>
      <c r="EC36" s="53">
        <f t="shared" si="39"/>
        <v>0</v>
      </c>
      <c r="ED36" s="52" t="s">
        <v>659</v>
      </c>
      <c r="EE36" s="54">
        <f t="shared" si="40"/>
        <v>2.1459999999999999</v>
      </c>
      <c r="EF36" s="50">
        <v>6</v>
      </c>
      <c r="EG36" s="55">
        <f t="shared" si="41"/>
        <v>0.24</v>
      </c>
      <c r="EH36" s="50" t="s">
        <v>68</v>
      </c>
      <c r="EI36" s="55">
        <f t="shared" si="42"/>
        <v>0.5</v>
      </c>
      <c r="EJ36" s="50" t="s">
        <v>133</v>
      </c>
      <c r="EK36" s="55">
        <f t="shared" si="43"/>
        <v>0</v>
      </c>
      <c r="EL36" s="50" t="s">
        <v>133</v>
      </c>
      <c r="EM36" s="55">
        <f t="shared" si="44"/>
        <v>0</v>
      </c>
      <c r="EN36" s="50" t="s">
        <v>68</v>
      </c>
      <c r="EO36" s="55">
        <f t="shared" si="45"/>
        <v>0.5</v>
      </c>
      <c r="EP36" s="50" t="s">
        <v>133</v>
      </c>
      <c r="EQ36" s="55">
        <f t="shared" si="45"/>
        <v>0</v>
      </c>
      <c r="ER36" s="50" t="s">
        <v>660</v>
      </c>
      <c r="ES36" s="56">
        <f t="shared" si="46"/>
        <v>1.7714285714285714</v>
      </c>
      <c r="ET36" s="57" t="s">
        <v>133</v>
      </c>
      <c r="EU36" s="58">
        <f t="shared" si="47"/>
        <v>0</v>
      </c>
      <c r="EV36" s="57" t="s">
        <v>414</v>
      </c>
      <c r="EW36" s="58">
        <f t="shared" si="48"/>
        <v>0</v>
      </c>
      <c r="EX36" s="57" t="s">
        <v>414</v>
      </c>
      <c r="EY36" s="58">
        <f t="shared" si="49"/>
        <v>0</v>
      </c>
      <c r="EZ36" s="57" t="s">
        <v>133</v>
      </c>
      <c r="FA36" s="58">
        <f t="shared" si="50"/>
        <v>0</v>
      </c>
      <c r="FB36" s="57" t="s">
        <v>68</v>
      </c>
      <c r="FC36" s="58">
        <f t="shared" ref="FC36:FE51" si="58">IF(FB36="Y",0.5,0)</f>
        <v>0.5</v>
      </c>
      <c r="FD36" s="57" t="s">
        <v>68</v>
      </c>
      <c r="FE36" s="58">
        <f t="shared" si="58"/>
        <v>0.5</v>
      </c>
      <c r="FF36" s="57" t="s">
        <v>133</v>
      </c>
      <c r="FG36" s="58">
        <f t="shared" si="52"/>
        <v>0</v>
      </c>
      <c r="FH36" s="57" t="s">
        <v>133</v>
      </c>
      <c r="FI36" s="58">
        <f t="shared" si="53"/>
        <v>0</v>
      </c>
      <c r="FJ36" s="57" t="s">
        <v>68</v>
      </c>
      <c r="FK36" s="58">
        <f t="shared" si="53"/>
        <v>0.5</v>
      </c>
      <c r="FL36" s="59" t="s">
        <v>661</v>
      </c>
      <c r="FM36" s="60">
        <f t="shared" si="54"/>
        <v>1.875</v>
      </c>
      <c r="FN36" s="61">
        <f t="shared" si="55"/>
        <v>9.816928571428571</v>
      </c>
    </row>
    <row r="37" spans="1:170" ht="79">
      <c r="A37" s="31">
        <v>35</v>
      </c>
      <c r="B37" s="32" t="s">
        <v>163</v>
      </c>
      <c r="C37" s="33" t="str">
        <f>VLOOKUP(B37,[1]Sheet1!$A:$C,2,FALSE)</f>
        <v>Longchamp</v>
      </c>
      <c r="D37" s="34" t="s">
        <v>412</v>
      </c>
      <c r="E37" s="35" t="str">
        <f>VLOOKUP(B37,[1]Sheet1!$A:$C,3,FALSE)</f>
        <v>France</v>
      </c>
      <c r="F37" s="34" t="s">
        <v>413</v>
      </c>
      <c r="G37" s="32" t="s">
        <v>164</v>
      </c>
      <c r="H37" s="36" t="s">
        <v>68</v>
      </c>
      <c r="I37" s="36" t="s">
        <v>421</v>
      </c>
      <c r="J37" s="36" t="s">
        <v>421</v>
      </c>
      <c r="K37" s="70" t="s">
        <v>517</v>
      </c>
      <c r="L37" s="70" t="s">
        <v>133</v>
      </c>
      <c r="M37" s="37">
        <f t="shared" si="4"/>
        <v>0</v>
      </c>
      <c r="N37" s="71">
        <v>1.1659999999999999</v>
      </c>
      <c r="O37" s="38">
        <f t="shared" si="5"/>
        <v>1.6839999999999999</v>
      </c>
      <c r="P37" s="36" t="s">
        <v>416</v>
      </c>
      <c r="Q37" s="39">
        <v>0.5</v>
      </c>
      <c r="R37" s="36" t="s">
        <v>133</v>
      </c>
      <c r="S37" s="37">
        <f t="shared" si="6"/>
        <v>0</v>
      </c>
      <c r="T37" s="36" t="s">
        <v>133</v>
      </c>
      <c r="U37" s="37">
        <f t="shared" si="7"/>
        <v>0.5</v>
      </c>
      <c r="V37" s="36" t="s">
        <v>68</v>
      </c>
      <c r="W37" s="36" t="s">
        <v>133</v>
      </c>
      <c r="X37" s="37">
        <f t="shared" si="8"/>
        <v>0</v>
      </c>
      <c r="Y37" s="36" t="s">
        <v>414</v>
      </c>
      <c r="Z37" s="40" t="s">
        <v>662</v>
      </c>
      <c r="AA37" s="41">
        <f t="shared" si="9"/>
        <v>2.6840000000000002</v>
      </c>
      <c r="AB37" s="36">
        <v>1</v>
      </c>
      <c r="AC37" s="42">
        <f t="shared" si="0"/>
        <v>0.1855</v>
      </c>
      <c r="AD37" s="36" t="s">
        <v>133</v>
      </c>
      <c r="AE37" s="42">
        <f t="shared" si="10"/>
        <v>0.25</v>
      </c>
      <c r="AF37" s="36" t="s">
        <v>421</v>
      </c>
      <c r="AG37" s="36">
        <v>4</v>
      </c>
      <c r="AH37" s="42">
        <f t="shared" si="11"/>
        <v>0.20699999999999996</v>
      </c>
      <c r="AI37" s="36" t="s">
        <v>68</v>
      </c>
      <c r="AJ37" s="42">
        <f t="shared" si="1"/>
        <v>0.25</v>
      </c>
      <c r="AK37" s="36" t="s">
        <v>68</v>
      </c>
      <c r="AL37" s="36" t="s">
        <v>133</v>
      </c>
      <c r="AM37" s="36" t="s">
        <v>133</v>
      </c>
      <c r="AN37" s="36" t="s">
        <v>133</v>
      </c>
      <c r="AO37" s="36" t="s">
        <v>133</v>
      </c>
      <c r="AP37" s="42">
        <f t="shared" si="12"/>
        <v>0.25</v>
      </c>
      <c r="AQ37" s="36" t="s">
        <v>133</v>
      </c>
      <c r="AR37" s="36" t="s">
        <v>414</v>
      </c>
      <c r="AS37" s="42">
        <f t="shared" si="13"/>
        <v>0</v>
      </c>
      <c r="AT37" s="36" t="s">
        <v>414</v>
      </c>
      <c r="AU37" s="36" t="s">
        <v>414</v>
      </c>
      <c r="AV37" s="42">
        <f t="shared" si="14"/>
        <v>0</v>
      </c>
      <c r="AW37" s="36" t="s">
        <v>414</v>
      </c>
      <c r="AX37" s="36" t="s">
        <v>133</v>
      </c>
      <c r="AY37" s="42">
        <f t="shared" si="15"/>
        <v>0</v>
      </c>
      <c r="AZ37" s="36" t="s">
        <v>663</v>
      </c>
      <c r="BA37" s="36" t="s">
        <v>133</v>
      </c>
      <c r="BB37" s="42">
        <f t="shared" si="57"/>
        <v>0</v>
      </c>
      <c r="BC37" s="68" t="s">
        <v>414</v>
      </c>
      <c r="BD37" s="42">
        <f t="shared" si="16"/>
        <v>0</v>
      </c>
      <c r="BE37" s="68" t="s">
        <v>414</v>
      </c>
      <c r="BF37" s="42">
        <f t="shared" si="17"/>
        <v>0</v>
      </c>
      <c r="BG37" s="68" t="s">
        <v>414</v>
      </c>
      <c r="BH37" s="68" t="s">
        <v>414</v>
      </c>
      <c r="BI37" s="42">
        <f t="shared" si="18"/>
        <v>0</v>
      </c>
      <c r="BJ37" s="68" t="s">
        <v>414</v>
      </c>
      <c r="BK37" s="68" t="s">
        <v>414</v>
      </c>
      <c r="BL37" s="68" t="s">
        <v>414</v>
      </c>
      <c r="BM37" s="68" t="s">
        <v>414</v>
      </c>
      <c r="BN37" s="68" t="s">
        <v>414</v>
      </c>
      <c r="BO37" s="68" t="s">
        <v>414</v>
      </c>
      <c r="BP37" s="42">
        <f t="shared" si="19"/>
        <v>0</v>
      </c>
      <c r="BQ37" s="68" t="s">
        <v>414</v>
      </c>
      <c r="BR37" s="68" t="s">
        <v>414</v>
      </c>
      <c r="BS37" s="68" t="s">
        <v>414</v>
      </c>
      <c r="BT37" s="68" t="s">
        <v>414</v>
      </c>
      <c r="BU37" s="68" t="s">
        <v>414</v>
      </c>
      <c r="BV37" s="68" t="s">
        <v>414</v>
      </c>
      <c r="BW37" s="43" t="s">
        <v>664</v>
      </c>
      <c r="BX37" s="44">
        <f t="shared" si="20"/>
        <v>1.1425000000000001</v>
      </c>
      <c r="BY37" s="45" t="s">
        <v>68</v>
      </c>
      <c r="BZ37" s="46">
        <f t="shared" si="21"/>
        <v>0.5</v>
      </c>
      <c r="CA37" s="45" t="s">
        <v>133</v>
      </c>
      <c r="CB37" s="46">
        <f t="shared" si="22"/>
        <v>0</v>
      </c>
      <c r="CC37" s="36" t="s">
        <v>421</v>
      </c>
      <c r="CD37" s="46">
        <f t="shared" si="23"/>
        <v>0</v>
      </c>
      <c r="CE37" s="45" t="s">
        <v>421</v>
      </c>
      <c r="CF37" s="45" t="s">
        <v>133</v>
      </c>
      <c r="CG37" s="47">
        <v>0</v>
      </c>
      <c r="CH37" s="45" t="s">
        <v>133</v>
      </c>
      <c r="CI37" s="48">
        <f t="shared" si="24"/>
        <v>0</v>
      </c>
      <c r="CJ37" s="49" t="s">
        <v>68</v>
      </c>
      <c r="CK37" s="49" t="s">
        <v>68</v>
      </c>
      <c r="CL37" s="50" t="s">
        <v>665</v>
      </c>
      <c r="CM37" s="49" t="s">
        <v>68</v>
      </c>
      <c r="CN37" s="46">
        <f t="shared" si="25"/>
        <v>0.5</v>
      </c>
      <c r="CO37" s="49" t="s">
        <v>68</v>
      </c>
      <c r="CP37" s="48">
        <f t="shared" si="26"/>
        <v>0.75</v>
      </c>
      <c r="CQ37" s="49" t="s">
        <v>68</v>
      </c>
      <c r="CR37" s="48">
        <f t="shared" si="27"/>
        <v>0.25</v>
      </c>
      <c r="CS37" s="49" t="s">
        <v>68</v>
      </c>
      <c r="CT37" s="48">
        <f t="shared" si="28"/>
        <v>0.5</v>
      </c>
      <c r="CU37" s="49" t="s">
        <v>133</v>
      </c>
      <c r="CV37" s="48">
        <f t="shared" si="29"/>
        <v>0</v>
      </c>
      <c r="CW37" s="50" t="s">
        <v>666</v>
      </c>
      <c r="CX37" s="51">
        <f t="shared" si="30"/>
        <v>2.5</v>
      </c>
      <c r="CY37" s="52" t="s">
        <v>68</v>
      </c>
      <c r="CZ37" s="53">
        <f t="shared" si="31"/>
        <v>0.5</v>
      </c>
      <c r="DA37" s="52">
        <v>2</v>
      </c>
      <c r="DB37" s="53">
        <f t="shared" si="32"/>
        <v>0.23799999999999999</v>
      </c>
      <c r="DC37" s="52" t="s">
        <v>133</v>
      </c>
      <c r="DD37" s="53">
        <f t="shared" si="33"/>
        <v>0</v>
      </c>
      <c r="DE37" s="52" t="s">
        <v>68</v>
      </c>
      <c r="DF37" s="53">
        <f t="shared" si="34"/>
        <v>0.5</v>
      </c>
      <c r="DG37" s="50" t="s">
        <v>133</v>
      </c>
      <c r="DH37" s="50" t="s">
        <v>133</v>
      </c>
      <c r="DI37" s="50" t="s">
        <v>133</v>
      </c>
      <c r="DJ37" s="50" t="s">
        <v>68</v>
      </c>
      <c r="DK37" s="50" t="s">
        <v>133</v>
      </c>
      <c r="DL37" s="50" t="s">
        <v>133</v>
      </c>
      <c r="DM37" s="50" t="s">
        <v>68</v>
      </c>
      <c r="DN37" s="50" t="s">
        <v>133</v>
      </c>
      <c r="DO37" s="50" t="s">
        <v>133</v>
      </c>
      <c r="DP37" s="52" t="s">
        <v>68</v>
      </c>
      <c r="DQ37" s="50" t="s">
        <v>133</v>
      </c>
      <c r="DR37" s="52" t="s">
        <v>133</v>
      </c>
      <c r="DS37" s="53">
        <f t="shared" si="3"/>
        <v>0.25</v>
      </c>
      <c r="DT37" s="52" t="s">
        <v>133</v>
      </c>
      <c r="DU37" s="53">
        <f t="shared" si="35"/>
        <v>0</v>
      </c>
      <c r="DV37" s="52" t="s">
        <v>133</v>
      </c>
      <c r="DW37" s="53">
        <f t="shared" si="36"/>
        <v>0</v>
      </c>
      <c r="DX37" s="52" t="s">
        <v>133</v>
      </c>
      <c r="DY37" s="53">
        <f t="shared" si="37"/>
        <v>0</v>
      </c>
      <c r="DZ37" s="52" t="s">
        <v>133</v>
      </c>
      <c r="EA37" s="53">
        <f t="shared" si="38"/>
        <v>0</v>
      </c>
      <c r="EB37" s="52" t="s">
        <v>68</v>
      </c>
      <c r="EC37" s="53">
        <f t="shared" si="39"/>
        <v>0.25</v>
      </c>
      <c r="ED37" s="52" t="s">
        <v>667</v>
      </c>
      <c r="EE37" s="54">
        <f t="shared" si="40"/>
        <v>1.738</v>
      </c>
      <c r="EF37" s="50">
        <v>6</v>
      </c>
      <c r="EG37" s="55">
        <f t="shared" si="41"/>
        <v>0.24</v>
      </c>
      <c r="EH37" s="50" t="s">
        <v>133</v>
      </c>
      <c r="EI37" s="55">
        <f t="shared" si="42"/>
        <v>0</v>
      </c>
      <c r="EJ37" s="50" t="s">
        <v>133</v>
      </c>
      <c r="EK37" s="55">
        <f t="shared" si="43"/>
        <v>0</v>
      </c>
      <c r="EL37" s="50" t="s">
        <v>133</v>
      </c>
      <c r="EM37" s="55">
        <f t="shared" si="44"/>
        <v>0</v>
      </c>
      <c r="EN37" s="50" t="s">
        <v>68</v>
      </c>
      <c r="EO37" s="55">
        <f t="shared" si="45"/>
        <v>0.5</v>
      </c>
      <c r="EP37" s="50" t="s">
        <v>133</v>
      </c>
      <c r="EQ37" s="55">
        <f t="shared" si="45"/>
        <v>0</v>
      </c>
      <c r="ER37" s="50" t="s">
        <v>668</v>
      </c>
      <c r="ES37" s="56">
        <f t="shared" si="46"/>
        <v>1.0571428571428572</v>
      </c>
      <c r="ET37" s="57" t="s">
        <v>68</v>
      </c>
      <c r="EU37" s="58">
        <f t="shared" si="47"/>
        <v>0.5</v>
      </c>
      <c r="EV37" s="57" t="s">
        <v>133</v>
      </c>
      <c r="EW37" s="58">
        <f t="shared" si="48"/>
        <v>0</v>
      </c>
      <c r="EX37" s="57" t="s">
        <v>133</v>
      </c>
      <c r="EY37" s="58">
        <f t="shared" si="49"/>
        <v>0</v>
      </c>
      <c r="EZ37" s="57" t="s">
        <v>133</v>
      </c>
      <c r="FA37" s="58">
        <f t="shared" si="50"/>
        <v>0</v>
      </c>
      <c r="FB37" s="57" t="s">
        <v>68</v>
      </c>
      <c r="FC37" s="58">
        <f t="shared" si="58"/>
        <v>0.5</v>
      </c>
      <c r="FD37" s="57" t="s">
        <v>68</v>
      </c>
      <c r="FE37" s="58">
        <f t="shared" si="58"/>
        <v>0.5</v>
      </c>
      <c r="FF37" s="57" t="s">
        <v>133</v>
      </c>
      <c r="FG37" s="58">
        <f t="shared" si="52"/>
        <v>0</v>
      </c>
      <c r="FH37" s="57" t="s">
        <v>133</v>
      </c>
      <c r="FI37" s="58">
        <f t="shared" si="53"/>
        <v>0</v>
      </c>
      <c r="FJ37" s="57" t="s">
        <v>68</v>
      </c>
      <c r="FK37" s="58">
        <f t="shared" si="53"/>
        <v>0.5</v>
      </c>
      <c r="FL37" s="59" t="s">
        <v>669</v>
      </c>
      <c r="FM37" s="60">
        <f t="shared" si="54"/>
        <v>2.5</v>
      </c>
      <c r="FN37" s="61">
        <f t="shared" si="55"/>
        <v>11.621642857142856</v>
      </c>
    </row>
    <row r="38" spans="1:170" ht="118">
      <c r="A38" s="31">
        <v>36</v>
      </c>
      <c r="B38" s="32" t="s">
        <v>165</v>
      </c>
      <c r="C38" s="33" t="str">
        <f>VLOOKUP(B38,[1]Sheet1!$A:$C,2,FALSE)</f>
        <v>LVMH</v>
      </c>
      <c r="D38" s="34" t="s">
        <v>412</v>
      </c>
      <c r="E38" s="35" t="str">
        <f>VLOOKUP(B38,[1]Sheet1!$A:$C,3,FALSE)</f>
        <v>France</v>
      </c>
      <c r="F38" s="34" t="s">
        <v>413</v>
      </c>
      <c r="G38" s="32" t="s">
        <v>166</v>
      </c>
      <c r="H38" s="36" t="s">
        <v>81</v>
      </c>
      <c r="I38" s="36" t="s">
        <v>421</v>
      </c>
      <c r="J38" s="36" t="s">
        <v>670</v>
      </c>
      <c r="K38" s="36" t="s">
        <v>446</v>
      </c>
      <c r="L38" s="36" t="s">
        <v>68</v>
      </c>
      <c r="M38" s="37">
        <f t="shared" si="4"/>
        <v>0.75</v>
      </c>
      <c r="N38" s="66">
        <f>AVERAGE(N36,N39,N43,N16)</f>
        <v>2.7884791666666668</v>
      </c>
      <c r="O38" s="38">
        <f t="shared" si="5"/>
        <v>0.28600000000000003</v>
      </c>
      <c r="P38" s="36" t="s">
        <v>671</v>
      </c>
      <c r="Q38" s="39">
        <v>0</v>
      </c>
      <c r="R38" s="36" t="s">
        <v>77</v>
      </c>
      <c r="S38" s="37">
        <f t="shared" si="6"/>
        <v>0</v>
      </c>
      <c r="T38" s="36" t="s">
        <v>81</v>
      </c>
      <c r="U38" s="37">
        <f t="shared" si="7"/>
        <v>0</v>
      </c>
      <c r="V38" s="36" t="s">
        <v>81</v>
      </c>
      <c r="W38" s="36" t="s">
        <v>81</v>
      </c>
      <c r="X38" s="37">
        <f t="shared" si="8"/>
        <v>0.25</v>
      </c>
      <c r="Y38" s="36" t="s">
        <v>608</v>
      </c>
      <c r="Z38" s="40" t="s">
        <v>672</v>
      </c>
      <c r="AA38" s="41">
        <f t="shared" si="9"/>
        <v>1.286</v>
      </c>
      <c r="AB38" s="36">
        <v>1</v>
      </c>
      <c r="AC38" s="42">
        <f t="shared" si="0"/>
        <v>0.1855</v>
      </c>
      <c r="AD38" s="36" t="s">
        <v>77</v>
      </c>
      <c r="AE38" s="42">
        <f t="shared" si="10"/>
        <v>0.25</v>
      </c>
      <c r="AF38" s="36" t="s">
        <v>421</v>
      </c>
      <c r="AG38" s="36">
        <v>4</v>
      </c>
      <c r="AH38" s="42">
        <f t="shared" si="11"/>
        <v>0.20699999999999996</v>
      </c>
      <c r="AI38" s="36" t="s">
        <v>133</v>
      </c>
      <c r="AJ38" s="42">
        <f t="shared" si="1"/>
        <v>0</v>
      </c>
      <c r="AK38" s="36" t="s">
        <v>81</v>
      </c>
      <c r="AL38" s="36" t="s">
        <v>77</v>
      </c>
      <c r="AM38" s="36" t="s">
        <v>77</v>
      </c>
      <c r="AN38" s="36" t="s">
        <v>77</v>
      </c>
      <c r="AO38" s="36" t="s">
        <v>77</v>
      </c>
      <c r="AP38" s="42">
        <f t="shared" si="12"/>
        <v>0.25</v>
      </c>
      <c r="AQ38" s="36" t="s">
        <v>77</v>
      </c>
      <c r="AR38" s="36" t="s">
        <v>421</v>
      </c>
      <c r="AS38" s="42">
        <f t="shared" si="13"/>
        <v>0</v>
      </c>
      <c r="AT38" s="36" t="s">
        <v>421</v>
      </c>
      <c r="AU38" s="36" t="s">
        <v>421</v>
      </c>
      <c r="AV38" s="42">
        <f t="shared" si="14"/>
        <v>0</v>
      </c>
      <c r="AW38" s="36" t="s">
        <v>421</v>
      </c>
      <c r="AX38" s="36" t="s">
        <v>77</v>
      </c>
      <c r="AY38" s="42">
        <f t="shared" si="15"/>
        <v>0</v>
      </c>
      <c r="AZ38" s="36" t="s">
        <v>673</v>
      </c>
      <c r="BA38" s="36" t="s">
        <v>81</v>
      </c>
      <c r="BB38" s="42">
        <f t="shared" si="57"/>
        <v>0.25</v>
      </c>
      <c r="BC38" s="36" t="s">
        <v>81</v>
      </c>
      <c r="BD38" s="42">
        <f t="shared" si="16"/>
        <v>0.5</v>
      </c>
      <c r="BE38" s="36" t="s">
        <v>81</v>
      </c>
      <c r="BF38" s="42">
        <f t="shared" si="17"/>
        <v>0.25</v>
      </c>
      <c r="BG38" s="36" t="s">
        <v>81</v>
      </c>
      <c r="BH38" s="36" t="s">
        <v>81</v>
      </c>
      <c r="BI38" s="42">
        <f t="shared" si="18"/>
        <v>0.5</v>
      </c>
      <c r="BJ38" s="36" t="s">
        <v>77</v>
      </c>
      <c r="BK38" s="36" t="s">
        <v>77</v>
      </c>
      <c r="BL38" s="36" t="s">
        <v>77</v>
      </c>
      <c r="BM38" s="36" t="s">
        <v>77</v>
      </c>
      <c r="BN38" s="36" t="s">
        <v>77</v>
      </c>
      <c r="BO38" s="36" t="s">
        <v>77</v>
      </c>
      <c r="BP38" s="42">
        <f t="shared" si="19"/>
        <v>0</v>
      </c>
      <c r="BQ38" s="36" t="s">
        <v>421</v>
      </c>
      <c r="BR38" s="36" t="s">
        <v>421</v>
      </c>
      <c r="BS38" s="36" t="s">
        <v>421</v>
      </c>
      <c r="BT38" s="36" t="s">
        <v>421</v>
      </c>
      <c r="BU38" s="36" t="s">
        <v>421</v>
      </c>
      <c r="BV38" s="36" t="s">
        <v>421</v>
      </c>
      <c r="BW38" s="43" t="s">
        <v>674</v>
      </c>
      <c r="BX38" s="44">
        <f t="shared" si="20"/>
        <v>2.3925000000000001</v>
      </c>
      <c r="BY38" s="45" t="s">
        <v>81</v>
      </c>
      <c r="BZ38" s="46">
        <f t="shared" si="21"/>
        <v>0.5</v>
      </c>
      <c r="CA38" s="45" t="s">
        <v>81</v>
      </c>
      <c r="CB38" s="46">
        <f t="shared" si="22"/>
        <v>0.75</v>
      </c>
      <c r="CC38" s="36" t="s">
        <v>81</v>
      </c>
      <c r="CD38" s="46">
        <f t="shared" si="23"/>
        <v>0.5</v>
      </c>
      <c r="CE38" s="45" t="s">
        <v>81</v>
      </c>
      <c r="CF38" s="45" t="s">
        <v>81</v>
      </c>
      <c r="CG38" s="47">
        <v>0.5</v>
      </c>
      <c r="CH38" s="45" t="s">
        <v>133</v>
      </c>
      <c r="CI38" s="48">
        <f t="shared" si="24"/>
        <v>0</v>
      </c>
      <c r="CJ38" s="49" t="s">
        <v>81</v>
      </c>
      <c r="CK38" s="49" t="s">
        <v>81</v>
      </c>
      <c r="CL38" s="50" t="s">
        <v>675</v>
      </c>
      <c r="CM38" s="49" t="s">
        <v>77</v>
      </c>
      <c r="CN38" s="46">
        <f t="shared" si="25"/>
        <v>0</v>
      </c>
      <c r="CO38" s="49" t="s">
        <v>81</v>
      </c>
      <c r="CP38" s="48">
        <f t="shared" si="26"/>
        <v>0.75</v>
      </c>
      <c r="CQ38" s="49" t="s">
        <v>676</v>
      </c>
      <c r="CR38" s="48">
        <f t="shared" si="27"/>
        <v>0</v>
      </c>
      <c r="CS38" s="49" t="s">
        <v>81</v>
      </c>
      <c r="CT38" s="48">
        <f t="shared" si="28"/>
        <v>0.5</v>
      </c>
      <c r="CU38" s="49" t="s">
        <v>77</v>
      </c>
      <c r="CV38" s="48">
        <f t="shared" si="29"/>
        <v>0</v>
      </c>
      <c r="CW38" s="50" t="s">
        <v>677</v>
      </c>
      <c r="CX38" s="51">
        <f t="shared" si="30"/>
        <v>3.5</v>
      </c>
      <c r="CY38" s="52" t="s">
        <v>81</v>
      </c>
      <c r="CZ38" s="53">
        <f t="shared" si="31"/>
        <v>0.5</v>
      </c>
      <c r="DA38" s="52">
        <v>2</v>
      </c>
      <c r="DB38" s="53">
        <f t="shared" si="32"/>
        <v>0.23799999999999999</v>
      </c>
      <c r="DC38" s="52" t="s">
        <v>77</v>
      </c>
      <c r="DD38" s="53">
        <f t="shared" si="33"/>
        <v>0</v>
      </c>
      <c r="DE38" s="52" t="s">
        <v>77</v>
      </c>
      <c r="DF38" s="53">
        <f t="shared" si="34"/>
        <v>0</v>
      </c>
      <c r="DG38" s="50" t="s">
        <v>421</v>
      </c>
      <c r="DH38" s="50" t="s">
        <v>421</v>
      </c>
      <c r="DI38" s="50" t="s">
        <v>421</v>
      </c>
      <c r="DJ38" s="50" t="s">
        <v>421</v>
      </c>
      <c r="DK38" s="50" t="s">
        <v>421</v>
      </c>
      <c r="DL38" s="50" t="s">
        <v>421</v>
      </c>
      <c r="DM38" s="50" t="s">
        <v>421</v>
      </c>
      <c r="DN38" s="50" t="s">
        <v>421</v>
      </c>
      <c r="DO38" s="50" t="s">
        <v>421</v>
      </c>
      <c r="DP38" s="50" t="s">
        <v>421</v>
      </c>
      <c r="DQ38" s="50" t="s">
        <v>421</v>
      </c>
      <c r="DR38" s="50" t="s">
        <v>421</v>
      </c>
      <c r="DS38" s="53">
        <f t="shared" si="3"/>
        <v>0</v>
      </c>
      <c r="DT38" s="52" t="s">
        <v>77</v>
      </c>
      <c r="DU38" s="53">
        <f t="shared" si="35"/>
        <v>0</v>
      </c>
      <c r="DV38" s="52" t="s">
        <v>77</v>
      </c>
      <c r="DW38" s="53">
        <f t="shared" si="36"/>
        <v>0</v>
      </c>
      <c r="DX38" s="52" t="s">
        <v>81</v>
      </c>
      <c r="DY38" s="53">
        <f t="shared" si="37"/>
        <v>0.5</v>
      </c>
      <c r="DZ38" s="52" t="s">
        <v>77</v>
      </c>
      <c r="EA38" s="53">
        <f t="shared" si="38"/>
        <v>0</v>
      </c>
      <c r="EB38" s="52" t="s">
        <v>77</v>
      </c>
      <c r="EC38" s="53">
        <f t="shared" si="39"/>
        <v>0</v>
      </c>
      <c r="ED38" s="52" t="s">
        <v>678</v>
      </c>
      <c r="EE38" s="54">
        <f t="shared" si="40"/>
        <v>1.238</v>
      </c>
      <c r="EF38" s="50">
        <v>5</v>
      </c>
      <c r="EG38" s="55">
        <f t="shared" si="41"/>
        <v>0.58000000000000007</v>
      </c>
      <c r="EH38" s="50" t="s">
        <v>81</v>
      </c>
      <c r="EI38" s="55">
        <f t="shared" si="42"/>
        <v>0.5</v>
      </c>
      <c r="EJ38" s="50" t="s">
        <v>77</v>
      </c>
      <c r="EK38" s="55">
        <f t="shared" si="43"/>
        <v>0</v>
      </c>
      <c r="EL38" s="50" t="s">
        <v>77</v>
      </c>
      <c r="EM38" s="55">
        <f t="shared" si="44"/>
        <v>0</v>
      </c>
      <c r="EN38" s="50" t="s">
        <v>81</v>
      </c>
      <c r="EO38" s="55">
        <f t="shared" si="45"/>
        <v>0.5</v>
      </c>
      <c r="EP38" s="50" t="s">
        <v>133</v>
      </c>
      <c r="EQ38" s="55">
        <f t="shared" si="45"/>
        <v>0</v>
      </c>
      <c r="ER38" s="50" t="s">
        <v>679</v>
      </c>
      <c r="ES38" s="56">
        <f t="shared" si="46"/>
        <v>2.2571428571428571</v>
      </c>
      <c r="ET38" s="57" t="s">
        <v>68</v>
      </c>
      <c r="EU38" s="58">
        <f t="shared" si="47"/>
        <v>0.5</v>
      </c>
      <c r="EV38" s="57" t="s">
        <v>68</v>
      </c>
      <c r="EW38" s="58">
        <f t="shared" si="48"/>
        <v>0.5</v>
      </c>
      <c r="EX38" s="57" t="s">
        <v>133</v>
      </c>
      <c r="EY38" s="58">
        <f t="shared" si="49"/>
        <v>0</v>
      </c>
      <c r="EZ38" s="57" t="s">
        <v>77</v>
      </c>
      <c r="FA38" s="58">
        <f t="shared" si="50"/>
        <v>0</v>
      </c>
      <c r="FB38" s="57" t="s">
        <v>81</v>
      </c>
      <c r="FC38" s="58">
        <f t="shared" si="58"/>
        <v>0.5</v>
      </c>
      <c r="FD38" s="57" t="s">
        <v>81</v>
      </c>
      <c r="FE38" s="58">
        <f t="shared" si="58"/>
        <v>0.5</v>
      </c>
      <c r="FF38" s="57" t="s">
        <v>81</v>
      </c>
      <c r="FG38" s="58">
        <f t="shared" si="52"/>
        <v>0.25</v>
      </c>
      <c r="FH38" s="57" t="s">
        <v>77</v>
      </c>
      <c r="FI38" s="58">
        <f t="shared" si="53"/>
        <v>0</v>
      </c>
      <c r="FJ38" s="57" t="s">
        <v>81</v>
      </c>
      <c r="FK38" s="58">
        <f t="shared" si="53"/>
        <v>0.5</v>
      </c>
      <c r="FL38" s="59" t="s">
        <v>680</v>
      </c>
      <c r="FM38" s="60">
        <f t="shared" si="54"/>
        <v>3.4375</v>
      </c>
      <c r="FN38" s="61">
        <f t="shared" si="55"/>
        <v>14.111142857142857</v>
      </c>
    </row>
    <row r="39" spans="1:170" ht="157">
      <c r="A39" s="31">
        <v>37</v>
      </c>
      <c r="B39" s="32" t="s">
        <v>167</v>
      </c>
      <c r="C39" s="33" t="str">
        <f>VLOOKUP(B39,[1]Sheet1!$A:$C,2,FALSE)</f>
        <v xml:space="preserve">Manolo Blahnik </v>
      </c>
      <c r="D39" s="34" t="s">
        <v>412</v>
      </c>
      <c r="E39" s="35" t="str">
        <f>VLOOKUP(B39,[1]Sheet1!$A:$C,3,FALSE)</f>
        <v>United Kingdom</v>
      </c>
      <c r="F39" s="34" t="s">
        <v>413</v>
      </c>
      <c r="G39" s="32" t="s">
        <v>168</v>
      </c>
      <c r="H39" s="36" t="s">
        <v>133</v>
      </c>
      <c r="I39" s="36" t="s">
        <v>133</v>
      </c>
      <c r="J39" s="36"/>
      <c r="K39" s="66" t="s">
        <v>431</v>
      </c>
      <c r="L39" s="66" t="s">
        <v>133</v>
      </c>
      <c r="M39" s="37">
        <f t="shared" si="4"/>
        <v>0</v>
      </c>
      <c r="N39" s="66">
        <f>AVERAGE(N30:N33)</f>
        <v>2.4732500000000002</v>
      </c>
      <c r="O39" s="38">
        <f t="shared" si="5"/>
        <v>0.44599999999999995</v>
      </c>
      <c r="P39" s="36" t="s">
        <v>681</v>
      </c>
      <c r="Q39" s="39">
        <v>0</v>
      </c>
      <c r="R39" s="36" t="s">
        <v>133</v>
      </c>
      <c r="S39" s="37">
        <f t="shared" si="6"/>
        <v>0</v>
      </c>
      <c r="T39" s="36" t="s">
        <v>68</v>
      </c>
      <c r="U39" s="37">
        <f t="shared" si="7"/>
        <v>0</v>
      </c>
      <c r="V39" s="36" t="s">
        <v>133</v>
      </c>
      <c r="W39" s="36" t="s">
        <v>133</v>
      </c>
      <c r="X39" s="37">
        <f t="shared" si="8"/>
        <v>0</v>
      </c>
      <c r="Y39" s="36" t="s">
        <v>133</v>
      </c>
      <c r="Z39" s="40" t="s">
        <v>682</v>
      </c>
      <c r="AA39" s="41">
        <f t="shared" si="9"/>
        <v>0.44599999999999995</v>
      </c>
      <c r="AB39" s="36">
        <v>0</v>
      </c>
      <c r="AC39" s="42">
        <f t="shared" si="0"/>
        <v>0.5</v>
      </c>
      <c r="AD39" s="36" t="s">
        <v>133</v>
      </c>
      <c r="AE39" s="42">
        <f t="shared" si="10"/>
        <v>0.25</v>
      </c>
      <c r="AF39" s="36" t="s">
        <v>421</v>
      </c>
      <c r="AG39" s="36">
        <v>3</v>
      </c>
      <c r="AH39" s="42">
        <f t="shared" si="11"/>
        <v>0.52400000000000002</v>
      </c>
      <c r="AI39" s="36" t="s">
        <v>133</v>
      </c>
      <c r="AJ39" s="42">
        <f t="shared" si="1"/>
        <v>0</v>
      </c>
      <c r="AK39" s="36" t="s">
        <v>133</v>
      </c>
      <c r="AL39" s="36" t="s">
        <v>421</v>
      </c>
      <c r="AM39" s="36" t="s">
        <v>421</v>
      </c>
      <c r="AN39" s="36" t="s">
        <v>421</v>
      </c>
      <c r="AO39" s="36" t="s">
        <v>421</v>
      </c>
      <c r="AP39" s="42">
        <f t="shared" si="12"/>
        <v>0</v>
      </c>
      <c r="AQ39" s="36" t="s">
        <v>421</v>
      </c>
      <c r="AR39" s="36" t="s">
        <v>421</v>
      </c>
      <c r="AS39" s="42">
        <f t="shared" si="13"/>
        <v>0</v>
      </c>
      <c r="AT39" s="36" t="s">
        <v>421</v>
      </c>
      <c r="AU39" s="36" t="s">
        <v>421</v>
      </c>
      <c r="AV39" s="42">
        <f t="shared" si="14"/>
        <v>0</v>
      </c>
      <c r="AW39" s="36" t="s">
        <v>421</v>
      </c>
      <c r="AX39" s="36" t="s">
        <v>421</v>
      </c>
      <c r="AY39" s="42">
        <f t="shared" si="15"/>
        <v>0</v>
      </c>
      <c r="AZ39" s="36" t="s">
        <v>421</v>
      </c>
      <c r="BA39" s="36" t="s">
        <v>421</v>
      </c>
      <c r="BB39" s="42" t="str">
        <f t="shared" si="57"/>
        <v>CHECK</v>
      </c>
      <c r="BC39" s="36" t="s">
        <v>133</v>
      </c>
      <c r="BD39" s="42">
        <f t="shared" si="16"/>
        <v>0</v>
      </c>
      <c r="BE39" s="36" t="s">
        <v>421</v>
      </c>
      <c r="BF39" s="42">
        <f t="shared" si="17"/>
        <v>0</v>
      </c>
      <c r="BG39" s="36" t="s">
        <v>421</v>
      </c>
      <c r="BH39" s="36" t="s">
        <v>421</v>
      </c>
      <c r="BI39" s="42">
        <f t="shared" si="18"/>
        <v>0</v>
      </c>
      <c r="BJ39" s="36" t="s">
        <v>421</v>
      </c>
      <c r="BK39" s="36" t="s">
        <v>421</v>
      </c>
      <c r="BL39" s="36" t="s">
        <v>421</v>
      </c>
      <c r="BM39" s="36" t="s">
        <v>421</v>
      </c>
      <c r="BN39" s="36" t="s">
        <v>421</v>
      </c>
      <c r="BO39" s="36" t="s">
        <v>421</v>
      </c>
      <c r="BP39" s="42">
        <f t="shared" si="19"/>
        <v>0</v>
      </c>
      <c r="BQ39" s="36" t="s">
        <v>421</v>
      </c>
      <c r="BR39" s="36" t="s">
        <v>421</v>
      </c>
      <c r="BS39" s="36" t="s">
        <v>421</v>
      </c>
      <c r="BT39" s="36" t="s">
        <v>421</v>
      </c>
      <c r="BU39" s="36" t="s">
        <v>421</v>
      </c>
      <c r="BV39" s="36" t="s">
        <v>421</v>
      </c>
      <c r="BW39" s="43" t="s">
        <v>683</v>
      </c>
      <c r="BX39" s="44">
        <f t="shared" si="20"/>
        <v>1.274</v>
      </c>
      <c r="BY39" s="45" t="s">
        <v>133</v>
      </c>
      <c r="BZ39" s="46">
        <f t="shared" si="21"/>
        <v>0</v>
      </c>
      <c r="CA39" s="45" t="s">
        <v>133</v>
      </c>
      <c r="CB39" s="46">
        <f t="shared" si="22"/>
        <v>0</v>
      </c>
      <c r="CC39" s="36" t="s">
        <v>133</v>
      </c>
      <c r="CD39" s="46">
        <f t="shared" si="23"/>
        <v>0</v>
      </c>
      <c r="CE39" s="45" t="s">
        <v>133</v>
      </c>
      <c r="CF39" s="45" t="s">
        <v>133</v>
      </c>
      <c r="CG39" s="47">
        <v>0</v>
      </c>
      <c r="CH39" s="45" t="s">
        <v>133</v>
      </c>
      <c r="CI39" s="48">
        <f t="shared" si="24"/>
        <v>0</v>
      </c>
      <c r="CJ39" s="49" t="s">
        <v>68</v>
      </c>
      <c r="CK39" s="49" t="s">
        <v>133</v>
      </c>
      <c r="CL39" s="50" t="s">
        <v>684</v>
      </c>
      <c r="CM39" s="49" t="s">
        <v>421</v>
      </c>
      <c r="CN39" s="46">
        <f t="shared" si="25"/>
        <v>0</v>
      </c>
      <c r="CO39" s="49" t="s">
        <v>421</v>
      </c>
      <c r="CP39" s="48">
        <f t="shared" si="26"/>
        <v>0</v>
      </c>
      <c r="CQ39" s="49" t="s">
        <v>421</v>
      </c>
      <c r="CR39" s="48">
        <f t="shared" si="27"/>
        <v>0</v>
      </c>
      <c r="CS39" s="49" t="s">
        <v>133</v>
      </c>
      <c r="CT39" s="48">
        <f t="shared" si="28"/>
        <v>0</v>
      </c>
      <c r="CU39" s="49" t="s">
        <v>133</v>
      </c>
      <c r="CV39" s="48">
        <f t="shared" si="29"/>
        <v>0</v>
      </c>
      <c r="CW39" s="50" t="s">
        <v>685</v>
      </c>
      <c r="CX39" s="51">
        <f t="shared" si="30"/>
        <v>0</v>
      </c>
      <c r="CY39" s="52" t="s">
        <v>133</v>
      </c>
      <c r="CZ39" s="53">
        <f t="shared" si="31"/>
        <v>0</v>
      </c>
      <c r="DA39" s="52">
        <v>0</v>
      </c>
      <c r="DB39" s="53">
        <f t="shared" si="32"/>
        <v>0</v>
      </c>
      <c r="DC39" s="52" t="s">
        <v>133</v>
      </c>
      <c r="DD39" s="53">
        <f t="shared" si="33"/>
        <v>0</v>
      </c>
      <c r="DE39" s="52" t="s">
        <v>133</v>
      </c>
      <c r="DF39" s="53">
        <f t="shared" si="34"/>
        <v>0</v>
      </c>
      <c r="DG39" s="50" t="s">
        <v>133</v>
      </c>
      <c r="DH39" s="50" t="s">
        <v>133</v>
      </c>
      <c r="DI39" s="50" t="s">
        <v>133</v>
      </c>
      <c r="DJ39" s="50" t="s">
        <v>133</v>
      </c>
      <c r="DK39" s="50" t="s">
        <v>133</v>
      </c>
      <c r="DL39" s="50" t="s">
        <v>133</v>
      </c>
      <c r="DM39" s="50" t="s">
        <v>133</v>
      </c>
      <c r="DN39" s="50" t="s">
        <v>133</v>
      </c>
      <c r="DO39" s="50" t="s">
        <v>133</v>
      </c>
      <c r="DP39" s="52" t="s">
        <v>133</v>
      </c>
      <c r="DQ39" s="50" t="s">
        <v>133</v>
      </c>
      <c r="DR39" s="52" t="s">
        <v>133</v>
      </c>
      <c r="DS39" s="53">
        <f t="shared" si="3"/>
        <v>0</v>
      </c>
      <c r="DT39" s="52" t="s">
        <v>133</v>
      </c>
      <c r="DU39" s="53">
        <f t="shared" si="35"/>
        <v>0</v>
      </c>
      <c r="DV39" s="52" t="s">
        <v>133</v>
      </c>
      <c r="DW39" s="53">
        <f t="shared" si="36"/>
        <v>0</v>
      </c>
      <c r="DX39" s="52" t="s">
        <v>133</v>
      </c>
      <c r="DY39" s="53">
        <f t="shared" si="37"/>
        <v>0</v>
      </c>
      <c r="DZ39" s="52" t="s">
        <v>133</v>
      </c>
      <c r="EA39" s="53">
        <f t="shared" si="38"/>
        <v>0</v>
      </c>
      <c r="EB39" s="52" t="s">
        <v>133</v>
      </c>
      <c r="EC39" s="53">
        <f t="shared" si="39"/>
        <v>0</v>
      </c>
      <c r="ED39" s="52" t="s">
        <v>686</v>
      </c>
      <c r="EE39" s="54">
        <f t="shared" si="40"/>
        <v>0</v>
      </c>
      <c r="EF39" s="50" t="s">
        <v>421</v>
      </c>
      <c r="EG39" s="55">
        <v>0</v>
      </c>
      <c r="EH39" s="50" t="s">
        <v>421</v>
      </c>
      <c r="EI39" s="55">
        <f t="shared" si="42"/>
        <v>0</v>
      </c>
      <c r="EJ39" s="50" t="s">
        <v>421</v>
      </c>
      <c r="EK39" s="55">
        <f t="shared" si="43"/>
        <v>0</v>
      </c>
      <c r="EL39" s="50" t="s">
        <v>133</v>
      </c>
      <c r="EM39" s="55">
        <f t="shared" si="44"/>
        <v>0</v>
      </c>
      <c r="EN39" s="50" t="s">
        <v>421</v>
      </c>
      <c r="EO39" s="55">
        <f t="shared" si="45"/>
        <v>0</v>
      </c>
      <c r="EP39" s="50" t="s">
        <v>133</v>
      </c>
      <c r="EQ39" s="55">
        <f t="shared" si="45"/>
        <v>0</v>
      </c>
      <c r="ER39" s="50" t="s">
        <v>684</v>
      </c>
      <c r="ES39" s="56">
        <f t="shared" si="46"/>
        <v>0</v>
      </c>
      <c r="ET39" s="57" t="s">
        <v>133</v>
      </c>
      <c r="EU39" s="58">
        <f t="shared" si="47"/>
        <v>0</v>
      </c>
      <c r="EV39" s="57" t="s">
        <v>414</v>
      </c>
      <c r="EW39" s="58">
        <f t="shared" si="48"/>
        <v>0</v>
      </c>
      <c r="EX39" s="57" t="s">
        <v>414</v>
      </c>
      <c r="EY39" s="58">
        <f t="shared" si="49"/>
        <v>0</v>
      </c>
      <c r="EZ39" s="57" t="s">
        <v>133</v>
      </c>
      <c r="FA39" s="58">
        <f t="shared" si="50"/>
        <v>0</v>
      </c>
      <c r="FB39" s="57" t="s">
        <v>133</v>
      </c>
      <c r="FC39" s="58">
        <f t="shared" si="58"/>
        <v>0</v>
      </c>
      <c r="FD39" s="57" t="s">
        <v>421</v>
      </c>
      <c r="FE39" s="58">
        <f t="shared" si="58"/>
        <v>0</v>
      </c>
      <c r="FF39" s="57" t="s">
        <v>421</v>
      </c>
      <c r="FG39" s="58">
        <f t="shared" si="52"/>
        <v>0</v>
      </c>
      <c r="FH39" s="57" t="s">
        <v>133</v>
      </c>
      <c r="FI39" s="58">
        <f t="shared" si="53"/>
        <v>0</v>
      </c>
      <c r="FJ39" s="57" t="s">
        <v>133</v>
      </c>
      <c r="FK39" s="58">
        <f t="shared" si="53"/>
        <v>0</v>
      </c>
      <c r="FL39" s="59" t="s">
        <v>687</v>
      </c>
      <c r="FM39" s="60">
        <f t="shared" si="54"/>
        <v>0</v>
      </c>
      <c r="FN39" s="61">
        <f t="shared" si="55"/>
        <v>1.72</v>
      </c>
    </row>
    <row r="40" spans="1:170" ht="170">
      <c r="A40" s="31">
        <v>38</v>
      </c>
      <c r="B40" s="32" t="s">
        <v>169</v>
      </c>
      <c r="C40" s="33" t="str">
        <f>VLOOKUP(B40,[1]Sheet1!$A:$C,2,FALSE)</f>
        <v>LVMH</v>
      </c>
      <c r="D40" s="34" t="s">
        <v>412</v>
      </c>
      <c r="E40" s="35" t="str">
        <f>VLOOKUP(B40,[1]Sheet1!$A:$C,3,FALSE)</f>
        <v>United States</v>
      </c>
      <c r="F40" s="34" t="s">
        <v>413</v>
      </c>
      <c r="G40" s="32" t="s">
        <v>170</v>
      </c>
      <c r="H40" s="36" t="s">
        <v>68</v>
      </c>
      <c r="I40" s="36" t="s">
        <v>421</v>
      </c>
      <c r="J40" s="36"/>
      <c r="K40" s="36" t="s">
        <v>431</v>
      </c>
      <c r="L40" s="36" t="s">
        <v>133</v>
      </c>
      <c r="M40" s="37">
        <f t="shared" si="4"/>
        <v>0</v>
      </c>
      <c r="N40" s="36">
        <v>1.821</v>
      </c>
      <c r="O40" s="38">
        <f t="shared" si="5"/>
        <v>0.8899999999999999</v>
      </c>
      <c r="P40" s="36" t="s">
        <v>416</v>
      </c>
      <c r="Q40" s="39">
        <v>0.5</v>
      </c>
      <c r="R40" s="36" t="s">
        <v>68</v>
      </c>
      <c r="S40" s="37">
        <f t="shared" si="6"/>
        <v>0.5</v>
      </c>
      <c r="T40" s="36" t="s">
        <v>133</v>
      </c>
      <c r="U40" s="37">
        <f t="shared" si="7"/>
        <v>0.5</v>
      </c>
      <c r="V40" s="36" t="s">
        <v>68</v>
      </c>
      <c r="W40" s="36" t="s">
        <v>133</v>
      </c>
      <c r="X40" s="37">
        <f t="shared" si="8"/>
        <v>0</v>
      </c>
      <c r="Y40" s="36" t="s">
        <v>688</v>
      </c>
      <c r="Z40" s="40"/>
      <c r="AA40" s="41">
        <f t="shared" si="9"/>
        <v>2.3899999999999997</v>
      </c>
      <c r="AB40" s="36">
        <v>0</v>
      </c>
      <c r="AC40" s="42">
        <f t="shared" si="0"/>
        <v>0.5</v>
      </c>
      <c r="AD40" s="36" t="s">
        <v>133</v>
      </c>
      <c r="AE40" s="42">
        <f t="shared" si="10"/>
        <v>0.25</v>
      </c>
      <c r="AF40" s="36" t="s">
        <v>421</v>
      </c>
      <c r="AG40" s="36">
        <v>2</v>
      </c>
      <c r="AH40" s="42">
        <f t="shared" si="11"/>
        <v>1</v>
      </c>
      <c r="AI40" s="36" t="s">
        <v>68</v>
      </c>
      <c r="AJ40" s="42">
        <f t="shared" si="1"/>
        <v>0.25</v>
      </c>
      <c r="AK40" s="36" t="s">
        <v>133</v>
      </c>
      <c r="AL40" s="36" t="s">
        <v>133</v>
      </c>
      <c r="AM40" s="36" t="s">
        <v>133</v>
      </c>
      <c r="AN40" s="36" t="s">
        <v>133</v>
      </c>
      <c r="AO40" s="36" t="s">
        <v>133</v>
      </c>
      <c r="AP40" s="42">
        <f t="shared" si="12"/>
        <v>0</v>
      </c>
      <c r="AQ40" s="36" t="s">
        <v>68</v>
      </c>
      <c r="AR40" s="36" t="s">
        <v>68</v>
      </c>
      <c r="AS40" s="42">
        <f t="shared" si="13"/>
        <v>0.25</v>
      </c>
      <c r="AT40" s="36" t="s">
        <v>133</v>
      </c>
      <c r="AU40" s="36" t="s">
        <v>133</v>
      </c>
      <c r="AV40" s="42">
        <f t="shared" si="14"/>
        <v>0.25</v>
      </c>
      <c r="AW40" s="36" t="s">
        <v>133</v>
      </c>
      <c r="AX40" s="36" t="s">
        <v>133</v>
      </c>
      <c r="AY40" s="42">
        <f t="shared" si="15"/>
        <v>0</v>
      </c>
      <c r="AZ40" s="36" t="s">
        <v>684</v>
      </c>
      <c r="BA40" s="36" t="s">
        <v>68</v>
      </c>
      <c r="BB40" s="42">
        <f t="shared" si="57"/>
        <v>0.25</v>
      </c>
      <c r="BC40" s="36" t="s">
        <v>133</v>
      </c>
      <c r="BD40" s="42">
        <f t="shared" si="16"/>
        <v>0</v>
      </c>
      <c r="BE40" s="36" t="s">
        <v>133</v>
      </c>
      <c r="BF40" s="42">
        <f t="shared" si="17"/>
        <v>0</v>
      </c>
      <c r="BG40" s="36" t="s">
        <v>68</v>
      </c>
      <c r="BH40" s="36" t="s">
        <v>133</v>
      </c>
      <c r="BI40" s="42">
        <f t="shared" si="18"/>
        <v>0</v>
      </c>
      <c r="BJ40" s="36" t="s">
        <v>133</v>
      </c>
      <c r="BK40" s="36" t="s">
        <v>133</v>
      </c>
      <c r="BL40" s="36" t="s">
        <v>133</v>
      </c>
      <c r="BM40" s="36" t="s">
        <v>133</v>
      </c>
      <c r="BN40" s="36" t="s">
        <v>133</v>
      </c>
      <c r="BO40" s="36" t="s">
        <v>68</v>
      </c>
      <c r="BP40" s="42">
        <f t="shared" si="19"/>
        <v>0.5</v>
      </c>
      <c r="BQ40" s="36" t="s">
        <v>68</v>
      </c>
      <c r="BR40" s="36" t="s">
        <v>133</v>
      </c>
      <c r="BS40" s="36" t="s">
        <v>133</v>
      </c>
      <c r="BT40" s="36" t="s">
        <v>133</v>
      </c>
      <c r="BU40" s="36" t="s">
        <v>133</v>
      </c>
      <c r="BV40" s="36" t="s">
        <v>133</v>
      </c>
      <c r="BW40" s="43" t="s">
        <v>689</v>
      </c>
      <c r="BX40" s="44">
        <f t="shared" si="20"/>
        <v>3.25</v>
      </c>
      <c r="BY40" s="45" t="s">
        <v>68</v>
      </c>
      <c r="BZ40" s="46">
        <f t="shared" si="21"/>
        <v>0.5</v>
      </c>
      <c r="CA40" s="45" t="s">
        <v>133</v>
      </c>
      <c r="CB40" s="46">
        <f t="shared" si="22"/>
        <v>0</v>
      </c>
      <c r="CC40" s="36" t="s">
        <v>133</v>
      </c>
      <c r="CD40" s="46">
        <f t="shared" si="23"/>
        <v>0</v>
      </c>
      <c r="CE40" s="45" t="s">
        <v>133</v>
      </c>
      <c r="CF40" s="45" t="s">
        <v>68</v>
      </c>
      <c r="CG40" s="47">
        <v>0.5</v>
      </c>
      <c r="CH40" s="45" t="s">
        <v>133</v>
      </c>
      <c r="CI40" s="48">
        <f t="shared" si="24"/>
        <v>0</v>
      </c>
      <c r="CJ40" s="49" t="s">
        <v>68</v>
      </c>
      <c r="CK40" s="49" t="s">
        <v>133</v>
      </c>
      <c r="CL40" s="50" t="s">
        <v>684</v>
      </c>
      <c r="CM40" s="49" t="s">
        <v>133</v>
      </c>
      <c r="CN40" s="46">
        <f t="shared" si="25"/>
        <v>0</v>
      </c>
      <c r="CO40" s="49" t="s">
        <v>68</v>
      </c>
      <c r="CP40" s="48">
        <f t="shared" si="26"/>
        <v>0.75</v>
      </c>
      <c r="CQ40" s="49" t="s">
        <v>133</v>
      </c>
      <c r="CR40" s="48">
        <f t="shared" si="27"/>
        <v>0</v>
      </c>
      <c r="CS40" s="49" t="s">
        <v>68</v>
      </c>
      <c r="CT40" s="48">
        <f t="shared" si="28"/>
        <v>0.5</v>
      </c>
      <c r="CU40" s="49" t="s">
        <v>133</v>
      </c>
      <c r="CV40" s="48">
        <f t="shared" si="29"/>
        <v>0</v>
      </c>
      <c r="CW40" s="50" t="s">
        <v>690</v>
      </c>
      <c r="CX40" s="51">
        <f t="shared" si="30"/>
        <v>2.25</v>
      </c>
      <c r="CY40" s="52" t="s">
        <v>68</v>
      </c>
      <c r="CZ40" s="53">
        <f t="shared" si="31"/>
        <v>0.5</v>
      </c>
      <c r="DA40" s="52">
        <v>3</v>
      </c>
      <c r="DB40" s="53">
        <f t="shared" si="32"/>
        <v>0.39600000000000002</v>
      </c>
      <c r="DC40" s="52" t="s">
        <v>133</v>
      </c>
      <c r="DD40" s="53">
        <f t="shared" si="33"/>
        <v>0</v>
      </c>
      <c r="DE40" s="52" t="s">
        <v>68</v>
      </c>
      <c r="DF40" s="53">
        <f t="shared" si="34"/>
        <v>0.5</v>
      </c>
      <c r="DG40" s="50" t="s">
        <v>133</v>
      </c>
      <c r="DH40" s="50" t="s">
        <v>133</v>
      </c>
      <c r="DI40" s="50" t="s">
        <v>68</v>
      </c>
      <c r="DJ40" s="50" t="s">
        <v>68</v>
      </c>
      <c r="DK40" s="50" t="s">
        <v>133</v>
      </c>
      <c r="DL40" s="50" t="s">
        <v>133</v>
      </c>
      <c r="DM40" s="50" t="s">
        <v>691</v>
      </c>
      <c r="DN40" s="50" t="s">
        <v>133</v>
      </c>
      <c r="DO40" s="50" t="s">
        <v>68</v>
      </c>
      <c r="DP40" s="52" t="s">
        <v>68</v>
      </c>
      <c r="DQ40" s="50" t="s">
        <v>133</v>
      </c>
      <c r="DR40" s="52" t="s">
        <v>133</v>
      </c>
      <c r="DS40" s="53">
        <f t="shared" si="3"/>
        <v>0.25</v>
      </c>
      <c r="DT40" s="52" t="s">
        <v>133</v>
      </c>
      <c r="DU40" s="53">
        <f t="shared" si="35"/>
        <v>0</v>
      </c>
      <c r="DV40" s="52" t="s">
        <v>133</v>
      </c>
      <c r="DW40" s="53">
        <f t="shared" si="36"/>
        <v>0</v>
      </c>
      <c r="DX40" s="52" t="s">
        <v>68</v>
      </c>
      <c r="DY40" s="53">
        <f t="shared" si="37"/>
        <v>0.5</v>
      </c>
      <c r="DZ40" s="52" t="s">
        <v>133</v>
      </c>
      <c r="EA40" s="53">
        <f t="shared" si="38"/>
        <v>0</v>
      </c>
      <c r="EB40" s="52" t="s">
        <v>68</v>
      </c>
      <c r="EC40" s="53">
        <f t="shared" si="39"/>
        <v>0.25</v>
      </c>
      <c r="ED40" s="52" t="s">
        <v>692</v>
      </c>
      <c r="EE40" s="54">
        <f t="shared" si="40"/>
        <v>2.3959999999999999</v>
      </c>
      <c r="EF40" s="50">
        <v>5</v>
      </c>
      <c r="EG40" s="55">
        <f t="shared" si="41"/>
        <v>0.58000000000000007</v>
      </c>
      <c r="EH40" s="50" t="s">
        <v>133</v>
      </c>
      <c r="EI40" s="55">
        <f t="shared" si="42"/>
        <v>0</v>
      </c>
      <c r="EJ40" s="50" t="s">
        <v>133</v>
      </c>
      <c r="EK40" s="55">
        <f t="shared" si="43"/>
        <v>0</v>
      </c>
      <c r="EL40" s="50" t="s">
        <v>133</v>
      </c>
      <c r="EM40" s="55">
        <f t="shared" si="44"/>
        <v>0</v>
      </c>
      <c r="EN40" s="50" t="s">
        <v>68</v>
      </c>
      <c r="EO40" s="55">
        <f t="shared" si="45"/>
        <v>0.5</v>
      </c>
      <c r="EP40" s="50" t="s">
        <v>68</v>
      </c>
      <c r="EQ40" s="55">
        <f t="shared" si="45"/>
        <v>0.5</v>
      </c>
      <c r="ER40" s="50" t="s">
        <v>693</v>
      </c>
      <c r="ES40" s="56">
        <f t="shared" si="46"/>
        <v>2.2571428571428571</v>
      </c>
      <c r="ET40" s="57" t="s">
        <v>133</v>
      </c>
      <c r="EU40" s="58">
        <f t="shared" si="47"/>
        <v>0</v>
      </c>
      <c r="EV40" s="57" t="s">
        <v>414</v>
      </c>
      <c r="EW40" s="58">
        <f t="shared" si="48"/>
        <v>0</v>
      </c>
      <c r="EX40" s="57" t="s">
        <v>414</v>
      </c>
      <c r="EY40" s="58">
        <f t="shared" si="49"/>
        <v>0</v>
      </c>
      <c r="EZ40" s="57" t="s">
        <v>133</v>
      </c>
      <c r="FA40" s="58">
        <f t="shared" si="50"/>
        <v>0</v>
      </c>
      <c r="FB40" s="57" t="s">
        <v>68</v>
      </c>
      <c r="FC40" s="58">
        <f t="shared" si="58"/>
        <v>0.5</v>
      </c>
      <c r="FD40" s="57" t="s">
        <v>68</v>
      </c>
      <c r="FE40" s="58">
        <f t="shared" si="58"/>
        <v>0.5</v>
      </c>
      <c r="FF40" s="57" t="s">
        <v>133</v>
      </c>
      <c r="FG40" s="58">
        <f t="shared" si="52"/>
        <v>0</v>
      </c>
      <c r="FH40" s="57" t="s">
        <v>133</v>
      </c>
      <c r="FI40" s="58">
        <f t="shared" si="53"/>
        <v>0</v>
      </c>
      <c r="FJ40" s="57" t="s">
        <v>68</v>
      </c>
      <c r="FK40" s="58">
        <f t="shared" si="53"/>
        <v>0.5</v>
      </c>
      <c r="FL40" s="59" t="s">
        <v>684</v>
      </c>
      <c r="FM40" s="60">
        <f t="shared" si="54"/>
        <v>1.875</v>
      </c>
      <c r="FN40" s="61">
        <f t="shared" si="55"/>
        <v>14.418142857142858</v>
      </c>
    </row>
    <row r="41" spans="1:170" ht="79">
      <c r="A41" s="31">
        <v>39</v>
      </c>
      <c r="B41" s="32" t="s">
        <v>171</v>
      </c>
      <c r="C41" s="33" t="str">
        <f>VLOOKUP(B41,[1]Sheet1!$A:$C,2,FALSE)</f>
        <v>Max Mara S.R.L.</v>
      </c>
      <c r="D41" s="34" t="s">
        <v>412</v>
      </c>
      <c r="E41" s="35" t="str">
        <f>VLOOKUP(B41,[1]Sheet1!$A:$C,3,FALSE)</f>
        <v>Italy</v>
      </c>
      <c r="F41" s="34" t="s">
        <v>413</v>
      </c>
      <c r="G41" s="32" t="s">
        <v>173</v>
      </c>
      <c r="H41" s="36" t="s">
        <v>133</v>
      </c>
      <c r="I41" s="36" t="s">
        <v>133</v>
      </c>
      <c r="J41" s="36"/>
      <c r="K41" s="36" t="s">
        <v>431</v>
      </c>
      <c r="L41" s="36" t="s">
        <v>133</v>
      </c>
      <c r="M41" s="37">
        <f t="shared" si="4"/>
        <v>0</v>
      </c>
      <c r="N41" s="36">
        <v>1.3759999999999999</v>
      </c>
      <c r="O41" s="38">
        <f t="shared" si="5"/>
        <v>1.4300000000000002</v>
      </c>
      <c r="P41" s="36" t="s">
        <v>416</v>
      </c>
      <c r="Q41" s="39">
        <v>0.5</v>
      </c>
      <c r="R41" s="36" t="s">
        <v>68</v>
      </c>
      <c r="S41" s="37">
        <f t="shared" si="6"/>
        <v>0.5</v>
      </c>
      <c r="T41" s="36" t="s">
        <v>133</v>
      </c>
      <c r="U41" s="37">
        <f t="shared" si="7"/>
        <v>0.5</v>
      </c>
      <c r="V41" s="36" t="s">
        <v>68</v>
      </c>
      <c r="W41" s="36" t="s">
        <v>133</v>
      </c>
      <c r="X41" s="37">
        <f t="shared" si="8"/>
        <v>0</v>
      </c>
      <c r="Y41" s="36" t="s">
        <v>133</v>
      </c>
      <c r="Z41" s="40" t="s">
        <v>694</v>
      </c>
      <c r="AA41" s="41">
        <f t="shared" si="9"/>
        <v>2.93</v>
      </c>
      <c r="AB41" s="36">
        <v>0</v>
      </c>
      <c r="AC41" s="42">
        <f t="shared" si="0"/>
        <v>0.5</v>
      </c>
      <c r="AD41" s="36" t="s">
        <v>133</v>
      </c>
      <c r="AE41" s="42">
        <f t="shared" si="10"/>
        <v>0.25</v>
      </c>
      <c r="AF41" s="36" t="s">
        <v>421</v>
      </c>
      <c r="AG41" s="36">
        <v>4</v>
      </c>
      <c r="AH41" s="42">
        <f t="shared" si="11"/>
        <v>0.20699999999999996</v>
      </c>
      <c r="AI41" s="68" t="s">
        <v>133</v>
      </c>
      <c r="AJ41" s="42">
        <f t="shared" si="1"/>
        <v>0</v>
      </c>
      <c r="AK41" s="36" t="s">
        <v>133</v>
      </c>
      <c r="AL41" s="36" t="s">
        <v>421</v>
      </c>
      <c r="AM41" s="36" t="s">
        <v>421</v>
      </c>
      <c r="AN41" s="36" t="s">
        <v>421</v>
      </c>
      <c r="AO41" s="36" t="s">
        <v>421</v>
      </c>
      <c r="AP41" s="42">
        <f t="shared" si="12"/>
        <v>0</v>
      </c>
      <c r="AQ41" s="36" t="s">
        <v>421</v>
      </c>
      <c r="AR41" s="36" t="s">
        <v>421</v>
      </c>
      <c r="AS41" s="42">
        <f t="shared" si="13"/>
        <v>0</v>
      </c>
      <c r="AT41" s="36" t="s">
        <v>421</v>
      </c>
      <c r="AU41" s="36" t="s">
        <v>421</v>
      </c>
      <c r="AV41" s="42">
        <f t="shared" si="14"/>
        <v>0</v>
      </c>
      <c r="AW41" s="36" t="s">
        <v>421</v>
      </c>
      <c r="AX41" s="36" t="s">
        <v>421</v>
      </c>
      <c r="AY41" s="42">
        <f t="shared" si="15"/>
        <v>0</v>
      </c>
      <c r="AZ41" s="36" t="s">
        <v>421</v>
      </c>
      <c r="BA41" s="36" t="s">
        <v>421</v>
      </c>
      <c r="BB41" s="42" t="str">
        <f t="shared" si="57"/>
        <v>CHECK</v>
      </c>
      <c r="BC41" s="36" t="s">
        <v>421</v>
      </c>
      <c r="BD41" s="42">
        <f t="shared" si="16"/>
        <v>0</v>
      </c>
      <c r="BE41" s="36" t="s">
        <v>421</v>
      </c>
      <c r="BF41" s="42">
        <f t="shared" si="17"/>
        <v>0</v>
      </c>
      <c r="BG41" s="36" t="s">
        <v>421</v>
      </c>
      <c r="BH41" s="36" t="s">
        <v>421</v>
      </c>
      <c r="BI41" s="42">
        <f t="shared" si="18"/>
        <v>0</v>
      </c>
      <c r="BJ41" s="36" t="s">
        <v>421</v>
      </c>
      <c r="BK41" s="36" t="s">
        <v>421</v>
      </c>
      <c r="BL41" s="36" t="s">
        <v>421</v>
      </c>
      <c r="BM41" s="36" t="s">
        <v>421</v>
      </c>
      <c r="BN41" s="36" t="s">
        <v>421</v>
      </c>
      <c r="BO41" s="36" t="s">
        <v>421</v>
      </c>
      <c r="BP41" s="42">
        <f t="shared" si="19"/>
        <v>0</v>
      </c>
      <c r="BQ41" s="36" t="s">
        <v>421</v>
      </c>
      <c r="BR41" s="36" t="s">
        <v>421</v>
      </c>
      <c r="BS41" s="36" t="s">
        <v>421</v>
      </c>
      <c r="BT41" s="36" t="s">
        <v>421</v>
      </c>
      <c r="BU41" s="36" t="s">
        <v>421</v>
      </c>
      <c r="BV41" s="36" t="s">
        <v>421</v>
      </c>
      <c r="BW41" s="43" t="s">
        <v>695</v>
      </c>
      <c r="BX41" s="44">
        <f t="shared" si="20"/>
        <v>0.95699999999999996</v>
      </c>
      <c r="BY41" s="45" t="s">
        <v>133</v>
      </c>
      <c r="BZ41" s="46">
        <f t="shared" si="21"/>
        <v>0</v>
      </c>
      <c r="CA41" s="45" t="s">
        <v>133</v>
      </c>
      <c r="CB41" s="46">
        <f t="shared" si="22"/>
        <v>0</v>
      </c>
      <c r="CC41" s="36" t="s">
        <v>421</v>
      </c>
      <c r="CD41" s="46">
        <f t="shared" si="23"/>
        <v>0</v>
      </c>
      <c r="CE41" s="45" t="s">
        <v>421</v>
      </c>
      <c r="CF41" s="45" t="s">
        <v>133</v>
      </c>
      <c r="CG41" s="47">
        <v>0</v>
      </c>
      <c r="CH41" s="45" t="s">
        <v>133</v>
      </c>
      <c r="CI41" s="48">
        <f t="shared" si="24"/>
        <v>0</v>
      </c>
      <c r="CJ41" s="49" t="s">
        <v>68</v>
      </c>
      <c r="CK41" s="49" t="s">
        <v>133</v>
      </c>
      <c r="CL41" s="50" t="s">
        <v>684</v>
      </c>
      <c r="CM41" s="49" t="s">
        <v>133</v>
      </c>
      <c r="CN41" s="46">
        <f t="shared" si="25"/>
        <v>0</v>
      </c>
      <c r="CO41" s="49" t="s">
        <v>133</v>
      </c>
      <c r="CP41" s="48">
        <f t="shared" si="26"/>
        <v>0</v>
      </c>
      <c r="CQ41" s="49" t="s">
        <v>133</v>
      </c>
      <c r="CR41" s="48">
        <f t="shared" si="27"/>
        <v>0</v>
      </c>
      <c r="CS41" s="49" t="s">
        <v>133</v>
      </c>
      <c r="CT41" s="48">
        <f t="shared" si="28"/>
        <v>0</v>
      </c>
      <c r="CU41" s="49" t="s">
        <v>133</v>
      </c>
      <c r="CV41" s="48">
        <f t="shared" si="29"/>
        <v>0</v>
      </c>
      <c r="CW41" s="50" t="s">
        <v>696</v>
      </c>
      <c r="CX41" s="51">
        <f t="shared" si="30"/>
        <v>0</v>
      </c>
      <c r="CY41" s="52" t="s">
        <v>133</v>
      </c>
      <c r="CZ41" s="53">
        <f t="shared" si="31"/>
        <v>0</v>
      </c>
      <c r="DA41" s="52">
        <v>0</v>
      </c>
      <c r="DB41" s="53">
        <f t="shared" si="32"/>
        <v>0</v>
      </c>
      <c r="DC41" s="52" t="s">
        <v>133</v>
      </c>
      <c r="DD41" s="53">
        <f t="shared" si="33"/>
        <v>0</v>
      </c>
      <c r="DE41" s="52" t="s">
        <v>133</v>
      </c>
      <c r="DF41" s="53">
        <f t="shared" si="34"/>
        <v>0</v>
      </c>
      <c r="DG41" s="50" t="s">
        <v>133</v>
      </c>
      <c r="DH41" s="50" t="s">
        <v>133</v>
      </c>
      <c r="DI41" s="50" t="s">
        <v>133</v>
      </c>
      <c r="DJ41" s="50" t="s">
        <v>133</v>
      </c>
      <c r="DK41" s="50" t="s">
        <v>133</v>
      </c>
      <c r="DL41" s="50" t="s">
        <v>133</v>
      </c>
      <c r="DM41" s="50" t="s">
        <v>133</v>
      </c>
      <c r="DN41" s="50" t="s">
        <v>133</v>
      </c>
      <c r="DO41" s="50" t="s">
        <v>133</v>
      </c>
      <c r="DP41" s="52" t="s">
        <v>133</v>
      </c>
      <c r="DQ41" s="50" t="s">
        <v>133</v>
      </c>
      <c r="DR41" s="52" t="s">
        <v>133</v>
      </c>
      <c r="DS41" s="53">
        <f t="shared" si="3"/>
        <v>0</v>
      </c>
      <c r="DT41" s="52" t="s">
        <v>133</v>
      </c>
      <c r="DU41" s="53">
        <f t="shared" si="35"/>
        <v>0</v>
      </c>
      <c r="DV41" s="52" t="s">
        <v>133</v>
      </c>
      <c r="DW41" s="53">
        <f t="shared" si="36"/>
        <v>0</v>
      </c>
      <c r="DX41" s="52" t="s">
        <v>133</v>
      </c>
      <c r="DY41" s="53">
        <f t="shared" si="37"/>
        <v>0</v>
      </c>
      <c r="DZ41" s="52" t="s">
        <v>133</v>
      </c>
      <c r="EA41" s="53">
        <f t="shared" si="38"/>
        <v>0</v>
      </c>
      <c r="EB41" s="52" t="s">
        <v>133</v>
      </c>
      <c r="EC41" s="53">
        <f t="shared" si="39"/>
        <v>0</v>
      </c>
      <c r="ED41" s="52" t="s">
        <v>421</v>
      </c>
      <c r="EE41" s="54">
        <f t="shared" si="40"/>
        <v>0</v>
      </c>
      <c r="EF41" s="50" t="s">
        <v>421</v>
      </c>
      <c r="EG41" s="55">
        <v>0</v>
      </c>
      <c r="EH41" s="50" t="s">
        <v>133</v>
      </c>
      <c r="EI41" s="55">
        <f t="shared" si="42"/>
        <v>0</v>
      </c>
      <c r="EJ41" s="50" t="s">
        <v>133</v>
      </c>
      <c r="EK41" s="55">
        <f t="shared" si="43"/>
        <v>0</v>
      </c>
      <c r="EL41" s="50" t="s">
        <v>133</v>
      </c>
      <c r="EM41" s="55">
        <f t="shared" si="44"/>
        <v>0</v>
      </c>
      <c r="EN41" s="50" t="s">
        <v>133</v>
      </c>
      <c r="EO41" s="55">
        <f t="shared" si="45"/>
        <v>0</v>
      </c>
      <c r="EP41" s="50" t="s">
        <v>133</v>
      </c>
      <c r="EQ41" s="55">
        <f t="shared" si="45"/>
        <v>0</v>
      </c>
      <c r="ER41" s="50" t="s">
        <v>684</v>
      </c>
      <c r="ES41" s="56">
        <f t="shared" si="46"/>
        <v>0</v>
      </c>
      <c r="ET41" s="57" t="s">
        <v>133</v>
      </c>
      <c r="EU41" s="58">
        <f t="shared" si="47"/>
        <v>0</v>
      </c>
      <c r="EV41" s="57" t="s">
        <v>414</v>
      </c>
      <c r="EW41" s="58">
        <f t="shared" si="48"/>
        <v>0</v>
      </c>
      <c r="EX41" s="57" t="s">
        <v>414</v>
      </c>
      <c r="EY41" s="58">
        <f t="shared" si="49"/>
        <v>0</v>
      </c>
      <c r="EZ41" s="57" t="s">
        <v>133</v>
      </c>
      <c r="FA41" s="58">
        <f t="shared" si="50"/>
        <v>0</v>
      </c>
      <c r="FB41" s="57" t="s">
        <v>133</v>
      </c>
      <c r="FC41" s="58">
        <f t="shared" si="58"/>
        <v>0</v>
      </c>
      <c r="FD41" s="57" t="s">
        <v>133</v>
      </c>
      <c r="FE41" s="58">
        <f t="shared" si="58"/>
        <v>0</v>
      </c>
      <c r="FF41" s="57" t="s">
        <v>133</v>
      </c>
      <c r="FG41" s="58">
        <f t="shared" si="52"/>
        <v>0</v>
      </c>
      <c r="FH41" s="57" t="s">
        <v>133</v>
      </c>
      <c r="FI41" s="58">
        <f t="shared" si="53"/>
        <v>0</v>
      </c>
      <c r="FJ41" s="57" t="s">
        <v>133</v>
      </c>
      <c r="FK41" s="58">
        <f t="shared" si="53"/>
        <v>0</v>
      </c>
      <c r="FL41" s="59" t="s">
        <v>684</v>
      </c>
      <c r="FM41" s="60">
        <f t="shared" si="54"/>
        <v>0</v>
      </c>
      <c r="FN41" s="61">
        <f t="shared" si="55"/>
        <v>3.887</v>
      </c>
    </row>
    <row r="42" spans="1:170" ht="97">
      <c r="A42" s="31">
        <v>40</v>
      </c>
      <c r="B42" s="32" t="s">
        <v>174</v>
      </c>
      <c r="C42" s="33" t="str">
        <f>VLOOKUP(B42,[1]Sheet1!$A:$C,2,FALSE)</f>
        <v>Michael Kors Inc.</v>
      </c>
      <c r="D42" s="34" t="s">
        <v>412</v>
      </c>
      <c r="E42" s="35" t="str">
        <f>VLOOKUP(B42,[1]Sheet1!$A:$C,3,FALSE)</f>
        <v>United States</v>
      </c>
      <c r="F42" s="34" t="s">
        <v>413</v>
      </c>
      <c r="G42" s="32" t="s">
        <v>176</v>
      </c>
      <c r="H42" s="36" t="s">
        <v>81</v>
      </c>
      <c r="I42" s="36" t="s">
        <v>421</v>
      </c>
      <c r="J42" s="36" t="s">
        <v>697</v>
      </c>
      <c r="K42" s="36" t="s">
        <v>446</v>
      </c>
      <c r="L42" s="36" t="s">
        <v>133</v>
      </c>
      <c r="M42" s="37">
        <f t="shared" si="4"/>
        <v>0</v>
      </c>
      <c r="N42" s="36">
        <v>2.3140000000000001</v>
      </c>
      <c r="O42" s="38">
        <f t="shared" si="5"/>
        <v>0.50800000000000001</v>
      </c>
      <c r="P42" s="36" t="s">
        <v>479</v>
      </c>
      <c r="Q42" s="39">
        <v>1</v>
      </c>
      <c r="R42" s="36" t="s">
        <v>77</v>
      </c>
      <c r="S42" s="37">
        <f t="shared" si="6"/>
        <v>0</v>
      </c>
      <c r="T42" s="36" t="s">
        <v>77</v>
      </c>
      <c r="U42" s="37">
        <f t="shared" si="7"/>
        <v>0.5</v>
      </c>
      <c r="V42" s="36" t="s">
        <v>81</v>
      </c>
      <c r="W42" s="36" t="s">
        <v>81</v>
      </c>
      <c r="X42" s="37">
        <f t="shared" si="8"/>
        <v>0.25</v>
      </c>
      <c r="Y42" s="36" t="s">
        <v>698</v>
      </c>
      <c r="Z42" s="40" t="s">
        <v>699</v>
      </c>
      <c r="AA42" s="41">
        <f t="shared" si="9"/>
        <v>2.258</v>
      </c>
      <c r="AB42" s="36">
        <v>0</v>
      </c>
      <c r="AC42" s="42">
        <f t="shared" si="0"/>
        <v>0.5</v>
      </c>
      <c r="AD42" s="36" t="s">
        <v>81</v>
      </c>
      <c r="AE42" s="42">
        <f t="shared" si="10"/>
        <v>0</v>
      </c>
      <c r="AF42" s="36" t="s">
        <v>81</v>
      </c>
      <c r="AG42" s="36">
        <v>2</v>
      </c>
      <c r="AH42" s="42">
        <f t="shared" si="11"/>
        <v>1</v>
      </c>
      <c r="AI42" s="36" t="s">
        <v>81</v>
      </c>
      <c r="AJ42" s="42">
        <f t="shared" si="1"/>
        <v>0.25</v>
      </c>
      <c r="AK42" s="36" t="s">
        <v>81</v>
      </c>
      <c r="AL42" s="36" t="s">
        <v>77</v>
      </c>
      <c r="AM42" s="36" t="s">
        <v>81</v>
      </c>
      <c r="AN42" s="36" t="s">
        <v>77</v>
      </c>
      <c r="AO42" s="36" t="s">
        <v>77</v>
      </c>
      <c r="AP42" s="42">
        <f t="shared" si="12"/>
        <v>0.25</v>
      </c>
      <c r="AQ42" s="36" t="s">
        <v>81</v>
      </c>
      <c r="AR42" s="36" t="s">
        <v>81</v>
      </c>
      <c r="AS42" s="42">
        <f t="shared" si="13"/>
        <v>0.25</v>
      </c>
      <c r="AT42" s="36" t="s">
        <v>81</v>
      </c>
      <c r="AU42" s="36" t="s">
        <v>77</v>
      </c>
      <c r="AV42" s="42">
        <f t="shared" si="14"/>
        <v>0.25</v>
      </c>
      <c r="AW42" s="36" t="s">
        <v>77</v>
      </c>
      <c r="AX42" s="36" t="s">
        <v>81</v>
      </c>
      <c r="AY42" s="42">
        <f t="shared" si="15"/>
        <v>0.25</v>
      </c>
      <c r="AZ42" s="36" t="s">
        <v>700</v>
      </c>
      <c r="BA42" s="36" t="s">
        <v>81</v>
      </c>
      <c r="BB42" s="42">
        <f t="shared" si="57"/>
        <v>0.25</v>
      </c>
      <c r="BC42" s="36" t="s">
        <v>81</v>
      </c>
      <c r="BD42" s="42">
        <f t="shared" si="16"/>
        <v>0.5</v>
      </c>
      <c r="BE42" s="36" t="s">
        <v>81</v>
      </c>
      <c r="BF42" s="42">
        <f t="shared" si="17"/>
        <v>0.25</v>
      </c>
      <c r="BG42" s="36" t="s">
        <v>81</v>
      </c>
      <c r="BH42" s="36" t="s">
        <v>81</v>
      </c>
      <c r="BI42" s="42">
        <f t="shared" si="18"/>
        <v>0.5</v>
      </c>
      <c r="BJ42" s="36" t="s">
        <v>81</v>
      </c>
      <c r="BK42" s="36" t="s">
        <v>81</v>
      </c>
      <c r="BL42" s="36" t="s">
        <v>77</v>
      </c>
      <c r="BM42" s="36" t="s">
        <v>77</v>
      </c>
      <c r="BN42" s="36" t="s">
        <v>77</v>
      </c>
      <c r="BO42" s="36" t="s">
        <v>81</v>
      </c>
      <c r="BP42" s="42">
        <f t="shared" si="19"/>
        <v>0.5</v>
      </c>
      <c r="BQ42" s="36" t="s">
        <v>81</v>
      </c>
      <c r="BR42" s="36" t="s">
        <v>77</v>
      </c>
      <c r="BS42" s="36" t="s">
        <v>81</v>
      </c>
      <c r="BT42" s="36" t="s">
        <v>77</v>
      </c>
      <c r="BU42" s="36" t="s">
        <v>77</v>
      </c>
      <c r="BV42" s="36" t="s">
        <v>77</v>
      </c>
      <c r="BW42" s="43" t="s">
        <v>701</v>
      </c>
      <c r="BX42" s="44">
        <f t="shared" si="20"/>
        <v>4.75</v>
      </c>
      <c r="BY42" s="45" t="s">
        <v>81</v>
      </c>
      <c r="BZ42" s="46">
        <f t="shared" si="21"/>
        <v>0.5</v>
      </c>
      <c r="CA42" s="45" t="s">
        <v>81</v>
      </c>
      <c r="CB42" s="46">
        <f t="shared" si="22"/>
        <v>0.75</v>
      </c>
      <c r="CC42" s="36" t="s">
        <v>81</v>
      </c>
      <c r="CD42" s="46">
        <f t="shared" si="23"/>
        <v>0.5</v>
      </c>
      <c r="CE42" s="45" t="s">
        <v>81</v>
      </c>
      <c r="CF42" s="45" t="s">
        <v>81</v>
      </c>
      <c r="CG42" s="47">
        <v>0.5</v>
      </c>
      <c r="CH42" s="45" t="s">
        <v>133</v>
      </c>
      <c r="CI42" s="48">
        <f t="shared" si="24"/>
        <v>0</v>
      </c>
      <c r="CJ42" s="49" t="s">
        <v>81</v>
      </c>
      <c r="CK42" s="49" t="s">
        <v>81</v>
      </c>
      <c r="CL42" s="50" t="s">
        <v>702</v>
      </c>
      <c r="CM42" s="49" t="s">
        <v>81</v>
      </c>
      <c r="CN42" s="46">
        <f t="shared" si="25"/>
        <v>0.5</v>
      </c>
      <c r="CO42" s="49" t="s">
        <v>77</v>
      </c>
      <c r="CP42" s="48">
        <f t="shared" si="26"/>
        <v>0</v>
      </c>
      <c r="CQ42" s="49" t="s">
        <v>77</v>
      </c>
      <c r="CR42" s="48">
        <f t="shared" si="27"/>
        <v>0</v>
      </c>
      <c r="CS42" s="49" t="s">
        <v>81</v>
      </c>
      <c r="CT42" s="48">
        <f t="shared" si="28"/>
        <v>0.5</v>
      </c>
      <c r="CU42" s="49" t="s">
        <v>77</v>
      </c>
      <c r="CV42" s="48">
        <f t="shared" si="29"/>
        <v>0</v>
      </c>
      <c r="CW42" s="50" t="s">
        <v>703</v>
      </c>
      <c r="CX42" s="51">
        <f t="shared" si="30"/>
        <v>3.25</v>
      </c>
      <c r="CY42" s="52" t="s">
        <v>81</v>
      </c>
      <c r="CZ42" s="53">
        <f t="shared" si="31"/>
        <v>0.5</v>
      </c>
      <c r="DA42" s="52">
        <v>2</v>
      </c>
      <c r="DB42" s="53">
        <f t="shared" si="32"/>
        <v>0.23799999999999999</v>
      </c>
      <c r="DC42" s="52" t="s">
        <v>77</v>
      </c>
      <c r="DD42" s="53">
        <f t="shared" si="33"/>
        <v>0</v>
      </c>
      <c r="DE42" s="52" t="s">
        <v>81</v>
      </c>
      <c r="DF42" s="53">
        <f t="shared" si="34"/>
        <v>0.5</v>
      </c>
      <c r="DG42" s="50" t="s">
        <v>77</v>
      </c>
      <c r="DH42" s="50" t="s">
        <v>77</v>
      </c>
      <c r="DI42" s="50" t="s">
        <v>81</v>
      </c>
      <c r="DJ42" s="50" t="s">
        <v>81</v>
      </c>
      <c r="DK42" s="50" t="s">
        <v>77</v>
      </c>
      <c r="DL42" s="50" t="s">
        <v>77</v>
      </c>
      <c r="DM42" s="50" t="s">
        <v>81</v>
      </c>
      <c r="DN42" s="50" t="s">
        <v>77</v>
      </c>
      <c r="DO42" s="50" t="s">
        <v>81</v>
      </c>
      <c r="DP42" s="52" t="s">
        <v>81</v>
      </c>
      <c r="DQ42" s="50" t="s">
        <v>77</v>
      </c>
      <c r="DR42" s="52" t="s">
        <v>77</v>
      </c>
      <c r="DS42" s="53">
        <f t="shared" si="3"/>
        <v>0.25</v>
      </c>
      <c r="DT42" s="52" t="s">
        <v>77</v>
      </c>
      <c r="DU42" s="53">
        <f t="shared" si="35"/>
        <v>0</v>
      </c>
      <c r="DV42" s="52" t="s">
        <v>77</v>
      </c>
      <c r="DW42" s="53">
        <f t="shared" si="36"/>
        <v>0</v>
      </c>
      <c r="DX42" s="52" t="s">
        <v>81</v>
      </c>
      <c r="DY42" s="53">
        <f t="shared" si="37"/>
        <v>0.5</v>
      </c>
      <c r="DZ42" s="52" t="s">
        <v>77</v>
      </c>
      <c r="EA42" s="53">
        <f t="shared" si="38"/>
        <v>0</v>
      </c>
      <c r="EB42" s="52" t="s">
        <v>81</v>
      </c>
      <c r="EC42" s="53">
        <f t="shared" si="39"/>
        <v>0.25</v>
      </c>
      <c r="ED42" s="52" t="s">
        <v>704</v>
      </c>
      <c r="EE42" s="54">
        <f t="shared" si="40"/>
        <v>2.238</v>
      </c>
      <c r="EF42" s="50">
        <v>4</v>
      </c>
      <c r="EG42" s="55">
        <f t="shared" si="41"/>
        <v>0.84</v>
      </c>
      <c r="EH42" s="50" t="s">
        <v>81</v>
      </c>
      <c r="EI42" s="55">
        <f t="shared" si="42"/>
        <v>0.5</v>
      </c>
      <c r="EJ42" s="50" t="s">
        <v>81</v>
      </c>
      <c r="EK42" s="55">
        <f t="shared" si="43"/>
        <v>0.5</v>
      </c>
      <c r="EL42" s="50" t="s">
        <v>77</v>
      </c>
      <c r="EM42" s="55">
        <f t="shared" si="44"/>
        <v>0</v>
      </c>
      <c r="EN42" s="50" t="s">
        <v>81</v>
      </c>
      <c r="EO42" s="55">
        <f t="shared" si="45"/>
        <v>0.5</v>
      </c>
      <c r="EP42" s="50" t="s">
        <v>133</v>
      </c>
      <c r="EQ42" s="55">
        <f t="shared" si="45"/>
        <v>0</v>
      </c>
      <c r="ER42" s="50" t="s">
        <v>705</v>
      </c>
      <c r="ES42" s="56">
        <f t="shared" si="46"/>
        <v>3.3428571428571425</v>
      </c>
      <c r="ET42" s="57" t="s">
        <v>133</v>
      </c>
      <c r="EU42" s="58">
        <f t="shared" si="47"/>
        <v>0</v>
      </c>
      <c r="EV42" s="57" t="s">
        <v>414</v>
      </c>
      <c r="EW42" s="58">
        <f t="shared" si="48"/>
        <v>0</v>
      </c>
      <c r="EX42" s="57" t="s">
        <v>414</v>
      </c>
      <c r="EY42" s="58">
        <f t="shared" si="49"/>
        <v>0</v>
      </c>
      <c r="EZ42" s="57" t="s">
        <v>77</v>
      </c>
      <c r="FA42" s="58">
        <f t="shared" si="50"/>
        <v>0</v>
      </c>
      <c r="FB42" s="57" t="s">
        <v>81</v>
      </c>
      <c r="FC42" s="58">
        <f t="shared" si="58"/>
        <v>0.5</v>
      </c>
      <c r="FD42" s="57" t="s">
        <v>81</v>
      </c>
      <c r="FE42" s="58">
        <f t="shared" si="58"/>
        <v>0.5</v>
      </c>
      <c r="FF42" s="57" t="s">
        <v>77</v>
      </c>
      <c r="FG42" s="58">
        <f t="shared" si="52"/>
        <v>0</v>
      </c>
      <c r="FH42" s="57" t="s">
        <v>77</v>
      </c>
      <c r="FI42" s="58">
        <f t="shared" si="53"/>
        <v>0</v>
      </c>
      <c r="FJ42" s="57" t="s">
        <v>81</v>
      </c>
      <c r="FK42" s="58">
        <f t="shared" si="53"/>
        <v>0.5</v>
      </c>
      <c r="FL42" s="59" t="s">
        <v>706</v>
      </c>
      <c r="FM42" s="60">
        <f t="shared" si="54"/>
        <v>1.875</v>
      </c>
      <c r="FN42" s="61">
        <f t="shared" si="55"/>
        <v>17.713857142857144</v>
      </c>
    </row>
    <row r="43" spans="1:170" ht="66">
      <c r="A43" s="31">
        <v>41</v>
      </c>
      <c r="B43" s="72" t="s">
        <v>177</v>
      </c>
      <c r="C43" s="33" t="str">
        <f>VLOOKUP(B43,[1]Sheet1!$A:$C,2,FALSE)</f>
        <v>Missoni S.p.A.</v>
      </c>
      <c r="D43" s="34" t="s">
        <v>412</v>
      </c>
      <c r="E43" s="35" t="str">
        <f>VLOOKUP(B43,[1]Sheet1!$A:$C,3,FALSE)</f>
        <v>Italy</v>
      </c>
      <c r="F43" s="34" t="s">
        <v>413</v>
      </c>
      <c r="G43" s="32" t="s">
        <v>179</v>
      </c>
      <c r="H43" s="36" t="s">
        <v>133</v>
      </c>
      <c r="I43" s="36" t="s">
        <v>68</v>
      </c>
      <c r="J43" s="36" t="s">
        <v>421</v>
      </c>
      <c r="K43" s="66" t="s">
        <v>707</v>
      </c>
      <c r="L43" s="66" t="s">
        <v>133</v>
      </c>
      <c r="M43" s="37">
        <f t="shared" si="4"/>
        <v>0</v>
      </c>
      <c r="N43" s="67">
        <f>AVERAGE(N42,N48,N31)</f>
        <v>2.8476666666666666</v>
      </c>
      <c r="O43" s="38">
        <f t="shared" si="5"/>
        <v>0.254</v>
      </c>
      <c r="P43" s="36" t="s">
        <v>416</v>
      </c>
      <c r="Q43" s="39">
        <v>0.5</v>
      </c>
      <c r="R43" s="36" t="s">
        <v>68</v>
      </c>
      <c r="S43" s="37">
        <f t="shared" si="6"/>
        <v>0.5</v>
      </c>
      <c r="T43" s="36" t="s">
        <v>68</v>
      </c>
      <c r="U43" s="37">
        <f t="shared" si="7"/>
        <v>0</v>
      </c>
      <c r="V43" s="36" t="s">
        <v>133</v>
      </c>
      <c r="W43" s="36" t="s">
        <v>414</v>
      </c>
      <c r="X43" s="37">
        <f t="shared" si="8"/>
        <v>0</v>
      </c>
      <c r="Y43" s="36" t="s">
        <v>414</v>
      </c>
      <c r="Z43" s="40" t="s">
        <v>708</v>
      </c>
      <c r="AA43" s="41">
        <f t="shared" si="9"/>
        <v>1.254</v>
      </c>
      <c r="AB43" s="36">
        <v>1</v>
      </c>
      <c r="AC43" s="42">
        <f t="shared" si="0"/>
        <v>0.1855</v>
      </c>
      <c r="AD43" s="36" t="s">
        <v>133</v>
      </c>
      <c r="AE43" s="42">
        <f t="shared" si="10"/>
        <v>0.25</v>
      </c>
      <c r="AF43" s="36" t="s">
        <v>414</v>
      </c>
      <c r="AG43" s="36">
        <v>4</v>
      </c>
      <c r="AH43" s="42">
        <f t="shared" si="11"/>
        <v>0.20699999999999996</v>
      </c>
      <c r="AI43" s="36" t="s">
        <v>133</v>
      </c>
      <c r="AJ43" s="42">
        <f t="shared" si="1"/>
        <v>0</v>
      </c>
      <c r="AK43" s="36" t="s">
        <v>133</v>
      </c>
      <c r="AL43" s="36" t="s">
        <v>414</v>
      </c>
      <c r="AM43" s="36" t="s">
        <v>414</v>
      </c>
      <c r="AN43" s="36" t="s">
        <v>414</v>
      </c>
      <c r="AO43" s="36" t="s">
        <v>414</v>
      </c>
      <c r="AP43" s="42">
        <f t="shared" si="12"/>
        <v>0</v>
      </c>
      <c r="AQ43" s="36" t="s">
        <v>133</v>
      </c>
      <c r="AR43" s="68" t="s">
        <v>414</v>
      </c>
      <c r="AS43" s="42">
        <f t="shared" si="13"/>
        <v>0</v>
      </c>
      <c r="AT43" s="68" t="s">
        <v>414</v>
      </c>
      <c r="AU43" s="68" t="s">
        <v>414</v>
      </c>
      <c r="AV43" s="42">
        <f t="shared" si="14"/>
        <v>0</v>
      </c>
      <c r="AW43" s="68" t="s">
        <v>414</v>
      </c>
      <c r="AX43" s="36" t="s">
        <v>133</v>
      </c>
      <c r="AY43" s="42">
        <f t="shared" si="15"/>
        <v>0</v>
      </c>
      <c r="AZ43" s="36" t="s">
        <v>709</v>
      </c>
      <c r="BA43" s="36" t="s">
        <v>133</v>
      </c>
      <c r="BB43" s="42">
        <f t="shared" si="57"/>
        <v>0</v>
      </c>
      <c r="BC43" s="68" t="s">
        <v>414</v>
      </c>
      <c r="BD43" s="42">
        <f t="shared" si="16"/>
        <v>0</v>
      </c>
      <c r="BE43" s="68" t="s">
        <v>414</v>
      </c>
      <c r="BF43" s="42">
        <f t="shared" si="17"/>
        <v>0</v>
      </c>
      <c r="BG43" s="68" t="s">
        <v>414</v>
      </c>
      <c r="BH43" s="68" t="s">
        <v>414</v>
      </c>
      <c r="BI43" s="42">
        <f t="shared" si="18"/>
        <v>0</v>
      </c>
      <c r="BJ43" s="68" t="s">
        <v>414</v>
      </c>
      <c r="BK43" s="68" t="s">
        <v>414</v>
      </c>
      <c r="BL43" s="68" t="s">
        <v>414</v>
      </c>
      <c r="BM43" s="68" t="s">
        <v>414</v>
      </c>
      <c r="BN43" s="68" t="s">
        <v>414</v>
      </c>
      <c r="BO43" s="68" t="s">
        <v>414</v>
      </c>
      <c r="BP43" s="42">
        <f t="shared" si="19"/>
        <v>0</v>
      </c>
      <c r="BQ43" s="68" t="s">
        <v>414</v>
      </c>
      <c r="BR43" s="68" t="s">
        <v>414</v>
      </c>
      <c r="BS43" s="68" t="s">
        <v>414</v>
      </c>
      <c r="BT43" s="68" t="s">
        <v>414</v>
      </c>
      <c r="BU43" s="68" t="s">
        <v>414</v>
      </c>
      <c r="BV43" s="68" t="s">
        <v>414</v>
      </c>
      <c r="BW43" s="68" t="s">
        <v>651</v>
      </c>
      <c r="BX43" s="44">
        <f t="shared" si="20"/>
        <v>0.64249999999999996</v>
      </c>
      <c r="BY43" s="45" t="s">
        <v>133</v>
      </c>
      <c r="BZ43" s="46">
        <f t="shared" si="21"/>
        <v>0</v>
      </c>
      <c r="CA43" s="45" t="s">
        <v>133</v>
      </c>
      <c r="CB43" s="46">
        <f t="shared" si="22"/>
        <v>0</v>
      </c>
      <c r="CC43" s="68" t="s">
        <v>414</v>
      </c>
      <c r="CD43" s="46">
        <f t="shared" si="23"/>
        <v>0</v>
      </c>
      <c r="CE43" s="68" t="s">
        <v>414</v>
      </c>
      <c r="CF43" s="45" t="s">
        <v>133</v>
      </c>
      <c r="CG43" s="47">
        <v>0</v>
      </c>
      <c r="CH43" s="45" t="s">
        <v>133</v>
      </c>
      <c r="CI43" s="48">
        <f t="shared" si="24"/>
        <v>0</v>
      </c>
      <c r="CJ43" s="49" t="s">
        <v>68</v>
      </c>
      <c r="CK43" s="49" t="s">
        <v>133</v>
      </c>
      <c r="CL43" s="75" t="s">
        <v>414</v>
      </c>
      <c r="CM43" s="49" t="s">
        <v>133</v>
      </c>
      <c r="CN43" s="46">
        <f t="shared" si="25"/>
        <v>0</v>
      </c>
      <c r="CO43" s="49" t="s">
        <v>133</v>
      </c>
      <c r="CP43" s="48">
        <f t="shared" si="26"/>
        <v>0</v>
      </c>
      <c r="CQ43" s="49" t="s">
        <v>133</v>
      </c>
      <c r="CR43" s="48">
        <f t="shared" si="27"/>
        <v>0</v>
      </c>
      <c r="CS43" s="49" t="s">
        <v>133</v>
      </c>
      <c r="CT43" s="48">
        <f t="shared" si="28"/>
        <v>0</v>
      </c>
      <c r="CU43" s="49" t="s">
        <v>133</v>
      </c>
      <c r="CV43" s="48">
        <f t="shared" si="29"/>
        <v>0</v>
      </c>
      <c r="CW43" s="50" t="s">
        <v>710</v>
      </c>
      <c r="CX43" s="51">
        <f t="shared" si="30"/>
        <v>0</v>
      </c>
      <c r="CY43" s="52" t="s">
        <v>133</v>
      </c>
      <c r="CZ43" s="53">
        <f t="shared" si="31"/>
        <v>0</v>
      </c>
      <c r="DA43" s="52">
        <v>1</v>
      </c>
      <c r="DB43" s="53">
        <f t="shared" si="32"/>
        <v>3.1E-2</v>
      </c>
      <c r="DC43" s="52" t="s">
        <v>133</v>
      </c>
      <c r="DD43" s="53">
        <f t="shared" si="33"/>
        <v>0</v>
      </c>
      <c r="DE43" s="52" t="s">
        <v>133</v>
      </c>
      <c r="DF43" s="53">
        <f t="shared" si="34"/>
        <v>0</v>
      </c>
      <c r="DG43" s="50" t="s">
        <v>133</v>
      </c>
      <c r="DH43" s="50" t="s">
        <v>133</v>
      </c>
      <c r="DI43" s="50" t="s">
        <v>133</v>
      </c>
      <c r="DJ43" s="50" t="s">
        <v>133</v>
      </c>
      <c r="DK43" s="50" t="s">
        <v>133</v>
      </c>
      <c r="DL43" s="50" t="s">
        <v>133</v>
      </c>
      <c r="DM43" s="50" t="s">
        <v>133</v>
      </c>
      <c r="DN43" s="50" t="s">
        <v>133</v>
      </c>
      <c r="DO43" s="50" t="s">
        <v>133</v>
      </c>
      <c r="DP43" s="52" t="s">
        <v>133</v>
      </c>
      <c r="DQ43" s="50" t="s">
        <v>133</v>
      </c>
      <c r="DR43" s="52" t="s">
        <v>133</v>
      </c>
      <c r="DS43" s="53">
        <f t="shared" si="3"/>
        <v>0</v>
      </c>
      <c r="DT43" s="52" t="s">
        <v>133</v>
      </c>
      <c r="DU43" s="53">
        <f t="shared" si="35"/>
        <v>0</v>
      </c>
      <c r="DV43" s="52" t="s">
        <v>133</v>
      </c>
      <c r="DW43" s="53">
        <f t="shared" si="36"/>
        <v>0</v>
      </c>
      <c r="DX43" s="52" t="s">
        <v>133</v>
      </c>
      <c r="DY43" s="53">
        <f t="shared" si="37"/>
        <v>0</v>
      </c>
      <c r="DZ43" s="52" t="s">
        <v>133</v>
      </c>
      <c r="EA43" s="53">
        <f t="shared" si="38"/>
        <v>0</v>
      </c>
      <c r="EB43" s="52" t="s">
        <v>133</v>
      </c>
      <c r="EC43" s="53">
        <f t="shared" si="39"/>
        <v>0</v>
      </c>
      <c r="ED43" s="52" t="s">
        <v>711</v>
      </c>
      <c r="EE43" s="54">
        <f t="shared" si="40"/>
        <v>3.1E-2</v>
      </c>
      <c r="EF43" s="50" t="s">
        <v>414</v>
      </c>
      <c r="EG43" s="55">
        <v>0</v>
      </c>
      <c r="EH43" s="50" t="s">
        <v>414</v>
      </c>
      <c r="EI43" s="55">
        <f t="shared" si="42"/>
        <v>0</v>
      </c>
      <c r="EJ43" s="50" t="s">
        <v>414</v>
      </c>
      <c r="EK43" s="55">
        <f t="shared" si="43"/>
        <v>0</v>
      </c>
      <c r="EL43" s="50" t="s">
        <v>414</v>
      </c>
      <c r="EM43" s="55">
        <f t="shared" si="44"/>
        <v>0</v>
      </c>
      <c r="EN43" s="50" t="s">
        <v>414</v>
      </c>
      <c r="EO43" s="55">
        <f t="shared" si="45"/>
        <v>0</v>
      </c>
      <c r="EP43" s="50" t="s">
        <v>133</v>
      </c>
      <c r="EQ43" s="55">
        <f t="shared" si="45"/>
        <v>0</v>
      </c>
      <c r="ER43" s="50" t="s">
        <v>577</v>
      </c>
      <c r="ES43" s="56">
        <f t="shared" si="46"/>
        <v>0</v>
      </c>
      <c r="ET43" s="75" t="s">
        <v>133</v>
      </c>
      <c r="EU43" s="58">
        <f t="shared" si="47"/>
        <v>0</v>
      </c>
      <c r="EV43" s="75" t="s">
        <v>414</v>
      </c>
      <c r="EW43" s="58">
        <f t="shared" si="48"/>
        <v>0</v>
      </c>
      <c r="EX43" s="75" t="s">
        <v>414</v>
      </c>
      <c r="EY43" s="58">
        <f t="shared" si="49"/>
        <v>0</v>
      </c>
      <c r="EZ43" s="75" t="s">
        <v>414</v>
      </c>
      <c r="FA43" s="58">
        <f t="shared" si="50"/>
        <v>0</v>
      </c>
      <c r="FB43" s="75" t="s">
        <v>414</v>
      </c>
      <c r="FC43" s="58">
        <f t="shared" si="58"/>
        <v>0</v>
      </c>
      <c r="FD43" s="75" t="s">
        <v>414</v>
      </c>
      <c r="FE43" s="58">
        <f t="shared" si="58"/>
        <v>0</v>
      </c>
      <c r="FF43" s="75" t="s">
        <v>414</v>
      </c>
      <c r="FG43" s="58">
        <f t="shared" si="52"/>
        <v>0</v>
      </c>
      <c r="FH43" s="75" t="s">
        <v>414</v>
      </c>
      <c r="FI43" s="58">
        <f t="shared" si="53"/>
        <v>0</v>
      </c>
      <c r="FJ43" s="75" t="s">
        <v>414</v>
      </c>
      <c r="FK43" s="58">
        <f t="shared" si="53"/>
        <v>0</v>
      </c>
      <c r="FL43" s="75" t="s">
        <v>654</v>
      </c>
      <c r="FM43" s="60">
        <f t="shared" si="54"/>
        <v>0</v>
      </c>
      <c r="FN43" s="61">
        <f t="shared" si="55"/>
        <v>1.9275</v>
      </c>
    </row>
    <row r="44" spans="1:170" ht="66">
      <c r="A44" s="31">
        <v>42</v>
      </c>
      <c r="B44" s="32" t="s">
        <v>180</v>
      </c>
      <c r="C44" s="33" t="str">
        <f>VLOOKUP(B44,[1]Sheet1!$A:$C,2,FALSE)</f>
        <v>Mulberry</v>
      </c>
      <c r="D44" s="34" t="s">
        <v>412</v>
      </c>
      <c r="E44" s="35" t="str">
        <f>VLOOKUP(B44,[1]Sheet1!$A:$C,3,FALSE)</f>
        <v>United Kingdom</v>
      </c>
      <c r="F44" s="34" t="s">
        <v>413</v>
      </c>
      <c r="G44" s="32" t="s">
        <v>181</v>
      </c>
      <c r="H44" s="36" t="s">
        <v>68</v>
      </c>
      <c r="I44" s="36" t="s">
        <v>414</v>
      </c>
      <c r="J44" s="36" t="s">
        <v>414</v>
      </c>
      <c r="K44" s="70" t="s">
        <v>707</v>
      </c>
      <c r="L44" s="70" t="s">
        <v>133</v>
      </c>
      <c r="M44" s="37">
        <f t="shared" si="4"/>
        <v>0</v>
      </c>
      <c r="N44" s="71">
        <v>0.83699999999999997</v>
      </c>
      <c r="O44" s="38">
        <f t="shared" si="5"/>
        <v>1.9379999999999999</v>
      </c>
      <c r="P44" s="36" t="s">
        <v>416</v>
      </c>
      <c r="Q44" s="39">
        <v>0.5</v>
      </c>
      <c r="R44" s="36" t="s">
        <v>133</v>
      </c>
      <c r="S44" s="37">
        <f t="shared" si="6"/>
        <v>0</v>
      </c>
      <c r="T44" s="36" t="s">
        <v>68</v>
      </c>
      <c r="U44" s="37">
        <f t="shared" si="7"/>
        <v>0</v>
      </c>
      <c r="V44" s="36" t="s">
        <v>68</v>
      </c>
      <c r="W44" s="36" t="s">
        <v>133</v>
      </c>
      <c r="X44" s="37">
        <f t="shared" si="8"/>
        <v>0</v>
      </c>
      <c r="Y44" s="36" t="s">
        <v>414</v>
      </c>
      <c r="Z44" s="40" t="s">
        <v>712</v>
      </c>
      <c r="AA44" s="41">
        <f t="shared" si="9"/>
        <v>2.4379999999999997</v>
      </c>
      <c r="AB44" s="36">
        <v>1</v>
      </c>
      <c r="AC44" s="42">
        <f t="shared" si="0"/>
        <v>0.1855</v>
      </c>
      <c r="AD44" s="36" t="s">
        <v>133</v>
      </c>
      <c r="AE44" s="42">
        <f t="shared" si="10"/>
        <v>0.25</v>
      </c>
      <c r="AF44" s="36" t="s">
        <v>421</v>
      </c>
      <c r="AG44" s="36">
        <v>3</v>
      </c>
      <c r="AH44" s="42">
        <f t="shared" si="11"/>
        <v>0.52400000000000002</v>
      </c>
      <c r="AI44" s="36" t="s">
        <v>133</v>
      </c>
      <c r="AJ44" s="42">
        <f t="shared" si="1"/>
        <v>0</v>
      </c>
      <c r="AK44" s="36" t="s">
        <v>68</v>
      </c>
      <c r="AL44" s="36" t="s">
        <v>133</v>
      </c>
      <c r="AM44" s="36" t="s">
        <v>133</v>
      </c>
      <c r="AN44" s="36" t="s">
        <v>133</v>
      </c>
      <c r="AO44" s="36" t="s">
        <v>133</v>
      </c>
      <c r="AP44" s="42">
        <f t="shared" si="12"/>
        <v>0.25</v>
      </c>
      <c r="AQ44" s="36" t="s">
        <v>133</v>
      </c>
      <c r="AR44" s="36" t="s">
        <v>414</v>
      </c>
      <c r="AS44" s="42">
        <f t="shared" si="13"/>
        <v>0</v>
      </c>
      <c r="AT44" s="36" t="s">
        <v>414</v>
      </c>
      <c r="AU44" s="36" t="s">
        <v>414</v>
      </c>
      <c r="AV44" s="42">
        <f t="shared" si="14"/>
        <v>0</v>
      </c>
      <c r="AW44" s="36" t="s">
        <v>414</v>
      </c>
      <c r="AX44" s="36" t="s">
        <v>414</v>
      </c>
      <c r="AY44" s="42">
        <f t="shared" si="15"/>
        <v>0</v>
      </c>
      <c r="AZ44" s="36" t="s">
        <v>713</v>
      </c>
      <c r="BA44" s="36" t="s">
        <v>68</v>
      </c>
      <c r="BB44" s="42">
        <f t="shared" si="57"/>
        <v>0.25</v>
      </c>
      <c r="BC44" s="36" t="s">
        <v>133</v>
      </c>
      <c r="BD44" s="42">
        <f t="shared" si="16"/>
        <v>0</v>
      </c>
      <c r="BE44" s="36" t="s">
        <v>133</v>
      </c>
      <c r="BF44" s="42">
        <f t="shared" si="17"/>
        <v>0</v>
      </c>
      <c r="BG44" s="36" t="s">
        <v>68</v>
      </c>
      <c r="BH44" s="36" t="s">
        <v>68</v>
      </c>
      <c r="BI44" s="42">
        <f t="shared" si="18"/>
        <v>0.5</v>
      </c>
      <c r="BJ44" s="36" t="s">
        <v>133</v>
      </c>
      <c r="BK44" s="36" t="s">
        <v>133</v>
      </c>
      <c r="BL44" s="36" t="s">
        <v>133</v>
      </c>
      <c r="BM44" s="36" t="s">
        <v>133</v>
      </c>
      <c r="BN44" s="36" t="s">
        <v>133</v>
      </c>
      <c r="BO44" s="36" t="s">
        <v>133</v>
      </c>
      <c r="BP44" s="42">
        <f t="shared" si="19"/>
        <v>0</v>
      </c>
      <c r="BQ44" s="36" t="s">
        <v>414</v>
      </c>
      <c r="BR44" s="68" t="s">
        <v>414</v>
      </c>
      <c r="BS44" s="68" t="s">
        <v>414</v>
      </c>
      <c r="BT44" s="68" t="s">
        <v>414</v>
      </c>
      <c r="BU44" s="68" t="s">
        <v>414</v>
      </c>
      <c r="BV44" s="68" t="s">
        <v>414</v>
      </c>
      <c r="BW44" s="43" t="s">
        <v>714</v>
      </c>
      <c r="BX44" s="44">
        <f t="shared" si="20"/>
        <v>1.9595</v>
      </c>
      <c r="BY44" s="45" t="s">
        <v>68</v>
      </c>
      <c r="BZ44" s="46">
        <f t="shared" si="21"/>
        <v>0.5</v>
      </c>
      <c r="CA44" s="45" t="s">
        <v>133</v>
      </c>
      <c r="CB44" s="46">
        <f t="shared" si="22"/>
        <v>0</v>
      </c>
      <c r="CC44" s="36" t="s">
        <v>421</v>
      </c>
      <c r="CD44" s="46">
        <f t="shared" si="23"/>
        <v>0</v>
      </c>
      <c r="CE44" s="45" t="s">
        <v>421</v>
      </c>
      <c r="CF44" s="45" t="s">
        <v>68</v>
      </c>
      <c r="CG44" s="47">
        <v>0.5</v>
      </c>
      <c r="CH44" s="45" t="s">
        <v>133</v>
      </c>
      <c r="CI44" s="48">
        <f t="shared" si="24"/>
        <v>0</v>
      </c>
      <c r="CJ44" s="49" t="s">
        <v>68</v>
      </c>
      <c r="CK44" s="49" t="s">
        <v>133</v>
      </c>
      <c r="CL44" s="50" t="s">
        <v>414</v>
      </c>
      <c r="CM44" s="49" t="s">
        <v>133</v>
      </c>
      <c r="CN44" s="46">
        <f t="shared" si="25"/>
        <v>0</v>
      </c>
      <c r="CO44" s="49" t="s">
        <v>133</v>
      </c>
      <c r="CP44" s="48">
        <f t="shared" si="26"/>
        <v>0</v>
      </c>
      <c r="CQ44" s="49" t="s">
        <v>133</v>
      </c>
      <c r="CR44" s="48">
        <f t="shared" si="27"/>
        <v>0</v>
      </c>
      <c r="CS44" s="49" t="s">
        <v>68</v>
      </c>
      <c r="CT44" s="48">
        <f t="shared" si="28"/>
        <v>0.5</v>
      </c>
      <c r="CU44" s="49" t="s">
        <v>68</v>
      </c>
      <c r="CV44" s="48">
        <f t="shared" si="29"/>
        <v>0.25</v>
      </c>
      <c r="CW44" s="50" t="s">
        <v>715</v>
      </c>
      <c r="CX44" s="51">
        <f t="shared" si="30"/>
        <v>1.75</v>
      </c>
      <c r="CY44" s="52" t="s">
        <v>68</v>
      </c>
      <c r="CZ44" s="53">
        <f t="shared" si="31"/>
        <v>0.5</v>
      </c>
      <c r="DA44" s="52">
        <v>4</v>
      </c>
      <c r="DB44" s="53">
        <f t="shared" si="32"/>
        <v>0.66600000000000004</v>
      </c>
      <c r="DC44" s="52" t="s">
        <v>133</v>
      </c>
      <c r="DD44" s="53">
        <f t="shared" si="33"/>
        <v>0</v>
      </c>
      <c r="DE44" s="52" t="s">
        <v>68</v>
      </c>
      <c r="DF44" s="53">
        <f t="shared" si="34"/>
        <v>0.5</v>
      </c>
      <c r="DG44" s="50" t="s">
        <v>133</v>
      </c>
      <c r="DH44" s="50" t="s">
        <v>133</v>
      </c>
      <c r="DI44" s="50" t="s">
        <v>133</v>
      </c>
      <c r="DJ44" s="50" t="s">
        <v>68</v>
      </c>
      <c r="DK44" s="50" t="s">
        <v>133</v>
      </c>
      <c r="DL44" s="50" t="s">
        <v>133</v>
      </c>
      <c r="DM44" s="50" t="s">
        <v>68</v>
      </c>
      <c r="DN44" s="50" t="s">
        <v>133</v>
      </c>
      <c r="DO44" s="50" t="s">
        <v>133</v>
      </c>
      <c r="DP44" s="52" t="s">
        <v>68</v>
      </c>
      <c r="DQ44" s="50" t="s">
        <v>133</v>
      </c>
      <c r="DR44" s="52" t="s">
        <v>133</v>
      </c>
      <c r="DS44" s="53">
        <f t="shared" si="3"/>
        <v>0.25</v>
      </c>
      <c r="DT44" s="52" t="s">
        <v>133</v>
      </c>
      <c r="DU44" s="53">
        <f t="shared" si="35"/>
        <v>0</v>
      </c>
      <c r="DV44" s="52" t="s">
        <v>133</v>
      </c>
      <c r="DW44" s="53">
        <f t="shared" si="36"/>
        <v>0</v>
      </c>
      <c r="DX44" s="52" t="s">
        <v>68</v>
      </c>
      <c r="DY44" s="53">
        <f t="shared" si="37"/>
        <v>0.5</v>
      </c>
      <c r="DZ44" s="52" t="s">
        <v>133</v>
      </c>
      <c r="EA44" s="53">
        <f t="shared" si="38"/>
        <v>0</v>
      </c>
      <c r="EB44" s="52" t="s">
        <v>133</v>
      </c>
      <c r="EC44" s="53">
        <f t="shared" si="39"/>
        <v>0</v>
      </c>
      <c r="ED44" s="52" t="s">
        <v>684</v>
      </c>
      <c r="EE44" s="54">
        <f t="shared" si="40"/>
        <v>2.4159999999999999</v>
      </c>
      <c r="EF44" s="50">
        <v>7</v>
      </c>
      <c r="EG44" s="55">
        <f t="shared" si="41"/>
        <v>6.0000000000000053E-2</v>
      </c>
      <c r="EH44" s="50" t="s">
        <v>133</v>
      </c>
      <c r="EI44" s="55">
        <f t="shared" si="42"/>
        <v>0</v>
      </c>
      <c r="EJ44" s="50" t="s">
        <v>133</v>
      </c>
      <c r="EK44" s="55">
        <f t="shared" si="43"/>
        <v>0</v>
      </c>
      <c r="EL44" s="50" t="s">
        <v>133</v>
      </c>
      <c r="EM44" s="55">
        <f t="shared" si="44"/>
        <v>0</v>
      </c>
      <c r="EN44" s="50" t="s">
        <v>68</v>
      </c>
      <c r="EO44" s="55">
        <f t="shared" si="45"/>
        <v>0.5</v>
      </c>
      <c r="EP44" s="50" t="s">
        <v>133</v>
      </c>
      <c r="EQ44" s="55">
        <f t="shared" si="45"/>
        <v>0</v>
      </c>
      <c r="ER44" s="50" t="s">
        <v>684</v>
      </c>
      <c r="ES44" s="56">
        <f t="shared" si="46"/>
        <v>0.8</v>
      </c>
      <c r="ET44" s="57" t="s">
        <v>133</v>
      </c>
      <c r="EU44" s="58">
        <f t="shared" si="47"/>
        <v>0</v>
      </c>
      <c r="EV44" s="57" t="s">
        <v>414</v>
      </c>
      <c r="EW44" s="58">
        <f t="shared" si="48"/>
        <v>0</v>
      </c>
      <c r="EX44" s="57" t="s">
        <v>414</v>
      </c>
      <c r="EY44" s="58">
        <f t="shared" si="49"/>
        <v>0</v>
      </c>
      <c r="EZ44" s="57" t="s">
        <v>133</v>
      </c>
      <c r="FA44" s="58">
        <f t="shared" si="50"/>
        <v>0</v>
      </c>
      <c r="FB44" s="57" t="s">
        <v>68</v>
      </c>
      <c r="FC44" s="58">
        <f t="shared" si="58"/>
        <v>0.5</v>
      </c>
      <c r="FD44" s="57" t="s">
        <v>68</v>
      </c>
      <c r="FE44" s="58">
        <f t="shared" si="58"/>
        <v>0.5</v>
      </c>
      <c r="FF44" s="57" t="s">
        <v>133</v>
      </c>
      <c r="FG44" s="58">
        <f t="shared" si="52"/>
        <v>0</v>
      </c>
      <c r="FH44" s="57" t="s">
        <v>133</v>
      </c>
      <c r="FI44" s="58">
        <f t="shared" si="53"/>
        <v>0</v>
      </c>
      <c r="FJ44" s="57" t="s">
        <v>68</v>
      </c>
      <c r="FK44" s="58">
        <f t="shared" si="53"/>
        <v>0.5</v>
      </c>
      <c r="FL44" s="59" t="s">
        <v>716</v>
      </c>
      <c r="FM44" s="60">
        <f t="shared" si="54"/>
        <v>1.875</v>
      </c>
      <c r="FN44" s="61">
        <f t="shared" si="55"/>
        <v>11.238499999999998</v>
      </c>
    </row>
    <row r="45" spans="1:170" ht="37">
      <c r="A45" s="31">
        <v>43</v>
      </c>
      <c r="B45" s="32" t="s">
        <v>182</v>
      </c>
      <c r="C45" s="33" t="str">
        <f>VLOOKUP(B45,[1]Sheet1!$A:$C,2,FALSE)</f>
        <v>Oscar de la Renta Ltd.</v>
      </c>
      <c r="D45" s="34" t="s">
        <v>412</v>
      </c>
      <c r="E45" s="35" t="s">
        <v>74</v>
      </c>
      <c r="F45" s="34" t="s">
        <v>413</v>
      </c>
      <c r="G45" s="32" t="s">
        <v>184</v>
      </c>
      <c r="H45" s="36" t="s">
        <v>68</v>
      </c>
      <c r="I45" s="36" t="s">
        <v>421</v>
      </c>
      <c r="J45" s="36"/>
      <c r="K45" s="36" t="s">
        <v>415</v>
      </c>
      <c r="L45" s="36" t="s">
        <v>68</v>
      </c>
      <c r="M45" s="37">
        <f t="shared" si="4"/>
        <v>0.75</v>
      </c>
      <c r="N45" s="36">
        <v>1.3759999999999999</v>
      </c>
      <c r="O45" s="38">
        <f t="shared" si="5"/>
        <v>1.4300000000000002</v>
      </c>
      <c r="P45" s="36" t="s">
        <v>416</v>
      </c>
      <c r="Q45" s="39">
        <v>0.5</v>
      </c>
      <c r="R45" s="36" t="s">
        <v>133</v>
      </c>
      <c r="S45" s="37">
        <f t="shared" si="6"/>
        <v>0</v>
      </c>
      <c r="T45" s="36" t="s">
        <v>133</v>
      </c>
      <c r="U45" s="37">
        <f t="shared" si="7"/>
        <v>0.5</v>
      </c>
      <c r="V45" s="36" t="s">
        <v>68</v>
      </c>
      <c r="W45" s="36" t="s">
        <v>133</v>
      </c>
      <c r="X45" s="37">
        <f t="shared" si="8"/>
        <v>0</v>
      </c>
      <c r="Y45" s="36" t="s">
        <v>688</v>
      </c>
      <c r="Z45" s="40"/>
      <c r="AA45" s="41">
        <f t="shared" si="9"/>
        <v>3.18</v>
      </c>
      <c r="AB45" s="36">
        <v>0</v>
      </c>
      <c r="AC45" s="42">
        <f t="shared" si="0"/>
        <v>0.5</v>
      </c>
      <c r="AD45" s="36" t="s">
        <v>133</v>
      </c>
      <c r="AE45" s="42">
        <f t="shared" si="10"/>
        <v>0.25</v>
      </c>
      <c r="AF45" s="36" t="s">
        <v>421</v>
      </c>
      <c r="AG45" s="36">
        <v>2</v>
      </c>
      <c r="AH45" s="42">
        <f t="shared" si="11"/>
        <v>1</v>
      </c>
      <c r="AI45" s="36" t="s">
        <v>133</v>
      </c>
      <c r="AJ45" s="42">
        <f t="shared" si="1"/>
        <v>0</v>
      </c>
      <c r="AK45" s="36" t="s">
        <v>68</v>
      </c>
      <c r="AL45" s="36" t="s">
        <v>133</v>
      </c>
      <c r="AM45" s="36" t="s">
        <v>133</v>
      </c>
      <c r="AN45" s="36" t="s">
        <v>133</v>
      </c>
      <c r="AO45" s="36" t="s">
        <v>133</v>
      </c>
      <c r="AP45" s="42">
        <f t="shared" si="12"/>
        <v>0.25</v>
      </c>
      <c r="AQ45" s="36" t="s">
        <v>68</v>
      </c>
      <c r="AR45" s="36" t="s">
        <v>68</v>
      </c>
      <c r="AS45" s="42">
        <f t="shared" si="13"/>
        <v>0.25</v>
      </c>
      <c r="AT45" s="36" t="s">
        <v>133</v>
      </c>
      <c r="AU45" s="36" t="s">
        <v>133</v>
      </c>
      <c r="AV45" s="42">
        <f t="shared" si="14"/>
        <v>0.25</v>
      </c>
      <c r="AW45" s="36" t="s">
        <v>68</v>
      </c>
      <c r="AX45" s="36" t="s">
        <v>68</v>
      </c>
      <c r="AY45" s="42">
        <f t="shared" si="15"/>
        <v>0.25</v>
      </c>
      <c r="AZ45" s="36" t="s">
        <v>684</v>
      </c>
      <c r="BA45" s="36" t="s">
        <v>68</v>
      </c>
      <c r="BB45" s="42">
        <f t="shared" si="57"/>
        <v>0.25</v>
      </c>
      <c r="BC45" s="36" t="s">
        <v>133</v>
      </c>
      <c r="BD45" s="42">
        <f t="shared" si="16"/>
        <v>0</v>
      </c>
      <c r="BE45" s="36" t="s">
        <v>133</v>
      </c>
      <c r="BF45" s="42">
        <f t="shared" si="17"/>
        <v>0</v>
      </c>
      <c r="BG45" s="36" t="s">
        <v>68</v>
      </c>
      <c r="BH45" s="36" t="s">
        <v>133</v>
      </c>
      <c r="BI45" s="42">
        <f t="shared" si="18"/>
        <v>0</v>
      </c>
      <c r="BJ45" s="36" t="s">
        <v>133</v>
      </c>
      <c r="BK45" s="36" t="s">
        <v>133</v>
      </c>
      <c r="BL45" s="36" t="s">
        <v>133</v>
      </c>
      <c r="BM45" s="36" t="s">
        <v>133</v>
      </c>
      <c r="BN45" s="36" t="s">
        <v>133</v>
      </c>
      <c r="BO45" s="36" t="s">
        <v>68</v>
      </c>
      <c r="BP45" s="42">
        <f t="shared" si="19"/>
        <v>0.5</v>
      </c>
      <c r="BQ45" s="36" t="s">
        <v>68</v>
      </c>
      <c r="BR45" s="36" t="s">
        <v>133</v>
      </c>
      <c r="BS45" s="36" t="s">
        <v>133</v>
      </c>
      <c r="BT45" s="36" t="s">
        <v>133</v>
      </c>
      <c r="BU45" s="36" t="s">
        <v>133</v>
      </c>
      <c r="BV45" s="36" t="s">
        <v>68</v>
      </c>
      <c r="BW45" s="43" t="s">
        <v>684</v>
      </c>
      <c r="BX45" s="44">
        <f t="shared" si="20"/>
        <v>3.5</v>
      </c>
      <c r="BY45" s="45" t="s">
        <v>68</v>
      </c>
      <c r="BZ45" s="46">
        <f t="shared" si="21"/>
        <v>0.5</v>
      </c>
      <c r="CA45" s="45" t="s">
        <v>68</v>
      </c>
      <c r="CB45" s="46">
        <f t="shared" si="22"/>
        <v>0.75</v>
      </c>
      <c r="CC45" s="36" t="s">
        <v>68</v>
      </c>
      <c r="CD45" s="46">
        <f t="shared" si="23"/>
        <v>0.5</v>
      </c>
      <c r="CE45" s="45" t="s">
        <v>133</v>
      </c>
      <c r="CF45" s="45" t="s">
        <v>133</v>
      </c>
      <c r="CG45" s="47">
        <v>0</v>
      </c>
      <c r="CH45" s="45" t="s">
        <v>68</v>
      </c>
      <c r="CI45" s="48">
        <f t="shared" si="24"/>
        <v>0.5</v>
      </c>
      <c r="CJ45" s="49" t="s">
        <v>68</v>
      </c>
      <c r="CK45" s="49" t="s">
        <v>133</v>
      </c>
      <c r="CL45" s="50" t="s">
        <v>421</v>
      </c>
      <c r="CM45" s="49" t="s">
        <v>68</v>
      </c>
      <c r="CN45" s="46">
        <f t="shared" si="25"/>
        <v>0.5</v>
      </c>
      <c r="CO45" s="49" t="s">
        <v>68</v>
      </c>
      <c r="CP45" s="48">
        <f t="shared" si="26"/>
        <v>0.75</v>
      </c>
      <c r="CQ45" s="49" t="s">
        <v>133</v>
      </c>
      <c r="CR45" s="48">
        <f t="shared" si="27"/>
        <v>0</v>
      </c>
      <c r="CS45" s="49" t="s">
        <v>68</v>
      </c>
      <c r="CT45" s="48">
        <f t="shared" si="28"/>
        <v>0.5</v>
      </c>
      <c r="CU45" s="474" t="s">
        <v>133</v>
      </c>
      <c r="CV45" s="48">
        <f t="shared" si="29"/>
        <v>0</v>
      </c>
      <c r="CW45" s="473" t="s">
        <v>3509</v>
      </c>
      <c r="CX45" s="51">
        <f t="shared" si="30"/>
        <v>4</v>
      </c>
      <c r="CY45" s="52" t="s">
        <v>68</v>
      </c>
      <c r="CZ45" s="53">
        <f t="shared" si="31"/>
        <v>0.5</v>
      </c>
      <c r="DA45" s="52">
        <v>2</v>
      </c>
      <c r="DB45" s="53">
        <f t="shared" si="32"/>
        <v>0.23799999999999999</v>
      </c>
      <c r="DC45" s="52" t="s">
        <v>133</v>
      </c>
      <c r="DD45" s="53">
        <f t="shared" si="33"/>
        <v>0</v>
      </c>
      <c r="DE45" s="52" t="s">
        <v>68</v>
      </c>
      <c r="DF45" s="53">
        <f t="shared" si="34"/>
        <v>0.5</v>
      </c>
      <c r="DG45" s="50" t="s">
        <v>133</v>
      </c>
      <c r="DH45" s="50" t="s">
        <v>133</v>
      </c>
      <c r="DI45" s="50" t="s">
        <v>68</v>
      </c>
      <c r="DJ45" s="50" t="s">
        <v>68</v>
      </c>
      <c r="DK45" s="50" t="s">
        <v>68</v>
      </c>
      <c r="DL45" s="50" t="s">
        <v>68</v>
      </c>
      <c r="DM45" s="50" t="s">
        <v>133</v>
      </c>
      <c r="DN45" s="50" t="s">
        <v>717</v>
      </c>
      <c r="DO45" s="50" t="s">
        <v>68</v>
      </c>
      <c r="DP45" s="52" t="s">
        <v>133</v>
      </c>
      <c r="DQ45" s="50" t="s">
        <v>133</v>
      </c>
      <c r="DR45" s="52" t="s">
        <v>68</v>
      </c>
      <c r="DS45" s="53">
        <f t="shared" si="3"/>
        <v>0.25</v>
      </c>
      <c r="DT45" s="52" t="s">
        <v>133</v>
      </c>
      <c r="DU45" s="53">
        <f t="shared" si="35"/>
        <v>0</v>
      </c>
      <c r="DV45" s="52" t="s">
        <v>133</v>
      </c>
      <c r="DW45" s="53">
        <f t="shared" si="36"/>
        <v>0</v>
      </c>
      <c r="DX45" s="52" t="s">
        <v>68</v>
      </c>
      <c r="DY45" s="53">
        <f t="shared" si="37"/>
        <v>0.5</v>
      </c>
      <c r="DZ45" s="52" t="s">
        <v>133</v>
      </c>
      <c r="EA45" s="53">
        <f t="shared" si="38"/>
        <v>0</v>
      </c>
      <c r="EB45" s="52" t="s">
        <v>68</v>
      </c>
      <c r="EC45" s="53">
        <f t="shared" si="39"/>
        <v>0.25</v>
      </c>
      <c r="ED45" s="52"/>
      <c r="EE45" s="54">
        <f t="shared" si="40"/>
        <v>2.238</v>
      </c>
      <c r="EF45" s="50">
        <v>4</v>
      </c>
      <c r="EG45" s="55">
        <f t="shared" si="41"/>
        <v>0.84</v>
      </c>
      <c r="EH45" s="473" t="s">
        <v>133</v>
      </c>
      <c r="EI45" s="55">
        <f t="shared" si="42"/>
        <v>0</v>
      </c>
      <c r="EJ45" s="50" t="s">
        <v>133</v>
      </c>
      <c r="EK45" s="55">
        <f t="shared" si="43"/>
        <v>0</v>
      </c>
      <c r="EL45" s="50" t="s">
        <v>133</v>
      </c>
      <c r="EM45" s="55">
        <f t="shared" si="44"/>
        <v>0</v>
      </c>
      <c r="EN45" s="50" t="s">
        <v>68</v>
      </c>
      <c r="EO45" s="55">
        <f t="shared" si="45"/>
        <v>0.5</v>
      </c>
      <c r="EP45" s="50" t="s">
        <v>133</v>
      </c>
      <c r="EQ45" s="55">
        <f t="shared" si="45"/>
        <v>0</v>
      </c>
      <c r="ER45" s="50" t="s">
        <v>684</v>
      </c>
      <c r="ES45" s="56">
        <f t="shared" si="46"/>
        <v>1.9142857142857141</v>
      </c>
      <c r="ET45" s="57" t="s">
        <v>133</v>
      </c>
      <c r="EU45" s="58">
        <f t="shared" si="47"/>
        <v>0</v>
      </c>
      <c r="EV45" s="57" t="s">
        <v>414</v>
      </c>
      <c r="EW45" s="58">
        <f t="shared" si="48"/>
        <v>0</v>
      </c>
      <c r="EX45" s="57" t="s">
        <v>414</v>
      </c>
      <c r="EY45" s="58">
        <f t="shared" si="49"/>
        <v>0</v>
      </c>
      <c r="EZ45" s="57" t="s">
        <v>133</v>
      </c>
      <c r="FA45" s="58">
        <f t="shared" si="50"/>
        <v>0</v>
      </c>
      <c r="FB45" s="57" t="s">
        <v>68</v>
      </c>
      <c r="FC45" s="58">
        <f t="shared" si="58"/>
        <v>0.5</v>
      </c>
      <c r="FD45" s="475" t="s">
        <v>133</v>
      </c>
      <c r="FE45" s="58">
        <f t="shared" si="58"/>
        <v>0</v>
      </c>
      <c r="FF45" s="57" t="s">
        <v>133</v>
      </c>
      <c r="FG45" s="58">
        <f t="shared" si="52"/>
        <v>0</v>
      </c>
      <c r="FH45" s="57" t="s">
        <v>133</v>
      </c>
      <c r="FI45" s="58">
        <f t="shared" si="53"/>
        <v>0</v>
      </c>
      <c r="FJ45" s="57" t="s">
        <v>68</v>
      </c>
      <c r="FK45" s="58">
        <f t="shared" si="53"/>
        <v>0.5</v>
      </c>
      <c r="FL45" s="59" t="s">
        <v>684</v>
      </c>
      <c r="FM45" s="60">
        <f t="shared" si="54"/>
        <v>1.25</v>
      </c>
      <c r="FN45" s="61">
        <f t="shared" si="55"/>
        <v>16.082285714285714</v>
      </c>
    </row>
    <row r="46" spans="1:170" ht="73">
      <c r="A46" s="31">
        <v>44</v>
      </c>
      <c r="B46" s="32" t="s">
        <v>185</v>
      </c>
      <c r="C46" s="33" t="str">
        <f>VLOOKUP(B46,[1]Sheet1!$A:$C,2,FALSE)</f>
        <v>Paul Smith</v>
      </c>
      <c r="D46" s="34" t="s">
        <v>412</v>
      </c>
      <c r="E46" s="35" t="s">
        <v>65</v>
      </c>
      <c r="F46" s="34" t="s">
        <v>413</v>
      </c>
      <c r="G46" s="32" t="s">
        <v>186</v>
      </c>
      <c r="H46" s="36" t="s">
        <v>68</v>
      </c>
      <c r="I46" s="36" t="s">
        <v>421</v>
      </c>
      <c r="J46" s="36"/>
      <c r="K46" s="36" t="s">
        <v>415</v>
      </c>
      <c r="L46" s="36" t="s">
        <v>68</v>
      </c>
      <c r="M46" s="37">
        <f t="shared" si="4"/>
        <v>0.75</v>
      </c>
      <c r="N46" s="36">
        <v>1.0900000000000001</v>
      </c>
      <c r="O46" s="38">
        <f t="shared" si="5"/>
        <v>1.8740000000000001</v>
      </c>
      <c r="P46" s="36" t="s">
        <v>718</v>
      </c>
      <c r="Q46" s="39">
        <v>0.5</v>
      </c>
      <c r="R46" s="36" t="s">
        <v>133</v>
      </c>
      <c r="S46" s="37">
        <f t="shared" si="6"/>
        <v>0</v>
      </c>
      <c r="T46" s="36" t="s">
        <v>133</v>
      </c>
      <c r="U46" s="37">
        <f t="shared" si="7"/>
        <v>0.5</v>
      </c>
      <c r="V46" s="36" t="s">
        <v>68</v>
      </c>
      <c r="W46" s="36" t="s">
        <v>68</v>
      </c>
      <c r="X46" s="37">
        <f t="shared" si="8"/>
        <v>0.25</v>
      </c>
      <c r="Y46" s="36" t="s">
        <v>719</v>
      </c>
      <c r="Z46" s="40" t="s">
        <v>720</v>
      </c>
      <c r="AA46" s="41">
        <f t="shared" si="9"/>
        <v>3.8740000000000001</v>
      </c>
      <c r="AB46" s="36">
        <v>0</v>
      </c>
      <c r="AC46" s="42">
        <f t="shared" si="0"/>
        <v>0.5</v>
      </c>
      <c r="AD46" s="36" t="s">
        <v>133</v>
      </c>
      <c r="AE46" s="42">
        <f t="shared" si="10"/>
        <v>0.25</v>
      </c>
      <c r="AF46" s="36" t="s">
        <v>421</v>
      </c>
      <c r="AG46" s="36">
        <v>3</v>
      </c>
      <c r="AH46" s="42">
        <f t="shared" si="11"/>
        <v>0.52400000000000002</v>
      </c>
      <c r="AI46" s="36" t="s">
        <v>133</v>
      </c>
      <c r="AJ46" s="42">
        <f t="shared" si="1"/>
        <v>0</v>
      </c>
      <c r="AK46" s="36" t="s">
        <v>68</v>
      </c>
      <c r="AL46" s="36" t="s">
        <v>133</v>
      </c>
      <c r="AM46" s="36" t="s">
        <v>68</v>
      </c>
      <c r="AN46" s="36" t="s">
        <v>133</v>
      </c>
      <c r="AO46" s="36" t="s">
        <v>133</v>
      </c>
      <c r="AP46" s="42">
        <f t="shared" si="12"/>
        <v>0.25</v>
      </c>
      <c r="AQ46" s="36" t="s">
        <v>68</v>
      </c>
      <c r="AR46" s="36" t="s">
        <v>68</v>
      </c>
      <c r="AS46" s="42">
        <f t="shared" si="13"/>
        <v>0.25</v>
      </c>
      <c r="AT46" s="36" t="s">
        <v>133</v>
      </c>
      <c r="AU46" s="36" t="s">
        <v>133</v>
      </c>
      <c r="AV46" s="42">
        <f t="shared" si="14"/>
        <v>0.25</v>
      </c>
      <c r="AW46" s="36" t="s">
        <v>133</v>
      </c>
      <c r="AX46" s="36" t="s">
        <v>68</v>
      </c>
      <c r="AY46" s="42">
        <f t="shared" si="15"/>
        <v>0.25</v>
      </c>
      <c r="AZ46" s="36" t="s">
        <v>684</v>
      </c>
      <c r="BA46" s="36" t="s">
        <v>68</v>
      </c>
      <c r="BB46" s="42">
        <f t="shared" si="57"/>
        <v>0.25</v>
      </c>
      <c r="BC46" s="36" t="s">
        <v>133</v>
      </c>
      <c r="BD46" s="42">
        <f t="shared" si="16"/>
        <v>0</v>
      </c>
      <c r="BE46" s="36" t="s">
        <v>133</v>
      </c>
      <c r="BF46" s="42">
        <f t="shared" si="17"/>
        <v>0</v>
      </c>
      <c r="BG46" s="36" t="s">
        <v>133</v>
      </c>
      <c r="BH46" s="36" t="s">
        <v>133</v>
      </c>
      <c r="BI46" s="42">
        <f t="shared" si="18"/>
        <v>0</v>
      </c>
      <c r="BJ46" s="36" t="s">
        <v>133</v>
      </c>
      <c r="BK46" s="36" t="s">
        <v>133</v>
      </c>
      <c r="BL46" s="36" t="s">
        <v>133</v>
      </c>
      <c r="BM46" s="36" t="s">
        <v>133</v>
      </c>
      <c r="BN46" s="36" t="s">
        <v>133</v>
      </c>
      <c r="BO46" s="36" t="s">
        <v>133</v>
      </c>
      <c r="BP46" s="42">
        <f t="shared" si="19"/>
        <v>0</v>
      </c>
      <c r="BQ46" s="36" t="s">
        <v>133</v>
      </c>
      <c r="BR46" s="36" t="s">
        <v>133</v>
      </c>
      <c r="BS46" s="36" t="s">
        <v>133</v>
      </c>
      <c r="BT46" s="36" t="s">
        <v>133</v>
      </c>
      <c r="BU46" s="36" t="s">
        <v>133</v>
      </c>
      <c r="BV46" s="36" t="s">
        <v>133</v>
      </c>
      <c r="BW46" s="43" t="s">
        <v>133</v>
      </c>
      <c r="BX46" s="44">
        <f t="shared" si="20"/>
        <v>2.524</v>
      </c>
      <c r="BY46" s="45" t="s">
        <v>68</v>
      </c>
      <c r="BZ46" s="46">
        <f t="shared" si="21"/>
        <v>0.5</v>
      </c>
      <c r="CA46" s="45" t="s">
        <v>133</v>
      </c>
      <c r="CB46" s="46">
        <f t="shared" si="22"/>
        <v>0</v>
      </c>
      <c r="CC46" s="36" t="s">
        <v>133</v>
      </c>
      <c r="CD46" s="46">
        <f t="shared" si="23"/>
        <v>0</v>
      </c>
      <c r="CE46" s="45" t="s">
        <v>133</v>
      </c>
      <c r="CF46" s="45" t="s">
        <v>133</v>
      </c>
      <c r="CG46" s="47">
        <v>0</v>
      </c>
      <c r="CH46" s="45" t="s">
        <v>133</v>
      </c>
      <c r="CI46" s="48">
        <f t="shared" si="24"/>
        <v>0</v>
      </c>
      <c r="CJ46" s="49" t="s">
        <v>68</v>
      </c>
      <c r="CK46" s="49" t="s">
        <v>133</v>
      </c>
      <c r="CL46" s="50" t="s">
        <v>421</v>
      </c>
      <c r="CM46" s="49" t="s">
        <v>133</v>
      </c>
      <c r="CN46" s="46">
        <f t="shared" si="25"/>
        <v>0</v>
      </c>
      <c r="CO46" s="49" t="s">
        <v>133</v>
      </c>
      <c r="CP46" s="48">
        <f t="shared" si="26"/>
        <v>0</v>
      </c>
      <c r="CQ46" s="49" t="s">
        <v>133</v>
      </c>
      <c r="CR46" s="48">
        <f t="shared" si="27"/>
        <v>0</v>
      </c>
      <c r="CS46" s="49" t="s">
        <v>68</v>
      </c>
      <c r="CT46" s="48">
        <f t="shared" si="28"/>
        <v>0.5</v>
      </c>
      <c r="CU46" s="49" t="s">
        <v>133</v>
      </c>
      <c r="CV46" s="48">
        <f t="shared" si="29"/>
        <v>0</v>
      </c>
      <c r="CW46" s="50" t="s">
        <v>684</v>
      </c>
      <c r="CX46" s="51">
        <f t="shared" si="30"/>
        <v>1</v>
      </c>
      <c r="CY46" s="52" t="s">
        <v>68</v>
      </c>
      <c r="CZ46" s="53">
        <f t="shared" si="31"/>
        <v>0.5</v>
      </c>
      <c r="DA46" s="52">
        <v>4</v>
      </c>
      <c r="DB46" s="53">
        <f t="shared" si="32"/>
        <v>0.66600000000000004</v>
      </c>
      <c r="DC46" s="52" t="s">
        <v>133</v>
      </c>
      <c r="DD46" s="53">
        <f t="shared" si="33"/>
        <v>0</v>
      </c>
      <c r="DE46" s="52" t="s">
        <v>68</v>
      </c>
      <c r="DF46" s="53">
        <f t="shared" si="34"/>
        <v>0.5</v>
      </c>
      <c r="DG46" s="50" t="s">
        <v>133</v>
      </c>
      <c r="DH46" s="50" t="s">
        <v>133</v>
      </c>
      <c r="DI46" s="50" t="s">
        <v>133</v>
      </c>
      <c r="DJ46" s="50" t="s">
        <v>68</v>
      </c>
      <c r="DK46" s="50" t="s">
        <v>133</v>
      </c>
      <c r="DL46" s="50" t="s">
        <v>133</v>
      </c>
      <c r="DM46" s="50" t="s">
        <v>68</v>
      </c>
      <c r="DN46" s="50" t="s">
        <v>133</v>
      </c>
      <c r="DO46" s="50" t="s">
        <v>68</v>
      </c>
      <c r="DP46" s="52" t="s">
        <v>133</v>
      </c>
      <c r="DQ46" s="50" t="s">
        <v>133</v>
      </c>
      <c r="DR46" s="52" t="s">
        <v>133</v>
      </c>
      <c r="DS46" s="53">
        <f t="shared" si="3"/>
        <v>0.25</v>
      </c>
      <c r="DT46" s="52" t="s">
        <v>133</v>
      </c>
      <c r="DU46" s="53">
        <f t="shared" si="35"/>
        <v>0</v>
      </c>
      <c r="DV46" s="52" t="s">
        <v>133</v>
      </c>
      <c r="DW46" s="53">
        <f t="shared" si="36"/>
        <v>0</v>
      </c>
      <c r="DX46" s="52" t="s">
        <v>133</v>
      </c>
      <c r="DY46" s="53">
        <f t="shared" si="37"/>
        <v>0</v>
      </c>
      <c r="DZ46" s="52" t="s">
        <v>68</v>
      </c>
      <c r="EA46" s="53">
        <f t="shared" si="38"/>
        <v>0.5</v>
      </c>
      <c r="EB46" s="52" t="s">
        <v>68</v>
      </c>
      <c r="EC46" s="53">
        <f t="shared" si="39"/>
        <v>0.25</v>
      </c>
      <c r="ED46" s="52" t="s">
        <v>684</v>
      </c>
      <c r="EE46" s="54">
        <f t="shared" si="40"/>
        <v>2.6659999999999999</v>
      </c>
      <c r="EF46" s="50">
        <v>2</v>
      </c>
      <c r="EG46" s="55">
        <f t="shared" si="41"/>
        <v>1</v>
      </c>
      <c r="EH46" s="50" t="s">
        <v>133</v>
      </c>
      <c r="EI46" s="55">
        <f t="shared" si="42"/>
        <v>0</v>
      </c>
      <c r="EJ46" s="50" t="s">
        <v>133</v>
      </c>
      <c r="EK46" s="55">
        <f t="shared" si="43"/>
        <v>0</v>
      </c>
      <c r="EL46" s="50" t="s">
        <v>133</v>
      </c>
      <c r="EM46" s="55">
        <f t="shared" si="44"/>
        <v>0</v>
      </c>
      <c r="EN46" s="50" t="s">
        <v>68</v>
      </c>
      <c r="EO46" s="55">
        <f t="shared" si="45"/>
        <v>0.5</v>
      </c>
      <c r="EP46" s="50" t="s">
        <v>133</v>
      </c>
      <c r="EQ46" s="55">
        <f t="shared" si="45"/>
        <v>0</v>
      </c>
      <c r="ER46" s="50" t="s">
        <v>684</v>
      </c>
      <c r="ES46" s="56">
        <f t="shared" si="46"/>
        <v>2.1428571428571428</v>
      </c>
      <c r="ET46" s="57" t="s">
        <v>133</v>
      </c>
      <c r="EU46" s="58">
        <f t="shared" si="47"/>
        <v>0</v>
      </c>
      <c r="EV46" s="57" t="s">
        <v>414</v>
      </c>
      <c r="EW46" s="58">
        <f t="shared" si="48"/>
        <v>0</v>
      </c>
      <c r="EX46" s="57" t="s">
        <v>414</v>
      </c>
      <c r="EY46" s="58">
        <f t="shared" si="49"/>
        <v>0</v>
      </c>
      <c r="EZ46" s="57" t="s">
        <v>133</v>
      </c>
      <c r="FA46" s="58">
        <f t="shared" si="50"/>
        <v>0</v>
      </c>
      <c r="FB46" s="57" t="s">
        <v>68</v>
      </c>
      <c r="FC46" s="58">
        <f t="shared" si="58"/>
        <v>0.5</v>
      </c>
      <c r="FD46" s="57" t="s">
        <v>133</v>
      </c>
      <c r="FE46" s="58">
        <f t="shared" si="58"/>
        <v>0</v>
      </c>
      <c r="FF46" s="57" t="s">
        <v>133</v>
      </c>
      <c r="FG46" s="58">
        <f t="shared" si="52"/>
        <v>0</v>
      </c>
      <c r="FH46" s="57" t="s">
        <v>133</v>
      </c>
      <c r="FI46" s="58">
        <f t="shared" si="53"/>
        <v>0</v>
      </c>
      <c r="FJ46" s="57" t="s">
        <v>68</v>
      </c>
      <c r="FK46" s="58">
        <f t="shared" si="53"/>
        <v>0.5</v>
      </c>
      <c r="FL46" s="59" t="s">
        <v>721</v>
      </c>
      <c r="FM46" s="60">
        <f t="shared" si="54"/>
        <v>1.25</v>
      </c>
      <c r="FN46" s="61">
        <f t="shared" si="55"/>
        <v>13.456857142857144</v>
      </c>
    </row>
    <row r="47" spans="1:170" ht="339">
      <c r="A47" s="31">
        <v>45</v>
      </c>
      <c r="B47" s="32" t="s">
        <v>187</v>
      </c>
      <c r="C47" s="33" t="str">
        <f>VLOOKUP(B47,[1]Sheet1!$A:$C,2,FALSE)</f>
        <v>Prada S.p.A.</v>
      </c>
      <c r="D47" s="34" t="s">
        <v>412</v>
      </c>
      <c r="E47" s="35" t="str">
        <f>VLOOKUP(B47,[1]Sheet1!$A:$C,3,FALSE)</f>
        <v>Italy</v>
      </c>
      <c r="F47" s="34" t="s">
        <v>413</v>
      </c>
      <c r="G47" s="32" t="s">
        <v>189</v>
      </c>
      <c r="H47" s="36" t="s">
        <v>68</v>
      </c>
      <c r="I47" s="36" t="s">
        <v>421</v>
      </c>
      <c r="J47" s="36"/>
      <c r="K47" s="36" t="s">
        <v>415</v>
      </c>
      <c r="L47" s="36" t="s">
        <v>133</v>
      </c>
      <c r="M47" s="37">
        <f t="shared" si="4"/>
        <v>0</v>
      </c>
      <c r="N47" s="36">
        <v>1.915</v>
      </c>
      <c r="O47" s="38">
        <f t="shared" si="5"/>
        <v>0.73199999999999998</v>
      </c>
      <c r="P47" s="36" t="s">
        <v>684</v>
      </c>
      <c r="Q47" s="39">
        <v>0</v>
      </c>
      <c r="R47" s="36" t="s">
        <v>133</v>
      </c>
      <c r="S47" s="37">
        <f t="shared" si="6"/>
        <v>0</v>
      </c>
      <c r="T47" s="36" t="s">
        <v>133</v>
      </c>
      <c r="U47" s="37">
        <f t="shared" si="7"/>
        <v>0.5</v>
      </c>
      <c r="V47" s="36" t="s">
        <v>68</v>
      </c>
      <c r="W47" s="36" t="s">
        <v>133</v>
      </c>
      <c r="X47" s="37">
        <f t="shared" si="8"/>
        <v>0</v>
      </c>
      <c r="Y47" s="36" t="s">
        <v>688</v>
      </c>
      <c r="Z47" s="40" t="s">
        <v>722</v>
      </c>
      <c r="AA47" s="41">
        <f t="shared" si="9"/>
        <v>1.232</v>
      </c>
      <c r="AB47" s="36">
        <v>0</v>
      </c>
      <c r="AC47" s="42">
        <f t="shared" si="0"/>
        <v>0.5</v>
      </c>
      <c r="AD47" s="36" t="s">
        <v>68</v>
      </c>
      <c r="AE47" s="42">
        <f t="shared" si="10"/>
        <v>0</v>
      </c>
      <c r="AF47" s="36" t="s">
        <v>68</v>
      </c>
      <c r="AG47" s="36">
        <v>5</v>
      </c>
      <c r="AH47" s="42">
        <f t="shared" si="11"/>
        <v>3.2000000000000028E-2</v>
      </c>
      <c r="AI47" s="36" t="s">
        <v>68</v>
      </c>
      <c r="AJ47" s="42">
        <f t="shared" si="1"/>
        <v>0.25</v>
      </c>
      <c r="AK47" s="36" t="s">
        <v>68</v>
      </c>
      <c r="AL47" s="36" t="s">
        <v>133</v>
      </c>
      <c r="AM47" s="36" t="s">
        <v>68</v>
      </c>
      <c r="AN47" s="36" t="s">
        <v>133</v>
      </c>
      <c r="AO47" s="36" t="s">
        <v>133</v>
      </c>
      <c r="AP47" s="42">
        <f t="shared" si="12"/>
        <v>0.25</v>
      </c>
      <c r="AQ47" s="36" t="s">
        <v>133</v>
      </c>
      <c r="AR47" s="36" t="s">
        <v>133</v>
      </c>
      <c r="AS47" s="42">
        <f t="shared" si="13"/>
        <v>0</v>
      </c>
      <c r="AT47" s="36" t="s">
        <v>133</v>
      </c>
      <c r="AU47" s="36" t="s">
        <v>133</v>
      </c>
      <c r="AV47" s="42">
        <f t="shared" si="14"/>
        <v>0</v>
      </c>
      <c r="AW47" s="36" t="s">
        <v>133</v>
      </c>
      <c r="AX47" s="36" t="s">
        <v>68</v>
      </c>
      <c r="AY47" s="42">
        <f t="shared" si="15"/>
        <v>0.25</v>
      </c>
      <c r="AZ47" s="36" t="s">
        <v>723</v>
      </c>
      <c r="BA47" s="36" t="s">
        <v>133</v>
      </c>
      <c r="BB47" s="42">
        <f t="shared" si="57"/>
        <v>0</v>
      </c>
      <c r="BC47" s="36" t="s">
        <v>421</v>
      </c>
      <c r="BD47" s="42">
        <f t="shared" si="16"/>
        <v>0</v>
      </c>
      <c r="BE47" s="36" t="s">
        <v>421</v>
      </c>
      <c r="BF47" s="42">
        <f t="shared" si="17"/>
        <v>0</v>
      </c>
      <c r="BG47" s="36" t="s">
        <v>421</v>
      </c>
      <c r="BH47" s="36" t="s">
        <v>421</v>
      </c>
      <c r="BI47" s="42">
        <f t="shared" si="18"/>
        <v>0</v>
      </c>
      <c r="BJ47" s="36" t="s">
        <v>421</v>
      </c>
      <c r="BK47" s="36" t="s">
        <v>421</v>
      </c>
      <c r="BL47" s="36" t="s">
        <v>421</v>
      </c>
      <c r="BM47" s="36" t="s">
        <v>421</v>
      </c>
      <c r="BN47" s="36" t="s">
        <v>421</v>
      </c>
      <c r="BO47" s="36" t="s">
        <v>421</v>
      </c>
      <c r="BP47" s="42">
        <f t="shared" si="19"/>
        <v>0</v>
      </c>
      <c r="BQ47" s="36" t="s">
        <v>421</v>
      </c>
      <c r="BR47" s="36" t="s">
        <v>421</v>
      </c>
      <c r="BS47" s="36" t="s">
        <v>421</v>
      </c>
      <c r="BT47" s="36" t="s">
        <v>421</v>
      </c>
      <c r="BU47" s="36" t="s">
        <v>421</v>
      </c>
      <c r="BV47" s="36" t="s">
        <v>421</v>
      </c>
      <c r="BW47" s="43" t="s">
        <v>724</v>
      </c>
      <c r="BX47" s="44">
        <f t="shared" si="20"/>
        <v>1.282</v>
      </c>
      <c r="BY47" s="45" t="s">
        <v>133</v>
      </c>
      <c r="BZ47" s="46">
        <f t="shared" si="21"/>
        <v>0</v>
      </c>
      <c r="CA47" s="45" t="s">
        <v>133</v>
      </c>
      <c r="CB47" s="46">
        <f t="shared" si="22"/>
        <v>0</v>
      </c>
      <c r="CC47" s="36" t="s">
        <v>133</v>
      </c>
      <c r="CD47" s="46">
        <f t="shared" si="23"/>
        <v>0</v>
      </c>
      <c r="CE47" s="45" t="s">
        <v>133</v>
      </c>
      <c r="CF47" s="45" t="s">
        <v>133</v>
      </c>
      <c r="CG47" s="47">
        <v>0</v>
      </c>
      <c r="CH47" s="45" t="s">
        <v>133</v>
      </c>
      <c r="CI47" s="48">
        <f t="shared" si="24"/>
        <v>0</v>
      </c>
      <c r="CJ47" s="49" t="s">
        <v>68</v>
      </c>
      <c r="CK47" s="49" t="s">
        <v>133</v>
      </c>
      <c r="CL47" s="50" t="s">
        <v>133</v>
      </c>
      <c r="CM47" s="49" t="s">
        <v>133</v>
      </c>
      <c r="CN47" s="46">
        <f t="shared" si="25"/>
        <v>0</v>
      </c>
      <c r="CO47" s="49" t="s">
        <v>133</v>
      </c>
      <c r="CP47" s="48">
        <f t="shared" si="26"/>
        <v>0</v>
      </c>
      <c r="CQ47" s="49" t="s">
        <v>133</v>
      </c>
      <c r="CR47" s="48">
        <f t="shared" si="27"/>
        <v>0</v>
      </c>
      <c r="CS47" s="49" t="s">
        <v>133</v>
      </c>
      <c r="CT47" s="48">
        <f t="shared" si="28"/>
        <v>0</v>
      </c>
      <c r="CU47" s="49" t="s">
        <v>133</v>
      </c>
      <c r="CV47" s="48">
        <f t="shared" si="29"/>
        <v>0</v>
      </c>
      <c r="CW47" s="50" t="s">
        <v>684</v>
      </c>
      <c r="CX47" s="51">
        <f t="shared" si="30"/>
        <v>0</v>
      </c>
      <c r="CY47" s="52" t="s">
        <v>68</v>
      </c>
      <c r="CZ47" s="53">
        <f t="shared" si="31"/>
        <v>0.5</v>
      </c>
      <c r="DA47" s="52">
        <v>4</v>
      </c>
      <c r="DB47" s="53">
        <f t="shared" si="32"/>
        <v>0.66600000000000004</v>
      </c>
      <c r="DC47" s="52" t="s">
        <v>133</v>
      </c>
      <c r="DD47" s="53">
        <f t="shared" si="33"/>
        <v>0</v>
      </c>
      <c r="DE47" s="52" t="s">
        <v>133</v>
      </c>
      <c r="DF47" s="53">
        <f t="shared" si="34"/>
        <v>0</v>
      </c>
      <c r="DG47" s="50" t="s">
        <v>133</v>
      </c>
      <c r="DH47" s="50" t="s">
        <v>133</v>
      </c>
      <c r="DI47" s="50" t="s">
        <v>133</v>
      </c>
      <c r="DJ47" s="50" t="s">
        <v>133</v>
      </c>
      <c r="DK47" s="50" t="s">
        <v>133</v>
      </c>
      <c r="DL47" s="50" t="s">
        <v>133</v>
      </c>
      <c r="DM47" s="50" t="s">
        <v>133</v>
      </c>
      <c r="DN47" s="50" t="s">
        <v>133</v>
      </c>
      <c r="DO47" s="50" t="s">
        <v>133</v>
      </c>
      <c r="DP47" s="52" t="s">
        <v>133</v>
      </c>
      <c r="DQ47" s="50" t="s">
        <v>133</v>
      </c>
      <c r="DR47" s="52" t="s">
        <v>133</v>
      </c>
      <c r="DS47" s="53">
        <f t="shared" si="3"/>
        <v>0</v>
      </c>
      <c r="DT47" s="52" t="s">
        <v>133</v>
      </c>
      <c r="DU47" s="53">
        <f t="shared" si="35"/>
        <v>0</v>
      </c>
      <c r="DV47" s="52" t="s">
        <v>133</v>
      </c>
      <c r="DW47" s="53">
        <f t="shared" si="36"/>
        <v>0</v>
      </c>
      <c r="DX47" s="52" t="s">
        <v>133</v>
      </c>
      <c r="DY47" s="53">
        <f t="shared" si="37"/>
        <v>0</v>
      </c>
      <c r="DZ47" s="52" t="s">
        <v>133</v>
      </c>
      <c r="EA47" s="53">
        <f t="shared" si="38"/>
        <v>0</v>
      </c>
      <c r="EB47" s="52" t="s">
        <v>133</v>
      </c>
      <c r="EC47" s="53">
        <f t="shared" si="39"/>
        <v>0</v>
      </c>
      <c r="ED47" s="52" t="s">
        <v>684</v>
      </c>
      <c r="EE47" s="54">
        <f t="shared" si="40"/>
        <v>1.1659999999999999</v>
      </c>
      <c r="EF47" s="50">
        <v>3</v>
      </c>
      <c r="EG47" s="55">
        <f t="shared" si="41"/>
        <v>0.94</v>
      </c>
      <c r="EH47" s="50" t="s">
        <v>133</v>
      </c>
      <c r="EI47" s="55">
        <f t="shared" si="42"/>
        <v>0</v>
      </c>
      <c r="EJ47" s="50" t="s">
        <v>133</v>
      </c>
      <c r="EK47" s="55">
        <f t="shared" si="43"/>
        <v>0</v>
      </c>
      <c r="EL47" s="50" t="s">
        <v>133</v>
      </c>
      <c r="EM47" s="55">
        <f t="shared" si="44"/>
        <v>0</v>
      </c>
      <c r="EN47" s="50" t="s">
        <v>68</v>
      </c>
      <c r="EO47" s="55">
        <f t="shared" si="45"/>
        <v>0.5</v>
      </c>
      <c r="EP47" s="50" t="s">
        <v>133</v>
      </c>
      <c r="EQ47" s="55">
        <f t="shared" si="45"/>
        <v>0</v>
      </c>
      <c r="ER47" s="50" t="s">
        <v>725</v>
      </c>
      <c r="ES47" s="56">
        <f t="shared" si="46"/>
        <v>2.0571428571428569</v>
      </c>
      <c r="ET47" s="57" t="s">
        <v>68</v>
      </c>
      <c r="EU47" s="58">
        <f t="shared" si="47"/>
        <v>0.5</v>
      </c>
      <c r="EV47" s="57" t="s">
        <v>133</v>
      </c>
      <c r="EW47" s="58">
        <f t="shared" si="48"/>
        <v>0</v>
      </c>
      <c r="EX47" s="57" t="s">
        <v>133</v>
      </c>
      <c r="EY47" s="58">
        <f t="shared" si="49"/>
        <v>0</v>
      </c>
      <c r="EZ47" s="57" t="s">
        <v>133</v>
      </c>
      <c r="FA47" s="58">
        <f t="shared" si="50"/>
        <v>0</v>
      </c>
      <c r="FB47" s="57" t="s">
        <v>133</v>
      </c>
      <c r="FC47" s="58">
        <f t="shared" si="58"/>
        <v>0</v>
      </c>
      <c r="FD47" s="57" t="s">
        <v>133</v>
      </c>
      <c r="FE47" s="58">
        <f t="shared" si="58"/>
        <v>0</v>
      </c>
      <c r="FF47" s="57" t="s">
        <v>133</v>
      </c>
      <c r="FG47" s="58">
        <f t="shared" si="52"/>
        <v>0</v>
      </c>
      <c r="FH47" s="57" t="s">
        <v>133</v>
      </c>
      <c r="FI47" s="58">
        <f t="shared" si="53"/>
        <v>0</v>
      </c>
      <c r="FJ47" s="57" t="s">
        <v>133</v>
      </c>
      <c r="FK47" s="58">
        <f t="shared" si="53"/>
        <v>0</v>
      </c>
      <c r="FL47" s="59" t="s">
        <v>684</v>
      </c>
      <c r="FM47" s="60">
        <f t="shared" si="54"/>
        <v>0.625</v>
      </c>
      <c r="FN47" s="61">
        <f t="shared" si="55"/>
        <v>6.3621428571428575</v>
      </c>
    </row>
    <row r="48" spans="1:170" ht="66">
      <c r="A48" s="31">
        <v>46</v>
      </c>
      <c r="B48" s="32" t="s">
        <v>190</v>
      </c>
      <c r="C48" s="33" t="str">
        <f>VLOOKUP(B48,[1]Sheet1!$A:$C,2,FALSE)</f>
        <v>Ralph Lauren Corporation</v>
      </c>
      <c r="D48" s="34" t="s">
        <v>412</v>
      </c>
      <c r="E48" s="35" t="str">
        <f>VLOOKUP(B48,[1]Sheet1!$A:$C,3,FALSE)</f>
        <v>United States</v>
      </c>
      <c r="F48" s="34" t="s">
        <v>413</v>
      </c>
      <c r="G48" s="32" t="s">
        <v>192</v>
      </c>
      <c r="H48" s="36" t="s">
        <v>68</v>
      </c>
      <c r="I48" s="36" t="s">
        <v>421</v>
      </c>
      <c r="J48" s="36" t="s">
        <v>421</v>
      </c>
      <c r="K48" s="36" t="s">
        <v>431</v>
      </c>
      <c r="L48" s="36" t="s">
        <v>133</v>
      </c>
      <c r="M48" s="37">
        <f t="shared" si="4"/>
        <v>0</v>
      </c>
      <c r="N48" s="36">
        <v>3.0750000000000002</v>
      </c>
      <c r="O48" s="38">
        <f t="shared" si="5"/>
        <v>0.15999999999999992</v>
      </c>
      <c r="P48" s="36" t="s">
        <v>726</v>
      </c>
      <c r="Q48" s="39">
        <v>1</v>
      </c>
      <c r="R48" s="36" t="s">
        <v>133</v>
      </c>
      <c r="S48" s="37">
        <f t="shared" si="6"/>
        <v>0</v>
      </c>
      <c r="T48" s="36" t="s">
        <v>133</v>
      </c>
      <c r="U48" s="37">
        <f t="shared" si="7"/>
        <v>0.5</v>
      </c>
      <c r="V48" s="36" t="s">
        <v>133</v>
      </c>
      <c r="W48" s="36" t="s">
        <v>421</v>
      </c>
      <c r="X48" s="37">
        <f t="shared" si="8"/>
        <v>0</v>
      </c>
      <c r="Y48" s="36" t="s">
        <v>688</v>
      </c>
      <c r="Z48" s="40" t="s">
        <v>727</v>
      </c>
      <c r="AA48" s="41">
        <f t="shared" si="9"/>
        <v>1.66</v>
      </c>
      <c r="AB48" s="36">
        <v>1</v>
      </c>
      <c r="AC48" s="42">
        <f t="shared" si="0"/>
        <v>0.1855</v>
      </c>
      <c r="AD48" s="36" t="s">
        <v>133</v>
      </c>
      <c r="AE48" s="42">
        <f t="shared" si="10"/>
        <v>0.25</v>
      </c>
      <c r="AF48" s="36" t="s">
        <v>421</v>
      </c>
      <c r="AG48" s="36">
        <v>2</v>
      </c>
      <c r="AH48" s="42">
        <f t="shared" si="11"/>
        <v>1</v>
      </c>
      <c r="AI48" s="36" t="s">
        <v>133</v>
      </c>
      <c r="AJ48" s="42">
        <f t="shared" si="1"/>
        <v>0</v>
      </c>
      <c r="AK48" s="36" t="s">
        <v>68</v>
      </c>
      <c r="AL48" s="36" t="s">
        <v>133</v>
      </c>
      <c r="AM48" s="36" t="s">
        <v>133</v>
      </c>
      <c r="AN48" s="36" t="s">
        <v>133</v>
      </c>
      <c r="AO48" s="36" t="s">
        <v>133</v>
      </c>
      <c r="AP48" s="42">
        <f t="shared" si="12"/>
        <v>0.25</v>
      </c>
      <c r="AQ48" s="36" t="s">
        <v>68</v>
      </c>
      <c r="AR48" s="36" t="s">
        <v>68</v>
      </c>
      <c r="AS48" s="42">
        <f t="shared" si="13"/>
        <v>0.25</v>
      </c>
      <c r="AT48" s="36" t="s">
        <v>68</v>
      </c>
      <c r="AU48" s="36" t="s">
        <v>68</v>
      </c>
      <c r="AV48" s="42">
        <f t="shared" si="14"/>
        <v>0.25</v>
      </c>
      <c r="AW48" s="36" t="s">
        <v>68</v>
      </c>
      <c r="AX48" s="36" t="s">
        <v>68</v>
      </c>
      <c r="AY48" s="42">
        <f t="shared" si="15"/>
        <v>0.25</v>
      </c>
      <c r="AZ48" s="36" t="s">
        <v>728</v>
      </c>
      <c r="BA48" s="36" t="s">
        <v>68</v>
      </c>
      <c r="BB48" s="42">
        <f t="shared" si="57"/>
        <v>0.25</v>
      </c>
      <c r="BC48" s="36" t="s">
        <v>133</v>
      </c>
      <c r="BD48" s="42">
        <f t="shared" si="16"/>
        <v>0</v>
      </c>
      <c r="BE48" s="36" t="s">
        <v>133</v>
      </c>
      <c r="BF48" s="42">
        <f t="shared" si="17"/>
        <v>0</v>
      </c>
      <c r="BG48" s="36" t="s">
        <v>68</v>
      </c>
      <c r="BH48" s="36" t="s">
        <v>68</v>
      </c>
      <c r="BI48" s="42">
        <f t="shared" si="18"/>
        <v>0.5</v>
      </c>
      <c r="BJ48" s="36" t="s">
        <v>68</v>
      </c>
      <c r="BK48" s="36" t="s">
        <v>68</v>
      </c>
      <c r="BL48" s="36" t="s">
        <v>133</v>
      </c>
      <c r="BM48" s="36" t="s">
        <v>133</v>
      </c>
      <c r="BN48" s="36" t="s">
        <v>133</v>
      </c>
      <c r="BO48" s="36" t="s">
        <v>68</v>
      </c>
      <c r="BP48" s="42">
        <f t="shared" si="19"/>
        <v>0.5</v>
      </c>
      <c r="BQ48" s="36" t="s">
        <v>68</v>
      </c>
      <c r="BR48" s="36" t="s">
        <v>68</v>
      </c>
      <c r="BS48" s="36" t="s">
        <v>68</v>
      </c>
      <c r="BT48" s="36" t="s">
        <v>133</v>
      </c>
      <c r="BU48" s="36" t="s">
        <v>133</v>
      </c>
      <c r="BV48" s="36" t="s">
        <v>68</v>
      </c>
      <c r="BW48" s="43" t="s">
        <v>729</v>
      </c>
      <c r="BX48" s="44">
        <f t="shared" si="20"/>
        <v>3.6855000000000002</v>
      </c>
      <c r="BY48" s="45" t="s">
        <v>68</v>
      </c>
      <c r="BZ48" s="46">
        <f t="shared" si="21"/>
        <v>0.5</v>
      </c>
      <c r="CA48" s="45" t="s">
        <v>133</v>
      </c>
      <c r="CB48" s="46">
        <f t="shared" si="22"/>
        <v>0</v>
      </c>
      <c r="CC48" s="36" t="s">
        <v>133</v>
      </c>
      <c r="CD48" s="46">
        <f t="shared" si="23"/>
        <v>0</v>
      </c>
      <c r="CE48" s="45" t="s">
        <v>133</v>
      </c>
      <c r="CF48" s="45" t="s">
        <v>133</v>
      </c>
      <c r="CG48" s="47">
        <v>0</v>
      </c>
      <c r="CH48" s="45" t="s">
        <v>133</v>
      </c>
      <c r="CI48" s="48">
        <f t="shared" si="24"/>
        <v>0</v>
      </c>
      <c r="CJ48" s="49" t="s">
        <v>68</v>
      </c>
      <c r="CK48" s="49" t="s">
        <v>133</v>
      </c>
      <c r="CL48" s="50" t="s">
        <v>730</v>
      </c>
      <c r="CM48" s="49" t="s">
        <v>133</v>
      </c>
      <c r="CN48" s="46">
        <f t="shared" si="25"/>
        <v>0</v>
      </c>
      <c r="CO48" s="49" t="s">
        <v>68</v>
      </c>
      <c r="CP48" s="48">
        <f t="shared" si="26"/>
        <v>0.75</v>
      </c>
      <c r="CQ48" s="49" t="s">
        <v>68</v>
      </c>
      <c r="CR48" s="48">
        <f t="shared" si="27"/>
        <v>0.25</v>
      </c>
      <c r="CS48" s="49" t="s">
        <v>68</v>
      </c>
      <c r="CT48" s="48">
        <f t="shared" si="28"/>
        <v>0.5</v>
      </c>
      <c r="CU48" s="49" t="s">
        <v>133</v>
      </c>
      <c r="CV48" s="48">
        <f t="shared" si="29"/>
        <v>0</v>
      </c>
      <c r="CW48" s="50" t="s">
        <v>684</v>
      </c>
      <c r="CX48" s="51">
        <f t="shared" si="30"/>
        <v>2</v>
      </c>
      <c r="CY48" s="52" t="s">
        <v>68</v>
      </c>
      <c r="CZ48" s="53">
        <f t="shared" si="31"/>
        <v>0.5</v>
      </c>
      <c r="DA48" s="52">
        <v>2</v>
      </c>
      <c r="DB48" s="53">
        <f t="shared" si="32"/>
        <v>0.23799999999999999</v>
      </c>
      <c r="DC48" s="52" t="s">
        <v>133</v>
      </c>
      <c r="DD48" s="53">
        <f t="shared" si="33"/>
        <v>0</v>
      </c>
      <c r="DE48" s="52" t="s">
        <v>68</v>
      </c>
      <c r="DF48" s="53">
        <f t="shared" si="34"/>
        <v>0.5</v>
      </c>
      <c r="DG48" s="50" t="s">
        <v>133</v>
      </c>
      <c r="DH48" s="50" t="s">
        <v>68</v>
      </c>
      <c r="DI48" s="50" t="s">
        <v>133</v>
      </c>
      <c r="DJ48" s="50" t="s">
        <v>68</v>
      </c>
      <c r="DK48" s="50" t="s">
        <v>133</v>
      </c>
      <c r="DL48" s="50" t="s">
        <v>133</v>
      </c>
      <c r="DM48" s="50" t="s">
        <v>133</v>
      </c>
      <c r="DN48" s="50" t="s">
        <v>133</v>
      </c>
      <c r="DO48" s="50" t="s">
        <v>68</v>
      </c>
      <c r="DP48" s="52" t="s">
        <v>68</v>
      </c>
      <c r="DQ48" s="50" t="s">
        <v>133</v>
      </c>
      <c r="DR48" s="52" t="s">
        <v>133</v>
      </c>
      <c r="DS48" s="53">
        <f t="shared" si="3"/>
        <v>0.25</v>
      </c>
      <c r="DT48" s="52" t="s">
        <v>133</v>
      </c>
      <c r="DU48" s="53">
        <f t="shared" si="35"/>
        <v>0</v>
      </c>
      <c r="DV48" s="52" t="s">
        <v>133</v>
      </c>
      <c r="DW48" s="53">
        <f t="shared" si="36"/>
        <v>0</v>
      </c>
      <c r="DX48" s="52" t="s">
        <v>68</v>
      </c>
      <c r="DY48" s="53">
        <f t="shared" si="37"/>
        <v>0.5</v>
      </c>
      <c r="DZ48" s="52" t="s">
        <v>68</v>
      </c>
      <c r="EA48" s="53">
        <f t="shared" si="38"/>
        <v>0.5</v>
      </c>
      <c r="EB48" s="52" t="s">
        <v>133</v>
      </c>
      <c r="EC48" s="53">
        <f t="shared" si="39"/>
        <v>0</v>
      </c>
      <c r="ED48" s="52" t="s">
        <v>684</v>
      </c>
      <c r="EE48" s="54">
        <f t="shared" si="40"/>
        <v>2.488</v>
      </c>
      <c r="EF48" s="50">
        <v>6</v>
      </c>
      <c r="EG48" s="55">
        <f t="shared" si="41"/>
        <v>0.24</v>
      </c>
      <c r="EH48" s="50" t="s">
        <v>133</v>
      </c>
      <c r="EI48" s="55">
        <f t="shared" si="42"/>
        <v>0</v>
      </c>
      <c r="EJ48" s="50" t="s">
        <v>133</v>
      </c>
      <c r="EK48" s="55">
        <f t="shared" si="43"/>
        <v>0</v>
      </c>
      <c r="EL48" s="50" t="s">
        <v>133</v>
      </c>
      <c r="EM48" s="55">
        <f t="shared" si="44"/>
        <v>0</v>
      </c>
      <c r="EN48" s="50" t="s">
        <v>68</v>
      </c>
      <c r="EO48" s="55">
        <f t="shared" si="45"/>
        <v>0.5</v>
      </c>
      <c r="EP48" s="50" t="s">
        <v>68</v>
      </c>
      <c r="EQ48" s="55">
        <f t="shared" si="45"/>
        <v>0.5</v>
      </c>
      <c r="ER48" s="50" t="s">
        <v>684</v>
      </c>
      <c r="ES48" s="56">
        <f t="shared" si="46"/>
        <v>1.7714285714285714</v>
      </c>
      <c r="ET48" s="57" t="s">
        <v>133</v>
      </c>
      <c r="EU48" s="58">
        <f t="shared" si="47"/>
        <v>0</v>
      </c>
      <c r="EV48" s="57" t="s">
        <v>414</v>
      </c>
      <c r="EW48" s="58">
        <f t="shared" si="48"/>
        <v>0</v>
      </c>
      <c r="EX48" s="57" t="s">
        <v>414</v>
      </c>
      <c r="EY48" s="58">
        <f t="shared" si="49"/>
        <v>0</v>
      </c>
      <c r="EZ48" s="57" t="s">
        <v>133</v>
      </c>
      <c r="FA48" s="58">
        <f t="shared" si="50"/>
        <v>0</v>
      </c>
      <c r="FB48" s="57" t="s">
        <v>68</v>
      </c>
      <c r="FC48" s="58">
        <f t="shared" si="58"/>
        <v>0.5</v>
      </c>
      <c r="FD48" s="57" t="s">
        <v>68</v>
      </c>
      <c r="FE48" s="58">
        <f t="shared" si="58"/>
        <v>0.5</v>
      </c>
      <c r="FF48" s="57" t="s">
        <v>133</v>
      </c>
      <c r="FG48" s="58">
        <f t="shared" si="52"/>
        <v>0</v>
      </c>
      <c r="FH48" s="57" t="s">
        <v>133</v>
      </c>
      <c r="FI48" s="58">
        <f t="shared" si="53"/>
        <v>0</v>
      </c>
      <c r="FJ48" s="57" t="s">
        <v>68</v>
      </c>
      <c r="FK48" s="58">
        <f t="shared" si="53"/>
        <v>0.5</v>
      </c>
      <c r="FL48" s="59" t="s">
        <v>684</v>
      </c>
      <c r="FM48" s="60">
        <f t="shared" si="54"/>
        <v>1.875</v>
      </c>
      <c r="FN48" s="61">
        <f t="shared" si="55"/>
        <v>13.479928571428573</v>
      </c>
    </row>
    <row r="49" spans="1:170" ht="105">
      <c r="A49" s="31">
        <v>47</v>
      </c>
      <c r="B49" s="32" t="s">
        <v>193</v>
      </c>
      <c r="C49" s="33" t="str">
        <f>VLOOKUP(B49,[1]Sheet1!$A:$C,2,FALSE)</f>
        <v>Roberto Cavalli S.p.A.</v>
      </c>
      <c r="D49" s="34" t="s">
        <v>412</v>
      </c>
      <c r="E49" s="35" t="str">
        <f>VLOOKUP(B49,[1]Sheet1!$A:$C,3,FALSE)</f>
        <v>Italy</v>
      </c>
      <c r="F49" s="34" t="s">
        <v>413</v>
      </c>
      <c r="G49" s="32" t="s">
        <v>195</v>
      </c>
      <c r="H49" s="36" t="s">
        <v>68</v>
      </c>
      <c r="I49" s="36" t="s">
        <v>421</v>
      </c>
      <c r="J49" s="36" t="s">
        <v>421</v>
      </c>
      <c r="K49" s="36" t="s">
        <v>431</v>
      </c>
      <c r="L49" s="36" t="s">
        <v>68</v>
      </c>
      <c r="M49" s="37">
        <f t="shared" si="4"/>
        <v>0.75</v>
      </c>
      <c r="N49" s="63">
        <f>AVERAGE(N52:N55)</f>
        <v>2.476</v>
      </c>
      <c r="O49" s="38">
        <f t="shared" si="5"/>
        <v>0.41399999999999992</v>
      </c>
      <c r="P49" s="36" t="s">
        <v>416</v>
      </c>
      <c r="Q49" s="39">
        <v>0.5</v>
      </c>
      <c r="R49" s="36" t="s">
        <v>68</v>
      </c>
      <c r="S49" s="37">
        <f t="shared" si="6"/>
        <v>0.5</v>
      </c>
      <c r="T49" s="36" t="s">
        <v>68</v>
      </c>
      <c r="U49" s="37">
        <f t="shared" si="7"/>
        <v>0</v>
      </c>
      <c r="V49" s="36" t="s">
        <v>68</v>
      </c>
      <c r="W49" s="36" t="s">
        <v>133</v>
      </c>
      <c r="X49" s="37">
        <f t="shared" si="8"/>
        <v>0</v>
      </c>
      <c r="Y49" s="36" t="s">
        <v>688</v>
      </c>
      <c r="Z49" s="40" t="s">
        <v>731</v>
      </c>
      <c r="AA49" s="41">
        <f t="shared" si="9"/>
        <v>2.1639999999999997</v>
      </c>
      <c r="AB49" s="36">
        <v>0</v>
      </c>
      <c r="AC49" s="42">
        <f t="shared" si="0"/>
        <v>0.5</v>
      </c>
      <c r="AD49" s="36" t="s">
        <v>68</v>
      </c>
      <c r="AE49" s="42">
        <f t="shared" si="10"/>
        <v>0</v>
      </c>
      <c r="AF49" s="36" t="s">
        <v>133</v>
      </c>
      <c r="AG49" s="36">
        <v>3</v>
      </c>
      <c r="AH49" s="42">
        <f t="shared" si="11"/>
        <v>0.52400000000000002</v>
      </c>
      <c r="AI49" s="36" t="s">
        <v>68</v>
      </c>
      <c r="AJ49" s="42">
        <f t="shared" si="1"/>
        <v>0.25</v>
      </c>
      <c r="AK49" s="36" t="s">
        <v>133</v>
      </c>
      <c r="AL49" s="36" t="s">
        <v>133</v>
      </c>
      <c r="AM49" s="36" t="s">
        <v>133</v>
      </c>
      <c r="AN49" s="36" t="s">
        <v>133</v>
      </c>
      <c r="AO49" s="36" t="s">
        <v>133</v>
      </c>
      <c r="AP49" s="42">
        <f t="shared" si="12"/>
        <v>0</v>
      </c>
      <c r="AQ49" s="36" t="s">
        <v>68</v>
      </c>
      <c r="AR49" s="36" t="s">
        <v>133</v>
      </c>
      <c r="AS49" s="42">
        <f t="shared" si="13"/>
        <v>0</v>
      </c>
      <c r="AT49" s="36" t="s">
        <v>133</v>
      </c>
      <c r="AU49" s="36" t="s">
        <v>133</v>
      </c>
      <c r="AV49" s="42">
        <f t="shared" si="14"/>
        <v>0.25</v>
      </c>
      <c r="AW49" s="36" t="s">
        <v>133</v>
      </c>
      <c r="AX49" s="36" t="s">
        <v>133</v>
      </c>
      <c r="AY49" s="42">
        <f t="shared" si="15"/>
        <v>0</v>
      </c>
      <c r="AZ49" s="36" t="s">
        <v>732</v>
      </c>
      <c r="BA49" s="36" t="s">
        <v>68</v>
      </c>
      <c r="BB49" s="42">
        <f t="shared" si="57"/>
        <v>0.25</v>
      </c>
      <c r="BC49" s="36" t="s">
        <v>68</v>
      </c>
      <c r="BD49" s="42">
        <f t="shared" si="16"/>
        <v>0.5</v>
      </c>
      <c r="BE49" s="36" t="s">
        <v>133</v>
      </c>
      <c r="BF49" s="42">
        <f t="shared" si="17"/>
        <v>0</v>
      </c>
      <c r="BG49" s="36" t="s">
        <v>68</v>
      </c>
      <c r="BH49" s="36" t="s">
        <v>133</v>
      </c>
      <c r="BI49" s="42">
        <f t="shared" si="18"/>
        <v>0</v>
      </c>
      <c r="BJ49" s="36" t="s">
        <v>133</v>
      </c>
      <c r="BK49" s="36" t="s">
        <v>133</v>
      </c>
      <c r="BL49" s="36" t="s">
        <v>133</v>
      </c>
      <c r="BM49" s="36" t="s">
        <v>133</v>
      </c>
      <c r="BN49" s="36" t="s">
        <v>133</v>
      </c>
      <c r="BO49" s="36" t="s">
        <v>133</v>
      </c>
      <c r="BP49" s="42">
        <f t="shared" si="19"/>
        <v>0</v>
      </c>
      <c r="BQ49" s="36" t="s">
        <v>133</v>
      </c>
      <c r="BR49" s="36" t="s">
        <v>133</v>
      </c>
      <c r="BS49" s="36" t="s">
        <v>133</v>
      </c>
      <c r="BT49" s="36" t="s">
        <v>133</v>
      </c>
      <c r="BU49" s="36" t="s">
        <v>133</v>
      </c>
      <c r="BV49" s="36" t="s">
        <v>133</v>
      </c>
      <c r="BW49" s="43" t="s">
        <v>684</v>
      </c>
      <c r="BX49" s="44">
        <f t="shared" si="20"/>
        <v>2.274</v>
      </c>
      <c r="BY49" s="45" t="s">
        <v>68</v>
      </c>
      <c r="BZ49" s="46">
        <f t="shared" si="21"/>
        <v>0.5</v>
      </c>
      <c r="CA49" s="45" t="s">
        <v>133</v>
      </c>
      <c r="CB49" s="46">
        <f t="shared" si="22"/>
        <v>0</v>
      </c>
      <c r="CC49" s="36" t="s">
        <v>133</v>
      </c>
      <c r="CD49" s="46">
        <f t="shared" si="23"/>
        <v>0</v>
      </c>
      <c r="CE49" s="45" t="s">
        <v>133</v>
      </c>
      <c r="CF49" s="45" t="s">
        <v>133</v>
      </c>
      <c r="CG49" s="47">
        <v>0</v>
      </c>
      <c r="CH49" s="45" t="s">
        <v>133</v>
      </c>
      <c r="CI49" s="48">
        <f t="shared" si="24"/>
        <v>0</v>
      </c>
      <c r="CJ49" s="49" t="s">
        <v>68</v>
      </c>
      <c r="CK49" s="49" t="s">
        <v>133</v>
      </c>
      <c r="CL49" s="50" t="s">
        <v>133</v>
      </c>
      <c r="CM49" s="49" t="s">
        <v>133</v>
      </c>
      <c r="CN49" s="46">
        <f t="shared" si="25"/>
        <v>0</v>
      </c>
      <c r="CO49" s="49" t="s">
        <v>133</v>
      </c>
      <c r="CP49" s="48">
        <f t="shared" si="26"/>
        <v>0</v>
      </c>
      <c r="CQ49" s="49" t="s">
        <v>133</v>
      </c>
      <c r="CR49" s="48">
        <f t="shared" si="27"/>
        <v>0</v>
      </c>
      <c r="CS49" s="49" t="s">
        <v>133</v>
      </c>
      <c r="CT49" s="48">
        <f t="shared" si="28"/>
        <v>0</v>
      </c>
      <c r="CU49" s="49" t="s">
        <v>133</v>
      </c>
      <c r="CV49" s="48">
        <f t="shared" si="29"/>
        <v>0</v>
      </c>
      <c r="CW49" s="50" t="s">
        <v>733</v>
      </c>
      <c r="CX49" s="51">
        <f t="shared" si="30"/>
        <v>0.5</v>
      </c>
      <c r="CY49" s="52" t="s">
        <v>68</v>
      </c>
      <c r="CZ49" s="53">
        <f t="shared" si="31"/>
        <v>0.5</v>
      </c>
      <c r="DA49" s="52">
        <v>4</v>
      </c>
      <c r="DB49" s="53">
        <f t="shared" si="32"/>
        <v>0.66600000000000004</v>
      </c>
      <c r="DC49" s="52" t="s">
        <v>133</v>
      </c>
      <c r="DD49" s="53">
        <f t="shared" si="33"/>
        <v>0</v>
      </c>
      <c r="DE49" s="52" t="s">
        <v>68</v>
      </c>
      <c r="DF49" s="53">
        <f t="shared" si="34"/>
        <v>0.5</v>
      </c>
      <c r="DG49" s="50" t="s">
        <v>133</v>
      </c>
      <c r="DH49" s="50" t="s">
        <v>68</v>
      </c>
      <c r="DI49" s="50" t="s">
        <v>68</v>
      </c>
      <c r="DJ49" s="50" t="s">
        <v>68</v>
      </c>
      <c r="DK49" s="50" t="s">
        <v>133</v>
      </c>
      <c r="DL49" s="50" t="s">
        <v>133</v>
      </c>
      <c r="DM49" s="50" t="s">
        <v>133</v>
      </c>
      <c r="DN49" s="50" t="s">
        <v>133</v>
      </c>
      <c r="DO49" s="50" t="s">
        <v>133</v>
      </c>
      <c r="DP49" s="52" t="s">
        <v>68</v>
      </c>
      <c r="DQ49" s="50" t="s">
        <v>133</v>
      </c>
      <c r="DR49" s="52" t="s">
        <v>133</v>
      </c>
      <c r="DS49" s="53">
        <f t="shared" si="3"/>
        <v>0.25</v>
      </c>
      <c r="DT49" s="52" t="s">
        <v>133</v>
      </c>
      <c r="DU49" s="53">
        <f t="shared" si="35"/>
        <v>0</v>
      </c>
      <c r="DV49" s="52" t="s">
        <v>133</v>
      </c>
      <c r="DW49" s="53">
        <f t="shared" si="36"/>
        <v>0</v>
      </c>
      <c r="DX49" s="52" t="s">
        <v>68</v>
      </c>
      <c r="DY49" s="53">
        <f t="shared" si="37"/>
        <v>0.5</v>
      </c>
      <c r="DZ49" s="52" t="s">
        <v>133</v>
      </c>
      <c r="EA49" s="53">
        <f t="shared" si="38"/>
        <v>0</v>
      </c>
      <c r="EB49" s="52" t="s">
        <v>133</v>
      </c>
      <c r="EC49" s="53">
        <f t="shared" si="39"/>
        <v>0</v>
      </c>
      <c r="ED49" s="52" t="s">
        <v>684</v>
      </c>
      <c r="EE49" s="54">
        <f t="shared" si="40"/>
        <v>2.4159999999999999</v>
      </c>
      <c r="EF49" s="50">
        <v>2</v>
      </c>
      <c r="EG49" s="55">
        <f t="shared" si="41"/>
        <v>1</v>
      </c>
      <c r="EH49" s="50" t="s">
        <v>133</v>
      </c>
      <c r="EI49" s="55">
        <f t="shared" si="42"/>
        <v>0</v>
      </c>
      <c r="EJ49" s="50" t="s">
        <v>133</v>
      </c>
      <c r="EK49" s="55">
        <f t="shared" si="43"/>
        <v>0</v>
      </c>
      <c r="EL49" s="50" t="s">
        <v>133</v>
      </c>
      <c r="EM49" s="55">
        <f t="shared" si="44"/>
        <v>0</v>
      </c>
      <c r="EN49" s="50" t="s">
        <v>68</v>
      </c>
      <c r="EO49" s="55">
        <f t="shared" si="45"/>
        <v>0.5</v>
      </c>
      <c r="EP49" s="50" t="s">
        <v>133</v>
      </c>
      <c r="EQ49" s="55">
        <f t="shared" si="45"/>
        <v>0</v>
      </c>
      <c r="ER49" s="50" t="s">
        <v>684</v>
      </c>
      <c r="ES49" s="56">
        <f t="shared" si="46"/>
        <v>2.1428571428571428</v>
      </c>
      <c r="ET49" s="57" t="s">
        <v>133</v>
      </c>
      <c r="EU49" s="58">
        <f t="shared" si="47"/>
        <v>0</v>
      </c>
      <c r="EV49" s="57" t="s">
        <v>414</v>
      </c>
      <c r="EW49" s="58">
        <f t="shared" si="48"/>
        <v>0</v>
      </c>
      <c r="EX49" s="57" t="s">
        <v>414</v>
      </c>
      <c r="EY49" s="58">
        <f t="shared" si="49"/>
        <v>0</v>
      </c>
      <c r="EZ49" s="57" t="s">
        <v>133</v>
      </c>
      <c r="FA49" s="58">
        <f t="shared" si="50"/>
        <v>0</v>
      </c>
      <c r="FB49" s="57" t="s">
        <v>133</v>
      </c>
      <c r="FC49" s="58">
        <f t="shared" si="58"/>
        <v>0</v>
      </c>
      <c r="FD49" s="57" t="s">
        <v>133</v>
      </c>
      <c r="FE49" s="58">
        <f t="shared" si="58"/>
        <v>0</v>
      </c>
      <c r="FF49" s="57" t="s">
        <v>133</v>
      </c>
      <c r="FG49" s="58">
        <f t="shared" si="52"/>
        <v>0</v>
      </c>
      <c r="FH49" s="57" t="s">
        <v>133</v>
      </c>
      <c r="FI49" s="58">
        <f t="shared" si="53"/>
        <v>0</v>
      </c>
      <c r="FJ49" s="57" t="s">
        <v>68</v>
      </c>
      <c r="FK49" s="58">
        <f t="shared" si="53"/>
        <v>0.5</v>
      </c>
      <c r="FL49" s="59" t="s">
        <v>684</v>
      </c>
      <c r="FM49" s="60">
        <f t="shared" si="54"/>
        <v>0.625</v>
      </c>
      <c r="FN49" s="61">
        <f t="shared" si="55"/>
        <v>10.121857142857142</v>
      </c>
    </row>
    <row r="50" spans="1:170" ht="28">
      <c r="A50" s="31">
        <v>48</v>
      </c>
      <c r="B50" s="32" t="s">
        <v>196</v>
      </c>
      <c r="C50" s="33" t="str">
        <f>VLOOKUP(B50,[1]Sheet1!$A:$C,2,FALSE)</f>
        <v>Salvatore Ferragamo Italia S.p.A.</v>
      </c>
      <c r="D50" s="34" t="s">
        <v>412</v>
      </c>
      <c r="E50" s="35" t="str">
        <f>VLOOKUP(B50,[1]Sheet1!$A:$C,3,FALSE)</f>
        <v>Italy</v>
      </c>
      <c r="F50" s="34" t="s">
        <v>413</v>
      </c>
      <c r="G50" s="32" t="s">
        <v>198</v>
      </c>
      <c r="H50" s="36" t="s">
        <v>68</v>
      </c>
      <c r="I50" s="36" t="s">
        <v>421</v>
      </c>
      <c r="J50" s="36"/>
      <c r="K50" s="36" t="s">
        <v>431</v>
      </c>
      <c r="L50" s="36" t="s">
        <v>68</v>
      </c>
      <c r="M50" s="37">
        <f t="shared" si="4"/>
        <v>0.75</v>
      </c>
      <c r="N50" s="36">
        <v>1.657</v>
      </c>
      <c r="O50" s="38">
        <f t="shared" si="5"/>
        <v>1.048</v>
      </c>
      <c r="P50" s="36" t="s">
        <v>416</v>
      </c>
      <c r="Q50" s="39">
        <v>0.5</v>
      </c>
      <c r="R50" s="36" t="s">
        <v>133</v>
      </c>
      <c r="S50" s="37">
        <f t="shared" si="6"/>
        <v>0</v>
      </c>
      <c r="T50" s="36" t="s">
        <v>68</v>
      </c>
      <c r="U50" s="37">
        <f t="shared" si="7"/>
        <v>0</v>
      </c>
      <c r="V50" s="36" t="s">
        <v>133</v>
      </c>
      <c r="W50" s="36" t="s">
        <v>133</v>
      </c>
      <c r="X50" s="37">
        <f t="shared" si="8"/>
        <v>0</v>
      </c>
      <c r="Y50" s="36" t="s">
        <v>688</v>
      </c>
      <c r="Z50" s="40"/>
      <c r="AA50" s="41">
        <f t="shared" si="9"/>
        <v>2.298</v>
      </c>
      <c r="AB50" s="36">
        <v>0</v>
      </c>
      <c r="AC50" s="42">
        <f t="shared" si="0"/>
        <v>0.5</v>
      </c>
      <c r="AD50" s="36" t="s">
        <v>133</v>
      </c>
      <c r="AE50" s="42">
        <f t="shared" si="10"/>
        <v>0.25</v>
      </c>
      <c r="AF50" s="36" t="s">
        <v>421</v>
      </c>
      <c r="AG50" s="36">
        <v>2</v>
      </c>
      <c r="AH50" s="42">
        <f t="shared" si="11"/>
        <v>1</v>
      </c>
      <c r="AI50" s="36" t="s">
        <v>133</v>
      </c>
      <c r="AJ50" s="42">
        <f t="shared" si="1"/>
        <v>0</v>
      </c>
      <c r="AK50" s="36" t="s">
        <v>133</v>
      </c>
      <c r="AL50" s="36" t="s">
        <v>133</v>
      </c>
      <c r="AM50" s="36" t="s">
        <v>133</v>
      </c>
      <c r="AN50" s="36" t="s">
        <v>133</v>
      </c>
      <c r="AO50" s="36" t="s">
        <v>133</v>
      </c>
      <c r="AP50" s="42">
        <f t="shared" si="12"/>
        <v>0</v>
      </c>
      <c r="AQ50" s="36" t="s">
        <v>133</v>
      </c>
      <c r="AR50" s="36" t="s">
        <v>133</v>
      </c>
      <c r="AS50" s="42">
        <f t="shared" si="13"/>
        <v>0</v>
      </c>
      <c r="AT50" s="36" t="s">
        <v>133</v>
      </c>
      <c r="AU50" s="36" t="s">
        <v>133</v>
      </c>
      <c r="AV50" s="42">
        <f t="shared" si="14"/>
        <v>0</v>
      </c>
      <c r="AW50" s="36" t="s">
        <v>133</v>
      </c>
      <c r="AX50" s="36" t="s">
        <v>68</v>
      </c>
      <c r="AY50" s="42">
        <f t="shared" si="15"/>
        <v>0.25</v>
      </c>
      <c r="AZ50" s="36" t="s">
        <v>734</v>
      </c>
      <c r="BA50" s="36" t="s">
        <v>68</v>
      </c>
      <c r="BB50" s="42">
        <f t="shared" si="57"/>
        <v>0.25</v>
      </c>
      <c r="BC50" s="36" t="s">
        <v>133</v>
      </c>
      <c r="BD50" s="42">
        <f t="shared" si="16"/>
        <v>0</v>
      </c>
      <c r="BE50" s="36" t="s">
        <v>133</v>
      </c>
      <c r="BF50" s="42">
        <f t="shared" si="17"/>
        <v>0</v>
      </c>
      <c r="BG50" s="36" t="s">
        <v>133</v>
      </c>
      <c r="BH50" s="36" t="s">
        <v>133</v>
      </c>
      <c r="BI50" s="42">
        <f t="shared" si="18"/>
        <v>0</v>
      </c>
      <c r="BJ50" s="36" t="s">
        <v>133</v>
      </c>
      <c r="BK50" s="36" t="s">
        <v>133</v>
      </c>
      <c r="BL50" s="36" t="s">
        <v>133</v>
      </c>
      <c r="BM50" s="36" t="s">
        <v>133</v>
      </c>
      <c r="BN50" s="36" t="s">
        <v>133</v>
      </c>
      <c r="BO50" s="36" t="s">
        <v>133</v>
      </c>
      <c r="BP50" s="42">
        <f t="shared" si="19"/>
        <v>0</v>
      </c>
      <c r="BQ50" s="36" t="s">
        <v>133</v>
      </c>
      <c r="BR50" s="36" t="s">
        <v>133</v>
      </c>
      <c r="BS50" s="36" t="s">
        <v>133</v>
      </c>
      <c r="BT50" s="36" t="s">
        <v>133</v>
      </c>
      <c r="BU50" s="36" t="s">
        <v>133</v>
      </c>
      <c r="BV50" s="36" t="s">
        <v>133</v>
      </c>
      <c r="BW50" s="43" t="s">
        <v>684</v>
      </c>
      <c r="BX50" s="44">
        <f t="shared" si="20"/>
        <v>2.25</v>
      </c>
      <c r="BY50" s="45" t="s">
        <v>133</v>
      </c>
      <c r="BZ50" s="46">
        <f t="shared" si="21"/>
        <v>0</v>
      </c>
      <c r="CA50" s="45" t="s">
        <v>133</v>
      </c>
      <c r="CB50" s="46">
        <f t="shared" si="22"/>
        <v>0</v>
      </c>
      <c r="CC50" s="36" t="s">
        <v>133</v>
      </c>
      <c r="CD50" s="46">
        <f t="shared" si="23"/>
        <v>0</v>
      </c>
      <c r="CE50" s="45" t="s">
        <v>133</v>
      </c>
      <c r="CF50" s="45" t="s">
        <v>133</v>
      </c>
      <c r="CG50" s="47">
        <v>0</v>
      </c>
      <c r="CH50" s="45" t="s">
        <v>133</v>
      </c>
      <c r="CI50" s="48">
        <f t="shared" si="24"/>
        <v>0</v>
      </c>
      <c r="CJ50" s="49" t="s">
        <v>68</v>
      </c>
      <c r="CK50" s="49" t="s">
        <v>133</v>
      </c>
      <c r="CL50" s="50" t="s">
        <v>133</v>
      </c>
      <c r="CM50" s="49" t="s">
        <v>133</v>
      </c>
      <c r="CN50" s="46">
        <f t="shared" si="25"/>
        <v>0</v>
      </c>
      <c r="CO50" s="49" t="s">
        <v>133</v>
      </c>
      <c r="CP50" s="48">
        <f t="shared" si="26"/>
        <v>0</v>
      </c>
      <c r="CQ50" s="49" t="s">
        <v>133</v>
      </c>
      <c r="CR50" s="48">
        <f t="shared" si="27"/>
        <v>0</v>
      </c>
      <c r="CS50" s="49" t="s">
        <v>133</v>
      </c>
      <c r="CT50" s="48">
        <f t="shared" si="28"/>
        <v>0</v>
      </c>
      <c r="CU50" s="49" t="s">
        <v>133</v>
      </c>
      <c r="CV50" s="48">
        <f t="shared" si="29"/>
        <v>0</v>
      </c>
      <c r="CW50" s="50" t="s">
        <v>735</v>
      </c>
      <c r="CX50" s="51">
        <f t="shared" si="30"/>
        <v>0</v>
      </c>
      <c r="CY50" s="52" t="s">
        <v>68</v>
      </c>
      <c r="CZ50" s="53">
        <f t="shared" si="31"/>
        <v>0.5</v>
      </c>
      <c r="DA50" s="52">
        <v>2</v>
      </c>
      <c r="DB50" s="53">
        <f t="shared" si="32"/>
        <v>0.23799999999999999</v>
      </c>
      <c r="DC50" s="52" t="s">
        <v>133</v>
      </c>
      <c r="DD50" s="53">
        <f t="shared" si="33"/>
        <v>0</v>
      </c>
      <c r="DE50" s="52" t="s">
        <v>133</v>
      </c>
      <c r="DF50" s="53">
        <f t="shared" si="34"/>
        <v>0</v>
      </c>
      <c r="DG50" s="50" t="s">
        <v>133</v>
      </c>
      <c r="DH50" s="50" t="s">
        <v>133</v>
      </c>
      <c r="DI50" s="50" t="s">
        <v>133</v>
      </c>
      <c r="DJ50" s="50" t="s">
        <v>133</v>
      </c>
      <c r="DK50" s="50" t="s">
        <v>133</v>
      </c>
      <c r="DL50" s="50" t="s">
        <v>133</v>
      </c>
      <c r="DM50" s="50" t="s">
        <v>133</v>
      </c>
      <c r="DN50" s="50" t="s">
        <v>133</v>
      </c>
      <c r="DO50" s="50" t="s">
        <v>133</v>
      </c>
      <c r="DP50" s="52" t="s">
        <v>133</v>
      </c>
      <c r="DQ50" s="50" t="s">
        <v>133</v>
      </c>
      <c r="DR50" s="52" t="s">
        <v>133</v>
      </c>
      <c r="DS50" s="53">
        <f t="shared" si="3"/>
        <v>0</v>
      </c>
      <c r="DT50" s="52" t="s">
        <v>133</v>
      </c>
      <c r="DU50" s="53">
        <f t="shared" si="35"/>
        <v>0</v>
      </c>
      <c r="DV50" s="52" t="s">
        <v>133</v>
      </c>
      <c r="DW50" s="53">
        <f t="shared" si="36"/>
        <v>0</v>
      </c>
      <c r="DX50" s="52" t="s">
        <v>133</v>
      </c>
      <c r="DY50" s="53">
        <f t="shared" si="37"/>
        <v>0</v>
      </c>
      <c r="DZ50" s="52" t="s">
        <v>133</v>
      </c>
      <c r="EA50" s="53">
        <f t="shared" si="38"/>
        <v>0</v>
      </c>
      <c r="EB50" s="52" t="s">
        <v>68</v>
      </c>
      <c r="EC50" s="53">
        <f t="shared" si="39"/>
        <v>0.25</v>
      </c>
      <c r="ED50" s="52" t="s">
        <v>736</v>
      </c>
      <c r="EE50" s="54">
        <f t="shared" si="40"/>
        <v>0.98799999999999999</v>
      </c>
      <c r="EF50" s="50">
        <v>5</v>
      </c>
      <c r="EG50" s="55">
        <f t="shared" si="41"/>
        <v>0.58000000000000007</v>
      </c>
      <c r="EH50" s="50" t="s">
        <v>133</v>
      </c>
      <c r="EI50" s="55">
        <f t="shared" si="42"/>
        <v>0</v>
      </c>
      <c r="EJ50" s="50" t="s">
        <v>133</v>
      </c>
      <c r="EK50" s="55">
        <f t="shared" si="43"/>
        <v>0</v>
      </c>
      <c r="EL50" s="50" t="s">
        <v>133</v>
      </c>
      <c r="EM50" s="55">
        <f t="shared" si="44"/>
        <v>0</v>
      </c>
      <c r="EN50" s="50" t="s">
        <v>68</v>
      </c>
      <c r="EO50" s="55">
        <f t="shared" si="45"/>
        <v>0.5</v>
      </c>
      <c r="EP50" s="50" t="s">
        <v>133</v>
      </c>
      <c r="EQ50" s="55">
        <f t="shared" si="45"/>
        <v>0</v>
      </c>
      <c r="ER50" s="50" t="s">
        <v>684</v>
      </c>
      <c r="ES50" s="56">
        <f t="shared" si="46"/>
        <v>1.5428571428571429</v>
      </c>
      <c r="ET50" s="57" t="s">
        <v>133</v>
      </c>
      <c r="EU50" s="58">
        <f t="shared" si="47"/>
        <v>0</v>
      </c>
      <c r="EV50" s="57" t="s">
        <v>414</v>
      </c>
      <c r="EW50" s="58">
        <f t="shared" si="48"/>
        <v>0</v>
      </c>
      <c r="EX50" s="57" t="s">
        <v>414</v>
      </c>
      <c r="EY50" s="58">
        <f t="shared" si="49"/>
        <v>0</v>
      </c>
      <c r="EZ50" s="57" t="s">
        <v>133</v>
      </c>
      <c r="FA50" s="58">
        <f t="shared" si="50"/>
        <v>0</v>
      </c>
      <c r="FB50" s="57" t="s">
        <v>68</v>
      </c>
      <c r="FC50" s="58">
        <f t="shared" si="58"/>
        <v>0.5</v>
      </c>
      <c r="FD50" s="57" t="s">
        <v>133</v>
      </c>
      <c r="FE50" s="58">
        <f t="shared" si="58"/>
        <v>0</v>
      </c>
      <c r="FF50" s="57" t="s">
        <v>133</v>
      </c>
      <c r="FG50" s="58">
        <f t="shared" si="52"/>
        <v>0</v>
      </c>
      <c r="FH50" s="57" t="s">
        <v>133</v>
      </c>
      <c r="FI50" s="58">
        <f t="shared" si="53"/>
        <v>0</v>
      </c>
      <c r="FJ50" s="57" t="s">
        <v>68</v>
      </c>
      <c r="FK50" s="58">
        <f t="shared" si="53"/>
        <v>0.5</v>
      </c>
      <c r="FL50" s="59" t="s">
        <v>684</v>
      </c>
      <c r="FM50" s="60">
        <f t="shared" si="54"/>
        <v>1.25</v>
      </c>
      <c r="FN50" s="61">
        <f t="shared" si="55"/>
        <v>8.3288571428571423</v>
      </c>
    </row>
    <row r="51" spans="1:170" ht="79">
      <c r="A51" s="31">
        <v>49</v>
      </c>
      <c r="B51" s="72" t="s">
        <v>199</v>
      </c>
      <c r="C51" s="33" t="str">
        <f>VLOOKUP(B51,[1]Sheet1!$A:$C,2,FALSE)</f>
        <v>Gucci Group (PPR)</v>
      </c>
      <c r="D51" s="34" t="s">
        <v>412</v>
      </c>
      <c r="E51" s="35" t="str">
        <f>VLOOKUP(B51,[1]Sheet1!$A:$C,3,FALSE)</f>
        <v>Italy</v>
      </c>
      <c r="F51" s="34" t="s">
        <v>413</v>
      </c>
      <c r="G51" s="32" t="s">
        <v>200</v>
      </c>
      <c r="H51" s="36" t="s">
        <v>68</v>
      </c>
      <c r="I51" s="36" t="s">
        <v>421</v>
      </c>
      <c r="J51" s="36" t="s">
        <v>421</v>
      </c>
      <c r="K51" s="66" t="s">
        <v>431</v>
      </c>
      <c r="L51" s="66" t="s">
        <v>133</v>
      </c>
      <c r="M51" s="37">
        <f t="shared" si="4"/>
        <v>0</v>
      </c>
      <c r="N51" s="66">
        <f>AVERAGE(N26:N28)</f>
        <v>1.3843333333333332</v>
      </c>
      <c r="O51" s="38">
        <f t="shared" si="5"/>
        <v>1.3660000000000001</v>
      </c>
      <c r="P51" s="36" t="s">
        <v>737</v>
      </c>
      <c r="Q51" s="39">
        <v>0.5</v>
      </c>
      <c r="R51" s="36" t="s">
        <v>133</v>
      </c>
      <c r="S51" s="37">
        <f t="shared" si="6"/>
        <v>0</v>
      </c>
      <c r="T51" s="36" t="s">
        <v>133</v>
      </c>
      <c r="U51" s="37">
        <f t="shared" si="7"/>
        <v>0.5</v>
      </c>
      <c r="V51" s="36" t="s">
        <v>133</v>
      </c>
      <c r="W51" s="36" t="s">
        <v>133</v>
      </c>
      <c r="X51" s="37">
        <f t="shared" si="8"/>
        <v>0</v>
      </c>
      <c r="Y51" s="36" t="s">
        <v>688</v>
      </c>
      <c r="Z51" s="40" t="s">
        <v>684</v>
      </c>
      <c r="AA51" s="41">
        <f t="shared" si="9"/>
        <v>2.3660000000000001</v>
      </c>
      <c r="AB51" s="36">
        <v>1</v>
      </c>
      <c r="AC51" s="42">
        <f t="shared" si="0"/>
        <v>0.1855</v>
      </c>
      <c r="AD51" s="36" t="s">
        <v>133</v>
      </c>
      <c r="AE51" s="42">
        <f t="shared" si="10"/>
        <v>0.25</v>
      </c>
      <c r="AF51" s="36" t="s">
        <v>421</v>
      </c>
      <c r="AG51" s="36">
        <v>2</v>
      </c>
      <c r="AH51" s="42">
        <f t="shared" si="11"/>
        <v>1</v>
      </c>
      <c r="AI51" s="36" t="s">
        <v>133</v>
      </c>
      <c r="AJ51" s="42">
        <f t="shared" si="1"/>
        <v>0</v>
      </c>
      <c r="AK51" s="36" t="s">
        <v>133</v>
      </c>
      <c r="AL51" s="36" t="s">
        <v>133</v>
      </c>
      <c r="AM51" s="36" t="s">
        <v>133</v>
      </c>
      <c r="AN51" s="36" t="s">
        <v>133</v>
      </c>
      <c r="AO51" s="36" t="s">
        <v>133</v>
      </c>
      <c r="AP51" s="42">
        <f t="shared" si="12"/>
        <v>0</v>
      </c>
      <c r="AQ51" s="36" t="s">
        <v>133</v>
      </c>
      <c r="AR51" s="36" t="s">
        <v>133</v>
      </c>
      <c r="AS51" s="42">
        <f t="shared" si="13"/>
        <v>0</v>
      </c>
      <c r="AT51" s="36" t="s">
        <v>133</v>
      </c>
      <c r="AU51" s="36" t="s">
        <v>133</v>
      </c>
      <c r="AV51" s="42">
        <f t="shared" si="14"/>
        <v>0</v>
      </c>
      <c r="AW51" s="36" t="s">
        <v>133</v>
      </c>
      <c r="AX51" s="36" t="s">
        <v>133</v>
      </c>
      <c r="AY51" s="42">
        <f t="shared" si="15"/>
        <v>0</v>
      </c>
      <c r="AZ51" s="36" t="s">
        <v>684</v>
      </c>
      <c r="BA51" s="36" t="s">
        <v>133</v>
      </c>
      <c r="BB51" s="42">
        <f t="shared" si="57"/>
        <v>0</v>
      </c>
      <c r="BC51" s="36" t="s">
        <v>133</v>
      </c>
      <c r="BD51" s="42">
        <f t="shared" si="16"/>
        <v>0</v>
      </c>
      <c r="BE51" s="36" t="s">
        <v>133</v>
      </c>
      <c r="BF51" s="42">
        <f t="shared" si="17"/>
        <v>0</v>
      </c>
      <c r="BG51" s="36" t="s">
        <v>133</v>
      </c>
      <c r="BH51" s="36" t="s">
        <v>133</v>
      </c>
      <c r="BI51" s="42">
        <f t="shared" si="18"/>
        <v>0</v>
      </c>
      <c r="BJ51" s="36" t="s">
        <v>133</v>
      </c>
      <c r="BK51" s="36" t="s">
        <v>133</v>
      </c>
      <c r="BL51" s="36" t="s">
        <v>133</v>
      </c>
      <c r="BM51" s="36" t="s">
        <v>133</v>
      </c>
      <c r="BN51" s="36" t="s">
        <v>133</v>
      </c>
      <c r="BO51" s="36" t="s">
        <v>133</v>
      </c>
      <c r="BP51" s="42">
        <f t="shared" si="19"/>
        <v>0</v>
      </c>
      <c r="BQ51" s="36" t="s">
        <v>133</v>
      </c>
      <c r="BR51" s="36" t="s">
        <v>133</v>
      </c>
      <c r="BS51" s="36" t="s">
        <v>133</v>
      </c>
      <c r="BT51" s="36" t="s">
        <v>133</v>
      </c>
      <c r="BU51" s="36" t="s">
        <v>133</v>
      </c>
      <c r="BV51" s="36" t="s">
        <v>133</v>
      </c>
      <c r="BW51" s="43" t="s">
        <v>133</v>
      </c>
      <c r="BX51" s="44">
        <f t="shared" si="20"/>
        <v>1.4355</v>
      </c>
      <c r="BY51" s="45" t="s">
        <v>133</v>
      </c>
      <c r="BZ51" s="46">
        <f t="shared" si="21"/>
        <v>0</v>
      </c>
      <c r="CA51" s="45" t="s">
        <v>133</v>
      </c>
      <c r="CB51" s="46">
        <f t="shared" si="22"/>
        <v>0</v>
      </c>
      <c r="CC51" s="36" t="s">
        <v>133</v>
      </c>
      <c r="CD51" s="46">
        <f t="shared" si="23"/>
        <v>0</v>
      </c>
      <c r="CE51" s="45" t="s">
        <v>133</v>
      </c>
      <c r="CF51" s="45" t="s">
        <v>133</v>
      </c>
      <c r="CG51" s="47">
        <v>0</v>
      </c>
      <c r="CH51" s="45" t="s">
        <v>68</v>
      </c>
      <c r="CI51" s="48">
        <f t="shared" si="24"/>
        <v>0.5</v>
      </c>
      <c r="CJ51" s="49" t="s">
        <v>68</v>
      </c>
      <c r="CK51" s="49" t="s">
        <v>133</v>
      </c>
      <c r="CL51" s="50" t="s">
        <v>133</v>
      </c>
      <c r="CM51" s="49" t="s">
        <v>133</v>
      </c>
      <c r="CN51" s="46">
        <f t="shared" si="25"/>
        <v>0</v>
      </c>
      <c r="CO51" s="49" t="s">
        <v>133</v>
      </c>
      <c r="CP51" s="48">
        <f t="shared" si="26"/>
        <v>0</v>
      </c>
      <c r="CQ51" s="49" t="s">
        <v>133</v>
      </c>
      <c r="CR51" s="48">
        <f t="shared" si="27"/>
        <v>0</v>
      </c>
      <c r="CS51" s="49" t="s">
        <v>133</v>
      </c>
      <c r="CT51" s="48">
        <f t="shared" si="28"/>
        <v>0</v>
      </c>
      <c r="CU51" s="49" t="s">
        <v>133</v>
      </c>
      <c r="CV51" s="48">
        <f t="shared" si="29"/>
        <v>0</v>
      </c>
      <c r="CW51" s="50" t="s">
        <v>684</v>
      </c>
      <c r="CX51" s="51">
        <f t="shared" si="30"/>
        <v>0.5</v>
      </c>
      <c r="CY51" s="52" t="s">
        <v>68</v>
      </c>
      <c r="CZ51" s="53">
        <f t="shared" si="31"/>
        <v>0.5</v>
      </c>
      <c r="DA51" s="52">
        <v>3</v>
      </c>
      <c r="DB51" s="53">
        <f t="shared" si="32"/>
        <v>0.39600000000000002</v>
      </c>
      <c r="DC51" s="52" t="s">
        <v>133</v>
      </c>
      <c r="DD51" s="53">
        <f t="shared" si="33"/>
        <v>0</v>
      </c>
      <c r="DE51" s="52" t="s">
        <v>68</v>
      </c>
      <c r="DF51" s="53">
        <f t="shared" si="34"/>
        <v>0.5</v>
      </c>
      <c r="DG51" s="50" t="s">
        <v>133</v>
      </c>
      <c r="DH51" s="50" t="s">
        <v>133</v>
      </c>
      <c r="DI51" s="50" t="s">
        <v>133</v>
      </c>
      <c r="DJ51" s="50" t="s">
        <v>68</v>
      </c>
      <c r="DK51" s="50" t="s">
        <v>133</v>
      </c>
      <c r="DL51" s="50" t="s">
        <v>133</v>
      </c>
      <c r="DM51" s="50" t="s">
        <v>133</v>
      </c>
      <c r="DN51" s="50" t="s">
        <v>133</v>
      </c>
      <c r="DO51" s="50" t="s">
        <v>68</v>
      </c>
      <c r="DP51" s="52" t="s">
        <v>68</v>
      </c>
      <c r="DQ51" s="50" t="s">
        <v>133</v>
      </c>
      <c r="DR51" s="52" t="s">
        <v>133</v>
      </c>
      <c r="DS51" s="53">
        <f t="shared" si="3"/>
        <v>0.25</v>
      </c>
      <c r="DT51" s="52" t="s">
        <v>133</v>
      </c>
      <c r="DU51" s="53">
        <f t="shared" si="35"/>
        <v>0</v>
      </c>
      <c r="DV51" s="52" t="s">
        <v>133</v>
      </c>
      <c r="DW51" s="53">
        <f t="shared" si="36"/>
        <v>0</v>
      </c>
      <c r="DX51" s="52" t="s">
        <v>133</v>
      </c>
      <c r="DY51" s="53">
        <f t="shared" si="37"/>
        <v>0</v>
      </c>
      <c r="DZ51" s="52" t="s">
        <v>133</v>
      </c>
      <c r="EA51" s="53">
        <f t="shared" si="38"/>
        <v>0</v>
      </c>
      <c r="EB51" s="52" t="s">
        <v>68</v>
      </c>
      <c r="EC51" s="53">
        <f t="shared" si="39"/>
        <v>0.25</v>
      </c>
      <c r="ED51" s="52" t="s">
        <v>738</v>
      </c>
      <c r="EE51" s="54">
        <f t="shared" si="40"/>
        <v>1.8959999999999999</v>
      </c>
      <c r="EF51" s="50">
        <v>3</v>
      </c>
      <c r="EG51" s="55">
        <f t="shared" si="41"/>
        <v>0.94</v>
      </c>
      <c r="EH51" s="50" t="s">
        <v>133</v>
      </c>
      <c r="EI51" s="55">
        <f t="shared" si="42"/>
        <v>0</v>
      </c>
      <c r="EJ51" s="50" t="s">
        <v>133</v>
      </c>
      <c r="EK51" s="55">
        <f t="shared" si="43"/>
        <v>0</v>
      </c>
      <c r="EL51" s="50" t="s">
        <v>133</v>
      </c>
      <c r="EM51" s="55">
        <f t="shared" si="44"/>
        <v>0</v>
      </c>
      <c r="EN51" s="50" t="s">
        <v>68</v>
      </c>
      <c r="EO51" s="55">
        <f t="shared" si="45"/>
        <v>0.5</v>
      </c>
      <c r="EP51" s="50" t="s">
        <v>133</v>
      </c>
      <c r="EQ51" s="55">
        <f t="shared" si="45"/>
        <v>0</v>
      </c>
      <c r="ER51" s="50" t="s">
        <v>684</v>
      </c>
      <c r="ES51" s="56">
        <f t="shared" si="46"/>
        <v>2.0571428571428569</v>
      </c>
      <c r="ET51" s="57" t="s">
        <v>133</v>
      </c>
      <c r="EU51" s="58">
        <f t="shared" si="47"/>
        <v>0</v>
      </c>
      <c r="EV51" s="57" t="s">
        <v>414</v>
      </c>
      <c r="EW51" s="58">
        <f t="shared" si="48"/>
        <v>0</v>
      </c>
      <c r="EX51" s="57" t="s">
        <v>414</v>
      </c>
      <c r="EY51" s="58">
        <f t="shared" si="49"/>
        <v>0</v>
      </c>
      <c r="EZ51" s="57" t="s">
        <v>133</v>
      </c>
      <c r="FA51" s="58">
        <f t="shared" si="50"/>
        <v>0</v>
      </c>
      <c r="FB51" s="57" t="s">
        <v>68</v>
      </c>
      <c r="FC51" s="58">
        <f t="shared" si="58"/>
        <v>0.5</v>
      </c>
      <c r="FD51" s="57" t="s">
        <v>68</v>
      </c>
      <c r="FE51" s="58">
        <f t="shared" si="58"/>
        <v>0.5</v>
      </c>
      <c r="FF51" s="57" t="s">
        <v>133</v>
      </c>
      <c r="FG51" s="58">
        <f t="shared" si="52"/>
        <v>0</v>
      </c>
      <c r="FH51" s="57" t="s">
        <v>133</v>
      </c>
      <c r="FI51" s="58">
        <f t="shared" si="53"/>
        <v>0</v>
      </c>
      <c r="FJ51" s="57" t="s">
        <v>133</v>
      </c>
      <c r="FK51" s="58">
        <f t="shared" si="53"/>
        <v>0</v>
      </c>
      <c r="FL51" s="59" t="s">
        <v>684</v>
      </c>
      <c r="FM51" s="60">
        <f t="shared" si="54"/>
        <v>1.25</v>
      </c>
      <c r="FN51" s="61">
        <f t="shared" si="55"/>
        <v>9.5046428571428567</v>
      </c>
    </row>
    <row r="52" spans="1:170" ht="79">
      <c r="A52" s="31">
        <v>50</v>
      </c>
      <c r="B52" s="72" t="s">
        <v>201</v>
      </c>
      <c r="C52" s="33" t="str">
        <f>VLOOKUP(B52,[1]Sheet1!$A:$C,2,FALSE)</f>
        <v>Gucci Group (PPR)</v>
      </c>
      <c r="D52" s="34" t="s">
        <v>412</v>
      </c>
      <c r="E52" s="35" t="str">
        <f>VLOOKUP(B52,[1]Sheet1!$A:$C,3,FALSE)</f>
        <v>United Kingdom</v>
      </c>
      <c r="F52" s="34" t="s">
        <v>413</v>
      </c>
      <c r="G52" s="32" t="s">
        <v>202</v>
      </c>
      <c r="H52" s="36" t="s">
        <v>68</v>
      </c>
      <c r="I52" s="36" t="s">
        <v>421</v>
      </c>
      <c r="J52" s="36" t="s">
        <v>421</v>
      </c>
      <c r="K52" s="36" t="s">
        <v>415</v>
      </c>
      <c r="L52" s="36" t="s">
        <v>68</v>
      </c>
      <c r="M52" s="37">
        <f t="shared" si="4"/>
        <v>0.75</v>
      </c>
      <c r="N52" s="36">
        <v>2.2370000000000001</v>
      </c>
      <c r="O52" s="38">
        <f t="shared" si="5"/>
        <v>0.54</v>
      </c>
      <c r="P52" s="36" t="s">
        <v>737</v>
      </c>
      <c r="Q52" s="39">
        <v>0.5</v>
      </c>
      <c r="R52" s="36" t="s">
        <v>133</v>
      </c>
      <c r="S52" s="37">
        <f t="shared" si="6"/>
        <v>0</v>
      </c>
      <c r="T52" s="36" t="s">
        <v>133</v>
      </c>
      <c r="U52" s="37">
        <f t="shared" si="7"/>
        <v>0.5</v>
      </c>
      <c r="V52" s="36" t="s">
        <v>68</v>
      </c>
      <c r="W52" s="36" t="s">
        <v>133</v>
      </c>
      <c r="X52" s="37">
        <f t="shared" si="8"/>
        <v>0</v>
      </c>
      <c r="Y52" s="36" t="s">
        <v>688</v>
      </c>
      <c r="Z52" s="40" t="s">
        <v>684</v>
      </c>
      <c r="AA52" s="41">
        <f t="shared" si="9"/>
        <v>2.29</v>
      </c>
      <c r="AB52" s="36">
        <v>0</v>
      </c>
      <c r="AC52" s="42">
        <f t="shared" si="0"/>
        <v>0.5</v>
      </c>
      <c r="AD52" s="36" t="s">
        <v>133</v>
      </c>
      <c r="AE52" s="42">
        <f t="shared" si="10"/>
        <v>0.25</v>
      </c>
      <c r="AF52" s="36" t="s">
        <v>421</v>
      </c>
      <c r="AG52" s="36">
        <v>2</v>
      </c>
      <c r="AH52" s="42">
        <f t="shared" si="11"/>
        <v>1</v>
      </c>
      <c r="AI52" s="36" t="s">
        <v>133</v>
      </c>
      <c r="AJ52" s="42">
        <f t="shared" si="1"/>
        <v>0</v>
      </c>
      <c r="AK52" s="36" t="s">
        <v>68</v>
      </c>
      <c r="AL52" s="36" t="s">
        <v>133</v>
      </c>
      <c r="AM52" s="36" t="s">
        <v>133</v>
      </c>
      <c r="AN52" s="36" t="s">
        <v>133</v>
      </c>
      <c r="AO52" s="36" t="s">
        <v>133</v>
      </c>
      <c r="AP52" s="42">
        <f t="shared" si="12"/>
        <v>0.25</v>
      </c>
      <c r="AQ52" s="36" t="s">
        <v>133</v>
      </c>
      <c r="AR52" s="36" t="s">
        <v>133</v>
      </c>
      <c r="AS52" s="42">
        <f t="shared" si="13"/>
        <v>0</v>
      </c>
      <c r="AT52" s="36" t="s">
        <v>133</v>
      </c>
      <c r="AU52" s="36" t="s">
        <v>133</v>
      </c>
      <c r="AV52" s="42">
        <f t="shared" si="14"/>
        <v>0</v>
      </c>
      <c r="AW52" s="36" t="s">
        <v>133</v>
      </c>
      <c r="AX52" s="36" t="s">
        <v>68</v>
      </c>
      <c r="AY52" s="42">
        <f t="shared" si="15"/>
        <v>0.25</v>
      </c>
      <c r="AZ52" s="36" t="s">
        <v>684</v>
      </c>
      <c r="BA52" s="36" t="s">
        <v>68</v>
      </c>
      <c r="BB52" s="42">
        <f t="shared" si="57"/>
        <v>0.25</v>
      </c>
      <c r="BC52" s="36" t="s">
        <v>133</v>
      </c>
      <c r="BD52" s="42">
        <f t="shared" si="16"/>
        <v>0</v>
      </c>
      <c r="BE52" s="36" t="s">
        <v>133</v>
      </c>
      <c r="BF52" s="42">
        <f t="shared" si="17"/>
        <v>0</v>
      </c>
      <c r="BG52" s="36" t="s">
        <v>68</v>
      </c>
      <c r="BH52" s="36" t="s">
        <v>133</v>
      </c>
      <c r="BI52" s="42">
        <f t="shared" si="18"/>
        <v>0</v>
      </c>
      <c r="BJ52" s="36" t="s">
        <v>133</v>
      </c>
      <c r="BK52" s="36" t="s">
        <v>133</v>
      </c>
      <c r="BL52" s="36" t="s">
        <v>133</v>
      </c>
      <c r="BM52" s="36" t="s">
        <v>133</v>
      </c>
      <c r="BN52" s="36" t="s">
        <v>133</v>
      </c>
      <c r="BO52" s="36" t="s">
        <v>133</v>
      </c>
      <c r="BP52" s="42">
        <f t="shared" si="19"/>
        <v>0</v>
      </c>
      <c r="BQ52" s="36" t="s">
        <v>133</v>
      </c>
      <c r="BR52" s="36" t="s">
        <v>133</v>
      </c>
      <c r="BS52" s="36" t="s">
        <v>133</v>
      </c>
      <c r="BT52" s="36" t="s">
        <v>133</v>
      </c>
      <c r="BU52" s="36" t="s">
        <v>133</v>
      </c>
      <c r="BV52" s="36" t="s">
        <v>133</v>
      </c>
      <c r="BW52" s="43" t="s">
        <v>684</v>
      </c>
      <c r="BX52" s="44">
        <f t="shared" si="20"/>
        <v>2.5</v>
      </c>
      <c r="BY52" s="45" t="s">
        <v>68</v>
      </c>
      <c r="BZ52" s="46">
        <f t="shared" si="21"/>
        <v>0.5</v>
      </c>
      <c r="CA52" s="45" t="s">
        <v>133</v>
      </c>
      <c r="CB52" s="46">
        <f t="shared" si="22"/>
        <v>0</v>
      </c>
      <c r="CC52" s="36" t="s">
        <v>133</v>
      </c>
      <c r="CD52" s="46">
        <f t="shared" si="23"/>
        <v>0</v>
      </c>
      <c r="CE52" s="45" t="s">
        <v>133</v>
      </c>
      <c r="CF52" s="45" t="s">
        <v>133</v>
      </c>
      <c r="CG52" s="47">
        <v>0</v>
      </c>
      <c r="CH52" s="45" t="s">
        <v>68</v>
      </c>
      <c r="CI52" s="48">
        <f t="shared" si="24"/>
        <v>0.5</v>
      </c>
      <c r="CJ52" s="49" t="s">
        <v>68</v>
      </c>
      <c r="CK52" s="49" t="s">
        <v>133</v>
      </c>
      <c r="CL52" s="50" t="s">
        <v>421</v>
      </c>
      <c r="CM52" s="49" t="s">
        <v>133</v>
      </c>
      <c r="CN52" s="46">
        <f t="shared" si="25"/>
        <v>0</v>
      </c>
      <c r="CO52" s="49" t="s">
        <v>133</v>
      </c>
      <c r="CP52" s="48">
        <f t="shared" si="26"/>
        <v>0</v>
      </c>
      <c r="CQ52" s="49" t="s">
        <v>133</v>
      </c>
      <c r="CR52" s="48">
        <f t="shared" si="27"/>
        <v>0</v>
      </c>
      <c r="CS52" s="49" t="s">
        <v>68</v>
      </c>
      <c r="CT52" s="48">
        <f t="shared" si="28"/>
        <v>0.5</v>
      </c>
      <c r="CU52" s="49" t="s">
        <v>133</v>
      </c>
      <c r="CV52" s="48">
        <f t="shared" si="29"/>
        <v>0</v>
      </c>
      <c r="CW52" s="50" t="s">
        <v>684</v>
      </c>
      <c r="CX52" s="51">
        <f t="shared" si="30"/>
        <v>1.5</v>
      </c>
      <c r="CY52" s="52" t="s">
        <v>68</v>
      </c>
      <c r="CZ52" s="53">
        <f t="shared" si="31"/>
        <v>0.5</v>
      </c>
      <c r="DA52" s="52">
        <v>4</v>
      </c>
      <c r="DB52" s="53">
        <f t="shared" si="32"/>
        <v>0.66600000000000004</v>
      </c>
      <c r="DC52" s="52" t="s">
        <v>133</v>
      </c>
      <c r="DD52" s="53">
        <f t="shared" si="33"/>
        <v>0</v>
      </c>
      <c r="DE52" s="52" t="s">
        <v>68</v>
      </c>
      <c r="DF52" s="53">
        <f t="shared" si="34"/>
        <v>0.5</v>
      </c>
      <c r="DG52" s="50" t="s">
        <v>133</v>
      </c>
      <c r="DH52" s="50" t="s">
        <v>133</v>
      </c>
      <c r="DI52" s="50" t="s">
        <v>133</v>
      </c>
      <c r="DJ52" s="50" t="s">
        <v>68</v>
      </c>
      <c r="DK52" s="50" t="s">
        <v>133</v>
      </c>
      <c r="DL52" s="50" t="s">
        <v>133</v>
      </c>
      <c r="DM52" s="50" t="s">
        <v>133</v>
      </c>
      <c r="DN52" s="50" t="s">
        <v>133</v>
      </c>
      <c r="DO52" s="50" t="s">
        <v>68</v>
      </c>
      <c r="DP52" s="52" t="s">
        <v>68</v>
      </c>
      <c r="DQ52" s="50" t="s">
        <v>133</v>
      </c>
      <c r="DR52" s="52" t="s">
        <v>133</v>
      </c>
      <c r="DS52" s="53">
        <f t="shared" si="3"/>
        <v>0.25</v>
      </c>
      <c r="DT52" s="52" t="s">
        <v>133</v>
      </c>
      <c r="DU52" s="53">
        <f t="shared" si="35"/>
        <v>0</v>
      </c>
      <c r="DV52" s="52" t="s">
        <v>133</v>
      </c>
      <c r="DW52" s="53">
        <f t="shared" si="36"/>
        <v>0</v>
      </c>
      <c r="DX52" s="52" t="s">
        <v>133</v>
      </c>
      <c r="DY52" s="53">
        <f t="shared" si="37"/>
        <v>0</v>
      </c>
      <c r="DZ52" s="52" t="s">
        <v>133</v>
      </c>
      <c r="EA52" s="53">
        <f t="shared" si="38"/>
        <v>0</v>
      </c>
      <c r="EB52" s="52" t="s">
        <v>739</v>
      </c>
      <c r="EC52" s="53">
        <f t="shared" si="39"/>
        <v>0</v>
      </c>
      <c r="ED52" s="52" t="s">
        <v>738</v>
      </c>
      <c r="EE52" s="54">
        <f t="shared" si="40"/>
        <v>1.9159999999999999</v>
      </c>
      <c r="EF52" s="50">
        <v>4</v>
      </c>
      <c r="EG52" s="55">
        <f t="shared" si="41"/>
        <v>0.84</v>
      </c>
      <c r="EH52" s="50" t="s">
        <v>68</v>
      </c>
      <c r="EI52" s="55">
        <f t="shared" si="42"/>
        <v>0.5</v>
      </c>
      <c r="EJ52" s="50" t="s">
        <v>133</v>
      </c>
      <c r="EK52" s="55">
        <f t="shared" si="43"/>
        <v>0</v>
      </c>
      <c r="EL52" s="50" t="s">
        <v>68</v>
      </c>
      <c r="EM52" s="55">
        <f t="shared" si="44"/>
        <v>0.5</v>
      </c>
      <c r="EN52" s="50" t="s">
        <v>68</v>
      </c>
      <c r="EO52" s="55">
        <f t="shared" si="45"/>
        <v>0.5</v>
      </c>
      <c r="EP52" s="50" t="s">
        <v>133</v>
      </c>
      <c r="EQ52" s="55">
        <f t="shared" si="45"/>
        <v>0</v>
      </c>
      <c r="ER52" s="50" t="s">
        <v>684</v>
      </c>
      <c r="ES52" s="56">
        <f t="shared" si="46"/>
        <v>3.3428571428571425</v>
      </c>
      <c r="ET52" s="57" t="s">
        <v>133</v>
      </c>
      <c r="EU52" s="58">
        <f t="shared" si="47"/>
        <v>0</v>
      </c>
      <c r="EV52" s="57" t="s">
        <v>414</v>
      </c>
      <c r="EW52" s="58">
        <f t="shared" si="48"/>
        <v>0</v>
      </c>
      <c r="EX52" s="57" t="s">
        <v>414</v>
      </c>
      <c r="EY52" s="58">
        <f t="shared" si="49"/>
        <v>0</v>
      </c>
      <c r="EZ52" s="57" t="s">
        <v>133</v>
      </c>
      <c r="FA52" s="58">
        <f t="shared" si="50"/>
        <v>0</v>
      </c>
      <c r="FB52" s="57" t="s">
        <v>68</v>
      </c>
      <c r="FC52" s="58">
        <f t="shared" ref="FC52:FE66" si="59">IF(FB52="Y",0.5,0)</f>
        <v>0.5</v>
      </c>
      <c r="FD52" s="57" t="s">
        <v>68</v>
      </c>
      <c r="FE52" s="58">
        <f t="shared" si="59"/>
        <v>0.5</v>
      </c>
      <c r="FF52" s="57" t="s">
        <v>68</v>
      </c>
      <c r="FG52" s="58">
        <f t="shared" si="52"/>
        <v>0.25</v>
      </c>
      <c r="FH52" s="57" t="s">
        <v>133</v>
      </c>
      <c r="FI52" s="58">
        <f t="shared" si="53"/>
        <v>0</v>
      </c>
      <c r="FJ52" s="57" t="s">
        <v>68</v>
      </c>
      <c r="FK52" s="58">
        <f t="shared" si="53"/>
        <v>0.5</v>
      </c>
      <c r="FL52" s="59" t="s">
        <v>740</v>
      </c>
      <c r="FM52" s="60">
        <f t="shared" si="54"/>
        <v>2.1875</v>
      </c>
      <c r="FN52" s="61">
        <f t="shared" si="55"/>
        <v>13.736357142857141</v>
      </c>
    </row>
    <row r="53" spans="1:170" ht="40">
      <c r="A53" s="31">
        <v>51</v>
      </c>
      <c r="B53" s="32" t="s">
        <v>203</v>
      </c>
      <c r="C53" s="33" t="str">
        <f>VLOOKUP(B53,[1]Sheet1!$A:$C,2,FALSE)</f>
        <v>Jones Group Inc.</v>
      </c>
      <c r="D53" s="34" t="s">
        <v>412</v>
      </c>
      <c r="E53" s="35" t="str">
        <f>VLOOKUP(B53,[1]Sheet1!$A:$C,3,FALSE)</f>
        <v>United States</v>
      </c>
      <c r="F53" s="34" t="s">
        <v>413</v>
      </c>
      <c r="G53" s="32" t="s">
        <v>205</v>
      </c>
      <c r="H53" s="36" t="s">
        <v>68</v>
      </c>
      <c r="I53" s="36" t="s">
        <v>133</v>
      </c>
      <c r="J53" s="36" t="s">
        <v>421</v>
      </c>
      <c r="K53" s="36" t="s">
        <v>431</v>
      </c>
      <c r="L53" s="36" t="s">
        <v>133</v>
      </c>
      <c r="M53" s="37">
        <f t="shared" si="4"/>
        <v>0</v>
      </c>
      <c r="N53" s="36">
        <v>2.6179999999999999</v>
      </c>
      <c r="O53" s="38">
        <f t="shared" si="5"/>
        <v>0.35000000000000009</v>
      </c>
      <c r="P53" s="36" t="s">
        <v>741</v>
      </c>
      <c r="Q53" s="39">
        <v>0.5</v>
      </c>
      <c r="R53" s="36" t="s">
        <v>133</v>
      </c>
      <c r="S53" s="37">
        <f t="shared" si="6"/>
        <v>0</v>
      </c>
      <c r="T53" s="36" t="s">
        <v>133</v>
      </c>
      <c r="U53" s="37">
        <f t="shared" si="7"/>
        <v>0.5</v>
      </c>
      <c r="V53" s="36" t="s">
        <v>68</v>
      </c>
      <c r="W53" s="36" t="s">
        <v>133</v>
      </c>
      <c r="X53" s="37">
        <f t="shared" si="8"/>
        <v>0</v>
      </c>
      <c r="Y53" s="36" t="s">
        <v>688</v>
      </c>
      <c r="Z53" s="40" t="s">
        <v>684</v>
      </c>
      <c r="AA53" s="41">
        <f t="shared" si="9"/>
        <v>1.35</v>
      </c>
      <c r="AB53" s="36">
        <v>0</v>
      </c>
      <c r="AC53" s="42">
        <f t="shared" si="0"/>
        <v>0.5</v>
      </c>
      <c r="AD53" s="36" t="s">
        <v>133</v>
      </c>
      <c r="AE53" s="42">
        <f t="shared" si="10"/>
        <v>0.25</v>
      </c>
      <c r="AF53" s="36" t="s">
        <v>421</v>
      </c>
      <c r="AG53" s="36">
        <v>2</v>
      </c>
      <c r="AH53" s="42">
        <f t="shared" si="11"/>
        <v>1</v>
      </c>
      <c r="AI53" s="36" t="s">
        <v>68</v>
      </c>
      <c r="AJ53" s="42">
        <f t="shared" si="1"/>
        <v>0.25</v>
      </c>
      <c r="AK53" s="36" t="s">
        <v>68</v>
      </c>
      <c r="AL53" s="36" t="s">
        <v>133</v>
      </c>
      <c r="AM53" s="36" t="s">
        <v>68</v>
      </c>
      <c r="AN53" s="36" t="s">
        <v>133</v>
      </c>
      <c r="AO53" s="36" t="s">
        <v>133</v>
      </c>
      <c r="AP53" s="42">
        <f t="shared" si="12"/>
        <v>0.25</v>
      </c>
      <c r="AQ53" s="36" t="s">
        <v>68</v>
      </c>
      <c r="AR53" s="36" t="s">
        <v>133</v>
      </c>
      <c r="AS53" s="42">
        <f t="shared" si="13"/>
        <v>0</v>
      </c>
      <c r="AT53" s="36" t="s">
        <v>68</v>
      </c>
      <c r="AU53" s="36" t="s">
        <v>133</v>
      </c>
      <c r="AV53" s="42">
        <f t="shared" si="14"/>
        <v>0.25</v>
      </c>
      <c r="AW53" s="36" t="s">
        <v>133</v>
      </c>
      <c r="AX53" s="36" t="s">
        <v>68</v>
      </c>
      <c r="AY53" s="42">
        <f t="shared" si="15"/>
        <v>0.25</v>
      </c>
      <c r="AZ53" s="36" t="s">
        <v>742</v>
      </c>
      <c r="BA53" s="36" t="s">
        <v>68</v>
      </c>
      <c r="BB53" s="42">
        <f t="shared" si="57"/>
        <v>0.25</v>
      </c>
      <c r="BC53" s="36" t="s">
        <v>133</v>
      </c>
      <c r="BD53" s="42">
        <f t="shared" si="16"/>
        <v>0</v>
      </c>
      <c r="BE53" s="36" t="s">
        <v>68</v>
      </c>
      <c r="BF53" s="42">
        <f t="shared" si="17"/>
        <v>0.25</v>
      </c>
      <c r="BG53" s="36" t="s">
        <v>68</v>
      </c>
      <c r="BH53" s="36" t="s">
        <v>68</v>
      </c>
      <c r="BI53" s="42">
        <f t="shared" si="18"/>
        <v>0.5</v>
      </c>
      <c r="BJ53" s="36" t="s">
        <v>133</v>
      </c>
      <c r="BK53" s="36" t="s">
        <v>68</v>
      </c>
      <c r="BL53" s="36" t="s">
        <v>133</v>
      </c>
      <c r="BM53" s="36" t="s">
        <v>133</v>
      </c>
      <c r="BN53" s="36" t="s">
        <v>133</v>
      </c>
      <c r="BO53" s="36" t="s">
        <v>133</v>
      </c>
      <c r="BP53" s="42">
        <f t="shared" si="19"/>
        <v>0</v>
      </c>
      <c r="BQ53" s="36" t="s">
        <v>133</v>
      </c>
      <c r="BR53" s="36" t="s">
        <v>133</v>
      </c>
      <c r="BS53" s="36" t="s">
        <v>133</v>
      </c>
      <c r="BT53" s="36" t="s">
        <v>133</v>
      </c>
      <c r="BU53" s="36" t="s">
        <v>133</v>
      </c>
      <c r="BV53" s="36" t="s">
        <v>133</v>
      </c>
      <c r="BW53" s="43" t="s">
        <v>684</v>
      </c>
      <c r="BX53" s="44">
        <f t="shared" si="20"/>
        <v>3.75</v>
      </c>
      <c r="BY53" s="45" t="s">
        <v>68</v>
      </c>
      <c r="BZ53" s="46">
        <f t="shared" si="21"/>
        <v>0.5</v>
      </c>
      <c r="CA53" s="45" t="s">
        <v>133</v>
      </c>
      <c r="CB53" s="46">
        <f t="shared" si="22"/>
        <v>0</v>
      </c>
      <c r="CC53" s="36" t="s">
        <v>133</v>
      </c>
      <c r="CD53" s="46">
        <f t="shared" si="23"/>
        <v>0</v>
      </c>
      <c r="CE53" s="45" t="s">
        <v>133</v>
      </c>
      <c r="CF53" s="45" t="s">
        <v>133</v>
      </c>
      <c r="CG53" s="47">
        <v>0</v>
      </c>
      <c r="CH53" s="45" t="s">
        <v>133</v>
      </c>
      <c r="CI53" s="48">
        <f t="shared" si="24"/>
        <v>0</v>
      </c>
      <c r="CJ53" s="49" t="s">
        <v>68</v>
      </c>
      <c r="CK53" s="49" t="s">
        <v>133</v>
      </c>
      <c r="CL53" s="50" t="s">
        <v>421</v>
      </c>
      <c r="CM53" s="49" t="s">
        <v>133</v>
      </c>
      <c r="CN53" s="46">
        <f t="shared" si="25"/>
        <v>0</v>
      </c>
      <c r="CO53" s="49" t="s">
        <v>133</v>
      </c>
      <c r="CP53" s="48">
        <f t="shared" si="26"/>
        <v>0</v>
      </c>
      <c r="CQ53" s="49" t="s">
        <v>133</v>
      </c>
      <c r="CR53" s="48">
        <f t="shared" si="27"/>
        <v>0</v>
      </c>
      <c r="CS53" s="49" t="s">
        <v>68</v>
      </c>
      <c r="CT53" s="48">
        <f t="shared" si="28"/>
        <v>0.5</v>
      </c>
      <c r="CU53" s="49" t="s">
        <v>133</v>
      </c>
      <c r="CV53" s="48">
        <f t="shared" si="29"/>
        <v>0</v>
      </c>
      <c r="CW53" s="50" t="s">
        <v>684</v>
      </c>
      <c r="CX53" s="51">
        <f t="shared" si="30"/>
        <v>1</v>
      </c>
      <c r="CY53" s="52" t="s">
        <v>68</v>
      </c>
      <c r="CZ53" s="53">
        <f t="shared" si="31"/>
        <v>0.5</v>
      </c>
      <c r="DA53" s="52">
        <v>5</v>
      </c>
      <c r="DB53" s="53">
        <f t="shared" si="32"/>
        <v>0.92</v>
      </c>
      <c r="DC53" s="52" t="s">
        <v>133</v>
      </c>
      <c r="DD53" s="53">
        <f t="shared" si="33"/>
        <v>0</v>
      </c>
      <c r="DE53" s="52" t="s">
        <v>68</v>
      </c>
      <c r="DF53" s="53">
        <f t="shared" si="34"/>
        <v>0.5</v>
      </c>
      <c r="DG53" s="50" t="s">
        <v>133</v>
      </c>
      <c r="DH53" s="50" t="s">
        <v>133</v>
      </c>
      <c r="DI53" s="50" t="s">
        <v>68</v>
      </c>
      <c r="DJ53" s="50" t="s">
        <v>68</v>
      </c>
      <c r="DK53" s="50" t="s">
        <v>133</v>
      </c>
      <c r="DL53" s="50" t="s">
        <v>68</v>
      </c>
      <c r="DM53" s="50" t="s">
        <v>133</v>
      </c>
      <c r="DN53" s="50" t="s">
        <v>133</v>
      </c>
      <c r="DO53" s="50" t="s">
        <v>133</v>
      </c>
      <c r="DP53" s="52" t="s">
        <v>68</v>
      </c>
      <c r="DQ53" s="50" t="s">
        <v>133</v>
      </c>
      <c r="DR53" s="52" t="s">
        <v>133</v>
      </c>
      <c r="DS53" s="53">
        <f t="shared" si="3"/>
        <v>0.25</v>
      </c>
      <c r="DT53" s="52" t="s">
        <v>68</v>
      </c>
      <c r="DU53" s="53">
        <f t="shared" si="35"/>
        <v>0.5</v>
      </c>
      <c r="DV53" s="52" t="s">
        <v>68</v>
      </c>
      <c r="DW53" s="53">
        <f t="shared" si="36"/>
        <v>0.5</v>
      </c>
      <c r="DX53" s="52" t="s">
        <v>133</v>
      </c>
      <c r="DY53" s="53">
        <f t="shared" si="37"/>
        <v>0</v>
      </c>
      <c r="DZ53" s="52" t="s">
        <v>68</v>
      </c>
      <c r="EA53" s="53">
        <f t="shared" si="38"/>
        <v>0.5</v>
      </c>
      <c r="EB53" s="52" t="s">
        <v>68</v>
      </c>
      <c r="EC53" s="53">
        <f t="shared" si="39"/>
        <v>0.25</v>
      </c>
      <c r="ED53" s="52" t="s">
        <v>743</v>
      </c>
      <c r="EE53" s="54">
        <f t="shared" si="40"/>
        <v>3.92</v>
      </c>
      <c r="EF53" s="50">
        <v>6</v>
      </c>
      <c r="EG53" s="55">
        <f t="shared" si="41"/>
        <v>0.24</v>
      </c>
      <c r="EH53" s="50" t="s">
        <v>133</v>
      </c>
      <c r="EI53" s="55">
        <f t="shared" si="42"/>
        <v>0</v>
      </c>
      <c r="EJ53" s="50" t="s">
        <v>133</v>
      </c>
      <c r="EK53" s="55">
        <f t="shared" si="43"/>
        <v>0</v>
      </c>
      <c r="EL53" s="50" t="s">
        <v>133</v>
      </c>
      <c r="EM53" s="55">
        <f t="shared" si="44"/>
        <v>0</v>
      </c>
      <c r="EN53" s="50" t="s">
        <v>68</v>
      </c>
      <c r="EO53" s="55">
        <f t="shared" si="45"/>
        <v>0.5</v>
      </c>
      <c r="EP53" s="50" t="s">
        <v>133</v>
      </c>
      <c r="EQ53" s="55">
        <f t="shared" si="45"/>
        <v>0</v>
      </c>
      <c r="ER53" s="50" t="s">
        <v>684</v>
      </c>
      <c r="ES53" s="56">
        <f t="shared" si="46"/>
        <v>1.0571428571428572</v>
      </c>
      <c r="ET53" s="57" t="s">
        <v>133</v>
      </c>
      <c r="EU53" s="58">
        <f t="shared" si="47"/>
        <v>0</v>
      </c>
      <c r="EV53" s="57" t="s">
        <v>414</v>
      </c>
      <c r="EW53" s="58">
        <f t="shared" si="48"/>
        <v>0</v>
      </c>
      <c r="EX53" s="57" t="s">
        <v>414</v>
      </c>
      <c r="EY53" s="58">
        <f t="shared" si="49"/>
        <v>0</v>
      </c>
      <c r="EZ53" s="57" t="s">
        <v>133</v>
      </c>
      <c r="FA53" s="58">
        <f t="shared" si="50"/>
        <v>0</v>
      </c>
      <c r="FB53" s="57" t="s">
        <v>68</v>
      </c>
      <c r="FC53" s="58">
        <f t="shared" si="59"/>
        <v>0.5</v>
      </c>
      <c r="FD53" s="57" t="s">
        <v>133</v>
      </c>
      <c r="FE53" s="58">
        <f t="shared" si="59"/>
        <v>0</v>
      </c>
      <c r="FF53" s="57" t="s">
        <v>133</v>
      </c>
      <c r="FG53" s="58">
        <f t="shared" si="52"/>
        <v>0</v>
      </c>
      <c r="FH53" s="57" t="s">
        <v>133</v>
      </c>
      <c r="FI53" s="58">
        <f t="shared" si="53"/>
        <v>0</v>
      </c>
      <c r="FJ53" s="57" t="s">
        <v>68</v>
      </c>
      <c r="FK53" s="58">
        <f t="shared" si="53"/>
        <v>0.5</v>
      </c>
      <c r="FL53" s="59" t="s">
        <v>744</v>
      </c>
      <c r="FM53" s="60">
        <f t="shared" si="54"/>
        <v>1.25</v>
      </c>
      <c r="FN53" s="61">
        <f t="shared" si="55"/>
        <v>12.327142857142857</v>
      </c>
    </row>
    <row r="54" spans="1:170" ht="53">
      <c r="A54" s="31">
        <v>52</v>
      </c>
      <c r="B54" s="72" t="s">
        <v>206</v>
      </c>
      <c r="C54" s="33" t="s">
        <v>207</v>
      </c>
      <c r="D54" s="34" t="s">
        <v>412</v>
      </c>
      <c r="E54" s="35" t="str">
        <f>VLOOKUP(B54,[1]Sheet1!$A:$C,3,FALSE)</f>
        <v>United Kingdom</v>
      </c>
      <c r="F54" s="34" t="s">
        <v>413</v>
      </c>
      <c r="G54" s="32" t="s">
        <v>208</v>
      </c>
      <c r="H54" s="36" t="s">
        <v>68</v>
      </c>
      <c r="I54" s="36" t="s">
        <v>421</v>
      </c>
      <c r="J54" s="36"/>
      <c r="K54" s="36" t="s">
        <v>431</v>
      </c>
      <c r="L54" s="36" t="s">
        <v>133</v>
      </c>
      <c r="M54" s="37">
        <f t="shared" si="4"/>
        <v>0</v>
      </c>
      <c r="N54" s="36">
        <v>3.9849999999999999</v>
      </c>
      <c r="O54" s="38">
        <f t="shared" si="5"/>
        <v>3.2000000000000028E-2</v>
      </c>
      <c r="P54" s="36" t="s">
        <v>745</v>
      </c>
      <c r="Q54" s="39">
        <v>1</v>
      </c>
      <c r="R54" s="36" t="s">
        <v>133</v>
      </c>
      <c r="S54" s="37">
        <f t="shared" si="6"/>
        <v>0</v>
      </c>
      <c r="T54" s="36" t="s">
        <v>133</v>
      </c>
      <c r="U54" s="37">
        <f t="shared" si="7"/>
        <v>0.5</v>
      </c>
      <c r="V54" s="36" t="s">
        <v>133</v>
      </c>
      <c r="W54" s="36" t="s">
        <v>133</v>
      </c>
      <c r="X54" s="37">
        <f t="shared" si="8"/>
        <v>0</v>
      </c>
      <c r="Y54" s="36" t="s">
        <v>688</v>
      </c>
      <c r="Z54" s="40"/>
      <c r="AA54" s="41">
        <f t="shared" si="9"/>
        <v>1.532</v>
      </c>
      <c r="AB54" s="36">
        <v>0</v>
      </c>
      <c r="AC54" s="42">
        <f t="shared" si="0"/>
        <v>0.5</v>
      </c>
      <c r="AD54" s="36" t="s">
        <v>133</v>
      </c>
      <c r="AE54" s="42">
        <f t="shared" si="10"/>
        <v>0.25</v>
      </c>
      <c r="AF54" s="36" t="s">
        <v>421</v>
      </c>
      <c r="AG54" s="36">
        <v>2</v>
      </c>
      <c r="AH54" s="42">
        <f t="shared" si="11"/>
        <v>1</v>
      </c>
      <c r="AI54" s="36" t="s">
        <v>68</v>
      </c>
      <c r="AJ54" s="42">
        <f t="shared" si="1"/>
        <v>0.25</v>
      </c>
      <c r="AK54" s="36" t="s">
        <v>68</v>
      </c>
      <c r="AL54" s="36" t="s">
        <v>68</v>
      </c>
      <c r="AM54" s="36" t="s">
        <v>68</v>
      </c>
      <c r="AN54" s="36" t="s">
        <v>133</v>
      </c>
      <c r="AO54" s="36" t="s">
        <v>133</v>
      </c>
      <c r="AP54" s="42">
        <f t="shared" si="12"/>
        <v>0.25</v>
      </c>
      <c r="AQ54" s="36" t="s">
        <v>68</v>
      </c>
      <c r="AR54" s="36" t="s">
        <v>68</v>
      </c>
      <c r="AS54" s="42">
        <f t="shared" si="13"/>
        <v>0.25</v>
      </c>
      <c r="AT54" s="36" t="s">
        <v>68</v>
      </c>
      <c r="AU54" s="36" t="s">
        <v>133</v>
      </c>
      <c r="AV54" s="42">
        <f t="shared" si="14"/>
        <v>0.25</v>
      </c>
      <c r="AW54" s="36" t="s">
        <v>133</v>
      </c>
      <c r="AX54" s="36" t="s">
        <v>68</v>
      </c>
      <c r="AY54" s="42">
        <f t="shared" si="15"/>
        <v>0.25</v>
      </c>
      <c r="AZ54" s="36" t="s">
        <v>746</v>
      </c>
      <c r="BA54" s="36" t="s">
        <v>68</v>
      </c>
      <c r="BB54" s="42">
        <f t="shared" si="57"/>
        <v>0.25</v>
      </c>
      <c r="BC54" s="36" t="s">
        <v>133</v>
      </c>
      <c r="BD54" s="42">
        <f t="shared" si="16"/>
        <v>0</v>
      </c>
      <c r="BE54" s="36" t="s">
        <v>133</v>
      </c>
      <c r="BF54" s="42">
        <f t="shared" si="17"/>
        <v>0</v>
      </c>
      <c r="BG54" s="36" t="s">
        <v>68</v>
      </c>
      <c r="BH54" s="36" t="s">
        <v>68</v>
      </c>
      <c r="BI54" s="42">
        <f t="shared" si="18"/>
        <v>0.5</v>
      </c>
      <c r="BJ54" s="36" t="s">
        <v>68</v>
      </c>
      <c r="BK54" s="36" t="s">
        <v>68</v>
      </c>
      <c r="BL54" s="36" t="s">
        <v>133</v>
      </c>
      <c r="BM54" s="36" t="s">
        <v>133</v>
      </c>
      <c r="BN54" s="36" t="s">
        <v>133</v>
      </c>
      <c r="BO54" s="36" t="s">
        <v>133</v>
      </c>
      <c r="BP54" s="42">
        <f t="shared" si="19"/>
        <v>0</v>
      </c>
      <c r="BQ54" s="36" t="s">
        <v>133</v>
      </c>
      <c r="BR54" s="36" t="s">
        <v>133</v>
      </c>
      <c r="BS54" s="36" t="s">
        <v>68</v>
      </c>
      <c r="BT54" s="36" t="s">
        <v>133</v>
      </c>
      <c r="BU54" s="36" t="s">
        <v>133</v>
      </c>
      <c r="BV54" s="36" t="s">
        <v>133</v>
      </c>
      <c r="BW54" s="43" t="s">
        <v>684</v>
      </c>
      <c r="BX54" s="44">
        <f t="shared" si="20"/>
        <v>3.75</v>
      </c>
      <c r="BY54" s="45" t="s">
        <v>68</v>
      </c>
      <c r="BZ54" s="46">
        <f t="shared" si="21"/>
        <v>0.5</v>
      </c>
      <c r="CA54" s="45" t="s">
        <v>133</v>
      </c>
      <c r="CB54" s="46">
        <f t="shared" si="22"/>
        <v>0</v>
      </c>
      <c r="CC54" s="36" t="s">
        <v>133</v>
      </c>
      <c r="CD54" s="46">
        <f t="shared" si="23"/>
        <v>0</v>
      </c>
      <c r="CE54" s="45" t="s">
        <v>133</v>
      </c>
      <c r="CF54" s="45" t="s">
        <v>133</v>
      </c>
      <c r="CG54" s="47">
        <v>0</v>
      </c>
      <c r="CH54" s="45" t="s">
        <v>133</v>
      </c>
      <c r="CI54" s="48">
        <f t="shared" si="24"/>
        <v>0</v>
      </c>
      <c r="CJ54" s="49" t="s">
        <v>68</v>
      </c>
      <c r="CK54" s="49" t="s">
        <v>133</v>
      </c>
      <c r="CL54" s="50" t="s">
        <v>421</v>
      </c>
      <c r="CM54" s="49" t="s">
        <v>133</v>
      </c>
      <c r="CN54" s="46">
        <f t="shared" si="25"/>
        <v>0</v>
      </c>
      <c r="CO54" s="49" t="s">
        <v>68</v>
      </c>
      <c r="CP54" s="48">
        <f t="shared" si="26"/>
        <v>0.75</v>
      </c>
      <c r="CQ54" s="49" t="s">
        <v>68</v>
      </c>
      <c r="CR54" s="48">
        <f t="shared" si="27"/>
        <v>0.25</v>
      </c>
      <c r="CS54" s="49" t="s">
        <v>68</v>
      </c>
      <c r="CT54" s="48">
        <f t="shared" si="28"/>
        <v>0.5</v>
      </c>
      <c r="CU54" s="49" t="s">
        <v>68</v>
      </c>
      <c r="CV54" s="48">
        <f t="shared" si="29"/>
        <v>0.25</v>
      </c>
      <c r="CW54" s="50" t="s">
        <v>747</v>
      </c>
      <c r="CX54" s="51">
        <f t="shared" si="30"/>
        <v>2.25</v>
      </c>
      <c r="CY54" s="52" t="s">
        <v>68</v>
      </c>
      <c r="CZ54" s="53">
        <f t="shared" si="31"/>
        <v>0.5</v>
      </c>
      <c r="DA54" s="52">
        <v>3</v>
      </c>
      <c r="DB54" s="53">
        <f t="shared" si="32"/>
        <v>0.39600000000000002</v>
      </c>
      <c r="DC54" s="52" t="s">
        <v>133</v>
      </c>
      <c r="DD54" s="53">
        <f t="shared" si="33"/>
        <v>0</v>
      </c>
      <c r="DE54" s="52" t="s">
        <v>68</v>
      </c>
      <c r="DF54" s="53">
        <f t="shared" si="34"/>
        <v>0.5</v>
      </c>
      <c r="DG54" s="50" t="s">
        <v>133</v>
      </c>
      <c r="DH54" s="50" t="s">
        <v>133</v>
      </c>
      <c r="DI54" s="50" t="s">
        <v>133</v>
      </c>
      <c r="DJ54" s="50" t="s">
        <v>68</v>
      </c>
      <c r="DK54" s="50" t="s">
        <v>133</v>
      </c>
      <c r="DL54" s="50" t="s">
        <v>133</v>
      </c>
      <c r="DM54" s="50" t="s">
        <v>68</v>
      </c>
      <c r="DN54" s="50" t="s">
        <v>748</v>
      </c>
      <c r="DO54" s="50" t="s">
        <v>133</v>
      </c>
      <c r="DP54" s="52" t="s">
        <v>68</v>
      </c>
      <c r="DQ54" s="50" t="s">
        <v>133</v>
      </c>
      <c r="DR54" s="52" t="s">
        <v>133</v>
      </c>
      <c r="DS54" s="53">
        <f t="shared" si="3"/>
        <v>0.25</v>
      </c>
      <c r="DT54" s="52" t="s">
        <v>133</v>
      </c>
      <c r="DU54" s="53">
        <f t="shared" si="35"/>
        <v>0</v>
      </c>
      <c r="DV54" s="52" t="s">
        <v>133</v>
      </c>
      <c r="DW54" s="53">
        <f t="shared" si="36"/>
        <v>0</v>
      </c>
      <c r="DX54" s="52" t="s">
        <v>68</v>
      </c>
      <c r="DY54" s="53">
        <f t="shared" si="37"/>
        <v>0.5</v>
      </c>
      <c r="DZ54" s="52" t="s">
        <v>68</v>
      </c>
      <c r="EA54" s="53">
        <f t="shared" si="38"/>
        <v>0.5</v>
      </c>
      <c r="EB54" s="52" t="s">
        <v>68</v>
      </c>
      <c r="EC54" s="53">
        <f t="shared" si="39"/>
        <v>0.25</v>
      </c>
      <c r="ED54" s="52" t="s">
        <v>738</v>
      </c>
      <c r="EE54" s="54">
        <f t="shared" si="40"/>
        <v>2.8959999999999999</v>
      </c>
      <c r="EF54" s="50">
        <v>3</v>
      </c>
      <c r="EG54" s="55">
        <f t="shared" si="41"/>
        <v>0.94</v>
      </c>
      <c r="EH54" s="50" t="s">
        <v>133</v>
      </c>
      <c r="EI54" s="55">
        <f t="shared" si="42"/>
        <v>0</v>
      </c>
      <c r="EJ54" s="50" t="s">
        <v>68</v>
      </c>
      <c r="EK54" s="55">
        <f t="shared" si="43"/>
        <v>0.5</v>
      </c>
      <c r="EL54" s="50" t="s">
        <v>68</v>
      </c>
      <c r="EM54" s="55">
        <f t="shared" si="44"/>
        <v>0.5</v>
      </c>
      <c r="EN54" s="50" t="s">
        <v>68</v>
      </c>
      <c r="EO54" s="55">
        <f t="shared" si="45"/>
        <v>0.5</v>
      </c>
      <c r="EP54" s="50" t="s">
        <v>133</v>
      </c>
      <c r="EQ54" s="55">
        <f t="shared" si="45"/>
        <v>0</v>
      </c>
      <c r="ER54" s="50" t="s">
        <v>684</v>
      </c>
      <c r="ES54" s="56">
        <f t="shared" si="46"/>
        <v>3.4857142857142858</v>
      </c>
      <c r="ET54" s="57" t="s">
        <v>133</v>
      </c>
      <c r="EU54" s="58">
        <f t="shared" si="47"/>
        <v>0</v>
      </c>
      <c r="EV54" s="57" t="s">
        <v>414</v>
      </c>
      <c r="EW54" s="58">
        <f t="shared" si="48"/>
        <v>0</v>
      </c>
      <c r="EX54" s="57" t="s">
        <v>414</v>
      </c>
      <c r="EY54" s="58">
        <f t="shared" si="49"/>
        <v>0</v>
      </c>
      <c r="EZ54" s="57" t="s">
        <v>133</v>
      </c>
      <c r="FA54" s="58">
        <f t="shared" si="50"/>
        <v>0</v>
      </c>
      <c r="FB54" s="57" t="s">
        <v>68</v>
      </c>
      <c r="FC54" s="58">
        <f t="shared" si="59"/>
        <v>0.5</v>
      </c>
      <c r="FD54" s="57" t="s">
        <v>68</v>
      </c>
      <c r="FE54" s="58">
        <f t="shared" si="59"/>
        <v>0.5</v>
      </c>
      <c r="FF54" s="57" t="s">
        <v>133</v>
      </c>
      <c r="FG54" s="58">
        <f t="shared" si="52"/>
        <v>0</v>
      </c>
      <c r="FH54" s="57" t="s">
        <v>133</v>
      </c>
      <c r="FI54" s="58">
        <f t="shared" si="53"/>
        <v>0</v>
      </c>
      <c r="FJ54" s="57" t="s">
        <v>68</v>
      </c>
      <c r="FK54" s="58">
        <f t="shared" si="53"/>
        <v>0.5</v>
      </c>
      <c r="FL54" s="59" t="s">
        <v>684</v>
      </c>
      <c r="FM54" s="60">
        <f t="shared" si="54"/>
        <v>1.875</v>
      </c>
      <c r="FN54" s="61">
        <f t="shared" si="55"/>
        <v>15.788714285714285</v>
      </c>
    </row>
    <row r="55" spans="1:170" ht="66">
      <c r="A55" s="31">
        <v>53</v>
      </c>
      <c r="B55" s="32" t="s">
        <v>209</v>
      </c>
      <c r="C55" s="33" t="str">
        <f>VLOOKUP(B55,[1]Sheet1!$A:$C,2,FALSE)</f>
        <v>Link Theory Holdings</v>
      </c>
      <c r="D55" s="34" t="s">
        <v>412</v>
      </c>
      <c r="E55" s="35" t="str">
        <f>VLOOKUP(B55,[1]Sheet1!$A:$C,3,FALSE)</f>
        <v>United States</v>
      </c>
      <c r="F55" s="34" t="s">
        <v>413</v>
      </c>
      <c r="G55" s="32" t="s">
        <v>212</v>
      </c>
      <c r="H55" s="36" t="s">
        <v>68</v>
      </c>
      <c r="I55" s="36" t="s">
        <v>421</v>
      </c>
      <c r="J55" s="36"/>
      <c r="K55" s="36" t="s">
        <v>431</v>
      </c>
      <c r="L55" s="36" t="s">
        <v>133</v>
      </c>
      <c r="M55" s="37">
        <f t="shared" si="4"/>
        <v>0</v>
      </c>
      <c r="N55" s="36">
        <v>1.0640000000000001</v>
      </c>
      <c r="O55" s="38">
        <f t="shared" si="5"/>
        <v>1.9059999999999999</v>
      </c>
      <c r="P55" s="36" t="s">
        <v>749</v>
      </c>
      <c r="Q55" s="39">
        <v>0.5</v>
      </c>
      <c r="R55" s="36" t="s">
        <v>133</v>
      </c>
      <c r="S55" s="37">
        <f t="shared" si="6"/>
        <v>0</v>
      </c>
      <c r="T55" s="36" t="s">
        <v>133</v>
      </c>
      <c r="U55" s="37">
        <f t="shared" si="7"/>
        <v>0.5</v>
      </c>
      <c r="V55" s="36" t="s">
        <v>133</v>
      </c>
      <c r="W55" s="36" t="s">
        <v>133</v>
      </c>
      <c r="X55" s="37">
        <f t="shared" si="8"/>
        <v>0</v>
      </c>
      <c r="Y55" s="36" t="s">
        <v>688</v>
      </c>
      <c r="Z55" s="40" t="s">
        <v>684</v>
      </c>
      <c r="AA55" s="41">
        <f t="shared" si="9"/>
        <v>2.9059999999999997</v>
      </c>
      <c r="AB55" s="36">
        <v>0</v>
      </c>
      <c r="AC55" s="42">
        <f t="shared" si="0"/>
        <v>0.5</v>
      </c>
      <c r="AD55" s="36" t="s">
        <v>133</v>
      </c>
      <c r="AE55" s="42">
        <f t="shared" si="10"/>
        <v>0.25</v>
      </c>
      <c r="AF55" s="36" t="s">
        <v>421</v>
      </c>
      <c r="AG55" s="36">
        <v>3</v>
      </c>
      <c r="AH55" s="42">
        <f t="shared" si="11"/>
        <v>0.52400000000000002</v>
      </c>
      <c r="AI55" s="36" t="s">
        <v>68</v>
      </c>
      <c r="AJ55" s="42">
        <f t="shared" si="1"/>
        <v>0.25</v>
      </c>
      <c r="AK55" s="36" t="s">
        <v>68</v>
      </c>
      <c r="AL55" s="36" t="s">
        <v>133</v>
      </c>
      <c r="AM55" s="36" t="s">
        <v>133</v>
      </c>
      <c r="AN55" s="36" t="s">
        <v>133</v>
      </c>
      <c r="AO55" s="36" t="s">
        <v>68</v>
      </c>
      <c r="AP55" s="42">
        <f t="shared" si="12"/>
        <v>0.25</v>
      </c>
      <c r="AQ55" s="36" t="s">
        <v>133</v>
      </c>
      <c r="AR55" s="36" t="s">
        <v>133</v>
      </c>
      <c r="AS55" s="42">
        <f t="shared" si="13"/>
        <v>0</v>
      </c>
      <c r="AT55" s="36" t="s">
        <v>133</v>
      </c>
      <c r="AU55" s="36" t="s">
        <v>133</v>
      </c>
      <c r="AV55" s="42">
        <f t="shared" si="14"/>
        <v>0</v>
      </c>
      <c r="AW55" s="36" t="s">
        <v>133</v>
      </c>
      <c r="AX55" s="36" t="s">
        <v>68</v>
      </c>
      <c r="AY55" s="42">
        <f t="shared" si="15"/>
        <v>0.25</v>
      </c>
      <c r="AZ55" s="36" t="s">
        <v>750</v>
      </c>
      <c r="BA55" s="36" t="s">
        <v>68</v>
      </c>
      <c r="BB55" s="42">
        <f t="shared" si="57"/>
        <v>0.25</v>
      </c>
      <c r="BC55" s="36" t="s">
        <v>68</v>
      </c>
      <c r="BD55" s="42">
        <f t="shared" si="16"/>
        <v>0.5</v>
      </c>
      <c r="BE55" s="36" t="s">
        <v>68</v>
      </c>
      <c r="BF55" s="42">
        <f t="shared" si="17"/>
        <v>0.25</v>
      </c>
      <c r="BG55" s="36" t="s">
        <v>68</v>
      </c>
      <c r="BH55" s="36" t="s">
        <v>133</v>
      </c>
      <c r="BI55" s="42">
        <f t="shared" si="18"/>
        <v>0</v>
      </c>
      <c r="BJ55" s="36" t="s">
        <v>133</v>
      </c>
      <c r="BK55" s="36" t="s">
        <v>68</v>
      </c>
      <c r="BL55" s="36" t="s">
        <v>133</v>
      </c>
      <c r="BM55" s="36" t="s">
        <v>133</v>
      </c>
      <c r="BN55" s="36" t="s">
        <v>133</v>
      </c>
      <c r="BO55" s="36" t="s">
        <v>133</v>
      </c>
      <c r="BP55" s="42">
        <f t="shared" si="19"/>
        <v>0</v>
      </c>
      <c r="BQ55" s="36" t="s">
        <v>133</v>
      </c>
      <c r="BR55" s="36" t="s">
        <v>133</v>
      </c>
      <c r="BS55" s="36" t="s">
        <v>133</v>
      </c>
      <c r="BT55" s="36" t="s">
        <v>133</v>
      </c>
      <c r="BU55" s="36" t="s">
        <v>133</v>
      </c>
      <c r="BV55" s="36" t="s">
        <v>133</v>
      </c>
      <c r="BW55" s="43" t="s">
        <v>684</v>
      </c>
      <c r="BX55" s="44">
        <f t="shared" si="20"/>
        <v>3.024</v>
      </c>
      <c r="BY55" s="45" t="s">
        <v>68</v>
      </c>
      <c r="BZ55" s="46">
        <f t="shared" si="21"/>
        <v>0.5</v>
      </c>
      <c r="CA55" s="45" t="s">
        <v>133</v>
      </c>
      <c r="CB55" s="46">
        <f t="shared" si="22"/>
        <v>0</v>
      </c>
      <c r="CC55" s="36" t="s">
        <v>133</v>
      </c>
      <c r="CD55" s="46">
        <f t="shared" si="23"/>
        <v>0</v>
      </c>
      <c r="CE55" s="45" t="s">
        <v>133</v>
      </c>
      <c r="CF55" s="45" t="s">
        <v>133</v>
      </c>
      <c r="CG55" s="47">
        <v>0</v>
      </c>
      <c r="CH55" s="45" t="s">
        <v>133</v>
      </c>
      <c r="CI55" s="48">
        <f t="shared" si="24"/>
        <v>0</v>
      </c>
      <c r="CJ55" s="49" t="s">
        <v>68</v>
      </c>
      <c r="CK55" s="49" t="s">
        <v>133</v>
      </c>
      <c r="CL55" s="50" t="s">
        <v>133</v>
      </c>
      <c r="CM55" s="49" t="s">
        <v>133</v>
      </c>
      <c r="CN55" s="46">
        <f t="shared" si="25"/>
        <v>0</v>
      </c>
      <c r="CO55" s="49" t="s">
        <v>133</v>
      </c>
      <c r="CP55" s="48">
        <f t="shared" si="26"/>
        <v>0</v>
      </c>
      <c r="CQ55" s="49" t="s">
        <v>133</v>
      </c>
      <c r="CR55" s="48">
        <f t="shared" si="27"/>
        <v>0</v>
      </c>
      <c r="CS55" s="49" t="s">
        <v>68</v>
      </c>
      <c r="CT55" s="48">
        <f t="shared" si="28"/>
        <v>0.5</v>
      </c>
      <c r="CU55" s="49" t="s">
        <v>68</v>
      </c>
      <c r="CV55" s="48">
        <f t="shared" si="29"/>
        <v>0.25</v>
      </c>
      <c r="CW55" s="50" t="s">
        <v>684</v>
      </c>
      <c r="CX55" s="51">
        <f t="shared" si="30"/>
        <v>1.25</v>
      </c>
      <c r="CY55" s="52" t="s">
        <v>68</v>
      </c>
      <c r="CZ55" s="53">
        <f t="shared" si="31"/>
        <v>0.5</v>
      </c>
      <c r="DA55" s="52">
        <v>2</v>
      </c>
      <c r="DB55" s="53">
        <f t="shared" si="32"/>
        <v>0.23799999999999999</v>
      </c>
      <c r="DC55" s="52" t="s">
        <v>133</v>
      </c>
      <c r="DD55" s="53">
        <f t="shared" si="33"/>
        <v>0</v>
      </c>
      <c r="DE55" s="52" t="s">
        <v>133</v>
      </c>
      <c r="DF55" s="53">
        <f t="shared" si="34"/>
        <v>0</v>
      </c>
      <c r="DG55" s="50" t="s">
        <v>133</v>
      </c>
      <c r="DH55" s="50" t="s">
        <v>133</v>
      </c>
      <c r="DI55" s="50" t="s">
        <v>133</v>
      </c>
      <c r="DJ55" s="50" t="s">
        <v>133</v>
      </c>
      <c r="DK55" s="50" t="s">
        <v>133</v>
      </c>
      <c r="DL55" s="50" t="s">
        <v>133</v>
      </c>
      <c r="DM55" s="50" t="s">
        <v>133</v>
      </c>
      <c r="DN55" s="50" t="s">
        <v>133</v>
      </c>
      <c r="DO55" s="50" t="s">
        <v>133</v>
      </c>
      <c r="DP55" s="52" t="s">
        <v>133</v>
      </c>
      <c r="DQ55" s="50" t="s">
        <v>133</v>
      </c>
      <c r="DR55" s="52" t="s">
        <v>133</v>
      </c>
      <c r="DS55" s="53">
        <f t="shared" si="3"/>
        <v>0</v>
      </c>
      <c r="DT55" s="52" t="s">
        <v>133</v>
      </c>
      <c r="DU55" s="53">
        <f t="shared" si="35"/>
        <v>0</v>
      </c>
      <c r="DV55" s="52" t="s">
        <v>133</v>
      </c>
      <c r="DW55" s="53">
        <f t="shared" si="36"/>
        <v>0</v>
      </c>
      <c r="DX55" s="52" t="s">
        <v>68</v>
      </c>
      <c r="DY55" s="53">
        <f t="shared" si="37"/>
        <v>0.5</v>
      </c>
      <c r="DZ55" s="52" t="s">
        <v>68</v>
      </c>
      <c r="EA55" s="53">
        <f t="shared" si="38"/>
        <v>0.5</v>
      </c>
      <c r="EB55" s="52" t="s">
        <v>68</v>
      </c>
      <c r="EC55" s="53">
        <f t="shared" si="39"/>
        <v>0.25</v>
      </c>
      <c r="ED55" s="52" t="s">
        <v>751</v>
      </c>
      <c r="EE55" s="54">
        <f t="shared" si="40"/>
        <v>1.988</v>
      </c>
      <c r="EF55" s="50">
        <v>5</v>
      </c>
      <c r="EG55" s="55">
        <f t="shared" si="41"/>
        <v>0.58000000000000007</v>
      </c>
      <c r="EH55" s="50" t="s">
        <v>133</v>
      </c>
      <c r="EI55" s="55">
        <f t="shared" si="42"/>
        <v>0</v>
      </c>
      <c r="EJ55" s="50" t="s">
        <v>133</v>
      </c>
      <c r="EK55" s="55">
        <f t="shared" si="43"/>
        <v>0</v>
      </c>
      <c r="EL55" s="50" t="s">
        <v>133</v>
      </c>
      <c r="EM55" s="55">
        <f t="shared" si="44"/>
        <v>0</v>
      </c>
      <c r="EN55" s="50" t="s">
        <v>68</v>
      </c>
      <c r="EO55" s="55">
        <f t="shared" si="45"/>
        <v>0.5</v>
      </c>
      <c r="EP55" s="50" t="s">
        <v>133</v>
      </c>
      <c r="EQ55" s="55">
        <f t="shared" si="45"/>
        <v>0</v>
      </c>
      <c r="ER55" s="50" t="s">
        <v>684</v>
      </c>
      <c r="ES55" s="56">
        <f t="shared" si="46"/>
        <v>1.5428571428571429</v>
      </c>
      <c r="ET55" s="57" t="s">
        <v>133</v>
      </c>
      <c r="EU55" s="58">
        <f t="shared" si="47"/>
        <v>0</v>
      </c>
      <c r="EV55" s="57" t="s">
        <v>414</v>
      </c>
      <c r="EW55" s="58">
        <f t="shared" si="48"/>
        <v>0</v>
      </c>
      <c r="EX55" s="57" t="s">
        <v>414</v>
      </c>
      <c r="EY55" s="58">
        <f t="shared" si="49"/>
        <v>0</v>
      </c>
      <c r="EZ55" s="57" t="s">
        <v>133</v>
      </c>
      <c r="FA55" s="58">
        <f t="shared" si="50"/>
        <v>0</v>
      </c>
      <c r="FB55" s="57" t="s">
        <v>133</v>
      </c>
      <c r="FC55" s="58">
        <f t="shared" si="59"/>
        <v>0</v>
      </c>
      <c r="FD55" s="57" t="s">
        <v>133</v>
      </c>
      <c r="FE55" s="58">
        <f t="shared" si="59"/>
        <v>0</v>
      </c>
      <c r="FF55" s="57" t="s">
        <v>133</v>
      </c>
      <c r="FG55" s="58">
        <f t="shared" si="52"/>
        <v>0</v>
      </c>
      <c r="FH55" s="57" t="s">
        <v>133</v>
      </c>
      <c r="FI55" s="58">
        <f t="shared" si="53"/>
        <v>0</v>
      </c>
      <c r="FJ55" s="57" t="s">
        <v>68</v>
      </c>
      <c r="FK55" s="58">
        <f t="shared" si="53"/>
        <v>0.5</v>
      </c>
      <c r="FL55" s="59" t="s">
        <v>684</v>
      </c>
      <c r="FM55" s="60">
        <f t="shared" si="54"/>
        <v>0.625</v>
      </c>
      <c r="FN55" s="61">
        <f t="shared" si="55"/>
        <v>11.33585714285714</v>
      </c>
    </row>
    <row r="56" spans="1:170" ht="61">
      <c r="A56" s="31">
        <v>54</v>
      </c>
      <c r="B56" s="72" t="s">
        <v>213</v>
      </c>
      <c r="C56" s="33" t="s">
        <v>107</v>
      </c>
      <c r="D56" s="34" t="s">
        <v>412</v>
      </c>
      <c r="E56" s="35" t="str">
        <f>VLOOKUP(B56,[1]Sheet1!$A:$C,3,FALSE)</f>
        <v>United Kingdom</v>
      </c>
      <c r="F56" s="34" t="s">
        <v>413</v>
      </c>
      <c r="G56" s="32" t="s">
        <v>214</v>
      </c>
      <c r="H56" s="36" t="s">
        <v>68</v>
      </c>
      <c r="I56" s="36" t="s">
        <v>421</v>
      </c>
      <c r="J56" s="36" t="s">
        <v>421</v>
      </c>
      <c r="K56" s="36" t="s">
        <v>415</v>
      </c>
      <c r="L56" s="36" t="s">
        <v>133</v>
      </c>
      <c r="M56" s="37">
        <f t="shared" si="4"/>
        <v>0</v>
      </c>
      <c r="N56" s="36">
        <v>1.3220000000000001</v>
      </c>
      <c r="O56" s="38">
        <f t="shared" si="5"/>
        <v>1.462</v>
      </c>
      <c r="P56" s="36" t="s">
        <v>416</v>
      </c>
      <c r="Q56" s="39">
        <v>0.5</v>
      </c>
      <c r="R56" s="36" t="s">
        <v>133</v>
      </c>
      <c r="S56" s="37">
        <f t="shared" si="6"/>
        <v>0</v>
      </c>
      <c r="T56" s="36" t="s">
        <v>133</v>
      </c>
      <c r="U56" s="37">
        <f t="shared" si="7"/>
        <v>0.5</v>
      </c>
      <c r="V56" s="36" t="s">
        <v>68</v>
      </c>
      <c r="W56" s="36" t="s">
        <v>68</v>
      </c>
      <c r="X56" s="37">
        <f t="shared" si="8"/>
        <v>0.25</v>
      </c>
      <c r="Y56" s="36" t="s">
        <v>752</v>
      </c>
      <c r="Z56" s="40" t="s">
        <v>753</v>
      </c>
      <c r="AA56" s="41">
        <f t="shared" si="9"/>
        <v>2.7119999999999997</v>
      </c>
      <c r="AB56" s="36">
        <v>0</v>
      </c>
      <c r="AC56" s="42">
        <f t="shared" si="0"/>
        <v>0.5</v>
      </c>
      <c r="AD56" s="36" t="s">
        <v>133</v>
      </c>
      <c r="AE56" s="42">
        <f t="shared" si="10"/>
        <v>0.25</v>
      </c>
      <c r="AF56" s="36" t="s">
        <v>421</v>
      </c>
      <c r="AG56" s="36">
        <v>2</v>
      </c>
      <c r="AH56" s="42">
        <f t="shared" si="11"/>
        <v>1</v>
      </c>
      <c r="AI56" s="36" t="s">
        <v>68</v>
      </c>
      <c r="AJ56" s="42">
        <f t="shared" si="1"/>
        <v>0.25</v>
      </c>
      <c r="AK56" s="36" t="s">
        <v>68</v>
      </c>
      <c r="AL56" s="36" t="s">
        <v>68</v>
      </c>
      <c r="AM56" s="36" t="s">
        <v>68</v>
      </c>
      <c r="AN56" s="36" t="s">
        <v>133</v>
      </c>
      <c r="AO56" s="36" t="s">
        <v>68</v>
      </c>
      <c r="AP56" s="42">
        <f t="shared" si="12"/>
        <v>0.25</v>
      </c>
      <c r="AQ56" s="36" t="s">
        <v>68</v>
      </c>
      <c r="AR56" s="36" t="s">
        <v>68</v>
      </c>
      <c r="AS56" s="42">
        <f t="shared" si="13"/>
        <v>0.25</v>
      </c>
      <c r="AT56" s="36" t="s">
        <v>68</v>
      </c>
      <c r="AU56" s="36" t="s">
        <v>133</v>
      </c>
      <c r="AV56" s="42">
        <f t="shared" si="14"/>
        <v>0.25</v>
      </c>
      <c r="AW56" s="36" t="s">
        <v>133</v>
      </c>
      <c r="AX56" s="36" t="s">
        <v>68</v>
      </c>
      <c r="AY56" s="42">
        <f t="shared" si="15"/>
        <v>0.25</v>
      </c>
      <c r="AZ56" s="36" t="s">
        <v>754</v>
      </c>
      <c r="BA56" s="36" t="s">
        <v>68</v>
      </c>
      <c r="BB56" s="42">
        <f t="shared" si="57"/>
        <v>0.25</v>
      </c>
      <c r="BC56" s="36" t="s">
        <v>68</v>
      </c>
      <c r="BD56" s="42">
        <f t="shared" si="16"/>
        <v>0.5</v>
      </c>
      <c r="BE56" s="36" t="s">
        <v>133</v>
      </c>
      <c r="BF56" s="42">
        <f t="shared" si="17"/>
        <v>0</v>
      </c>
      <c r="BG56" s="36" t="s">
        <v>68</v>
      </c>
      <c r="BH56" s="36" t="s">
        <v>68</v>
      </c>
      <c r="BI56" s="42">
        <f t="shared" si="18"/>
        <v>0.5</v>
      </c>
      <c r="BJ56" s="36" t="s">
        <v>68</v>
      </c>
      <c r="BK56" s="36" t="s">
        <v>68</v>
      </c>
      <c r="BL56" s="36" t="s">
        <v>68</v>
      </c>
      <c r="BM56" s="36" t="s">
        <v>133</v>
      </c>
      <c r="BN56" s="36" t="s">
        <v>133</v>
      </c>
      <c r="BO56" s="36" t="s">
        <v>68</v>
      </c>
      <c r="BP56" s="42">
        <f t="shared" si="19"/>
        <v>0.5</v>
      </c>
      <c r="BQ56" s="36" t="s">
        <v>133</v>
      </c>
      <c r="BR56" s="36" t="s">
        <v>133</v>
      </c>
      <c r="BS56" s="36" t="s">
        <v>133</v>
      </c>
      <c r="BT56" s="36" t="s">
        <v>133</v>
      </c>
      <c r="BU56" s="36" t="s">
        <v>133</v>
      </c>
      <c r="BV56" s="36" t="s">
        <v>133</v>
      </c>
      <c r="BW56" s="43" t="s">
        <v>684</v>
      </c>
      <c r="BX56" s="44">
        <f t="shared" si="20"/>
        <v>4.75</v>
      </c>
      <c r="BY56" s="45" t="s">
        <v>68</v>
      </c>
      <c r="BZ56" s="46">
        <f t="shared" si="21"/>
        <v>0.5</v>
      </c>
      <c r="CA56" s="45" t="s">
        <v>133</v>
      </c>
      <c r="CB56" s="46">
        <f t="shared" si="22"/>
        <v>0</v>
      </c>
      <c r="CC56" s="36" t="s">
        <v>133</v>
      </c>
      <c r="CD56" s="46">
        <f t="shared" si="23"/>
        <v>0</v>
      </c>
      <c r="CE56" s="45" t="s">
        <v>133</v>
      </c>
      <c r="CF56" s="45" t="s">
        <v>68</v>
      </c>
      <c r="CG56" s="47">
        <v>0.5</v>
      </c>
      <c r="CH56" s="45" t="s">
        <v>133</v>
      </c>
      <c r="CI56" s="48">
        <f t="shared" si="24"/>
        <v>0</v>
      </c>
      <c r="CJ56" s="49" t="s">
        <v>68</v>
      </c>
      <c r="CK56" s="49" t="s">
        <v>133</v>
      </c>
      <c r="CL56" s="50" t="s">
        <v>684</v>
      </c>
      <c r="CM56" s="49" t="s">
        <v>133</v>
      </c>
      <c r="CN56" s="46">
        <f t="shared" si="25"/>
        <v>0</v>
      </c>
      <c r="CO56" s="49" t="s">
        <v>133</v>
      </c>
      <c r="CP56" s="48">
        <f t="shared" si="26"/>
        <v>0</v>
      </c>
      <c r="CQ56" s="49" t="s">
        <v>133</v>
      </c>
      <c r="CR56" s="48">
        <f t="shared" si="27"/>
        <v>0</v>
      </c>
      <c r="CS56" s="49" t="s">
        <v>68</v>
      </c>
      <c r="CT56" s="48">
        <f t="shared" si="28"/>
        <v>0.5</v>
      </c>
      <c r="CU56" s="49" t="s">
        <v>133</v>
      </c>
      <c r="CV56" s="48">
        <f t="shared" si="29"/>
        <v>0</v>
      </c>
      <c r="CW56" s="50" t="s">
        <v>684</v>
      </c>
      <c r="CX56" s="51">
        <f t="shared" si="30"/>
        <v>1.5</v>
      </c>
      <c r="CY56" s="52" t="s">
        <v>68</v>
      </c>
      <c r="CZ56" s="53">
        <f t="shared" si="31"/>
        <v>0.5</v>
      </c>
      <c r="DA56" s="52">
        <v>4</v>
      </c>
      <c r="DB56" s="53">
        <f t="shared" si="32"/>
        <v>0.66600000000000004</v>
      </c>
      <c r="DC56" s="52" t="s">
        <v>68</v>
      </c>
      <c r="DD56" s="53">
        <f t="shared" si="33"/>
        <v>0.5</v>
      </c>
      <c r="DE56" s="52" t="s">
        <v>68</v>
      </c>
      <c r="DF56" s="53">
        <f t="shared" si="34"/>
        <v>0.5</v>
      </c>
      <c r="DG56" s="50" t="s">
        <v>133</v>
      </c>
      <c r="DH56" s="50" t="s">
        <v>133</v>
      </c>
      <c r="DI56" s="50" t="s">
        <v>68</v>
      </c>
      <c r="DJ56" s="50" t="s">
        <v>68</v>
      </c>
      <c r="DK56" s="50" t="s">
        <v>133</v>
      </c>
      <c r="DL56" s="50" t="s">
        <v>68</v>
      </c>
      <c r="DM56" s="50" t="s">
        <v>133</v>
      </c>
      <c r="DN56" s="50" t="s">
        <v>133</v>
      </c>
      <c r="DO56" s="50" t="s">
        <v>68</v>
      </c>
      <c r="DP56" s="52" t="s">
        <v>68</v>
      </c>
      <c r="DQ56" s="50" t="s">
        <v>133</v>
      </c>
      <c r="DR56" s="52" t="s">
        <v>133</v>
      </c>
      <c r="DS56" s="53">
        <f t="shared" si="3"/>
        <v>0.25</v>
      </c>
      <c r="DT56" s="52" t="s">
        <v>68</v>
      </c>
      <c r="DU56" s="53">
        <f t="shared" si="35"/>
        <v>0.5</v>
      </c>
      <c r="DV56" s="52" t="s">
        <v>68</v>
      </c>
      <c r="DW56" s="53">
        <f t="shared" si="36"/>
        <v>0.5</v>
      </c>
      <c r="DX56" s="52" t="s">
        <v>68</v>
      </c>
      <c r="DY56" s="53">
        <f t="shared" si="37"/>
        <v>0.5</v>
      </c>
      <c r="DZ56" s="52" t="s">
        <v>68</v>
      </c>
      <c r="EA56" s="53">
        <f t="shared" si="38"/>
        <v>0.5</v>
      </c>
      <c r="EB56" s="52" t="s">
        <v>68</v>
      </c>
      <c r="EC56" s="53">
        <f t="shared" si="39"/>
        <v>0.25</v>
      </c>
      <c r="ED56" s="52" t="s">
        <v>755</v>
      </c>
      <c r="EE56" s="54">
        <f t="shared" si="40"/>
        <v>4.6660000000000004</v>
      </c>
      <c r="EF56" s="50">
        <v>4</v>
      </c>
      <c r="EG56" s="55">
        <f t="shared" si="41"/>
        <v>0.84</v>
      </c>
      <c r="EH56" s="50" t="s">
        <v>68</v>
      </c>
      <c r="EI56" s="55">
        <f t="shared" si="42"/>
        <v>0.5</v>
      </c>
      <c r="EJ56" s="50" t="s">
        <v>133</v>
      </c>
      <c r="EK56" s="55">
        <f t="shared" si="43"/>
        <v>0</v>
      </c>
      <c r="EL56" s="50" t="s">
        <v>68</v>
      </c>
      <c r="EM56" s="55">
        <f t="shared" si="44"/>
        <v>0.5</v>
      </c>
      <c r="EN56" s="50" t="s">
        <v>133</v>
      </c>
      <c r="EO56" s="55">
        <f t="shared" si="45"/>
        <v>0</v>
      </c>
      <c r="EP56" s="50" t="s">
        <v>133</v>
      </c>
      <c r="EQ56" s="55">
        <f t="shared" si="45"/>
        <v>0</v>
      </c>
      <c r="ER56" s="50" t="s">
        <v>756</v>
      </c>
      <c r="ES56" s="56">
        <f t="shared" si="46"/>
        <v>2.6285714285714286</v>
      </c>
      <c r="ET56" s="57" t="s">
        <v>133</v>
      </c>
      <c r="EU56" s="58">
        <f t="shared" si="47"/>
        <v>0</v>
      </c>
      <c r="EV56" s="57" t="s">
        <v>414</v>
      </c>
      <c r="EW56" s="58">
        <f t="shared" si="48"/>
        <v>0</v>
      </c>
      <c r="EX56" s="57" t="s">
        <v>414</v>
      </c>
      <c r="EY56" s="58">
        <f t="shared" si="49"/>
        <v>0</v>
      </c>
      <c r="EZ56" s="57" t="s">
        <v>133</v>
      </c>
      <c r="FA56" s="58">
        <f t="shared" si="50"/>
        <v>0</v>
      </c>
      <c r="FB56" s="57" t="s">
        <v>68</v>
      </c>
      <c r="FC56" s="58">
        <f t="shared" si="59"/>
        <v>0.5</v>
      </c>
      <c r="FD56" s="57" t="s">
        <v>68</v>
      </c>
      <c r="FE56" s="58">
        <f t="shared" si="59"/>
        <v>0.5</v>
      </c>
      <c r="FF56" s="57" t="s">
        <v>133</v>
      </c>
      <c r="FG56" s="58">
        <f t="shared" si="52"/>
        <v>0</v>
      </c>
      <c r="FH56" s="57" t="s">
        <v>133</v>
      </c>
      <c r="FI56" s="58">
        <f t="shared" si="53"/>
        <v>0</v>
      </c>
      <c r="FJ56" s="57" t="s">
        <v>133</v>
      </c>
      <c r="FK56" s="58">
        <f t="shared" si="53"/>
        <v>0</v>
      </c>
      <c r="FL56" s="59" t="s">
        <v>68</v>
      </c>
      <c r="FM56" s="60">
        <f t="shared" si="54"/>
        <v>1.25</v>
      </c>
      <c r="FN56" s="61">
        <f t="shared" si="55"/>
        <v>17.506571428571426</v>
      </c>
    </row>
    <row r="57" spans="1:170" ht="37">
      <c r="A57" s="31">
        <v>55</v>
      </c>
      <c r="B57" s="32" t="s">
        <v>215</v>
      </c>
      <c r="C57" s="33" t="str">
        <f>VLOOKUP(B57,[1]Sheet1!$A:$C,2,FALSE)</f>
        <v>Tod's SPA</v>
      </c>
      <c r="D57" s="34" t="s">
        <v>412</v>
      </c>
      <c r="E57" s="35" t="str">
        <f>VLOOKUP(B57,[1]Sheet1!$A:$C,3,FALSE)</f>
        <v>Italy</v>
      </c>
      <c r="F57" s="34" t="s">
        <v>413</v>
      </c>
      <c r="G57" s="32" t="s">
        <v>217</v>
      </c>
      <c r="H57" s="36" t="s">
        <v>68</v>
      </c>
      <c r="I57" s="36" t="s">
        <v>133</v>
      </c>
      <c r="J57" s="36" t="s">
        <v>421</v>
      </c>
      <c r="K57" s="36" t="s">
        <v>431</v>
      </c>
      <c r="L57" s="36" t="s">
        <v>133</v>
      </c>
      <c r="M57" s="37">
        <f t="shared" si="4"/>
        <v>0</v>
      </c>
      <c r="N57" s="36">
        <v>1.302</v>
      </c>
      <c r="O57" s="38">
        <f t="shared" si="5"/>
        <v>1.524</v>
      </c>
      <c r="P57" s="36" t="s">
        <v>416</v>
      </c>
      <c r="Q57" s="39">
        <v>0.5</v>
      </c>
      <c r="R57" s="36" t="s">
        <v>133</v>
      </c>
      <c r="S57" s="37">
        <f t="shared" si="6"/>
        <v>0</v>
      </c>
      <c r="T57" s="36" t="s">
        <v>133</v>
      </c>
      <c r="U57" s="37">
        <f t="shared" si="7"/>
        <v>0.5</v>
      </c>
      <c r="V57" s="36" t="s">
        <v>68</v>
      </c>
      <c r="W57" s="36" t="s">
        <v>133</v>
      </c>
      <c r="X57" s="37">
        <f t="shared" si="8"/>
        <v>0</v>
      </c>
      <c r="Y57" s="36" t="s">
        <v>688</v>
      </c>
      <c r="Z57" s="40"/>
      <c r="AA57" s="41">
        <f t="shared" si="9"/>
        <v>2.524</v>
      </c>
      <c r="AB57" s="36">
        <v>0</v>
      </c>
      <c r="AC57" s="42">
        <f t="shared" si="0"/>
        <v>0.5</v>
      </c>
      <c r="AD57" s="36" t="s">
        <v>133</v>
      </c>
      <c r="AE57" s="42">
        <f t="shared" si="10"/>
        <v>0.25</v>
      </c>
      <c r="AF57" s="36" t="s">
        <v>421</v>
      </c>
      <c r="AG57" s="36">
        <v>2</v>
      </c>
      <c r="AH57" s="42">
        <f t="shared" si="11"/>
        <v>1</v>
      </c>
      <c r="AI57" s="36" t="s">
        <v>133</v>
      </c>
      <c r="AJ57" s="42">
        <f t="shared" si="1"/>
        <v>0</v>
      </c>
      <c r="AK57" s="36" t="s">
        <v>68</v>
      </c>
      <c r="AL57" s="36" t="s">
        <v>68</v>
      </c>
      <c r="AM57" s="36" t="s">
        <v>68</v>
      </c>
      <c r="AN57" s="36" t="s">
        <v>133</v>
      </c>
      <c r="AO57" s="36" t="s">
        <v>133</v>
      </c>
      <c r="AP57" s="42">
        <f t="shared" si="12"/>
        <v>0.25</v>
      </c>
      <c r="AQ57" s="36" t="s">
        <v>68</v>
      </c>
      <c r="AR57" s="36" t="s">
        <v>133</v>
      </c>
      <c r="AS57" s="42">
        <f t="shared" si="13"/>
        <v>0</v>
      </c>
      <c r="AT57" s="36" t="s">
        <v>68</v>
      </c>
      <c r="AU57" s="36" t="s">
        <v>133</v>
      </c>
      <c r="AV57" s="42">
        <f t="shared" si="14"/>
        <v>0.25</v>
      </c>
      <c r="AW57" s="36" t="s">
        <v>133</v>
      </c>
      <c r="AX57" s="36" t="s">
        <v>68</v>
      </c>
      <c r="AY57" s="42">
        <f t="shared" si="15"/>
        <v>0.25</v>
      </c>
      <c r="AZ57" s="36" t="s">
        <v>684</v>
      </c>
      <c r="BA57" s="36" t="s">
        <v>68</v>
      </c>
      <c r="BB57" s="42">
        <f t="shared" si="57"/>
        <v>0.25</v>
      </c>
      <c r="BC57" s="36" t="s">
        <v>133</v>
      </c>
      <c r="BD57" s="42">
        <f t="shared" si="16"/>
        <v>0</v>
      </c>
      <c r="BE57" s="36" t="s">
        <v>133</v>
      </c>
      <c r="BF57" s="42">
        <f t="shared" si="17"/>
        <v>0</v>
      </c>
      <c r="BG57" s="36" t="s">
        <v>68</v>
      </c>
      <c r="BH57" s="36" t="s">
        <v>68</v>
      </c>
      <c r="BI57" s="42">
        <f t="shared" si="18"/>
        <v>0.5</v>
      </c>
      <c r="BJ57" s="36" t="s">
        <v>68</v>
      </c>
      <c r="BK57" s="36" t="s">
        <v>133</v>
      </c>
      <c r="BL57" s="36" t="s">
        <v>133</v>
      </c>
      <c r="BM57" s="36" t="s">
        <v>133</v>
      </c>
      <c r="BN57" s="36" t="s">
        <v>133</v>
      </c>
      <c r="BO57" s="36" t="s">
        <v>68</v>
      </c>
      <c r="BP57" s="42">
        <f t="shared" si="19"/>
        <v>0.5</v>
      </c>
      <c r="BQ57" s="36" t="s">
        <v>68</v>
      </c>
      <c r="BR57" s="36" t="s">
        <v>133</v>
      </c>
      <c r="BS57" s="36" t="s">
        <v>68</v>
      </c>
      <c r="BT57" s="36" t="s">
        <v>133</v>
      </c>
      <c r="BU57" s="36" t="s">
        <v>133</v>
      </c>
      <c r="BV57" s="36" t="s">
        <v>133</v>
      </c>
      <c r="BW57" s="43" t="s">
        <v>757</v>
      </c>
      <c r="BX57" s="44">
        <f t="shared" si="20"/>
        <v>3.75</v>
      </c>
      <c r="BY57" s="45" t="s">
        <v>133</v>
      </c>
      <c r="BZ57" s="46">
        <f t="shared" si="21"/>
        <v>0</v>
      </c>
      <c r="CA57" s="45" t="s">
        <v>133</v>
      </c>
      <c r="CB57" s="46">
        <f t="shared" si="22"/>
        <v>0</v>
      </c>
      <c r="CC57" s="36" t="s">
        <v>133</v>
      </c>
      <c r="CD57" s="46">
        <f t="shared" si="23"/>
        <v>0</v>
      </c>
      <c r="CE57" s="45" t="s">
        <v>133</v>
      </c>
      <c r="CF57" s="45" t="s">
        <v>133</v>
      </c>
      <c r="CG57" s="47">
        <v>0</v>
      </c>
      <c r="CH57" s="45" t="s">
        <v>133</v>
      </c>
      <c r="CI57" s="48">
        <f t="shared" si="24"/>
        <v>0</v>
      </c>
      <c r="CJ57" s="49" t="s">
        <v>68</v>
      </c>
      <c r="CK57" s="49" t="s">
        <v>133</v>
      </c>
      <c r="CL57" s="50" t="s">
        <v>133</v>
      </c>
      <c r="CM57" s="49" t="s">
        <v>133</v>
      </c>
      <c r="CN57" s="46">
        <f t="shared" si="25"/>
        <v>0</v>
      </c>
      <c r="CO57" s="49" t="s">
        <v>68</v>
      </c>
      <c r="CP57" s="48">
        <f t="shared" si="26"/>
        <v>0.75</v>
      </c>
      <c r="CQ57" s="49" t="s">
        <v>133</v>
      </c>
      <c r="CR57" s="48">
        <f t="shared" si="27"/>
        <v>0</v>
      </c>
      <c r="CS57" s="49" t="s">
        <v>68</v>
      </c>
      <c r="CT57" s="48">
        <f t="shared" si="28"/>
        <v>0.5</v>
      </c>
      <c r="CU57" s="49" t="s">
        <v>133</v>
      </c>
      <c r="CV57" s="48">
        <f t="shared" si="29"/>
        <v>0</v>
      </c>
      <c r="CW57" s="50" t="s">
        <v>758</v>
      </c>
      <c r="CX57" s="51">
        <f t="shared" si="30"/>
        <v>1.25</v>
      </c>
      <c r="CY57" s="52" t="s">
        <v>68</v>
      </c>
      <c r="CZ57" s="53">
        <f t="shared" si="31"/>
        <v>0.5</v>
      </c>
      <c r="DA57" s="52">
        <v>3</v>
      </c>
      <c r="DB57" s="53">
        <f t="shared" si="32"/>
        <v>0.39600000000000002</v>
      </c>
      <c r="DC57" s="52" t="s">
        <v>133</v>
      </c>
      <c r="DD57" s="53">
        <f t="shared" si="33"/>
        <v>0</v>
      </c>
      <c r="DE57" s="52" t="s">
        <v>68</v>
      </c>
      <c r="DF57" s="53">
        <f t="shared" si="34"/>
        <v>0.5</v>
      </c>
      <c r="DG57" s="50" t="s">
        <v>133</v>
      </c>
      <c r="DH57" s="50" t="s">
        <v>133</v>
      </c>
      <c r="DI57" s="50" t="s">
        <v>133</v>
      </c>
      <c r="DJ57" s="50" t="s">
        <v>68</v>
      </c>
      <c r="DK57" s="50" t="s">
        <v>133</v>
      </c>
      <c r="DL57" s="50" t="s">
        <v>133</v>
      </c>
      <c r="DM57" s="50" t="s">
        <v>68</v>
      </c>
      <c r="DN57" s="50" t="s">
        <v>133</v>
      </c>
      <c r="DO57" s="50" t="s">
        <v>133</v>
      </c>
      <c r="DP57" s="52" t="s">
        <v>68</v>
      </c>
      <c r="DQ57" s="50" t="s">
        <v>133</v>
      </c>
      <c r="DR57" s="52" t="s">
        <v>133</v>
      </c>
      <c r="DS57" s="53">
        <f t="shared" si="3"/>
        <v>0.25</v>
      </c>
      <c r="DT57" s="52" t="s">
        <v>133</v>
      </c>
      <c r="DU57" s="53">
        <f t="shared" si="35"/>
        <v>0</v>
      </c>
      <c r="DV57" s="52" t="s">
        <v>133</v>
      </c>
      <c r="DW57" s="53">
        <f t="shared" si="36"/>
        <v>0</v>
      </c>
      <c r="DX57" s="52" t="s">
        <v>133</v>
      </c>
      <c r="DY57" s="53">
        <f t="shared" si="37"/>
        <v>0</v>
      </c>
      <c r="DZ57" s="52" t="s">
        <v>133</v>
      </c>
      <c r="EA57" s="53">
        <f t="shared" si="38"/>
        <v>0</v>
      </c>
      <c r="EB57" s="52" t="s">
        <v>68</v>
      </c>
      <c r="EC57" s="53">
        <f t="shared" si="39"/>
        <v>0.25</v>
      </c>
      <c r="ED57" s="52" t="s">
        <v>751</v>
      </c>
      <c r="EE57" s="54">
        <f t="shared" si="40"/>
        <v>1.8959999999999999</v>
      </c>
      <c r="EF57" s="50">
        <v>4</v>
      </c>
      <c r="EG57" s="55">
        <f t="shared" si="41"/>
        <v>0.84</v>
      </c>
      <c r="EH57" s="50" t="s">
        <v>133</v>
      </c>
      <c r="EI57" s="55">
        <f t="shared" si="42"/>
        <v>0</v>
      </c>
      <c r="EJ57" s="50" t="s">
        <v>133</v>
      </c>
      <c r="EK57" s="55">
        <f t="shared" si="43"/>
        <v>0</v>
      </c>
      <c r="EL57" s="50" t="s">
        <v>133</v>
      </c>
      <c r="EM57" s="55">
        <f t="shared" si="44"/>
        <v>0</v>
      </c>
      <c r="EN57" s="50" t="s">
        <v>68</v>
      </c>
      <c r="EO57" s="55">
        <f t="shared" si="45"/>
        <v>0.5</v>
      </c>
      <c r="EP57" s="50" t="s">
        <v>133</v>
      </c>
      <c r="EQ57" s="55">
        <f t="shared" si="45"/>
        <v>0</v>
      </c>
      <c r="ER57" s="50" t="s">
        <v>684</v>
      </c>
      <c r="ES57" s="56">
        <f t="shared" si="46"/>
        <v>1.9142857142857141</v>
      </c>
      <c r="ET57" s="57" t="s">
        <v>133</v>
      </c>
      <c r="EU57" s="58">
        <f t="shared" si="47"/>
        <v>0</v>
      </c>
      <c r="EV57" s="57" t="s">
        <v>414</v>
      </c>
      <c r="EW57" s="58">
        <f t="shared" si="48"/>
        <v>0</v>
      </c>
      <c r="EX57" s="57" t="s">
        <v>414</v>
      </c>
      <c r="EY57" s="58">
        <f t="shared" si="49"/>
        <v>0</v>
      </c>
      <c r="EZ57" s="57" t="s">
        <v>133</v>
      </c>
      <c r="FA57" s="58">
        <f t="shared" si="50"/>
        <v>0</v>
      </c>
      <c r="FB57" s="57" t="s">
        <v>68</v>
      </c>
      <c r="FC57" s="58">
        <f t="shared" si="59"/>
        <v>0.5</v>
      </c>
      <c r="FD57" s="57" t="s">
        <v>68</v>
      </c>
      <c r="FE57" s="58">
        <f t="shared" si="59"/>
        <v>0.5</v>
      </c>
      <c r="FF57" s="57" t="s">
        <v>133</v>
      </c>
      <c r="FG57" s="58">
        <f t="shared" si="52"/>
        <v>0</v>
      </c>
      <c r="FH57" s="57" t="s">
        <v>133</v>
      </c>
      <c r="FI57" s="58">
        <f t="shared" si="53"/>
        <v>0</v>
      </c>
      <c r="FJ57" s="57" t="s">
        <v>68</v>
      </c>
      <c r="FK57" s="58">
        <f t="shared" si="53"/>
        <v>0.5</v>
      </c>
      <c r="FL57" s="59" t="s">
        <v>684</v>
      </c>
      <c r="FM57" s="60">
        <f t="shared" si="54"/>
        <v>1.875</v>
      </c>
      <c r="FN57" s="61">
        <f t="shared" si="55"/>
        <v>13.209285714285713</v>
      </c>
    </row>
    <row r="58" spans="1:170" ht="73">
      <c r="A58" s="31">
        <v>56</v>
      </c>
      <c r="B58" s="72" t="s">
        <v>218</v>
      </c>
      <c r="C58" s="33" t="str">
        <f>VLOOKUP(B58,[1]Sheet1!$A:$C,2,FALSE)</f>
        <v>Tommy Hilfiger Group</v>
      </c>
      <c r="D58" s="34" t="s">
        <v>412</v>
      </c>
      <c r="E58" s="35" t="str">
        <f>VLOOKUP(B58,[1]Sheet1!$A:$C,3,FALSE)</f>
        <v>United States</v>
      </c>
      <c r="F58" s="34" t="s">
        <v>413</v>
      </c>
      <c r="G58" s="32" t="s">
        <v>219</v>
      </c>
      <c r="H58" s="36" t="s">
        <v>68</v>
      </c>
      <c r="I58" s="36" t="s">
        <v>421</v>
      </c>
      <c r="J58" s="36" t="s">
        <v>421</v>
      </c>
      <c r="K58" s="36" t="s">
        <v>415</v>
      </c>
      <c r="L58" s="36" t="s">
        <v>133</v>
      </c>
      <c r="M58" s="37">
        <f t="shared" si="4"/>
        <v>0</v>
      </c>
      <c r="N58" s="36">
        <v>1.74</v>
      </c>
      <c r="O58" s="38">
        <f t="shared" si="5"/>
        <v>0.95399999999999996</v>
      </c>
      <c r="P58" s="36" t="s">
        <v>759</v>
      </c>
      <c r="Q58" s="39">
        <v>0.5</v>
      </c>
      <c r="R58" s="36" t="s">
        <v>133</v>
      </c>
      <c r="S58" s="37">
        <f t="shared" si="6"/>
        <v>0</v>
      </c>
      <c r="T58" s="36" t="s">
        <v>133</v>
      </c>
      <c r="U58" s="37">
        <f t="shared" si="7"/>
        <v>0.5</v>
      </c>
      <c r="V58" s="36" t="s">
        <v>68</v>
      </c>
      <c r="W58" s="36" t="s">
        <v>133</v>
      </c>
      <c r="X58" s="37">
        <f t="shared" si="8"/>
        <v>0</v>
      </c>
      <c r="Y58" s="36" t="s">
        <v>688</v>
      </c>
      <c r="Z58" s="40" t="s">
        <v>760</v>
      </c>
      <c r="AA58" s="41">
        <f t="shared" si="9"/>
        <v>1.954</v>
      </c>
      <c r="AB58" s="36">
        <v>0</v>
      </c>
      <c r="AC58" s="42">
        <f t="shared" si="0"/>
        <v>0.5</v>
      </c>
      <c r="AD58" s="36" t="s">
        <v>133</v>
      </c>
      <c r="AE58" s="42">
        <f t="shared" si="10"/>
        <v>0.25</v>
      </c>
      <c r="AF58" s="36" t="s">
        <v>421</v>
      </c>
      <c r="AG58" s="36">
        <v>2</v>
      </c>
      <c r="AH58" s="42">
        <f t="shared" si="11"/>
        <v>1</v>
      </c>
      <c r="AI58" s="36" t="s">
        <v>68</v>
      </c>
      <c r="AJ58" s="42">
        <f t="shared" si="1"/>
        <v>0.25</v>
      </c>
      <c r="AK58" s="36" t="s">
        <v>68</v>
      </c>
      <c r="AL58" s="36" t="s">
        <v>68</v>
      </c>
      <c r="AM58" s="36" t="s">
        <v>68</v>
      </c>
      <c r="AN58" s="36" t="s">
        <v>133</v>
      </c>
      <c r="AO58" s="36" t="s">
        <v>133</v>
      </c>
      <c r="AP58" s="42">
        <f t="shared" si="12"/>
        <v>0.25</v>
      </c>
      <c r="AQ58" s="36" t="s">
        <v>68</v>
      </c>
      <c r="AR58" s="36" t="s">
        <v>68</v>
      </c>
      <c r="AS58" s="42">
        <f t="shared" si="13"/>
        <v>0.25</v>
      </c>
      <c r="AT58" s="36" t="s">
        <v>133</v>
      </c>
      <c r="AU58" s="36" t="s">
        <v>133</v>
      </c>
      <c r="AV58" s="42">
        <f t="shared" si="14"/>
        <v>0.25</v>
      </c>
      <c r="AW58" s="36" t="s">
        <v>133</v>
      </c>
      <c r="AX58" s="36" t="s">
        <v>68</v>
      </c>
      <c r="AY58" s="42">
        <f t="shared" si="15"/>
        <v>0.25</v>
      </c>
      <c r="AZ58" s="36" t="s">
        <v>684</v>
      </c>
      <c r="BA58" s="36" t="s">
        <v>68</v>
      </c>
      <c r="BB58" s="42">
        <f t="shared" si="57"/>
        <v>0.25</v>
      </c>
      <c r="BC58" s="36" t="s">
        <v>133</v>
      </c>
      <c r="BD58" s="42">
        <f t="shared" si="16"/>
        <v>0</v>
      </c>
      <c r="BE58" s="36" t="s">
        <v>68</v>
      </c>
      <c r="BF58" s="42">
        <f t="shared" si="17"/>
        <v>0.25</v>
      </c>
      <c r="BG58" s="36" t="s">
        <v>68</v>
      </c>
      <c r="BH58" s="36" t="s">
        <v>68</v>
      </c>
      <c r="BI58" s="42">
        <f t="shared" si="18"/>
        <v>0.5</v>
      </c>
      <c r="BJ58" s="36" t="s">
        <v>68</v>
      </c>
      <c r="BK58" s="36" t="s">
        <v>68</v>
      </c>
      <c r="BL58" s="36" t="s">
        <v>133</v>
      </c>
      <c r="BM58" s="36" t="s">
        <v>133</v>
      </c>
      <c r="BN58" s="36" t="s">
        <v>133</v>
      </c>
      <c r="BO58" s="36" t="s">
        <v>68</v>
      </c>
      <c r="BP58" s="42">
        <f t="shared" si="19"/>
        <v>0.5</v>
      </c>
      <c r="BQ58" s="36" t="s">
        <v>68</v>
      </c>
      <c r="BR58" s="36" t="s">
        <v>133</v>
      </c>
      <c r="BS58" s="36" t="s">
        <v>133</v>
      </c>
      <c r="BT58" s="36" t="s">
        <v>133</v>
      </c>
      <c r="BU58" s="36" t="s">
        <v>133</v>
      </c>
      <c r="BV58" s="36" t="s">
        <v>133</v>
      </c>
      <c r="BW58" s="43" t="s">
        <v>684</v>
      </c>
      <c r="BX58" s="44">
        <f t="shared" si="20"/>
        <v>4.5</v>
      </c>
      <c r="BY58" s="45" t="s">
        <v>68</v>
      </c>
      <c r="BZ58" s="46">
        <f t="shared" si="21"/>
        <v>0.5</v>
      </c>
      <c r="CA58" s="45" t="s">
        <v>133</v>
      </c>
      <c r="CB58" s="46">
        <f t="shared" si="22"/>
        <v>0</v>
      </c>
      <c r="CC58" s="36" t="s">
        <v>133</v>
      </c>
      <c r="CD58" s="46">
        <f t="shared" si="23"/>
        <v>0</v>
      </c>
      <c r="CE58" s="45" t="s">
        <v>133</v>
      </c>
      <c r="CF58" s="45" t="s">
        <v>68</v>
      </c>
      <c r="CG58" s="47">
        <v>0.5</v>
      </c>
      <c r="CH58" s="45" t="s">
        <v>133</v>
      </c>
      <c r="CI58" s="48">
        <f t="shared" si="24"/>
        <v>0</v>
      </c>
      <c r="CJ58" s="49" t="s">
        <v>68</v>
      </c>
      <c r="CK58" s="49" t="s">
        <v>133</v>
      </c>
      <c r="CL58" s="50" t="s">
        <v>421</v>
      </c>
      <c r="CM58" s="49" t="s">
        <v>68</v>
      </c>
      <c r="CN58" s="46">
        <f t="shared" si="25"/>
        <v>0.5</v>
      </c>
      <c r="CO58" s="49" t="s">
        <v>68</v>
      </c>
      <c r="CP58" s="48">
        <f t="shared" si="26"/>
        <v>0.75</v>
      </c>
      <c r="CQ58" s="49" t="s">
        <v>133</v>
      </c>
      <c r="CR58" s="48">
        <f t="shared" si="27"/>
        <v>0</v>
      </c>
      <c r="CS58" s="49" t="s">
        <v>68</v>
      </c>
      <c r="CT58" s="48">
        <f t="shared" si="28"/>
        <v>0.5</v>
      </c>
      <c r="CU58" s="49" t="s">
        <v>68</v>
      </c>
      <c r="CV58" s="48">
        <f t="shared" si="29"/>
        <v>0.25</v>
      </c>
      <c r="CW58" s="50" t="s">
        <v>761</v>
      </c>
      <c r="CX58" s="51">
        <f t="shared" si="30"/>
        <v>3</v>
      </c>
      <c r="CY58" s="52" t="s">
        <v>68</v>
      </c>
      <c r="CZ58" s="53">
        <f t="shared" si="31"/>
        <v>0.5</v>
      </c>
      <c r="DA58" s="52">
        <v>3</v>
      </c>
      <c r="DB58" s="53">
        <f t="shared" si="32"/>
        <v>0.39600000000000002</v>
      </c>
      <c r="DC58" s="52" t="s">
        <v>133</v>
      </c>
      <c r="DD58" s="53">
        <f t="shared" si="33"/>
        <v>0</v>
      </c>
      <c r="DE58" s="52" t="s">
        <v>133</v>
      </c>
      <c r="DF58" s="53">
        <f t="shared" si="34"/>
        <v>0</v>
      </c>
      <c r="DG58" s="50" t="s">
        <v>133</v>
      </c>
      <c r="DH58" s="50" t="s">
        <v>133</v>
      </c>
      <c r="DI58" s="50" t="s">
        <v>133</v>
      </c>
      <c r="DJ58" s="50" t="s">
        <v>133</v>
      </c>
      <c r="DK58" s="50" t="s">
        <v>133</v>
      </c>
      <c r="DL58" s="50" t="s">
        <v>133</v>
      </c>
      <c r="DM58" s="50" t="s">
        <v>133</v>
      </c>
      <c r="DN58" s="50" t="s">
        <v>133</v>
      </c>
      <c r="DO58" s="50" t="s">
        <v>133</v>
      </c>
      <c r="DP58" s="52" t="s">
        <v>133</v>
      </c>
      <c r="DQ58" s="50" t="s">
        <v>133</v>
      </c>
      <c r="DR58" s="52" t="s">
        <v>133</v>
      </c>
      <c r="DS58" s="53">
        <f t="shared" si="3"/>
        <v>0</v>
      </c>
      <c r="DT58" s="52" t="s">
        <v>133</v>
      </c>
      <c r="DU58" s="53">
        <f t="shared" si="35"/>
        <v>0</v>
      </c>
      <c r="DV58" s="52" t="s">
        <v>133</v>
      </c>
      <c r="DW58" s="53">
        <f t="shared" si="36"/>
        <v>0</v>
      </c>
      <c r="DX58" s="52" t="s">
        <v>68</v>
      </c>
      <c r="DY58" s="53">
        <f t="shared" si="37"/>
        <v>0.5</v>
      </c>
      <c r="DZ58" s="52" t="s">
        <v>133</v>
      </c>
      <c r="EA58" s="53">
        <f t="shared" si="38"/>
        <v>0</v>
      </c>
      <c r="EB58" s="52" t="s">
        <v>133</v>
      </c>
      <c r="EC58" s="53">
        <f t="shared" si="39"/>
        <v>0</v>
      </c>
      <c r="ED58" s="52" t="s">
        <v>684</v>
      </c>
      <c r="EE58" s="54">
        <f t="shared" si="40"/>
        <v>1.3959999999999999</v>
      </c>
      <c r="EF58" s="50">
        <v>4</v>
      </c>
      <c r="EG58" s="55">
        <f t="shared" si="41"/>
        <v>0.84</v>
      </c>
      <c r="EH58" s="50" t="s">
        <v>68</v>
      </c>
      <c r="EI58" s="55">
        <f t="shared" si="42"/>
        <v>0.5</v>
      </c>
      <c r="EJ58" s="50" t="s">
        <v>133</v>
      </c>
      <c r="EK58" s="55">
        <f t="shared" si="43"/>
        <v>0</v>
      </c>
      <c r="EL58" s="50" t="s">
        <v>133</v>
      </c>
      <c r="EM58" s="55">
        <f t="shared" si="44"/>
        <v>0</v>
      </c>
      <c r="EN58" s="50" t="s">
        <v>68</v>
      </c>
      <c r="EO58" s="55">
        <f t="shared" si="45"/>
        <v>0.5</v>
      </c>
      <c r="EP58" s="50" t="s">
        <v>133</v>
      </c>
      <c r="EQ58" s="55">
        <f t="shared" si="45"/>
        <v>0</v>
      </c>
      <c r="ER58" s="50" t="s">
        <v>684</v>
      </c>
      <c r="ES58" s="56">
        <f t="shared" si="46"/>
        <v>2.6285714285714286</v>
      </c>
      <c r="ET58" s="57" t="s">
        <v>133</v>
      </c>
      <c r="EU58" s="58">
        <f t="shared" si="47"/>
        <v>0</v>
      </c>
      <c r="EV58" s="57" t="s">
        <v>414</v>
      </c>
      <c r="EW58" s="58">
        <f t="shared" si="48"/>
        <v>0</v>
      </c>
      <c r="EX58" s="57" t="s">
        <v>414</v>
      </c>
      <c r="EY58" s="58">
        <f t="shared" si="49"/>
        <v>0</v>
      </c>
      <c r="EZ58" s="57" t="s">
        <v>133</v>
      </c>
      <c r="FA58" s="58">
        <f t="shared" si="50"/>
        <v>0</v>
      </c>
      <c r="FB58" s="57" t="s">
        <v>68</v>
      </c>
      <c r="FC58" s="58">
        <f t="shared" si="59"/>
        <v>0.5</v>
      </c>
      <c r="FD58" s="57" t="s">
        <v>68</v>
      </c>
      <c r="FE58" s="58">
        <f t="shared" si="59"/>
        <v>0.5</v>
      </c>
      <c r="FF58" s="57" t="s">
        <v>133</v>
      </c>
      <c r="FG58" s="58">
        <f t="shared" si="52"/>
        <v>0</v>
      </c>
      <c r="FH58" s="57" t="s">
        <v>133</v>
      </c>
      <c r="FI58" s="58">
        <f t="shared" si="53"/>
        <v>0</v>
      </c>
      <c r="FJ58" s="57" t="s">
        <v>68</v>
      </c>
      <c r="FK58" s="58">
        <f t="shared" si="53"/>
        <v>0.5</v>
      </c>
      <c r="FL58" s="59" t="s">
        <v>684</v>
      </c>
      <c r="FM58" s="60">
        <f t="shared" si="54"/>
        <v>1.875</v>
      </c>
      <c r="FN58" s="61">
        <f t="shared" si="55"/>
        <v>15.353571428571428</v>
      </c>
    </row>
    <row r="59" spans="1:170" ht="92">
      <c r="A59" s="31">
        <v>57</v>
      </c>
      <c r="B59" s="32" t="s">
        <v>220</v>
      </c>
      <c r="C59" s="33" t="str">
        <f>VLOOKUP(B59,[1]Sheet1!$A:$C,2,FALSE)</f>
        <v>Tory Burch</v>
      </c>
      <c r="D59" s="34" t="s">
        <v>412</v>
      </c>
      <c r="E59" s="35" t="str">
        <f>VLOOKUP(B59,[1]Sheet1!$A:$C,3,FALSE)</f>
        <v>United States</v>
      </c>
      <c r="F59" s="34" t="s">
        <v>413</v>
      </c>
      <c r="G59" s="32" t="s">
        <v>221</v>
      </c>
      <c r="H59" s="36" t="s">
        <v>68</v>
      </c>
      <c r="I59" s="36" t="s">
        <v>421</v>
      </c>
      <c r="J59" s="36" t="s">
        <v>421</v>
      </c>
      <c r="K59" s="36" t="s">
        <v>431</v>
      </c>
      <c r="L59" s="36" t="s">
        <v>133</v>
      </c>
      <c r="M59" s="37">
        <f t="shared" si="4"/>
        <v>0</v>
      </c>
      <c r="N59" s="36">
        <v>1.1180000000000001</v>
      </c>
      <c r="O59" s="38">
        <f t="shared" si="5"/>
        <v>1.81</v>
      </c>
      <c r="P59" s="36" t="s">
        <v>762</v>
      </c>
      <c r="Q59" s="39">
        <v>1</v>
      </c>
      <c r="R59" s="36" t="s">
        <v>133</v>
      </c>
      <c r="S59" s="37">
        <f t="shared" si="6"/>
        <v>0</v>
      </c>
      <c r="T59" s="36" t="s">
        <v>133</v>
      </c>
      <c r="U59" s="37">
        <f t="shared" si="7"/>
        <v>0.5</v>
      </c>
      <c r="V59" s="36" t="s">
        <v>68</v>
      </c>
      <c r="W59" s="36" t="s">
        <v>133</v>
      </c>
      <c r="X59" s="37">
        <f t="shared" si="8"/>
        <v>0</v>
      </c>
      <c r="Y59" s="36" t="s">
        <v>421</v>
      </c>
      <c r="Z59" s="40" t="s">
        <v>763</v>
      </c>
      <c r="AA59" s="41">
        <f t="shared" si="9"/>
        <v>3.31</v>
      </c>
      <c r="AB59" s="36">
        <v>0</v>
      </c>
      <c r="AC59" s="42">
        <f t="shared" si="0"/>
        <v>0.5</v>
      </c>
      <c r="AD59" s="36" t="s">
        <v>133</v>
      </c>
      <c r="AE59" s="42">
        <f t="shared" si="10"/>
        <v>0.25</v>
      </c>
      <c r="AF59" s="36" t="s">
        <v>421</v>
      </c>
      <c r="AG59" s="36">
        <v>2</v>
      </c>
      <c r="AH59" s="42">
        <f t="shared" si="11"/>
        <v>1</v>
      </c>
      <c r="AI59" s="36" t="s">
        <v>68</v>
      </c>
      <c r="AJ59" s="42">
        <f t="shared" si="1"/>
        <v>0.25</v>
      </c>
      <c r="AK59" s="36" t="s">
        <v>68</v>
      </c>
      <c r="AL59" s="36" t="s">
        <v>133</v>
      </c>
      <c r="AM59" s="36" t="s">
        <v>68</v>
      </c>
      <c r="AN59" s="36" t="s">
        <v>133</v>
      </c>
      <c r="AO59" s="36" t="s">
        <v>133</v>
      </c>
      <c r="AP59" s="42">
        <f t="shared" si="12"/>
        <v>0.25</v>
      </c>
      <c r="AQ59" s="36" t="s">
        <v>68</v>
      </c>
      <c r="AR59" s="36" t="s">
        <v>133</v>
      </c>
      <c r="AS59" s="42">
        <f t="shared" si="13"/>
        <v>0</v>
      </c>
      <c r="AT59" s="36" t="s">
        <v>133</v>
      </c>
      <c r="AU59" s="36" t="s">
        <v>133</v>
      </c>
      <c r="AV59" s="42">
        <f t="shared" si="14"/>
        <v>0.25</v>
      </c>
      <c r="AW59" s="36" t="s">
        <v>133</v>
      </c>
      <c r="AX59" s="36" t="s">
        <v>68</v>
      </c>
      <c r="AY59" s="42">
        <f t="shared" si="15"/>
        <v>0.25</v>
      </c>
      <c r="AZ59" s="36" t="s">
        <v>764</v>
      </c>
      <c r="BA59" s="36" t="s">
        <v>68</v>
      </c>
      <c r="BB59" s="42">
        <f t="shared" si="57"/>
        <v>0.25</v>
      </c>
      <c r="BC59" s="36" t="s">
        <v>68</v>
      </c>
      <c r="BD59" s="42">
        <f t="shared" si="16"/>
        <v>0.5</v>
      </c>
      <c r="BE59" s="36" t="s">
        <v>68</v>
      </c>
      <c r="BF59" s="42">
        <f t="shared" si="17"/>
        <v>0.25</v>
      </c>
      <c r="BG59" s="36" t="s">
        <v>68</v>
      </c>
      <c r="BH59" s="36" t="s">
        <v>133</v>
      </c>
      <c r="BI59" s="42">
        <f t="shared" si="18"/>
        <v>0</v>
      </c>
      <c r="BJ59" s="36" t="s">
        <v>133</v>
      </c>
      <c r="BK59" s="36" t="s">
        <v>68</v>
      </c>
      <c r="BL59" s="36" t="s">
        <v>133</v>
      </c>
      <c r="BM59" s="36" t="s">
        <v>133</v>
      </c>
      <c r="BN59" s="36" t="s">
        <v>133</v>
      </c>
      <c r="BO59" s="36" t="s">
        <v>68</v>
      </c>
      <c r="BP59" s="42">
        <f t="shared" si="19"/>
        <v>0.5</v>
      </c>
      <c r="BQ59" s="36" t="s">
        <v>68</v>
      </c>
      <c r="BR59" s="36" t="s">
        <v>68</v>
      </c>
      <c r="BS59" s="36" t="s">
        <v>133</v>
      </c>
      <c r="BT59" s="36" t="s">
        <v>133</v>
      </c>
      <c r="BU59" s="36" t="s">
        <v>133</v>
      </c>
      <c r="BV59" s="36" t="s">
        <v>133</v>
      </c>
      <c r="BW59" s="43" t="s">
        <v>765</v>
      </c>
      <c r="BX59" s="44">
        <f t="shared" si="20"/>
        <v>4.25</v>
      </c>
      <c r="BY59" s="45" t="s">
        <v>68</v>
      </c>
      <c r="BZ59" s="46">
        <f t="shared" si="21"/>
        <v>0.5</v>
      </c>
      <c r="CA59" s="45" t="s">
        <v>133</v>
      </c>
      <c r="CB59" s="46">
        <f t="shared" si="22"/>
        <v>0</v>
      </c>
      <c r="CC59" s="36" t="s">
        <v>421</v>
      </c>
      <c r="CD59" s="46">
        <f t="shared" si="23"/>
        <v>0</v>
      </c>
      <c r="CE59" s="45" t="s">
        <v>421</v>
      </c>
      <c r="CF59" s="45" t="s">
        <v>133</v>
      </c>
      <c r="CG59" s="47">
        <v>0</v>
      </c>
      <c r="CH59" s="45" t="s">
        <v>133</v>
      </c>
      <c r="CI59" s="48">
        <f t="shared" si="24"/>
        <v>0</v>
      </c>
      <c r="CJ59" s="49" t="s">
        <v>68</v>
      </c>
      <c r="CK59" s="49" t="s">
        <v>133</v>
      </c>
      <c r="CL59" s="50" t="s">
        <v>421</v>
      </c>
      <c r="CM59" s="49" t="s">
        <v>133</v>
      </c>
      <c r="CN59" s="46">
        <f t="shared" si="25"/>
        <v>0</v>
      </c>
      <c r="CO59" s="49" t="s">
        <v>68</v>
      </c>
      <c r="CP59" s="48">
        <f t="shared" si="26"/>
        <v>0.75</v>
      </c>
      <c r="CQ59" s="49" t="s">
        <v>133</v>
      </c>
      <c r="CR59" s="48">
        <f t="shared" si="27"/>
        <v>0</v>
      </c>
      <c r="CS59" s="49" t="s">
        <v>68</v>
      </c>
      <c r="CT59" s="48">
        <f t="shared" si="28"/>
        <v>0.5</v>
      </c>
      <c r="CU59" s="49" t="s">
        <v>133</v>
      </c>
      <c r="CV59" s="48">
        <f t="shared" si="29"/>
        <v>0</v>
      </c>
      <c r="CW59" s="50" t="s">
        <v>766</v>
      </c>
      <c r="CX59" s="51">
        <f t="shared" si="30"/>
        <v>1.75</v>
      </c>
      <c r="CY59" s="52" t="s">
        <v>68</v>
      </c>
      <c r="CZ59" s="53">
        <f t="shared" si="31"/>
        <v>0.5</v>
      </c>
      <c r="DA59" s="52">
        <v>3</v>
      </c>
      <c r="DB59" s="53">
        <f t="shared" si="32"/>
        <v>0.39600000000000002</v>
      </c>
      <c r="DC59" s="52" t="s">
        <v>68</v>
      </c>
      <c r="DD59" s="53">
        <f t="shared" si="33"/>
        <v>0.5</v>
      </c>
      <c r="DE59" s="52" t="s">
        <v>68</v>
      </c>
      <c r="DF59" s="53">
        <f t="shared" si="34"/>
        <v>0.5</v>
      </c>
      <c r="DG59" s="50" t="s">
        <v>133</v>
      </c>
      <c r="DH59" s="50" t="s">
        <v>133</v>
      </c>
      <c r="DI59" s="50" t="s">
        <v>68</v>
      </c>
      <c r="DJ59" s="50" t="s">
        <v>133</v>
      </c>
      <c r="DK59" s="50" t="s">
        <v>133</v>
      </c>
      <c r="DL59" s="50" t="s">
        <v>68</v>
      </c>
      <c r="DM59" s="50" t="s">
        <v>68</v>
      </c>
      <c r="DN59" s="50" t="s">
        <v>133</v>
      </c>
      <c r="DO59" s="50" t="s">
        <v>68</v>
      </c>
      <c r="DP59" s="52" t="s">
        <v>133</v>
      </c>
      <c r="DQ59" s="50" t="s">
        <v>133</v>
      </c>
      <c r="DR59" s="52" t="s">
        <v>133</v>
      </c>
      <c r="DS59" s="53">
        <f t="shared" si="3"/>
        <v>0.25</v>
      </c>
      <c r="DT59" s="52" t="s">
        <v>68</v>
      </c>
      <c r="DU59" s="53">
        <f t="shared" si="35"/>
        <v>0.5</v>
      </c>
      <c r="DV59" s="52" t="s">
        <v>68</v>
      </c>
      <c r="DW59" s="53">
        <f t="shared" si="36"/>
        <v>0.5</v>
      </c>
      <c r="DX59" s="52" t="s">
        <v>68</v>
      </c>
      <c r="DY59" s="53">
        <f t="shared" si="37"/>
        <v>0.5</v>
      </c>
      <c r="DZ59" s="52" t="s">
        <v>133</v>
      </c>
      <c r="EA59" s="53">
        <f t="shared" si="38"/>
        <v>0</v>
      </c>
      <c r="EB59" s="52" t="s">
        <v>133</v>
      </c>
      <c r="EC59" s="53">
        <f t="shared" si="39"/>
        <v>0</v>
      </c>
      <c r="ED59" s="52" t="s">
        <v>767</v>
      </c>
      <c r="EE59" s="54">
        <f t="shared" si="40"/>
        <v>3.6459999999999999</v>
      </c>
      <c r="EF59" s="50">
        <v>5</v>
      </c>
      <c r="EG59" s="55">
        <f t="shared" si="41"/>
        <v>0.58000000000000007</v>
      </c>
      <c r="EH59" s="50" t="s">
        <v>133</v>
      </c>
      <c r="EI59" s="55">
        <f t="shared" si="42"/>
        <v>0</v>
      </c>
      <c r="EJ59" s="50" t="s">
        <v>133</v>
      </c>
      <c r="EK59" s="55">
        <f t="shared" si="43"/>
        <v>0</v>
      </c>
      <c r="EL59" s="50" t="s">
        <v>133</v>
      </c>
      <c r="EM59" s="55">
        <f t="shared" si="44"/>
        <v>0</v>
      </c>
      <c r="EN59" s="50" t="s">
        <v>68</v>
      </c>
      <c r="EO59" s="55">
        <f t="shared" si="45"/>
        <v>0.5</v>
      </c>
      <c r="EP59" s="50" t="s">
        <v>133</v>
      </c>
      <c r="EQ59" s="55">
        <f t="shared" si="45"/>
        <v>0</v>
      </c>
      <c r="ER59" s="50" t="s">
        <v>684</v>
      </c>
      <c r="ES59" s="56">
        <f t="shared" si="46"/>
        <v>1.5428571428571429</v>
      </c>
      <c r="ET59" s="57" t="s">
        <v>133</v>
      </c>
      <c r="EU59" s="58">
        <f t="shared" si="47"/>
        <v>0</v>
      </c>
      <c r="EV59" s="57" t="s">
        <v>414</v>
      </c>
      <c r="EW59" s="58">
        <f t="shared" si="48"/>
        <v>0</v>
      </c>
      <c r="EX59" s="57" t="s">
        <v>414</v>
      </c>
      <c r="EY59" s="58">
        <f t="shared" si="49"/>
        <v>0</v>
      </c>
      <c r="EZ59" s="57" t="s">
        <v>133</v>
      </c>
      <c r="FA59" s="58">
        <f t="shared" si="50"/>
        <v>0</v>
      </c>
      <c r="FB59" s="57" t="s">
        <v>68</v>
      </c>
      <c r="FC59" s="58">
        <f t="shared" si="59"/>
        <v>0.5</v>
      </c>
      <c r="FD59" s="57" t="s">
        <v>68</v>
      </c>
      <c r="FE59" s="58">
        <f t="shared" si="59"/>
        <v>0.5</v>
      </c>
      <c r="FF59" s="57" t="s">
        <v>133</v>
      </c>
      <c r="FG59" s="58">
        <f t="shared" si="52"/>
        <v>0</v>
      </c>
      <c r="FH59" s="57" t="s">
        <v>133</v>
      </c>
      <c r="FI59" s="58">
        <f t="shared" si="53"/>
        <v>0</v>
      </c>
      <c r="FJ59" s="57" t="s">
        <v>68</v>
      </c>
      <c r="FK59" s="58">
        <f t="shared" si="53"/>
        <v>0.5</v>
      </c>
      <c r="FL59" s="59" t="s">
        <v>684</v>
      </c>
      <c r="FM59" s="60">
        <f t="shared" si="54"/>
        <v>1.875</v>
      </c>
      <c r="FN59" s="61">
        <f t="shared" si="55"/>
        <v>16.37385714285714</v>
      </c>
    </row>
    <row r="60" spans="1:170" ht="92">
      <c r="A60" s="31">
        <v>58</v>
      </c>
      <c r="B60" s="32" t="s">
        <v>222</v>
      </c>
      <c r="C60" s="33" t="str">
        <f>VLOOKUP(B60,[1]Sheet1!$A:$C,2,FALSE)</f>
        <v>Valentino S.p.A</v>
      </c>
      <c r="D60" s="34" t="s">
        <v>412</v>
      </c>
      <c r="E60" s="35" t="str">
        <f>VLOOKUP(B60,[1]Sheet1!$A:$C,3,FALSE)</f>
        <v>Italy</v>
      </c>
      <c r="F60" s="34" t="s">
        <v>413</v>
      </c>
      <c r="G60" s="32" t="s">
        <v>224</v>
      </c>
      <c r="H60" s="36" t="s">
        <v>68</v>
      </c>
      <c r="I60" s="36" t="s">
        <v>133</v>
      </c>
      <c r="J60" s="36" t="s">
        <v>768</v>
      </c>
      <c r="K60" s="36" t="s">
        <v>415</v>
      </c>
      <c r="L60" s="36" t="s">
        <v>68</v>
      </c>
      <c r="M60" s="37">
        <f t="shared" si="4"/>
        <v>0.75</v>
      </c>
      <c r="N60" s="36">
        <v>1.835</v>
      </c>
      <c r="O60" s="38">
        <f t="shared" si="5"/>
        <v>0.8580000000000001</v>
      </c>
      <c r="P60" s="36" t="s">
        <v>416</v>
      </c>
      <c r="Q60" s="39">
        <v>0.5</v>
      </c>
      <c r="R60" s="36" t="s">
        <v>68</v>
      </c>
      <c r="S60" s="37">
        <f t="shared" si="6"/>
        <v>0.5</v>
      </c>
      <c r="T60" s="36" t="s">
        <v>133</v>
      </c>
      <c r="U60" s="37">
        <f t="shared" si="7"/>
        <v>0.5</v>
      </c>
      <c r="V60" s="36" t="s">
        <v>68</v>
      </c>
      <c r="W60" s="36" t="s">
        <v>133</v>
      </c>
      <c r="X60" s="37">
        <f t="shared" si="8"/>
        <v>0</v>
      </c>
      <c r="Y60" s="36" t="s">
        <v>688</v>
      </c>
      <c r="Z60" s="40" t="s">
        <v>769</v>
      </c>
      <c r="AA60" s="41">
        <f t="shared" si="9"/>
        <v>3.1080000000000001</v>
      </c>
      <c r="AB60" s="36">
        <v>0</v>
      </c>
      <c r="AC60" s="42">
        <f t="shared" si="0"/>
        <v>0.5</v>
      </c>
      <c r="AD60" s="36" t="s">
        <v>68</v>
      </c>
      <c r="AE60" s="42">
        <f t="shared" si="10"/>
        <v>0</v>
      </c>
      <c r="AF60" s="36" t="s">
        <v>133</v>
      </c>
      <c r="AG60" s="36">
        <v>3</v>
      </c>
      <c r="AH60" s="42">
        <f t="shared" si="11"/>
        <v>0.52400000000000002</v>
      </c>
      <c r="AI60" s="36" t="s">
        <v>133</v>
      </c>
      <c r="AJ60" s="42">
        <f t="shared" si="1"/>
        <v>0</v>
      </c>
      <c r="AK60" s="36" t="s">
        <v>68</v>
      </c>
      <c r="AL60" s="36" t="s">
        <v>133</v>
      </c>
      <c r="AM60" s="36" t="s">
        <v>68</v>
      </c>
      <c r="AN60" s="36" t="s">
        <v>133</v>
      </c>
      <c r="AO60" s="36" t="s">
        <v>133</v>
      </c>
      <c r="AP60" s="42">
        <f t="shared" si="12"/>
        <v>0.25</v>
      </c>
      <c r="AQ60" s="36" t="s">
        <v>133</v>
      </c>
      <c r="AR60" s="36" t="s">
        <v>133</v>
      </c>
      <c r="AS60" s="42">
        <f t="shared" si="13"/>
        <v>0</v>
      </c>
      <c r="AT60" s="36" t="s">
        <v>133</v>
      </c>
      <c r="AU60" s="36" t="s">
        <v>133</v>
      </c>
      <c r="AV60" s="42">
        <f t="shared" si="14"/>
        <v>0</v>
      </c>
      <c r="AW60" s="36" t="s">
        <v>133</v>
      </c>
      <c r="AX60" s="36" t="s">
        <v>133</v>
      </c>
      <c r="AY60" s="42">
        <f t="shared" si="15"/>
        <v>0</v>
      </c>
      <c r="AZ60" s="36" t="s">
        <v>133</v>
      </c>
      <c r="BA60" s="36" t="s">
        <v>133</v>
      </c>
      <c r="BB60" s="42">
        <f t="shared" si="57"/>
        <v>0</v>
      </c>
      <c r="BC60" s="36" t="s">
        <v>421</v>
      </c>
      <c r="BD60" s="42">
        <f t="shared" si="16"/>
        <v>0</v>
      </c>
      <c r="BE60" s="36" t="s">
        <v>421</v>
      </c>
      <c r="BF60" s="42">
        <f t="shared" si="17"/>
        <v>0</v>
      </c>
      <c r="BG60" s="36" t="s">
        <v>421</v>
      </c>
      <c r="BH60" s="36" t="s">
        <v>421</v>
      </c>
      <c r="BI60" s="42">
        <f t="shared" si="18"/>
        <v>0</v>
      </c>
      <c r="BJ60" s="36" t="s">
        <v>421</v>
      </c>
      <c r="BK60" s="36" t="s">
        <v>421</v>
      </c>
      <c r="BL60" s="36" t="s">
        <v>421</v>
      </c>
      <c r="BM60" s="36" t="s">
        <v>421</v>
      </c>
      <c r="BN60" s="36" t="s">
        <v>421</v>
      </c>
      <c r="BO60" s="36" t="s">
        <v>421</v>
      </c>
      <c r="BP60" s="42">
        <f t="shared" si="19"/>
        <v>0</v>
      </c>
      <c r="BQ60" s="36" t="s">
        <v>421</v>
      </c>
      <c r="BR60" s="36" t="s">
        <v>421</v>
      </c>
      <c r="BS60" s="36" t="s">
        <v>421</v>
      </c>
      <c r="BT60" s="36" t="s">
        <v>421</v>
      </c>
      <c r="BU60" s="36" t="s">
        <v>421</v>
      </c>
      <c r="BV60" s="36" t="s">
        <v>421</v>
      </c>
      <c r="BW60" s="43" t="s">
        <v>684</v>
      </c>
      <c r="BX60" s="44">
        <f t="shared" si="20"/>
        <v>1.274</v>
      </c>
      <c r="BY60" s="45" t="s">
        <v>133</v>
      </c>
      <c r="BZ60" s="46">
        <f t="shared" si="21"/>
        <v>0</v>
      </c>
      <c r="CA60" s="45" t="s">
        <v>133</v>
      </c>
      <c r="CB60" s="46">
        <f t="shared" si="22"/>
        <v>0</v>
      </c>
      <c r="CC60" s="36" t="s">
        <v>133</v>
      </c>
      <c r="CD60" s="46">
        <f t="shared" si="23"/>
        <v>0</v>
      </c>
      <c r="CE60" s="45" t="s">
        <v>133</v>
      </c>
      <c r="CF60" s="45" t="s">
        <v>133</v>
      </c>
      <c r="CG60" s="47">
        <v>0</v>
      </c>
      <c r="CH60" s="45" t="s">
        <v>133</v>
      </c>
      <c r="CI60" s="48">
        <f t="shared" si="24"/>
        <v>0</v>
      </c>
      <c r="CJ60" s="49" t="s">
        <v>68</v>
      </c>
      <c r="CK60" s="49" t="s">
        <v>133</v>
      </c>
      <c r="CL60" s="50" t="s">
        <v>133</v>
      </c>
      <c r="CM60" s="49" t="s">
        <v>133</v>
      </c>
      <c r="CN60" s="46">
        <f t="shared" si="25"/>
        <v>0</v>
      </c>
      <c r="CO60" s="49" t="s">
        <v>133</v>
      </c>
      <c r="CP60" s="48">
        <f t="shared" si="26"/>
        <v>0</v>
      </c>
      <c r="CQ60" s="49" t="s">
        <v>133</v>
      </c>
      <c r="CR60" s="48">
        <f t="shared" si="27"/>
        <v>0</v>
      </c>
      <c r="CS60" s="49" t="s">
        <v>133</v>
      </c>
      <c r="CT60" s="48">
        <f t="shared" si="28"/>
        <v>0</v>
      </c>
      <c r="CU60" s="49" t="s">
        <v>133</v>
      </c>
      <c r="CV60" s="48">
        <f t="shared" si="29"/>
        <v>0</v>
      </c>
      <c r="CW60" s="50" t="s">
        <v>770</v>
      </c>
      <c r="CX60" s="51">
        <f t="shared" si="30"/>
        <v>0</v>
      </c>
      <c r="CY60" s="52" t="s">
        <v>68</v>
      </c>
      <c r="CZ60" s="53">
        <f t="shared" si="31"/>
        <v>0.5</v>
      </c>
      <c r="DA60" s="52">
        <v>4</v>
      </c>
      <c r="DB60" s="53">
        <f t="shared" si="32"/>
        <v>0.66600000000000004</v>
      </c>
      <c r="DC60" s="52" t="s">
        <v>133</v>
      </c>
      <c r="DD60" s="53">
        <f t="shared" si="33"/>
        <v>0</v>
      </c>
      <c r="DE60" s="52" t="s">
        <v>68</v>
      </c>
      <c r="DF60" s="53">
        <f t="shared" si="34"/>
        <v>0.5</v>
      </c>
      <c r="DG60" s="50" t="s">
        <v>133</v>
      </c>
      <c r="DH60" s="50" t="s">
        <v>133</v>
      </c>
      <c r="DI60" s="50" t="s">
        <v>133</v>
      </c>
      <c r="DJ60" s="50" t="s">
        <v>68</v>
      </c>
      <c r="DK60" s="50" t="s">
        <v>133</v>
      </c>
      <c r="DL60" s="50" t="s">
        <v>133</v>
      </c>
      <c r="DM60" s="50" t="s">
        <v>133</v>
      </c>
      <c r="DN60" s="50" t="s">
        <v>771</v>
      </c>
      <c r="DO60" s="50" t="s">
        <v>133</v>
      </c>
      <c r="DP60" s="52" t="s">
        <v>68</v>
      </c>
      <c r="DQ60" s="50" t="s">
        <v>133</v>
      </c>
      <c r="DR60" s="52" t="s">
        <v>133</v>
      </c>
      <c r="DS60" s="53">
        <f t="shared" si="3"/>
        <v>0.25</v>
      </c>
      <c r="DT60" s="52" t="s">
        <v>133</v>
      </c>
      <c r="DU60" s="53">
        <f t="shared" si="35"/>
        <v>0</v>
      </c>
      <c r="DV60" s="52" t="s">
        <v>133</v>
      </c>
      <c r="DW60" s="53">
        <f t="shared" si="36"/>
        <v>0</v>
      </c>
      <c r="DX60" s="52" t="s">
        <v>133</v>
      </c>
      <c r="DY60" s="53">
        <f t="shared" si="37"/>
        <v>0</v>
      </c>
      <c r="DZ60" s="52" t="s">
        <v>133</v>
      </c>
      <c r="EA60" s="53">
        <f t="shared" si="38"/>
        <v>0</v>
      </c>
      <c r="EB60" s="52" t="s">
        <v>133</v>
      </c>
      <c r="EC60" s="53">
        <f t="shared" si="39"/>
        <v>0</v>
      </c>
      <c r="ED60" s="52" t="s">
        <v>772</v>
      </c>
      <c r="EE60" s="54">
        <f t="shared" si="40"/>
        <v>1.9159999999999999</v>
      </c>
      <c r="EF60" s="50">
        <v>4</v>
      </c>
      <c r="EG60" s="55">
        <f t="shared" si="41"/>
        <v>0.84</v>
      </c>
      <c r="EH60" s="50" t="s">
        <v>68</v>
      </c>
      <c r="EI60" s="55">
        <f t="shared" si="42"/>
        <v>0.5</v>
      </c>
      <c r="EJ60" s="50" t="s">
        <v>133</v>
      </c>
      <c r="EK60" s="55">
        <f t="shared" si="43"/>
        <v>0</v>
      </c>
      <c r="EL60" s="50" t="s">
        <v>133</v>
      </c>
      <c r="EM60" s="55">
        <f t="shared" si="44"/>
        <v>0</v>
      </c>
      <c r="EN60" s="50" t="s">
        <v>68</v>
      </c>
      <c r="EO60" s="55">
        <f t="shared" si="45"/>
        <v>0.5</v>
      </c>
      <c r="EP60" s="50" t="s">
        <v>133</v>
      </c>
      <c r="EQ60" s="55">
        <f t="shared" si="45"/>
        <v>0</v>
      </c>
      <c r="ER60" s="50" t="s">
        <v>773</v>
      </c>
      <c r="ES60" s="56">
        <f t="shared" si="46"/>
        <v>2.6285714285714286</v>
      </c>
      <c r="ET60" s="57" t="s">
        <v>133</v>
      </c>
      <c r="EU60" s="58">
        <f t="shared" si="47"/>
        <v>0</v>
      </c>
      <c r="EV60" s="57" t="s">
        <v>414</v>
      </c>
      <c r="EW60" s="58">
        <f t="shared" si="48"/>
        <v>0</v>
      </c>
      <c r="EX60" s="57" t="s">
        <v>414</v>
      </c>
      <c r="EY60" s="58">
        <f t="shared" si="49"/>
        <v>0</v>
      </c>
      <c r="EZ60" s="57" t="s">
        <v>133</v>
      </c>
      <c r="FA60" s="58">
        <f t="shared" si="50"/>
        <v>0</v>
      </c>
      <c r="FB60" s="57" t="s">
        <v>68</v>
      </c>
      <c r="FC60" s="58">
        <f t="shared" si="59"/>
        <v>0.5</v>
      </c>
      <c r="FD60" s="57" t="s">
        <v>133</v>
      </c>
      <c r="FE60" s="58">
        <f t="shared" si="59"/>
        <v>0</v>
      </c>
      <c r="FF60" s="57" t="s">
        <v>133</v>
      </c>
      <c r="FG60" s="58">
        <f t="shared" si="52"/>
        <v>0</v>
      </c>
      <c r="FH60" s="57" t="s">
        <v>133</v>
      </c>
      <c r="FI60" s="58">
        <f t="shared" si="53"/>
        <v>0</v>
      </c>
      <c r="FJ60" s="57" t="s">
        <v>68</v>
      </c>
      <c r="FK60" s="58">
        <f t="shared" si="53"/>
        <v>0.5</v>
      </c>
      <c r="FL60" s="59" t="s">
        <v>684</v>
      </c>
      <c r="FM60" s="60">
        <f t="shared" si="54"/>
        <v>1.25</v>
      </c>
      <c r="FN60" s="61">
        <f t="shared" si="55"/>
        <v>10.176571428571428</v>
      </c>
    </row>
    <row r="61" spans="1:170" ht="53">
      <c r="A61" s="31">
        <v>59</v>
      </c>
      <c r="B61" s="32" t="s">
        <v>225</v>
      </c>
      <c r="C61" s="33" t="str">
        <f>VLOOKUP(B61,[1]Sheet1!$A:$C,2,FALSE)</f>
        <v>Gianni Versace S.p.A</v>
      </c>
      <c r="D61" s="34" t="s">
        <v>412</v>
      </c>
      <c r="E61" s="35" t="str">
        <f>VLOOKUP(B61,[1]Sheet1!$A:$C,3,FALSE)</f>
        <v>Italy</v>
      </c>
      <c r="F61" s="34" t="s">
        <v>413</v>
      </c>
      <c r="G61" s="32" t="s">
        <v>227</v>
      </c>
      <c r="H61" s="36" t="s">
        <v>133</v>
      </c>
      <c r="I61" s="36" t="s">
        <v>133</v>
      </c>
      <c r="J61" s="36"/>
      <c r="K61" s="36" t="s">
        <v>415</v>
      </c>
      <c r="L61" s="36" t="s">
        <v>133</v>
      </c>
      <c r="M61" s="37">
        <f t="shared" si="4"/>
        <v>0</v>
      </c>
      <c r="N61" s="36">
        <v>0.77900000000000003</v>
      </c>
      <c r="O61" s="38">
        <f t="shared" si="5"/>
        <v>1.97</v>
      </c>
      <c r="P61" s="36" t="s">
        <v>416</v>
      </c>
      <c r="Q61" s="39">
        <v>0.5</v>
      </c>
      <c r="R61" s="36" t="s">
        <v>68</v>
      </c>
      <c r="S61" s="37">
        <f t="shared" si="6"/>
        <v>0.5</v>
      </c>
      <c r="T61" s="36" t="s">
        <v>133</v>
      </c>
      <c r="U61" s="37">
        <f t="shared" si="7"/>
        <v>0.5</v>
      </c>
      <c r="V61" s="36" t="s">
        <v>133</v>
      </c>
      <c r="W61" s="36" t="s">
        <v>133</v>
      </c>
      <c r="X61" s="37">
        <f t="shared" si="8"/>
        <v>0</v>
      </c>
      <c r="Y61" s="36" t="s">
        <v>688</v>
      </c>
      <c r="Z61" s="40" t="s">
        <v>774</v>
      </c>
      <c r="AA61" s="41">
        <f t="shared" si="9"/>
        <v>3.4699999999999998</v>
      </c>
      <c r="AB61" s="36">
        <v>0</v>
      </c>
      <c r="AC61" s="42">
        <f t="shared" si="0"/>
        <v>0.5</v>
      </c>
      <c r="AD61" s="36" t="s">
        <v>68</v>
      </c>
      <c r="AE61" s="42">
        <f t="shared" si="10"/>
        <v>0</v>
      </c>
      <c r="AF61" s="36" t="s">
        <v>68</v>
      </c>
      <c r="AG61" s="36">
        <v>3</v>
      </c>
      <c r="AH61" s="42">
        <f t="shared" si="11"/>
        <v>0.52400000000000002</v>
      </c>
      <c r="AI61" s="36" t="s">
        <v>133</v>
      </c>
      <c r="AJ61" s="42">
        <f t="shared" si="1"/>
        <v>0</v>
      </c>
      <c r="AK61" s="36" t="s">
        <v>133</v>
      </c>
      <c r="AL61" s="36" t="s">
        <v>133</v>
      </c>
      <c r="AM61" s="36" t="s">
        <v>133</v>
      </c>
      <c r="AN61" s="36" t="s">
        <v>133</v>
      </c>
      <c r="AO61" s="36" t="s">
        <v>133</v>
      </c>
      <c r="AP61" s="42">
        <f t="shared" si="12"/>
        <v>0</v>
      </c>
      <c r="AQ61" s="36" t="s">
        <v>133</v>
      </c>
      <c r="AR61" s="36" t="s">
        <v>133</v>
      </c>
      <c r="AS61" s="42">
        <f t="shared" si="13"/>
        <v>0</v>
      </c>
      <c r="AT61" s="36" t="s">
        <v>133</v>
      </c>
      <c r="AU61" s="36" t="s">
        <v>133</v>
      </c>
      <c r="AV61" s="42">
        <f t="shared" si="14"/>
        <v>0</v>
      </c>
      <c r="AW61" s="36" t="s">
        <v>133</v>
      </c>
      <c r="AX61" s="36" t="s">
        <v>133</v>
      </c>
      <c r="AY61" s="42">
        <f t="shared" si="15"/>
        <v>0</v>
      </c>
      <c r="AZ61" s="36" t="s">
        <v>775</v>
      </c>
      <c r="BA61" s="36" t="s">
        <v>133</v>
      </c>
      <c r="BB61" s="42">
        <f t="shared" si="57"/>
        <v>0</v>
      </c>
      <c r="BC61" s="36" t="s">
        <v>421</v>
      </c>
      <c r="BD61" s="42">
        <f t="shared" si="16"/>
        <v>0</v>
      </c>
      <c r="BE61" s="36" t="s">
        <v>421</v>
      </c>
      <c r="BF61" s="42">
        <f t="shared" si="17"/>
        <v>0</v>
      </c>
      <c r="BG61" s="36" t="s">
        <v>421</v>
      </c>
      <c r="BH61" s="36" t="s">
        <v>421</v>
      </c>
      <c r="BI61" s="42">
        <f t="shared" si="18"/>
        <v>0</v>
      </c>
      <c r="BJ61" s="36" t="s">
        <v>421</v>
      </c>
      <c r="BK61" s="36" t="s">
        <v>421</v>
      </c>
      <c r="BL61" s="36" t="s">
        <v>421</v>
      </c>
      <c r="BM61" s="36" t="s">
        <v>421</v>
      </c>
      <c r="BN61" s="36" t="s">
        <v>421</v>
      </c>
      <c r="BO61" s="36" t="s">
        <v>421</v>
      </c>
      <c r="BP61" s="42">
        <f t="shared" si="19"/>
        <v>0</v>
      </c>
      <c r="BQ61" s="36" t="s">
        <v>421</v>
      </c>
      <c r="BR61" s="36" t="s">
        <v>421</v>
      </c>
      <c r="BS61" s="36" t="s">
        <v>421</v>
      </c>
      <c r="BT61" s="36" t="s">
        <v>421</v>
      </c>
      <c r="BU61" s="36" t="s">
        <v>421</v>
      </c>
      <c r="BV61" s="36" t="s">
        <v>421</v>
      </c>
      <c r="BW61" s="43" t="s">
        <v>684</v>
      </c>
      <c r="BX61" s="44">
        <f t="shared" si="20"/>
        <v>1.024</v>
      </c>
      <c r="BY61" s="45" t="s">
        <v>133</v>
      </c>
      <c r="BZ61" s="46">
        <f t="shared" si="21"/>
        <v>0</v>
      </c>
      <c r="CA61" s="45" t="s">
        <v>133</v>
      </c>
      <c r="CB61" s="46">
        <f t="shared" si="22"/>
        <v>0</v>
      </c>
      <c r="CC61" s="36" t="s">
        <v>133</v>
      </c>
      <c r="CD61" s="46">
        <f t="shared" si="23"/>
        <v>0</v>
      </c>
      <c r="CE61" s="45" t="s">
        <v>133</v>
      </c>
      <c r="CF61" s="45" t="s">
        <v>133</v>
      </c>
      <c r="CG61" s="47">
        <v>0</v>
      </c>
      <c r="CH61" s="45" t="s">
        <v>133</v>
      </c>
      <c r="CI61" s="48">
        <f t="shared" si="24"/>
        <v>0</v>
      </c>
      <c r="CJ61" s="49" t="s">
        <v>68</v>
      </c>
      <c r="CK61" s="49" t="s">
        <v>133</v>
      </c>
      <c r="CL61" s="50" t="s">
        <v>421</v>
      </c>
      <c r="CM61" s="49" t="s">
        <v>68</v>
      </c>
      <c r="CN61" s="46">
        <f t="shared" si="25"/>
        <v>0.5</v>
      </c>
      <c r="CO61" s="49" t="s">
        <v>68</v>
      </c>
      <c r="CP61" s="48">
        <f t="shared" si="26"/>
        <v>0.75</v>
      </c>
      <c r="CQ61" s="49" t="s">
        <v>133</v>
      </c>
      <c r="CR61" s="48">
        <f t="shared" si="27"/>
        <v>0</v>
      </c>
      <c r="CS61" s="49" t="s">
        <v>133</v>
      </c>
      <c r="CT61" s="48">
        <f t="shared" si="28"/>
        <v>0</v>
      </c>
      <c r="CU61" s="49" t="s">
        <v>133</v>
      </c>
      <c r="CV61" s="48">
        <f t="shared" si="29"/>
        <v>0</v>
      </c>
      <c r="CW61" s="50" t="s">
        <v>684</v>
      </c>
      <c r="CX61" s="51">
        <f t="shared" si="30"/>
        <v>1.25</v>
      </c>
      <c r="CY61" s="52" t="s">
        <v>68</v>
      </c>
      <c r="CZ61" s="53">
        <f t="shared" si="31"/>
        <v>0.5</v>
      </c>
      <c r="DA61" s="52">
        <v>1</v>
      </c>
      <c r="DB61" s="53">
        <f t="shared" si="32"/>
        <v>3.1E-2</v>
      </c>
      <c r="DC61" s="52" t="s">
        <v>133</v>
      </c>
      <c r="DD61" s="53">
        <f t="shared" si="33"/>
        <v>0</v>
      </c>
      <c r="DE61" s="52" t="s">
        <v>68</v>
      </c>
      <c r="DF61" s="53">
        <f t="shared" si="34"/>
        <v>0.5</v>
      </c>
      <c r="DG61" s="50" t="s">
        <v>133</v>
      </c>
      <c r="DH61" s="50" t="s">
        <v>133</v>
      </c>
      <c r="DI61" s="50" t="s">
        <v>133</v>
      </c>
      <c r="DJ61" s="50" t="s">
        <v>68</v>
      </c>
      <c r="DK61" s="50" t="s">
        <v>133</v>
      </c>
      <c r="DL61" s="50" t="s">
        <v>133</v>
      </c>
      <c r="DM61" s="50" t="s">
        <v>133</v>
      </c>
      <c r="DN61" s="50" t="s">
        <v>133</v>
      </c>
      <c r="DO61" s="50" t="s">
        <v>68</v>
      </c>
      <c r="DP61" s="52" t="s">
        <v>133</v>
      </c>
      <c r="DQ61" s="50" t="s">
        <v>133</v>
      </c>
      <c r="DR61" s="52" t="s">
        <v>133</v>
      </c>
      <c r="DS61" s="53">
        <f t="shared" si="3"/>
        <v>0.25</v>
      </c>
      <c r="DT61" s="52" t="s">
        <v>133</v>
      </c>
      <c r="DU61" s="53">
        <f t="shared" si="35"/>
        <v>0</v>
      </c>
      <c r="DV61" s="52" t="s">
        <v>133</v>
      </c>
      <c r="DW61" s="53">
        <f t="shared" si="36"/>
        <v>0</v>
      </c>
      <c r="DX61" s="52" t="s">
        <v>133</v>
      </c>
      <c r="DY61" s="53">
        <f t="shared" si="37"/>
        <v>0</v>
      </c>
      <c r="DZ61" s="52" t="s">
        <v>133</v>
      </c>
      <c r="EA61" s="53">
        <f t="shared" si="38"/>
        <v>0</v>
      </c>
      <c r="EB61" s="52" t="s">
        <v>133</v>
      </c>
      <c r="EC61" s="53">
        <f t="shared" si="39"/>
        <v>0</v>
      </c>
      <c r="ED61" s="52" t="s">
        <v>776</v>
      </c>
      <c r="EE61" s="54">
        <f t="shared" si="40"/>
        <v>1.2810000000000001</v>
      </c>
      <c r="EF61" s="50" t="s">
        <v>414</v>
      </c>
      <c r="EG61" s="55">
        <v>0</v>
      </c>
      <c r="EH61" s="50" t="s">
        <v>414</v>
      </c>
      <c r="EI61" s="55">
        <f t="shared" si="42"/>
        <v>0</v>
      </c>
      <c r="EJ61" s="50" t="s">
        <v>414</v>
      </c>
      <c r="EK61" s="55">
        <f t="shared" si="43"/>
        <v>0</v>
      </c>
      <c r="EL61" s="50" t="s">
        <v>414</v>
      </c>
      <c r="EM61" s="55">
        <f t="shared" si="44"/>
        <v>0</v>
      </c>
      <c r="EN61" s="50" t="s">
        <v>414</v>
      </c>
      <c r="EO61" s="55">
        <f t="shared" si="45"/>
        <v>0</v>
      </c>
      <c r="EP61" s="50" t="s">
        <v>133</v>
      </c>
      <c r="EQ61" s="55">
        <f t="shared" si="45"/>
        <v>0</v>
      </c>
      <c r="ER61" s="50" t="s">
        <v>577</v>
      </c>
      <c r="ES61" s="56">
        <f t="shared" si="46"/>
        <v>0</v>
      </c>
      <c r="ET61" s="75" t="s">
        <v>133</v>
      </c>
      <c r="EU61" s="58">
        <f t="shared" si="47"/>
        <v>0</v>
      </c>
      <c r="EV61" s="75" t="s">
        <v>414</v>
      </c>
      <c r="EW61" s="58">
        <f t="shared" si="48"/>
        <v>0</v>
      </c>
      <c r="EX61" s="75" t="s">
        <v>414</v>
      </c>
      <c r="EY61" s="58">
        <f t="shared" si="49"/>
        <v>0</v>
      </c>
      <c r="EZ61" s="75" t="s">
        <v>414</v>
      </c>
      <c r="FA61" s="58">
        <f t="shared" si="50"/>
        <v>0</v>
      </c>
      <c r="FB61" s="75" t="s">
        <v>414</v>
      </c>
      <c r="FC61" s="58">
        <f t="shared" si="59"/>
        <v>0</v>
      </c>
      <c r="FD61" s="75" t="s">
        <v>414</v>
      </c>
      <c r="FE61" s="58">
        <f t="shared" si="59"/>
        <v>0</v>
      </c>
      <c r="FF61" s="75" t="s">
        <v>414</v>
      </c>
      <c r="FG61" s="58">
        <f t="shared" si="52"/>
        <v>0</v>
      </c>
      <c r="FH61" s="75" t="s">
        <v>414</v>
      </c>
      <c r="FI61" s="58">
        <f t="shared" si="53"/>
        <v>0</v>
      </c>
      <c r="FJ61" s="75" t="s">
        <v>414</v>
      </c>
      <c r="FK61" s="58">
        <f t="shared" si="53"/>
        <v>0</v>
      </c>
      <c r="FL61" s="59" t="s">
        <v>687</v>
      </c>
      <c r="FM61" s="60">
        <f t="shared" si="54"/>
        <v>0</v>
      </c>
      <c r="FN61" s="61">
        <f t="shared" si="55"/>
        <v>7.0250000000000004</v>
      </c>
    </row>
    <row r="62" spans="1:170" ht="73">
      <c r="A62" s="31"/>
      <c r="B62" s="72" t="s">
        <v>228</v>
      </c>
      <c r="C62" s="33" t="str">
        <f>VLOOKUP(B62,[1]Sheet1!$A:$C,2,FALSE)</f>
        <v>Vivienne Westwood</v>
      </c>
      <c r="D62" s="34" t="s">
        <v>412</v>
      </c>
      <c r="E62" s="35" t="str">
        <f>VLOOKUP(B62,[1]Sheet1!$A:$C,3,FALSE)</f>
        <v>United Kingdom</v>
      </c>
      <c r="F62" s="34" t="s">
        <v>65</v>
      </c>
      <c r="G62" s="32" t="s">
        <v>777</v>
      </c>
      <c r="H62" s="52" t="s">
        <v>68</v>
      </c>
      <c r="I62" s="52" t="s">
        <v>421</v>
      </c>
      <c r="J62" s="52" t="s">
        <v>421</v>
      </c>
      <c r="K62" s="52" t="s">
        <v>431</v>
      </c>
      <c r="L62" s="52" t="s">
        <v>133</v>
      </c>
      <c r="M62" s="37">
        <f t="shared" si="4"/>
        <v>0</v>
      </c>
      <c r="N62" s="50">
        <v>1.0960000000000001</v>
      </c>
      <c r="O62" s="38">
        <f t="shared" si="5"/>
        <v>1.8420000000000001</v>
      </c>
      <c r="P62" s="50" t="s">
        <v>778</v>
      </c>
      <c r="Q62" s="78">
        <v>0.5</v>
      </c>
      <c r="R62" s="36" t="s">
        <v>133</v>
      </c>
      <c r="S62" s="37">
        <f t="shared" si="6"/>
        <v>0</v>
      </c>
      <c r="T62" s="36" t="s">
        <v>133</v>
      </c>
      <c r="U62" s="37">
        <f t="shared" si="7"/>
        <v>0.5</v>
      </c>
      <c r="V62" s="52" t="s">
        <v>68</v>
      </c>
      <c r="W62" s="52" t="s">
        <v>68</v>
      </c>
      <c r="X62" s="37">
        <f t="shared" si="8"/>
        <v>0.25</v>
      </c>
      <c r="Y62" s="50" t="s">
        <v>779</v>
      </c>
      <c r="Z62" s="79" t="s">
        <v>780</v>
      </c>
      <c r="AA62" s="41">
        <f t="shared" si="9"/>
        <v>3.0920000000000001</v>
      </c>
      <c r="AB62" s="36">
        <v>1</v>
      </c>
      <c r="AC62" s="42">
        <f t="shared" si="0"/>
        <v>0.1855</v>
      </c>
      <c r="AD62" s="36" t="s">
        <v>133</v>
      </c>
      <c r="AE62" s="42">
        <f t="shared" si="10"/>
        <v>0.25</v>
      </c>
      <c r="AF62" s="36" t="s">
        <v>414</v>
      </c>
      <c r="AG62" s="36">
        <v>4</v>
      </c>
      <c r="AH62" s="42">
        <f t="shared" si="11"/>
        <v>0.20699999999999996</v>
      </c>
      <c r="AI62" s="36" t="s">
        <v>133</v>
      </c>
      <c r="AJ62" s="42">
        <f t="shared" si="1"/>
        <v>0</v>
      </c>
      <c r="AK62" s="50" t="s">
        <v>68</v>
      </c>
      <c r="AL62" s="50" t="s">
        <v>68</v>
      </c>
      <c r="AM62" s="50" t="s">
        <v>68</v>
      </c>
      <c r="AN62" s="50" t="s">
        <v>133</v>
      </c>
      <c r="AO62" s="36" t="s">
        <v>133</v>
      </c>
      <c r="AP62" s="42">
        <f t="shared" si="12"/>
        <v>0.25</v>
      </c>
      <c r="AQ62" s="50" t="s">
        <v>68</v>
      </c>
      <c r="AR62" s="50" t="s">
        <v>133</v>
      </c>
      <c r="AS62" s="42">
        <f t="shared" si="13"/>
        <v>0</v>
      </c>
      <c r="AT62" s="50" t="s">
        <v>68</v>
      </c>
      <c r="AU62" s="50" t="s">
        <v>133</v>
      </c>
      <c r="AV62" s="42">
        <f t="shared" si="14"/>
        <v>0.25</v>
      </c>
      <c r="AW62" s="36" t="s">
        <v>133</v>
      </c>
      <c r="AX62" s="36" t="s">
        <v>133</v>
      </c>
      <c r="AY62" s="42">
        <f t="shared" si="15"/>
        <v>0</v>
      </c>
      <c r="AZ62" s="50" t="s">
        <v>781</v>
      </c>
      <c r="BA62" s="36" t="s">
        <v>68</v>
      </c>
      <c r="BB62" s="42">
        <f t="shared" si="57"/>
        <v>0.25</v>
      </c>
      <c r="BC62" s="36" t="s">
        <v>133</v>
      </c>
      <c r="BD62" s="42">
        <f t="shared" si="16"/>
        <v>0</v>
      </c>
      <c r="BE62" s="36" t="s">
        <v>133</v>
      </c>
      <c r="BF62" s="42">
        <f t="shared" si="17"/>
        <v>0</v>
      </c>
      <c r="BG62" s="36" t="s">
        <v>133</v>
      </c>
      <c r="BH62" s="36" t="s">
        <v>133</v>
      </c>
      <c r="BI62" s="42">
        <f t="shared" si="18"/>
        <v>0</v>
      </c>
      <c r="BJ62" s="36" t="s">
        <v>133</v>
      </c>
      <c r="BK62" s="36" t="s">
        <v>133</v>
      </c>
      <c r="BL62" s="36" t="s">
        <v>133</v>
      </c>
      <c r="BM62" s="36" t="s">
        <v>133</v>
      </c>
      <c r="BN62" s="36" t="s">
        <v>133</v>
      </c>
      <c r="BO62" s="36" t="s">
        <v>133</v>
      </c>
      <c r="BP62" s="42">
        <f t="shared" si="19"/>
        <v>0</v>
      </c>
      <c r="BQ62" s="36" t="s">
        <v>133</v>
      </c>
      <c r="BR62" s="36" t="s">
        <v>133</v>
      </c>
      <c r="BS62" s="36" t="s">
        <v>133</v>
      </c>
      <c r="BT62" s="36" t="s">
        <v>133</v>
      </c>
      <c r="BU62" s="36" t="s">
        <v>133</v>
      </c>
      <c r="BV62" s="36" t="s">
        <v>133</v>
      </c>
      <c r="BW62" s="43" t="s">
        <v>684</v>
      </c>
      <c r="BX62" s="44">
        <f t="shared" si="20"/>
        <v>1.3924999999999998</v>
      </c>
      <c r="BY62" s="45" t="s">
        <v>68</v>
      </c>
      <c r="BZ62" s="46">
        <f t="shared" si="21"/>
        <v>0.5</v>
      </c>
      <c r="CA62" s="45" t="s">
        <v>133</v>
      </c>
      <c r="CB62" s="46">
        <f t="shared" si="22"/>
        <v>0</v>
      </c>
      <c r="CC62" s="36" t="s">
        <v>133</v>
      </c>
      <c r="CD62" s="46">
        <f t="shared" si="23"/>
        <v>0</v>
      </c>
      <c r="CE62" s="45" t="s">
        <v>133</v>
      </c>
      <c r="CF62" s="45" t="s">
        <v>133</v>
      </c>
      <c r="CG62" s="47">
        <v>0</v>
      </c>
      <c r="CH62" s="45" t="s">
        <v>68</v>
      </c>
      <c r="CI62" s="48">
        <f t="shared" si="24"/>
        <v>0.5</v>
      </c>
      <c r="CJ62" s="49" t="s">
        <v>68</v>
      </c>
      <c r="CK62" s="49" t="s">
        <v>133</v>
      </c>
      <c r="CL62" s="50" t="s">
        <v>414</v>
      </c>
      <c r="CM62" s="49" t="s">
        <v>133</v>
      </c>
      <c r="CN62" s="46">
        <f t="shared" si="25"/>
        <v>0</v>
      </c>
      <c r="CO62" s="49" t="s">
        <v>133</v>
      </c>
      <c r="CP62" s="48">
        <f t="shared" si="26"/>
        <v>0</v>
      </c>
      <c r="CQ62" s="49" t="s">
        <v>133</v>
      </c>
      <c r="CR62" s="48">
        <f t="shared" si="27"/>
        <v>0</v>
      </c>
      <c r="CS62" s="49" t="s">
        <v>133</v>
      </c>
      <c r="CT62" s="48">
        <f t="shared" si="28"/>
        <v>0</v>
      </c>
      <c r="CU62" s="49" t="s">
        <v>133</v>
      </c>
      <c r="CV62" s="48">
        <f t="shared" si="29"/>
        <v>0</v>
      </c>
      <c r="CW62" s="80" t="s">
        <v>782</v>
      </c>
      <c r="CX62" s="51">
        <f t="shared" si="30"/>
        <v>1</v>
      </c>
      <c r="CY62" s="52" t="s">
        <v>68</v>
      </c>
      <c r="CZ62" s="53">
        <f t="shared" si="31"/>
        <v>0.5</v>
      </c>
      <c r="DA62" s="52">
        <v>4</v>
      </c>
      <c r="DB62" s="53">
        <f t="shared" si="32"/>
        <v>0.66600000000000004</v>
      </c>
      <c r="DC62" s="52" t="s">
        <v>133</v>
      </c>
      <c r="DD62" s="53">
        <f t="shared" si="33"/>
        <v>0</v>
      </c>
      <c r="DE62" s="52" t="s">
        <v>68</v>
      </c>
      <c r="DF62" s="53">
        <f t="shared" si="34"/>
        <v>0.5</v>
      </c>
      <c r="DG62" s="50" t="s">
        <v>133</v>
      </c>
      <c r="DH62" s="50" t="s">
        <v>133</v>
      </c>
      <c r="DI62" s="50" t="s">
        <v>133</v>
      </c>
      <c r="DJ62" s="50" t="s">
        <v>68</v>
      </c>
      <c r="DK62" s="50" t="s">
        <v>133</v>
      </c>
      <c r="DL62" s="50" t="s">
        <v>68</v>
      </c>
      <c r="DM62" s="50" t="s">
        <v>68</v>
      </c>
      <c r="DN62" s="50" t="s">
        <v>133</v>
      </c>
      <c r="DO62" s="50" t="s">
        <v>68</v>
      </c>
      <c r="DP62" s="52" t="s">
        <v>133</v>
      </c>
      <c r="DQ62" s="50" t="s">
        <v>133</v>
      </c>
      <c r="DR62" s="52" t="s">
        <v>133</v>
      </c>
      <c r="DS62" s="53">
        <f t="shared" si="3"/>
        <v>0.25</v>
      </c>
      <c r="DT62" s="52" t="s">
        <v>133</v>
      </c>
      <c r="DU62" s="53">
        <f t="shared" si="35"/>
        <v>0</v>
      </c>
      <c r="DV62" s="52" t="s">
        <v>133</v>
      </c>
      <c r="DW62" s="53">
        <f t="shared" si="36"/>
        <v>0</v>
      </c>
      <c r="DX62" s="52" t="s">
        <v>68</v>
      </c>
      <c r="DY62" s="53">
        <f t="shared" si="37"/>
        <v>0.5</v>
      </c>
      <c r="DZ62" s="52" t="s">
        <v>133</v>
      </c>
      <c r="EA62" s="53">
        <f t="shared" si="38"/>
        <v>0</v>
      </c>
      <c r="EB62" s="52" t="s">
        <v>133</v>
      </c>
      <c r="EC62" s="53">
        <f t="shared" si="39"/>
        <v>0</v>
      </c>
      <c r="ED62" s="52" t="s">
        <v>684</v>
      </c>
      <c r="EE62" s="54">
        <f t="shared" si="40"/>
        <v>2.4159999999999999</v>
      </c>
      <c r="EF62" s="50">
        <v>4</v>
      </c>
      <c r="EG62" s="55">
        <f>IF(ISBLANK(EF62),"INPUT",1-PERCENTRANK($EF$3:$EF$66,EF62))</f>
        <v>0.84</v>
      </c>
      <c r="EH62" s="50" t="s">
        <v>68</v>
      </c>
      <c r="EI62" s="55">
        <f t="shared" si="42"/>
        <v>0.5</v>
      </c>
      <c r="EJ62" s="50" t="s">
        <v>133</v>
      </c>
      <c r="EK62" s="55">
        <f t="shared" si="43"/>
        <v>0</v>
      </c>
      <c r="EL62" s="50" t="s">
        <v>133</v>
      </c>
      <c r="EM62" s="55">
        <f t="shared" si="44"/>
        <v>0</v>
      </c>
      <c r="EN62" s="50" t="s">
        <v>68</v>
      </c>
      <c r="EO62" s="55">
        <f t="shared" si="45"/>
        <v>0.5</v>
      </c>
      <c r="EP62" s="50" t="s">
        <v>133</v>
      </c>
      <c r="EQ62" s="55">
        <f t="shared" si="45"/>
        <v>0</v>
      </c>
      <c r="ER62" s="81" t="s">
        <v>783</v>
      </c>
      <c r="ES62" s="56">
        <f t="shared" si="46"/>
        <v>2.6285714285714286</v>
      </c>
      <c r="ET62" s="75" t="s">
        <v>133</v>
      </c>
      <c r="EU62" s="58">
        <f t="shared" si="47"/>
        <v>0</v>
      </c>
      <c r="EV62" s="75" t="s">
        <v>414</v>
      </c>
      <c r="EW62" s="58">
        <f t="shared" si="48"/>
        <v>0</v>
      </c>
      <c r="EX62" s="75" t="s">
        <v>414</v>
      </c>
      <c r="EY62" s="58">
        <f t="shared" si="49"/>
        <v>0</v>
      </c>
      <c r="EZ62" s="75" t="s">
        <v>133</v>
      </c>
      <c r="FA62" s="58">
        <f t="shared" si="50"/>
        <v>0</v>
      </c>
      <c r="FB62" s="75" t="s">
        <v>68</v>
      </c>
      <c r="FC62" s="58">
        <f t="shared" si="59"/>
        <v>0.5</v>
      </c>
      <c r="FD62" s="75" t="s">
        <v>68</v>
      </c>
      <c r="FE62" s="58">
        <f t="shared" si="59"/>
        <v>0.5</v>
      </c>
      <c r="FF62" s="75" t="s">
        <v>133</v>
      </c>
      <c r="FG62" s="58">
        <f t="shared" si="52"/>
        <v>0</v>
      </c>
      <c r="FH62" s="75" t="s">
        <v>133</v>
      </c>
      <c r="FI62" s="58">
        <f t="shared" si="53"/>
        <v>0</v>
      </c>
      <c r="FJ62" s="75" t="s">
        <v>68</v>
      </c>
      <c r="FK62" s="58">
        <f t="shared" si="53"/>
        <v>0.5</v>
      </c>
      <c r="FL62" s="82" t="s">
        <v>784</v>
      </c>
      <c r="FM62" s="60">
        <f t="shared" si="54"/>
        <v>1.875</v>
      </c>
      <c r="FN62" s="61">
        <f t="shared" si="55"/>
        <v>12.404071428571429</v>
      </c>
    </row>
    <row r="63" spans="1:170" ht="144">
      <c r="A63" s="31">
        <v>61</v>
      </c>
      <c r="B63" s="32" t="s">
        <v>229</v>
      </c>
      <c r="C63" s="33" t="str">
        <f>VLOOKUP(B63,[1]Sheet1!$A:$C,2,FALSE)</f>
        <v>Gucci Group (PPR)</v>
      </c>
      <c r="D63" s="34" t="s">
        <v>412</v>
      </c>
      <c r="E63" s="35" t="str">
        <f>VLOOKUP(B63,[1]Sheet1!$A:$C,3,FALSE)</f>
        <v>France</v>
      </c>
      <c r="F63" s="34" t="s">
        <v>413</v>
      </c>
      <c r="G63" s="32" t="s">
        <v>230</v>
      </c>
      <c r="H63" s="36" t="s">
        <v>68</v>
      </c>
      <c r="I63" s="36" t="s">
        <v>421</v>
      </c>
      <c r="J63" s="36"/>
      <c r="K63" s="36" t="s">
        <v>415</v>
      </c>
      <c r="L63" s="36" t="s">
        <v>133</v>
      </c>
      <c r="M63" s="37">
        <f t="shared" si="4"/>
        <v>0</v>
      </c>
      <c r="N63" s="36">
        <v>1.319</v>
      </c>
      <c r="O63" s="38">
        <f t="shared" si="5"/>
        <v>1.494</v>
      </c>
      <c r="P63" s="36" t="s">
        <v>778</v>
      </c>
      <c r="Q63" s="39">
        <v>0.5</v>
      </c>
      <c r="R63" s="36" t="s">
        <v>133</v>
      </c>
      <c r="S63" s="37">
        <f t="shared" si="6"/>
        <v>0</v>
      </c>
      <c r="T63" s="36" t="s">
        <v>133</v>
      </c>
      <c r="U63" s="37">
        <f t="shared" si="7"/>
        <v>0.5</v>
      </c>
      <c r="V63" s="36" t="s">
        <v>68</v>
      </c>
      <c r="W63" s="36" t="s">
        <v>68</v>
      </c>
      <c r="X63" s="37">
        <f t="shared" si="8"/>
        <v>0.25</v>
      </c>
      <c r="Y63" s="36" t="s">
        <v>779</v>
      </c>
      <c r="Z63" s="40" t="s">
        <v>780</v>
      </c>
      <c r="AA63" s="41">
        <f t="shared" si="9"/>
        <v>2.7439999999999998</v>
      </c>
      <c r="AB63" s="36">
        <v>1</v>
      </c>
      <c r="AC63" s="42">
        <f t="shared" si="0"/>
        <v>0.1855</v>
      </c>
      <c r="AD63" s="36" t="s">
        <v>133</v>
      </c>
      <c r="AE63" s="42">
        <f t="shared" si="10"/>
        <v>0.25</v>
      </c>
      <c r="AF63" s="36" t="s">
        <v>421</v>
      </c>
      <c r="AG63" s="36">
        <v>2</v>
      </c>
      <c r="AH63" s="42">
        <f t="shared" si="11"/>
        <v>1</v>
      </c>
      <c r="AI63" s="36" t="s">
        <v>133</v>
      </c>
      <c r="AJ63" s="42">
        <f t="shared" si="1"/>
        <v>0</v>
      </c>
      <c r="AK63" s="36" t="s">
        <v>68</v>
      </c>
      <c r="AL63" s="36" t="s">
        <v>133</v>
      </c>
      <c r="AM63" s="36" t="s">
        <v>133</v>
      </c>
      <c r="AN63" s="36" t="s">
        <v>133</v>
      </c>
      <c r="AO63" s="36" t="s">
        <v>133</v>
      </c>
      <c r="AP63" s="42">
        <f t="shared" si="12"/>
        <v>0.25</v>
      </c>
      <c r="AQ63" s="36" t="s">
        <v>68</v>
      </c>
      <c r="AR63" s="36" t="s">
        <v>133</v>
      </c>
      <c r="AS63" s="42">
        <f t="shared" si="13"/>
        <v>0</v>
      </c>
      <c r="AT63" s="36" t="s">
        <v>133</v>
      </c>
      <c r="AU63" s="36" t="s">
        <v>133</v>
      </c>
      <c r="AV63" s="42">
        <f t="shared" si="14"/>
        <v>0.25</v>
      </c>
      <c r="AW63" s="36" t="s">
        <v>133</v>
      </c>
      <c r="AX63" s="36" t="s">
        <v>68</v>
      </c>
      <c r="AY63" s="42">
        <f t="shared" si="15"/>
        <v>0.25</v>
      </c>
      <c r="AZ63" s="36" t="s">
        <v>785</v>
      </c>
      <c r="BA63" s="36" t="s">
        <v>68</v>
      </c>
      <c r="BB63" s="42">
        <f t="shared" si="57"/>
        <v>0.25</v>
      </c>
      <c r="BC63" s="36" t="s">
        <v>133</v>
      </c>
      <c r="BD63" s="42">
        <f t="shared" si="16"/>
        <v>0</v>
      </c>
      <c r="BE63" s="36" t="s">
        <v>133</v>
      </c>
      <c r="BF63" s="42">
        <f t="shared" si="17"/>
        <v>0</v>
      </c>
      <c r="BG63" s="36" t="s">
        <v>68</v>
      </c>
      <c r="BH63" s="36" t="s">
        <v>68</v>
      </c>
      <c r="BI63" s="42">
        <f t="shared" si="18"/>
        <v>0.5</v>
      </c>
      <c r="BJ63" s="36" t="s">
        <v>133</v>
      </c>
      <c r="BK63" s="36" t="s">
        <v>133</v>
      </c>
      <c r="BL63" s="36" t="s">
        <v>68</v>
      </c>
      <c r="BM63" s="36" t="s">
        <v>133</v>
      </c>
      <c r="BN63" s="36" t="s">
        <v>133</v>
      </c>
      <c r="BO63" s="36" t="s">
        <v>133</v>
      </c>
      <c r="BP63" s="42">
        <f t="shared" si="19"/>
        <v>0</v>
      </c>
      <c r="BQ63" s="36" t="s">
        <v>421</v>
      </c>
      <c r="BR63" s="36" t="s">
        <v>421</v>
      </c>
      <c r="BS63" s="36" t="s">
        <v>421</v>
      </c>
      <c r="BT63" s="36" t="s">
        <v>421</v>
      </c>
      <c r="BU63" s="36" t="s">
        <v>421</v>
      </c>
      <c r="BV63" s="36" t="s">
        <v>421</v>
      </c>
      <c r="BW63" s="43" t="s">
        <v>684</v>
      </c>
      <c r="BX63" s="44">
        <f t="shared" si="20"/>
        <v>2.9355000000000002</v>
      </c>
      <c r="BY63" s="45" t="s">
        <v>133</v>
      </c>
      <c r="BZ63" s="46">
        <f t="shared" si="21"/>
        <v>0</v>
      </c>
      <c r="CA63" s="45" t="s">
        <v>133</v>
      </c>
      <c r="CB63" s="46">
        <f t="shared" si="22"/>
        <v>0</v>
      </c>
      <c r="CC63" s="36" t="s">
        <v>133</v>
      </c>
      <c r="CD63" s="46">
        <f t="shared" si="23"/>
        <v>0</v>
      </c>
      <c r="CE63" s="45" t="s">
        <v>133</v>
      </c>
      <c r="CF63" s="45" t="s">
        <v>133</v>
      </c>
      <c r="CG63" s="47">
        <v>0</v>
      </c>
      <c r="CH63" s="45" t="s">
        <v>133</v>
      </c>
      <c r="CI63" s="48">
        <f t="shared" si="24"/>
        <v>0</v>
      </c>
      <c r="CJ63" s="49" t="s">
        <v>68</v>
      </c>
      <c r="CK63" s="49" t="s">
        <v>133</v>
      </c>
      <c r="CL63" s="50" t="s">
        <v>421</v>
      </c>
      <c r="CM63" s="49" t="s">
        <v>133</v>
      </c>
      <c r="CN63" s="46">
        <f t="shared" si="25"/>
        <v>0</v>
      </c>
      <c r="CO63" s="49" t="s">
        <v>133</v>
      </c>
      <c r="CP63" s="48">
        <f t="shared" si="26"/>
        <v>0</v>
      </c>
      <c r="CQ63" s="49" t="s">
        <v>133</v>
      </c>
      <c r="CR63" s="48">
        <f t="shared" si="27"/>
        <v>0</v>
      </c>
      <c r="CS63" s="49" t="s">
        <v>68</v>
      </c>
      <c r="CT63" s="48">
        <f t="shared" si="28"/>
        <v>0.5</v>
      </c>
      <c r="CU63" s="49" t="s">
        <v>133</v>
      </c>
      <c r="CV63" s="48">
        <f t="shared" si="29"/>
        <v>0</v>
      </c>
      <c r="CW63" s="50" t="s">
        <v>786</v>
      </c>
      <c r="CX63" s="51">
        <f t="shared" si="30"/>
        <v>0.5</v>
      </c>
      <c r="CY63" s="52" t="s">
        <v>68</v>
      </c>
      <c r="CZ63" s="53">
        <f t="shared" si="31"/>
        <v>0.5</v>
      </c>
      <c r="DA63" s="52">
        <v>2</v>
      </c>
      <c r="DB63" s="53">
        <f t="shared" si="32"/>
        <v>0.23799999999999999</v>
      </c>
      <c r="DC63" s="52" t="s">
        <v>133</v>
      </c>
      <c r="DD63" s="53">
        <f t="shared" si="33"/>
        <v>0</v>
      </c>
      <c r="DE63" s="52" t="s">
        <v>68</v>
      </c>
      <c r="DF63" s="53">
        <f t="shared" si="34"/>
        <v>0.5</v>
      </c>
      <c r="DG63" s="50" t="s">
        <v>133</v>
      </c>
      <c r="DH63" s="50" t="s">
        <v>133</v>
      </c>
      <c r="DI63" s="50" t="s">
        <v>68</v>
      </c>
      <c r="DJ63" s="50" t="s">
        <v>68</v>
      </c>
      <c r="DK63" s="50" t="s">
        <v>68</v>
      </c>
      <c r="DL63" s="50" t="s">
        <v>68</v>
      </c>
      <c r="DM63" s="50" t="s">
        <v>68</v>
      </c>
      <c r="DN63" s="50" t="s">
        <v>68</v>
      </c>
      <c r="DO63" s="50" t="s">
        <v>68</v>
      </c>
      <c r="DP63" s="52" t="s">
        <v>68</v>
      </c>
      <c r="DQ63" s="50" t="s">
        <v>133</v>
      </c>
      <c r="DR63" s="52" t="s">
        <v>133</v>
      </c>
      <c r="DS63" s="53">
        <f t="shared" si="3"/>
        <v>0.25</v>
      </c>
      <c r="DT63" s="52" t="s">
        <v>133</v>
      </c>
      <c r="DU63" s="53">
        <f t="shared" si="35"/>
        <v>0</v>
      </c>
      <c r="DV63" s="52" t="s">
        <v>133</v>
      </c>
      <c r="DW63" s="53">
        <f t="shared" si="36"/>
        <v>0</v>
      </c>
      <c r="DX63" s="52" t="s">
        <v>133</v>
      </c>
      <c r="DY63" s="53">
        <f t="shared" si="37"/>
        <v>0</v>
      </c>
      <c r="DZ63" s="52" t="s">
        <v>133</v>
      </c>
      <c r="EA63" s="53">
        <f t="shared" si="38"/>
        <v>0</v>
      </c>
      <c r="EB63" s="52" t="s">
        <v>133</v>
      </c>
      <c r="EC63" s="53">
        <f t="shared" si="39"/>
        <v>0</v>
      </c>
      <c r="ED63" s="52" t="s">
        <v>684</v>
      </c>
      <c r="EE63" s="54">
        <f t="shared" si="40"/>
        <v>1.488</v>
      </c>
      <c r="EF63" s="50">
        <v>5</v>
      </c>
      <c r="EG63" s="55">
        <f t="shared" si="41"/>
        <v>0.58000000000000007</v>
      </c>
      <c r="EH63" s="50" t="s">
        <v>68</v>
      </c>
      <c r="EI63" s="55">
        <f t="shared" si="42"/>
        <v>0.5</v>
      </c>
      <c r="EJ63" s="50" t="s">
        <v>133</v>
      </c>
      <c r="EK63" s="55">
        <f t="shared" si="43"/>
        <v>0</v>
      </c>
      <c r="EL63" s="50" t="s">
        <v>133</v>
      </c>
      <c r="EM63" s="55">
        <f t="shared" si="44"/>
        <v>0</v>
      </c>
      <c r="EN63" s="50" t="s">
        <v>68</v>
      </c>
      <c r="EO63" s="55">
        <f t="shared" si="45"/>
        <v>0.5</v>
      </c>
      <c r="EP63" s="50" t="s">
        <v>133</v>
      </c>
      <c r="EQ63" s="55">
        <f t="shared" si="45"/>
        <v>0</v>
      </c>
      <c r="ER63" s="50" t="s">
        <v>684</v>
      </c>
      <c r="ES63" s="56">
        <f t="shared" si="46"/>
        <v>2.2571428571428571</v>
      </c>
      <c r="ET63" s="57" t="s">
        <v>133</v>
      </c>
      <c r="EU63" s="58">
        <f t="shared" si="47"/>
        <v>0</v>
      </c>
      <c r="EV63" s="57" t="s">
        <v>414</v>
      </c>
      <c r="EW63" s="58">
        <f t="shared" si="48"/>
        <v>0</v>
      </c>
      <c r="EX63" s="57" t="s">
        <v>414</v>
      </c>
      <c r="EY63" s="58">
        <f t="shared" si="49"/>
        <v>0</v>
      </c>
      <c r="EZ63" s="57" t="s">
        <v>133</v>
      </c>
      <c r="FA63" s="58">
        <f t="shared" si="50"/>
        <v>0</v>
      </c>
      <c r="FB63" s="57" t="s">
        <v>68</v>
      </c>
      <c r="FC63" s="58">
        <f t="shared" si="59"/>
        <v>0.5</v>
      </c>
      <c r="FD63" s="57" t="s">
        <v>133</v>
      </c>
      <c r="FE63" s="58">
        <f t="shared" si="59"/>
        <v>0</v>
      </c>
      <c r="FF63" s="57" t="s">
        <v>133</v>
      </c>
      <c r="FG63" s="58">
        <f t="shared" si="52"/>
        <v>0</v>
      </c>
      <c r="FH63" s="57" t="s">
        <v>133</v>
      </c>
      <c r="FI63" s="58">
        <f t="shared" si="53"/>
        <v>0</v>
      </c>
      <c r="FJ63" s="57" t="s">
        <v>68</v>
      </c>
      <c r="FK63" s="58">
        <f t="shared" si="53"/>
        <v>0.5</v>
      </c>
      <c r="FL63" s="59" t="s">
        <v>787</v>
      </c>
      <c r="FM63" s="60">
        <f t="shared" si="54"/>
        <v>1.25</v>
      </c>
      <c r="FN63" s="61">
        <f t="shared" si="55"/>
        <v>11.174642857142857</v>
      </c>
    </row>
    <row r="64" spans="1:170" ht="118">
      <c r="A64" s="31">
        <v>62</v>
      </c>
      <c r="B64" s="32" t="s">
        <v>231</v>
      </c>
      <c r="C64" s="33" t="str">
        <f>VLOOKUP(B64,[1]Sheet1!$A:$C,2,FALSE)</f>
        <v>Zac Posen-House of Z LLC</v>
      </c>
      <c r="D64" s="34" t="s">
        <v>412</v>
      </c>
      <c r="E64" s="35" t="s">
        <v>74</v>
      </c>
      <c r="F64" s="34" t="s">
        <v>413</v>
      </c>
      <c r="G64" s="32" t="s">
        <v>233</v>
      </c>
      <c r="H64" s="36" t="s">
        <v>133</v>
      </c>
      <c r="I64" s="36" t="s">
        <v>68</v>
      </c>
      <c r="J64" s="36" t="s">
        <v>421</v>
      </c>
      <c r="K64" s="36" t="s">
        <v>788</v>
      </c>
      <c r="L64" s="36" t="s">
        <v>133</v>
      </c>
      <c r="M64" s="37">
        <f t="shared" si="4"/>
        <v>0</v>
      </c>
      <c r="N64" s="36">
        <f>MAX(N3:N63)</f>
        <v>3.9849999999999999</v>
      </c>
      <c r="O64" s="38">
        <f t="shared" si="5"/>
        <v>3.2000000000000028E-2</v>
      </c>
      <c r="P64" s="36" t="s">
        <v>416</v>
      </c>
      <c r="Q64" s="39">
        <v>0.5</v>
      </c>
      <c r="R64" s="36" t="s">
        <v>133</v>
      </c>
      <c r="S64" s="37">
        <f t="shared" si="6"/>
        <v>0</v>
      </c>
      <c r="T64" s="36" t="s">
        <v>68</v>
      </c>
      <c r="U64" s="37">
        <f t="shared" si="7"/>
        <v>0</v>
      </c>
      <c r="V64" s="36" t="s">
        <v>68</v>
      </c>
      <c r="W64" s="36" t="s">
        <v>133</v>
      </c>
      <c r="X64" s="37">
        <f t="shared" si="8"/>
        <v>0</v>
      </c>
      <c r="Y64" s="36" t="s">
        <v>688</v>
      </c>
      <c r="Z64" s="40" t="s">
        <v>789</v>
      </c>
      <c r="AA64" s="41">
        <f t="shared" si="9"/>
        <v>0.53200000000000003</v>
      </c>
      <c r="AB64" s="36">
        <v>0</v>
      </c>
      <c r="AC64" s="42">
        <f t="shared" si="0"/>
        <v>0.5</v>
      </c>
      <c r="AD64" s="36" t="s">
        <v>133</v>
      </c>
      <c r="AE64" s="42">
        <f t="shared" si="10"/>
        <v>0.25</v>
      </c>
      <c r="AF64" s="36" t="s">
        <v>421</v>
      </c>
      <c r="AG64" s="36">
        <v>2</v>
      </c>
      <c r="AH64" s="42">
        <f t="shared" si="11"/>
        <v>1</v>
      </c>
      <c r="AI64" s="68" t="s">
        <v>133</v>
      </c>
      <c r="AJ64" s="42">
        <f t="shared" si="1"/>
        <v>0</v>
      </c>
      <c r="AK64" s="36" t="s">
        <v>133</v>
      </c>
      <c r="AL64" s="36" t="s">
        <v>421</v>
      </c>
      <c r="AM64" s="36" t="s">
        <v>421</v>
      </c>
      <c r="AN64" s="36" t="s">
        <v>421</v>
      </c>
      <c r="AO64" s="36" t="s">
        <v>421</v>
      </c>
      <c r="AP64" s="42">
        <f t="shared" si="12"/>
        <v>0</v>
      </c>
      <c r="AQ64" s="36" t="s">
        <v>421</v>
      </c>
      <c r="AR64" s="36" t="s">
        <v>421</v>
      </c>
      <c r="AS64" s="42">
        <f t="shared" si="13"/>
        <v>0</v>
      </c>
      <c r="AT64" s="36" t="s">
        <v>421</v>
      </c>
      <c r="AU64" s="36" t="s">
        <v>421</v>
      </c>
      <c r="AV64" s="42">
        <f t="shared" si="14"/>
        <v>0</v>
      </c>
      <c r="AW64" s="36" t="s">
        <v>421</v>
      </c>
      <c r="AX64" s="36" t="s">
        <v>421</v>
      </c>
      <c r="AY64" s="42">
        <f t="shared" si="15"/>
        <v>0</v>
      </c>
      <c r="AZ64" s="36" t="s">
        <v>421</v>
      </c>
      <c r="BA64" s="36" t="s">
        <v>421</v>
      </c>
      <c r="BB64" s="42" t="str">
        <f t="shared" si="57"/>
        <v>CHECK</v>
      </c>
      <c r="BC64" s="36" t="s">
        <v>421</v>
      </c>
      <c r="BD64" s="42">
        <f t="shared" si="16"/>
        <v>0</v>
      </c>
      <c r="BE64" s="36" t="s">
        <v>421</v>
      </c>
      <c r="BF64" s="42">
        <f t="shared" si="17"/>
        <v>0</v>
      </c>
      <c r="BG64" s="36" t="s">
        <v>421</v>
      </c>
      <c r="BH64" s="36" t="s">
        <v>421</v>
      </c>
      <c r="BI64" s="42">
        <f t="shared" si="18"/>
        <v>0</v>
      </c>
      <c r="BJ64" s="36" t="s">
        <v>421</v>
      </c>
      <c r="BK64" s="36" t="s">
        <v>421</v>
      </c>
      <c r="BL64" s="36" t="s">
        <v>421</v>
      </c>
      <c r="BM64" s="36" t="s">
        <v>421</v>
      </c>
      <c r="BN64" s="36" t="s">
        <v>421</v>
      </c>
      <c r="BO64" s="36" t="s">
        <v>421</v>
      </c>
      <c r="BP64" s="42">
        <f t="shared" si="19"/>
        <v>0</v>
      </c>
      <c r="BQ64" s="36" t="s">
        <v>421</v>
      </c>
      <c r="BR64" s="36" t="s">
        <v>421</v>
      </c>
      <c r="BS64" s="36" t="s">
        <v>421</v>
      </c>
      <c r="BT64" s="36" t="s">
        <v>421</v>
      </c>
      <c r="BU64" s="36" t="s">
        <v>421</v>
      </c>
      <c r="BV64" s="36" t="s">
        <v>421</v>
      </c>
      <c r="BW64" s="43" t="s">
        <v>684</v>
      </c>
      <c r="BX64" s="44">
        <f t="shared" si="20"/>
        <v>1.75</v>
      </c>
      <c r="BY64" s="45" t="s">
        <v>133</v>
      </c>
      <c r="BZ64" s="46">
        <f t="shared" si="21"/>
        <v>0</v>
      </c>
      <c r="CA64" s="45" t="s">
        <v>133</v>
      </c>
      <c r="CB64" s="46">
        <f t="shared" si="22"/>
        <v>0</v>
      </c>
      <c r="CC64" s="36" t="s">
        <v>421</v>
      </c>
      <c r="CD64" s="46">
        <f t="shared" si="23"/>
        <v>0</v>
      </c>
      <c r="CE64" s="45" t="s">
        <v>133</v>
      </c>
      <c r="CF64" s="45" t="s">
        <v>133</v>
      </c>
      <c r="CG64" s="47">
        <v>0</v>
      </c>
      <c r="CH64" s="45" t="s">
        <v>133</v>
      </c>
      <c r="CI64" s="48">
        <f t="shared" si="24"/>
        <v>0</v>
      </c>
      <c r="CJ64" s="49" t="s">
        <v>68</v>
      </c>
      <c r="CK64" s="49" t="s">
        <v>133</v>
      </c>
      <c r="CL64" s="50" t="s">
        <v>421</v>
      </c>
      <c r="CM64" s="49" t="s">
        <v>133</v>
      </c>
      <c r="CN64" s="46">
        <f t="shared" si="25"/>
        <v>0</v>
      </c>
      <c r="CO64" s="49" t="s">
        <v>133</v>
      </c>
      <c r="CP64" s="48">
        <f t="shared" si="26"/>
        <v>0</v>
      </c>
      <c r="CQ64" s="49" t="s">
        <v>421</v>
      </c>
      <c r="CR64" s="48">
        <f t="shared" si="27"/>
        <v>0</v>
      </c>
      <c r="CS64" s="49" t="s">
        <v>133</v>
      </c>
      <c r="CT64" s="48">
        <f t="shared" si="28"/>
        <v>0</v>
      </c>
      <c r="CU64" s="49" t="s">
        <v>133</v>
      </c>
      <c r="CV64" s="48">
        <f t="shared" si="29"/>
        <v>0</v>
      </c>
      <c r="CW64" s="50" t="s">
        <v>790</v>
      </c>
      <c r="CX64" s="51">
        <f t="shared" si="30"/>
        <v>0</v>
      </c>
      <c r="CY64" s="52" t="s">
        <v>68</v>
      </c>
      <c r="CZ64" s="53">
        <f t="shared" si="31"/>
        <v>0.5</v>
      </c>
      <c r="DA64" s="52">
        <v>1</v>
      </c>
      <c r="DB64" s="53">
        <f t="shared" si="32"/>
        <v>3.1E-2</v>
      </c>
      <c r="DC64" s="52" t="s">
        <v>133</v>
      </c>
      <c r="DD64" s="53">
        <f t="shared" si="33"/>
        <v>0</v>
      </c>
      <c r="DE64" s="52" t="s">
        <v>133</v>
      </c>
      <c r="DF64" s="53">
        <f t="shared" si="34"/>
        <v>0</v>
      </c>
      <c r="DG64" s="50" t="s">
        <v>133</v>
      </c>
      <c r="DH64" s="50" t="s">
        <v>133</v>
      </c>
      <c r="DI64" s="50" t="s">
        <v>133</v>
      </c>
      <c r="DJ64" s="50" t="s">
        <v>133</v>
      </c>
      <c r="DK64" s="50" t="s">
        <v>133</v>
      </c>
      <c r="DL64" s="50" t="s">
        <v>133</v>
      </c>
      <c r="DM64" s="50" t="s">
        <v>133</v>
      </c>
      <c r="DN64" s="50" t="s">
        <v>133</v>
      </c>
      <c r="DO64" s="50" t="s">
        <v>133</v>
      </c>
      <c r="DP64" s="52" t="s">
        <v>133</v>
      </c>
      <c r="DQ64" s="50" t="s">
        <v>133</v>
      </c>
      <c r="DR64" s="52" t="s">
        <v>133</v>
      </c>
      <c r="DS64" s="53">
        <f t="shared" si="3"/>
        <v>0</v>
      </c>
      <c r="DT64" s="52" t="s">
        <v>133</v>
      </c>
      <c r="DU64" s="53">
        <f t="shared" si="35"/>
        <v>0</v>
      </c>
      <c r="DV64" s="52" t="s">
        <v>133</v>
      </c>
      <c r="DW64" s="53">
        <f t="shared" si="36"/>
        <v>0</v>
      </c>
      <c r="DX64" s="52" t="s">
        <v>133</v>
      </c>
      <c r="DY64" s="53">
        <f t="shared" si="37"/>
        <v>0</v>
      </c>
      <c r="DZ64" s="52" t="s">
        <v>133</v>
      </c>
      <c r="EA64" s="53">
        <f t="shared" si="38"/>
        <v>0</v>
      </c>
      <c r="EB64" s="52" t="s">
        <v>133</v>
      </c>
      <c r="EC64" s="53">
        <f t="shared" si="39"/>
        <v>0</v>
      </c>
      <c r="ED64" s="52" t="s">
        <v>791</v>
      </c>
      <c r="EE64" s="54">
        <f t="shared" si="40"/>
        <v>0.53100000000000003</v>
      </c>
      <c r="EF64" s="50" t="s">
        <v>421</v>
      </c>
      <c r="EG64" s="55">
        <v>0</v>
      </c>
      <c r="EH64" s="50" t="s">
        <v>421</v>
      </c>
      <c r="EI64" s="55">
        <f t="shared" si="42"/>
        <v>0</v>
      </c>
      <c r="EJ64" s="50" t="s">
        <v>421</v>
      </c>
      <c r="EK64" s="55">
        <f t="shared" si="43"/>
        <v>0</v>
      </c>
      <c r="EL64" s="50" t="s">
        <v>421</v>
      </c>
      <c r="EM64" s="55">
        <f t="shared" si="44"/>
        <v>0</v>
      </c>
      <c r="EN64" s="50" t="s">
        <v>421</v>
      </c>
      <c r="EO64" s="55">
        <f t="shared" si="45"/>
        <v>0</v>
      </c>
      <c r="EP64" s="50" t="s">
        <v>133</v>
      </c>
      <c r="EQ64" s="55">
        <f t="shared" si="45"/>
        <v>0</v>
      </c>
      <c r="ER64" s="50" t="s">
        <v>684</v>
      </c>
      <c r="ES64" s="56">
        <f t="shared" si="46"/>
        <v>0</v>
      </c>
      <c r="ET64" s="57" t="s">
        <v>133</v>
      </c>
      <c r="EU64" s="58">
        <f t="shared" si="47"/>
        <v>0</v>
      </c>
      <c r="EV64" s="57" t="s">
        <v>414</v>
      </c>
      <c r="EW64" s="58">
        <f t="shared" si="48"/>
        <v>0</v>
      </c>
      <c r="EX64" s="57" t="s">
        <v>414</v>
      </c>
      <c r="EY64" s="58">
        <f t="shared" si="49"/>
        <v>0</v>
      </c>
      <c r="EZ64" s="57" t="s">
        <v>421</v>
      </c>
      <c r="FA64" s="58">
        <f t="shared" si="50"/>
        <v>0</v>
      </c>
      <c r="FB64" s="57" t="s">
        <v>421</v>
      </c>
      <c r="FC64" s="58">
        <f t="shared" si="59"/>
        <v>0</v>
      </c>
      <c r="FD64" s="57" t="s">
        <v>421</v>
      </c>
      <c r="FE64" s="58">
        <f t="shared" si="59"/>
        <v>0</v>
      </c>
      <c r="FF64" s="57" t="s">
        <v>421</v>
      </c>
      <c r="FG64" s="58">
        <f t="shared" si="52"/>
        <v>0</v>
      </c>
      <c r="FH64" s="57" t="s">
        <v>421</v>
      </c>
      <c r="FI64" s="58">
        <f t="shared" si="53"/>
        <v>0</v>
      </c>
      <c r="FJ64" s="57" t="s">
        <v>421</v>
      </c>
      <c r="FK64" s="58">
        <f t="shared" si="53"/>
        <v>0</v>
      </c>
      <c r="FL64" s="59" t="s">
        <v>421</v>
      </c>
      <c r="FM64" s="60">
        <f t="shared" si="54"/>
        <v>0</v>
      </c>
      <c r="FN64" s="61">
        <f t="shared" si="55"/>
        <v>2.8130000000000002</v>
      </c>
    </row>
    <row r="65" spans="1:170" ht="105">
      <c r="A65" s="31">
        <v>63</v>
      </c>
      <c r="B65" s="64" t="s">
        <v>234</v>
      </c>
      <c r="C65" s="33" t="str">
        <f>VLOOKUP(B65,[1]Sheet1!$A:$C,2,FALSE)</f>
        <v>Labelux Group Inc</v>
      </c>
      <c r="D65" s="34" t="s">
        <v>412</v>
      </c>
      <c r="E65" s="35" t="str">
        <f>VLOOKUP(B65,[1]Sheet1!$A:$C,3,FALSE)</f>
        <v>United States</v>
      </c>
      <c r="F65" s="34" t="s">
        <v>413</v>
      </c>
      <c r="G65" s="32" t="s">
        <v>235</v>
      </c>
      <c r="H65" s="36" t="s">
        <v>68</v>
      </c>
      <c r="I65" s="36" t="s">
        <v>421</v>
      </c>
      <c r="J65" s="36" t="s">
        <v>421</v>
      </c>
      <c r="K65" s="66" t="s">
        <v>431</v>
      </c>
      <c r="L65" s="66" t="s">
        <v>133</v>
      </c>
      <c r="M65" s="37">
        <f t="shared" si="4"/>
        <v>0</v>
      </c>
      <c r="N65" s="66">
        <f>AVERAGE(N52:N54)</f>
        <v>2.9466666666666668</v>
      </c>
      <c r="O65" s="38">
        <f t="shared" si="5"/>
        <v>0.22399999999999998</v>
      </c>
      <c r="P65" s="36" t="s">
        <v>416</v>
      </c>
      <c r="Q65" s="39">
        <v>0.5</v>
      </c>
      <c r="R65" s="36" t="s">
        <v>133</v>
      </c>
      <c r="S65" s="37">
        <f t="shared" si="6"/>
        <v>0</v>
      </c>
      <c r="T65" s="36" t="s">
        <v>133</v>
      </c>
      <c r="U65" s="37">
        <f t="shared" si="7"/>
        <v>0.5</v>
      </c>
      <c r="V65" s="36" t="s">
        <v>68</v>
      </c>
      <c r="W65" s="36" t="s">
        <v>133</v>
      </c>
      <c r="X65" s="37">
        <f t="shared" si="8"/>
        <v>0</v>
      </c>
      <c r="Y65" s="36" t="s">
        <v>688</v>
      </c>
      <c r="Z65" s="40" t="s">
        <v>792</v>
      </c>
      <c r="AA65" s="41">
        <f t="shared" si="9"/>
        <v>1.224</v>
      </c>
      <c r="AB65" s="36">
        <v>0</v>
      </c>
      <c r="AC65" s="42">
        <f t="shared" si="0"/>
        <v>0.5</v>
      </c>
      <c r="AD65" s="36" t="s">
        <v>133</v>
      </c>
      <c r="AE65" s="42">
        <f t="shared" si="10"/>
        <v>0.25</v>
      </c>
      <c r="AF65" s="36" t="s">
        <v>421</v>
      </c>
      <c r="AG65" s="36">
        <v>2</v>
      </c>
      <c r="AH65" s="42">
        <f t="shared" si="11"/>
        <v>1</v>
      </c>
      <c r="AI65" s="36" t="s">
        <v>68</v>
      </c>
      <c r="AJ65" s="42">
        <f t="shared" si="1"/>
        <v>0.25</v>
      </c>
      <c r="AK65" s="36" t="s">
        <v>133</v>
      </c>
      <c r="AL65" s="36" t="s">
        <v>133</v>
      </c>
      <c r="AM65" s="36" t="s">
        <v>133</v>
      </c>
      <c r="AN65" s="36" t="s">
        <v>133</v>
      </c>
      <c r="AO65" s="36" t="s">
        <v>133</v>
      </c>
      <c r="AP65" s="42">
        <f t="shared" si="12"/>
        <v>0</v>
      </c>
      <c r="AQ65" s="36" t="s">
        <v>68</v>
      </c>
      <c r="AR65" s="36" t="s">
        <v>133</v>
      </c>
      <c r="AS65" s="42">
        <f t="shared" si="13"/>
        <v>0</v>
      </c>
      <c r="AT65" s="36" t="s">
        <v>133</v>
      </c>
      <c r="AU65" s="36" t="s">
        <v>133</v>
      </c>
      <c r="AV65" s="42">
        <f t="shared" si="14"/>
        <v>0.25</v>
      </c>
      <c r="AW65" s="36" t="s">
        <v>133</v>
      </c>
      <c r="AX65" s="36" t="s">
        <v>68</v>
      </c>
      <c r="AY65" s="42">
        <f t="shared" si="15"/>
        <v>0.25</v>
      </c>
      <c r="AZ65" s="36" t="s">
        <v>793</v>
      </c>
      <c r="BA65" s="36" t="s">
        <v>133</v>
      </c>
      <c r="BB65" s="42">
        <f t="shared" si="57"/>
        <v>0</v>
      </c>
      <c r="BC65" s="36" t="s">
        <v>421</v>
      </c>
      <c r="BD65" s="42">
        <f t="shared" si="16"/>
        <v>0</v>
      </c>
      <c r="BE65" s="36" t="s">
        <v>421</v>
      </c>
      <c r="BF65" s="42">
        <f t="shared" si="17"/>
        <v>0</v>
      </c>
      <c r="BG65" s="36" t="s">
        <v>421</v>
      </c>
      <c r="BH65" s="36" t="s">
        <v>421</v>
      </c>
      <c r="BI65" s="42">
        <f t="shared" si="18"/>
        <v>0</v>
      </c>
      <c r="BJ65" s="36" t="s">
        <v>421</v>
      </c>
      <c r="BK65" s="36" t="s">
        <v>421</v>
      </c>
      <c r="BL65" s="36" t="s">
        <v>421</v>
      </c>
      <c r="BM65" s="36" t="s">
        <v>421</v>
      </c>
      <c r="BN65" s="36" t="s">
        <v>421</v>
      </c>
      <c r="BO65" s="36" t="s">
        <v>421</v>
      </c>
      <c r="BP65" s="42">
        <f t="shared" si="19"/>
        <v>0</v>
      </c>
      <c r="BQ65" s="36" t="s">
        <v>421</v>
      </c>
      <c r="BR65" s="36" t="s">
        <v>421</v>
      </c>
      <c r="BS65" s="36" t="s">
        <v>421</v>
      </c>
      <c r="BT65" s="36" t="s">
        <v>421</v>
      </c>
      <c r="BU65" s="36" t="s">
        <v>421</v>
      </c>
      <c r="BV65" s="36" t="s">
        <v>421</v>
      </c>
      <c r="BW65" s="43" t="s">
        <v>421</v>
      </c>
      <c r="BX65" s="44">
        <f t="shared" si="20"/>
        <v>2.5</v>
      </c>
      <c r="BY65" s="45" t="s">
        <v>68</v>
      </c>
      <c r="BZ65" s="46">
        <f t="shared" si="21"/>
        <v>0.5</v>
      </c>
      <c r="CA65" s="45" t="s">
        <v>133</v>
      </c>
      <c r="CB65" s="46">
        <f t="shared" si="22"/>
        <v>0</v>
      </c>
      <c r="CC65" s="36" t="s">
        <v>133</v>
      </c>
      <c r="CD65" s="46">
        <f t="shared" si="23"/>
        <v>0</v>
      </c>
      <c r="CE65" s="45" t="s">
        <v>133</v>
      </c>
      <c r="CF65" s="45" t="s">
        <v>133</v>
      </c>
      <c r="CG65" s="47">
        <v>0</v>
      </c>
      <c r="CH65" s="45" t="s">
        <v>133</v>
      </c>
      <c r="CI65" s="48">
        <f t="shared" si="24"/>
        <v>0</v>
      </c>
      <c r="CJ65" s="49" t="s">
        <v>68</v>
      </c>
      <c r="CK65" s="49" t="s">
        <v>133</v>
      </c>
      <c r="CL65" s="50" t="s">
        <v>684</v>
      </c>
      <c r="CM65" s="49" t="s">
        <v>133</v>
      </c>
      <c r="CN65" s="46">
        <f t="shared" si="25"/>
        <v>0</v>
      </c>
      <c r="CO65" s="49" t="s">
        <v>133</v>
      </c>
      <c r="CP65" s="48">
        <f t="shared" si="26"/>
        <v>0</v>
      </c>
      <c r="CQ65" s="49" t="s">
        <v>133</v>
      </c>
      <c r="CR65" s="48">
        <f t="shared" si="27"/>
        <v>0</v>
      </c>
      <c r="CS65" s="49" t="s">
        <v>133</v>
      </c>
      <c r="CT65" s="48">
        <f t="shared" si="28"/>
        <v>0</v>
      </c>
      <c r="CU65" s="49" t="s">
        <v>133</v>
      </c>
      <c r="CV65" s="48">
        <f t="shared" si="29"/>
        <v>0</v>
      </c>
      <c r="CW65" s="50" t="s">
        <v>794</v>
      </c>
      <c r="CX65" s="51">
        <f t="shared" si="30"/>
        <v>0.5</v>
      </c>
      <c r="CY65" s="52" t="s">
        <v>68</v>
      </c>
      <c r="CZ65" s="53">
        <f t="shared" si="31"/>
        <v>0.5</v>
      </c>
      <c r="DA65" s="52">
        <v>1.5</v>
      </c>
      <c r="DB65" s="53">
        <f t="shared" si="32"/>
        <v>0.222</v>
      </c>
      <c r="DC65" s="52" t="s">
        <v>133</v>
      </c>
      <c r="DD65" s="53">
        <f t="shared" si="33"/>
        <v>0</v>
      </c>
      <c r="DE65" s="52" t="s">
        <v>68</v>
      </c>
      <c r="DF65" s="53">
        <f t="shared" si="34"/>
        <v>0.5</v>
      </c>
      <c r="DG65" s="50" t="s">
        <v>133</v>
      </c>
      <c r="DH65" s="50" t="s">
        <v>133</v>
      </c>
      <c r="DI65" s="50" t="s">
        <v>133</v>
      </c>
      <c r="DJ65" s="50" t="s">
        <v>68</v>
      </c>
      <c r="DK65" s="50" t="s">
        <v>133</v>
      </c>
      <c r="DL65" s="50" t="s">
        <v>133</v>
      </c>
      <c r="DM65" s="50" t="s">
        <v>68</v>
      </c>
      <c r="DN65" s="50" t="s">
        <v>133</v>
      </c>
      <c r="DO65" s="50" t="s">
        <v>133</v>
      </c>
      <c r="DP65" s="52" t="s">
        <v>68</v>
      </c>
      <c r="DQ65" s="50" t="s">
        <v>133</v>
      </c>
      <c r="DR65" s="52" t="s">
        <v>133</v>
      </c>
      <c r="DS65" s="53">
        <f t="shared" si="3"/>
        <v>0.25</v>
      </c>
      <c r="DT65" s="52" t="s">
        <v>133</v>
      </c>
      <c r="DU65" s="53">
        <f t="shared" si="35"/>
        <v>0</v>
      </c>
      <c r="DV65" s="52" t="s">
        <v>133</v>
      </c>
      <c r="DW65" s="53">
        <f t="shared" si="36"/>
        <v>0</v>
      </c>
      <c r="DX65" s="52" t="s">
        <v>133</v>
      </c>
      <c r="DY65" s="53">
        <f t="shared" si="37"/>
        <v>0</v>
      </c>
      <c r="DZ65" s="52" t="s">
        <v>133</v>
      </c>
      <c r="EA65" s="53">
        <f t="shared" si="38"/>
        <v>0</v>
      </c>
      <c r="EB65" s="52" t="s">
        <v>133</v>
      </c>
      <c r="EC65" s="53">
        <f t="shared" si="39"/>
        <v>0</v>
      </c>
      <c r="ED65" s="52" t="s">
        <v>795</v>
      </c>
      <c r="EE65" s="54">
        <f t="shared" si="40"/>
        <v>1.472</v>
      </c>
      <c r="EF65" s="50">
        <v>8</v>
      </c>
      <c r="EG65" s="55">
        <f t="shared" si="41"/>
        <v>2.0000000000000018E-2</v>
      </c>
      <c r="EH65" s="50" t="s">
        <v>133</v>
      </c>
      <c r="EI65" s="55">
        <f t="shared" si="42"/>
        <v>0</v>
      </c>
      <c r="EJ65" s="50" t="s">
        <v>133</v>
      </c>
      <c r="EK65" s="55">
        <f t="shared" si="43"/>
        <v>0</v>
      </c>
      <c r="EL65" s="50" t="s">
        <v>133</v>
      </c>
      <c r="EM65" s="55">
        <f t="shared" si="44"/>
        <v>0</v>
      </c>
      <c r="EN65" s="50" t="s">
        <v>133</v>
      </c>
      <c r="EO65" s="55">
        <f t="shared" si="45"/>
        <v>0</v>
      </c>
      <c r="EP65" s="50" t="s">
        <v>133</v>
      </c>
      <c r="EQ65" s="55">
        <f t="shared" si="45"/>
        <v>0</v>
      </c>
      <c r="ER65" s="50" t="s">
        <v>417</v>
      </c>
      <c r="ES65" s="56">
        <f t="shared" si="46"/>
        <v>2.8571428571428598E-2</v>
      </c>
      <c r="ET65" s="57" t="s">
        <v>133</v>
      </c>
      <c r="EU65" s="58">
        <f t="shared" si="47"/>
        <v>0</v>
      </c>
      <c r="EV65" s="57" t="s">
        <v>414</v>
      </c>
      <c r="EW65" s="58">
        <f t="shared" si="48"/>
        <v>0</v>
      </c>
      <c r="EX65" s="57" t="s">
        <v>414</v>
      </c>
      <c r="EY65" s="58">
        <f t="shared" si="49"/>
        <v>0</v>
      </c>
      <c r="EZ65" s="57" t="s">
        <v>133</v>
      </c>
      <c r="FA65" s="58">
        <f t="shared" si="50"/>
        <v>0</v>
      </c>
      <c r="FB65" s="57" t="s">
        <v>133</v>
      </c>
      <c r="FC65" s="58">
        <f t="shared" si="59"/>
        <v>0</v>
      </c>
      <c r="FD65" s="57" t="s">
        <v>133</v>
      </c>
      <c r="FE65" s="58">
        <f t="shared" si="59"/>
        <v>0</v>
      </c>
      <c r="FF65" s="57" t="s">
        <v>133</v>
      </c>
      <c r="FG65" s="58">
        <f t="shared" si="52"/>
        <v>0</v>
      </c>
      <c r="FH65" s="57" t="s">
        <v>133</v>
      </c>
      <c r="FI65" s="58">
        <f t="shared" si="53"/>
        <v>0</v>
      </c>
      <c r="FJ65" s="57" t="s">
        <v>133</v>
      </c>
      <c r="FK65" s="58">
        <f t="shared" si="53"/>
        <v>0</v>
      </c>
      <c r="FL65" s="59" t="s">
        <v>684</v>
      </c>
      <c r="FM65" s="60">
        <f t="shared" si="54"/>
        <v>0</v>
      </c>
      <c r="FN65" s="61">
        <f t="shared" si="55"/>
        <v>5.7245714285714291</v>
      </c>
    </row>
    <row r="66" spans="1:170" ht="73">
      <c r="A66" s="31"/>
      <c r="B66" s="64" t="s">
        <v>236</v>
      </c>
      <c r="C66" s="33" t="s">
        <v>237</v>
      </c>
      <c r="D66" s="34" t="s">
        <v>412</v>
      </c>
      <c r="E66" s="35" t="s">
        <v>796</v>
      </c>
      <c r="F66" s="34" t="s">
        <v>413</v>
      </c>
      <c r="G66" s="32" t="s">
        <v>238</v>
      </c>
      <c r="H66" s="36" t="s">
        <v>68</v>
      </c>
      <c r="I66" s="36" t="s">
        <v>421</v>
      </c>
      <c r="J66" s="36" t="s">
        <v>421</v>
      </c>
      <c r="K66" s="66" t="s">
        <v>431</v>
      </c>
      <c r="L66" s="66" t="s">
        <v>133</v>
      </c>
      <c r="M66" s="37">
        <f t="shared" si="4"/>
        <v>0</v>
      </c>
      <c r="N66" s="66">
        <v>1.2</v>
      </c>
      <c r="O66" s="38">
        <f>2-PERCENTRANK($N$3:$N$66,N66)*2</f>
        <v>1.6520000000000001</v>
      </c>
      <c r="P66" s="36" t="s">
        <v>416</v>
      </c>
      <c r="Q66" s="39">
        <v>0.5</v>
      </c>
      <c r="R66" s="36" t="s">
        <v>133</v>
      </c>
      <c r="S66" s="37">
        <f t="shared" si="6"/>
        <v>0</v>
      </c>
      <c r="T66" s="36" t="s">
        <v>133</v>
      </c>
      <c r="U66" s="37">
        <f t="shared" si="7"/>
        <v>0.5</v>
      </c>
      <c r="V66" s="36" t="s">
        <v>68</v>
      </c>
      <c r="W66" s="36" t="s">
        <v>68</v>
      </c>
      <c r="X66" s="37">
        <f t="shared" si="8"/>
        <v>0.25</v>
      </c>
      <c r="Y66" s="36" t="s">
        <v>797</v>
      </c>
      <c r="Z66" s="40" t="s">
        <v>798</v>
      </c>
      <c r="AA66" s="41">
        <f t="shared" si="9"/>
        <v>2.9020000000000001</v>
      </c>
      <c r="AB66" s="36">
        <v>0</v>
      </c>
      <c r="AC66" s="42">
        <f t="shared" si="0"/>
        <v>0.5</v>
      </c>
      <c r="AD66" s="36" t="s">
        <v>133</v>
      </c>
      <c r="AE66" s="42">
        <f t="shared" si="10"/>
        <v>0.25</v>
      </c>
      <c r="AF66" s="36" t="s">
        <v>421</v>
      </c>
      <c r="AG66" s="36">
        <v>2</v>
      </c>
      <c r="AH66" s="42">
        <f t="shared" si="11"/>
        <v>1</v>
      </c>
      <c r="AI66" s="36" t="s">
        <v>68</v>
      </c>
      <c r="AJ66" s="42">
        <f t="shared" si="1"/>
        <v>0.25</v>
      </c>
      <c r="AK66" s="36" t="s">
        <v>68</v>
      </c>
      <c r="AL66" s="36" t="s">
        <v>133</v>
      </c>
      <c r="AM66" s="36" t="s">
        <v>68</v>
      </c>
      <c r="AN66" s="36" t="s">
        <v>133</v>
      </c>
      <c r="AO66" s="36" t="s">
        <v>133</v>
      </c>
      <c r="AP66" s="42">
        <f t="shared" si="12"/>
        <v>0.25</v>
      </c>
      <c r="AQ66" s="36" t="s">
        <v>68</v>
      </c>
      <c r="AR66" s="36" t="s">
        <v>68</v>
      </c>
      <c r="AS66" s="42">
        <f t="shared" si="13"/>
        <v>0.25</v>
      </c>
      <c r="AT66" s="36" t="s">
        <v>68</v>
      </c>
      <c r="AU66" s="36" t="s">
        <v>68</v>
      </c>
      <c r="AV66" s="42">
        <f t="shared" si="14"/>
        <v>0.25</v>
      </c>
      <c r="AW66" s="36" t="s">
        <v>68</v>
      </c>
      <c r="AX66" s="36" t="s">
        <v>133</v>
      </c>
      <c r="AY66" s="42">
        <f t="shared" si="15"/>
        <v>0</v>
      </c>
      <c r="AZ66" s="36" t="s">
        <v>799</v>
      </c>
      <c r="BA66" s="36" t="s">
        <v>68</v>
      </c>
      <c r="BB66" s="42">
        <f t="shared" si="57"/>
        <v>0.25</v>
      </c>
      <c r="BC66" s="36" t="s">
        <v>68</v>
      </c>
      <c r="BD66" s="42">
        <f t="shared" si="16"/>
        <v>0.5</v>
      </c>
      <c r="BE66" s="36" t="s">
        <v>68</v>
      </c>
      <c r="BF66" s="42">
        <f t="shared" si="17"/>
        <v>0.25</v>
      </c>
      <c r="BG66" s="36" t="s">
        <v>68</v>
      </c>
      <c r="BH66" s="36" t="s">
        <v>68</v>
      </c>
      <c r="BI66" s="42">
        <f t="shared" si="18"/>
        <v>0.5</v>
      </c>
      <c r="BJ66" s="36" t="s">
        <v>133</v>
      </c>
      <c r="BK66" s="36" t="s">
        <v>68</v>
      </c>
      <c r="BL66" s="36" t="s">
        <v>133</v>
      </c>
      <c r="BM66" s="36" t="s">
        <v>133</v>
      </c>
      <c r="BN66" s="36" t="s">
        <v>133</v>
      </c>
      <c r="BO66" s="36" t="s">
        <v>68</v>
      </c>
      <c r="BP66" s="42">
        <f t="shared" si="19"/>
        <v>0.5</v>
      </c>
      <c r="BQ66" s="36" t="s">
        <v>68</v>
      </c>
      <c r="BR66" s="36" t="s">
        <v>133</v>
      </c>
      <c r="BS66" s="36" t="s">
        <v>68</v>
      </c>
      <c r="BT66" s="36" t="s">
        <v>133</v>
      </c>
      <c r="BU66" s="36" t="s">
        <v>68</v>
      </c>
      <c r="BV66" s="36" t="s">
        <v>68</v>
      </c>
      <c r="BW66" s="43" t="s">
        <v>800</v>
      </c>
      <c r="BX66" s="44">
        <f t="shared" si="20"/>
        <v>4.75</v>
      </c>
      <c r="BY66" s="45" t="s">
        <v>68</v>
      </c>
      <c r="BZ66" s="46">
        <f t="shared" si="21"/>
        <v>0.5</v>
      </c>
      <c r="CA66" s="45" t="s">
        <v>133</v>
      </c>
      <c r="CB66" s="46">
        <f t="shared" si="22"/>
        <v>0</v>
      </c>
      <c r="CC66" s="36" t="s">
        <v>133</v>
      </c>
      <c r="CD66" s="46">
        <f t="shared" si="23"/>
        <v>0</v>
      </c>
      <c r="CE66" s="45" t="s">
        <v>133</v>
      </c>
      <c r="CF66" s="45" t="s">
        <v>133</v>
      </c>
      <c r="CG66" s="47">
        <v>0</v>
      </c>
      <c r="CH66" s="45" t="s">
        <v>133</v>
      </c>
      <c r="CI66" s="48">
        <f t="shared" si="24"/>
        <v>0</v>
      </c>
      <c r="CJ66" s="49" t="s">
        <v>68</v>
      </c>
      <c r="CK66" s="49" t="s">
        <v>133</v>
      </c>
      <c r="CL66" s="50" t="s">
        <v>133</v>
      </c>
      <c r="CM66" s="49" t="s">
        <v>133</v>
      </c>
      <c r="CN66" s="46">
        <f t="shared" si="25"/>
        <v>0</v>
      </c>
      <c r="CO66" s="49" t="s">
        <v>68</v>
      </c>
      <c r="CP66" s="48">
        <f t="shared" si="26"/>
        <v>0.75</v>
      </c>
      <c r="CQ66" s="49" t="s">
        <v>133</v>
      </c>
      <c r="CR66" s="48">
        <f t="shared" si="27"/>
        <v>0</v>
      </c>
      <c r="CS66" s="49" t="s">
        <v>68</v>
      </c>
      <c r="CT66" s="48">
        <f t="shared" si="28"/>
        <v>0.5</v>
      </c>
      <c r="CU66" s="49" t="s">
        <v>133</v>
      </c>
      <c r="CV66" s="48">
        <f t="shared" si="29"/>
        <v>0</v>
      </c>
      <c r="CW66" s="50" t="s">
        <v>801</v>
      </c>
      <c r="CX66" s="51">
        <f t="shared" si="30"/>
        <v>1.75</v>
      </c>
      <c r="CY66" s="52" t="s">
        <v>68</v>
      </c>
      <c r="CZ66" s="53">
        <f t="shared" si="31"/>
        <v>0.5</v>
      </c>
      <c r="DA66" s="52">
        <v>2</v>
      </c>
      <c r="DB66" s="53">
        <f t="shared" si="32"/>
        <v>0.23799999999999999</v>
      </c>
      <c r="DC66" s="52" t="s">
        <v>133</v>
      </c>
      <c r="DD66" s="53">
        <f t="shared" si="33"/>
        <v>0</v>
      </c>
      <c r="DE66" s="52" t="s">
        <v>68</v>
      </c>
      <c r="DF66" s="53">
        <f t="shared" si="34"/>
        <v>0.5</v>
      </c>
      <c r="DG66" s="50" t="s">
        <v>133</v>
      </c>
      <c r="DH66" s="50" t="s">
        <v>133</v>
      </c>
      <c r="DI66" s="50" t="s">
        <v>68</v>
      </c>
      <c r="DJ66" s="50" t="s">
        <v>68</v>
      </c>
      <c r="DK66" s="50" t="s">
        <v>133</v>
      </c>
      <c r="DL66" s="50" t="s">
        <v>133</v>
      </c>
      <c r="DM66" s="50" t="s">
        <v>68</v>
      </c>
      <c r="DN66" s="50" t="s">
        <v>133</v>
      </c>
      <c r="DO66" s="50" t="s">
        <v>133</v>
      </c>
      <c r="DP66" s="52" t="s">
        <v>133</v>
      </c>
      <c r="DQ66" s="50" t="s">
        <v>133</v>
      </c>
      <c r="DR66" s="52" t="s">
        <v>133</v>
      </c>
      <c r="DS66" s="53">
        <f t="shared" si="3"/>
        <v>0</v>
      </c>
      <c r="DT66" s="52" t="s">
        <v>68</v>
      </c>
      <c r="DU66" s="53">
        <f t="shared" si="35"/>
        <v>0.5</v>
      </c>
      <c r="DV66" s="52" t="s">
        <v>68</v>
      </c>
      <c r="DW66" s="53">
        <f t="shared" si="36"/>
        <v>0.5</v>
      </c>
      <c r="DX66" s="52" t="s">
        <v>68</v>
      </c>
      <c r="DY66" s="53">
        <f>DS84</f>
        <v>0</v>
      </c>
      <c r="DZ66" s="52" t="s">
        <v>133</v>
      </c>
      <c r="EA66" s="53">
        <f t="shared" si="38"/>
        <v>0</v>
      </c>
      <c r="EB66" s="52" t="s">
        <v>133</v>
      </c>
      <c r="EC66" s="53">
        <f t="shared" si="39"/>
        <v>0</v>
      </c>
      <c r="ED66" s="52" t="s">
        <v>802</v>
      </c>
      <c r="EE66" s="54">
        <f t="shared" si="40"/>
        <v>2.238</v>
      </c>
      <c r="EF66" s="50">
        <v>4</v>
      </c>
      <c r="EG66" s="55">
        <f t="shared" si="41"/>
        <v>0.84</v>
      </c>
      <c r="EH66" s="50" t="s">
        <v>133</v>
      </c>
      <c r="EI66" s="55">
        <f t="shared" si="42"/>
        <v>0</v>
      </c>
      <c r="EJ66" s="50" t="s">
        <v>68</v>
      </c>
      <c r="EK66" s="55">
        <f t="shared" si="43"/>
        <v>0.5</v>
      </c>
      <c r="EL66" s="50" t="s">
        <v>133</v>
      </c>
      <c r="EM66" s="55">
        <f t="shared" si="44"/>
        <v>0</v>
      </c>
      <c r="EN66" s="50" t="s">
        <v>68</v>
      </c>
      <c r="EO66" s="55">
        <f t="shared" si="45"/>
        <v>0.5</v>
      </c>
      <c r="EP66" s="50" t="s">
        <v>68</v>
      </c>
      <c r="EQ66" s="55">
        <f t="shared" si="45"/>
        <v>0.5</v>
      </c>
      <c r="ER66" s="50" t="s">
        <v>803</v>
      </c>
      <c r="ES66" s="56">
        <f t="shared" si="46"/>
        <v>3.3428571428571425</v>
      </c>
      <c r="ET66" s="57" t="s">
        <v>133</v>
      </c>
      <c r="EU66" s="58">
        <f t="shared" si="47"/>
        <v>0</v>
      </c>
      <c r="EV66" s="57" t="s">
        <v>414</v>
      </c>
      <c r="EW66" s="58">
        <f t="shared" si="48"/>
        <v>0</v>
      </c>
      <c r="EX66" s="57" t="s">
        <v>414</v>
      </c>
      <c r="EY66" s="58">
        <f t="shared" si="49"/>
        <v>0</v>
      </c>
      <c r="EZ66" s="57" t="s">
        <v>133</v>
      </c>
      <c r="FA66" s="58">
        <f t="shared" si="50"/>
        <v>0</v>
      </c>
      <c r="FB66" s="57" t="s">
        <v>68</v>
      </c>
      <c r="FC66" s="58">
        <f t="shared" si="59"/>
        <v>0.5</v>
      </c>
      <c r="FD66" s="57" t="s">
        <v>68</v>
      </c>
      <c r="FE66" s="58">
        <f t="shared" si="59"/>
        <v>0.5</v>
      </c>
      <c r="FF66" s="57" t="s">
        <v>68</v>
      </c>
      <c r="FG66" s="58">
        <f t="shared" si="52"/>
        <v>0.25</v>
      </c>
      <c r="FH66" s="57" t="s">
        <v>133</v>
      </c>
      <c r="FI66" s="58">
        <f t="shared" si="53"/>
        <v>0</v>
      </c>
      <c r="FJ66" s="57" t="s">
        <v>68</v>
      </c>
      <c r="FK66" s="58">
        <f t="shared" si="53"/>
        <v>0.5</v>
      </c>
      <c r="FL66" s="59" t="s">
        <v>804</v>
      </c>
      <c r="FM66" s="60">
        <f t="shared" si="54"/>
        <v>2.1875</v>
      </c>
      <c r="FN66" s="61">
        <f t="shared" si="55"/>
        <v>17.170357142857142</v>
      </c>
    </row>
    <row r="67" spans="1:170">
      <c r="B67" s="84"/>
      <c r="C67" s="84"/>
      <c r="D67" s="84"/>
      <c r="E67" s="84"/>
      <c r="F67" s="84"/>
      <c r="G67" s="84"/>
      <c r="H67" s="85">
        <f>COUNTIF(H3:H66,"Y")/64</f>
        <v>0.796875</v>
      </c>
      <c r="I67" s="86"/>
      <c r="J67" s="86"/>
      <c r="K67" s="86"/>
      <c r="L67" s="85">
        <f>COUNTIF(L3:L66,"Y")/64</f>
        <v>0.328125</v>
      </c>
      <c r="M67" s="86"/>
      <c r="N67" s="86">
        <f>AVERAGE(N3:N66)</f>
        <v>1.8786241319444443</v>
      </c>
      <c r="O67" s="86"/>
      <c r="P67" s="86"/>
      <c r="Q67" s="86"/>
      <c r="R67" s="85">
        <f>COUNTIF(R3:R66,"Y")/64</f>
        <v>0.234375</v>
      </c>
      <c r="S67" s="86"/>
      <c r="T67" s="85">
        <f>COUNTIF(T3:T66,"Y")/64</f>
        <v>0.234375</v>
      </c>
      <c r="U67" s="85"/>
      <c r="V67" s="85">
        <f>COUNTIF(V3:V66,"Y")/64</f>
        <v>0.765625</v>
      </c>
      <c r="W67" s="85">
        <f>COUNTIF(W3:W66,"Y")/64</f>
        <v>0.28125</v>
      </c>
      <c r="X67" s="86"/>
      <c r="Y67" s="86"/>
      <c r="Z67" s="86"/>
      <c r="AA67" s="87">
        <f>AVERAGE(AA3:AA65)</f>
        <v>2.3577460317460317</v>
      </c>
      <c r="AB67" s="86"/>
      <c r="AC67" s="86"/>
      <c r="AD67" s="85">
        <f>COUNTIF(AD3:AD66,"Y")/64</f>
        <v>0.203125</v>
      </c>
      <c r="AE67" s="85"/>
      <c r="AF67" s="85">
        <f>COUNTIF(AF3:AF66,"Y")/64</f>
        <v>0.125</v>
      </c>
      <c r="AG67" s="103">
        <f>AVERAGE(AG3:AG66)</f>
        <v>2.796875</v>
      </c>
      <c r="AH67" s="86"/>
      <c r="AI67" s="85">
        <f>COUNTIF(AI3:AI66,"Y")/64</f>
        <v>0.5625</v>
      </c>
      <c r="AJ67" s="86"/>
      <c r="AK67" s="85">
        <f>COUNTIF(AK3:AK66,"Y")/64</f>
        <v>0.703125</v>
      </c>
      <c r="AL67" s="85">
        <f>COUNTIF(AL3:AL66,"Y")/64</f>
        <v>0.109375</v>
      </c>
      <c r="AM67" s="85">
        <f>COUNTIF(AM3:AM66,"Y")/64</f>
        <v>0.421875</v>
      </c>
      <c r="AN67" s="85">
        <f>COUNTIF(AN3:AN66,"Y")/64</f>
        <v>0</v>
      </c>
      <c r="AO67" s="85">
        <f>COUNTIF(AO3:AO66,"Y")/64</f>
        <v>4.6875E-2</v>
      </c>
      <c r="AP67" s="86"/>
      <c r="AQ67" s="85">
        <f>COUNTIF(AQ3:AQ66,"Y")/64</f>
        <v>0.421875</v>
      </c>
      <c r="AR67" s="85">
        <f>COUNTIF(AR3:AR66,"Y")/64</f>
        <v>0.3125</v>
      </c>
      <c r="AS67" s="86"/>
      <c r="AT67" s="85">
        <f>COUNTIF(AT3:AT66,"Y")/64</f>
        <v>0.28125</v>
      </c>
      <c r="AU67" s="85">
        <f>COUNTIF(AU3:AU66,"Y")/64</f>
        <v>3.125E-2</v>
      </c>
      <c r="AV67" s="86"/>
      <c r="AW67" s="85">
        <f>COUNTIF(AW3:AW66,"Y")/64</f>
        <v>9.375E-2</v>
      </c>
      <c r="AX67" s="85">
        <f>COUNTIF(AX3:AX66,"Y")/64</f>
        <v>0.4375</v>
      </c>
      <c r="AY67" s="86"/>
      <c r="AZ67" s="86"/>
      <c r="BA67" s="85">
        <f>COUNTIF(BA3:BA66,"Y")/64</f>
        <v>0.6875</v>
      </c>
      <c r="BB67" s="86"/>
      <c r="BC67" s="85">
        <f>COUNTIF(BC3:BC66,"Y")/64</f>
        <v>0.25</v>
      </c>
      <c r="BD67" s="86"/>
      <c r="BE67" s="85">
        <f>COUNTIF(BE3:BE66,"Y")/64</f>
        <v>0.140625</v>
      </c>
      <c r="BF67" s="86"/>
      <c r="BG67" s="85">
        <f>COUNTIF(BG3:BG66,"Y")/64</f>
        <v>0.515625</v>
      </c>
      <c r="BH67" s="85">
        <f>COUNTIF(BH3:BH66,"Y")/64</f>
        <v>0.484375</v>
      </c>
      <c r="BI67" s="86"/>
      <c r="BJ67" s="85">
        <f t="shared" ref="BJ67:BO67" si="60">COUNTIF(BJ3:BJ66,"Y")/64</f>
        <v>0.203125</v>
      </c>
      <c r="BK67" s="85">
        <f t="shared" si="60"/>
        <v>0.359375</v>
      </c>
      <c r="BL67" s="85">
        <f t="shared" si="60"/>
        <v>6.25E-2</v>
      </c>
      <c r="BM67" s="85">
        <f t="shared" si="60"/>
        <v>0</v>
      </c>
      <c r="BN67" s="85">
        <f t="shared" si="60"/>
        <v>0</v>
      </c>
      <c r="BO67" s="85">
        <f t="shared" si="60"/>
        <v>0.328125</v>
      </c>
      <c r="BP67" s="86"/>
      <c r="BQ67" s="85">
        <f t="shared" ref="BQ67:BV67" si="61">COUNTIF(BQ3:BQ66,"Y")/64</f>
        <v>0.296875</v>
      </c>
      <c r="BR67" s="85">
        <f t="shared" si="61"/>
        <v>6.25E-2</v>
      </c>
      <c r="BS67" s="85">
        <f t="shared" si="61"/>
        <v>0.1875</v>
      </c>
      <c r="BT67" s="85">
        <f t="shared" si="61"/>
        <v>1.5625E-2</v>
      </c>
      <c r="BU67" s="85">
        <f t="shared" si="61"/>
        <v>1.5625E-2</v>
      </c>
      <c r="BV67" s="85">
        <f t="shared" si="61"/>
        <v>9.375E-2</v>
      </c>
      <c r="BW67" s="84"/>
      <c r="BX67" s="86"/>
      <c r="BY67" s="85">
        <f>COUNTIF(BY3:BY66,"Y")/64</f>
        <v>0.703125</v>
      </c>
      <c r="BZ67" s="85"/>
      <c r="CA67" s="85">
        <f>COUNTIF(CA3:CA66,"Y")/64</f>
        <v>9.375E-2</v>
      </c>
      <c r="CB67" s="88"/>
      <c r="CC67" s="85">
        <f>COUNTIF(CC3:CC66,"Y")/64</f>
        <v>6.25E-2</v>
      </c>
      <c r="CD67" s="86"/>
      <c r="CE67" s="85">
        <f>COUNTIF(CE3:CE66,"Y")/64</f>
        <v>4.6875E-2</v>
      </c>
      <c r="CF67" s="85">
        <f>COUNTIF(CF3:CF66,"Y")/64</f>
        <v>0.171875</v>
      </c>
      <c r="CG67" s="86"/>
      <c r="CH67" s="85">
        <f>COUNTIF(CH3:CH66,"Y")/64</f>
        <v>7.8125E-2</v>
      </c>
      <c r="CI67" s="86"/>
      <c r="CJ67" s="85">
        <f>COUNTIF(CJ3:CJ66,"Y")/64</f>
        <v>1</v>
      </c>
      <c r="CK67" s="85">
        <f>COUNTIF(CK3:CK66,"Y")/64</f>
        <v>0.15625</v>
      </c>
      <c r="CL67" s="86"/>
      <c r="CM67" s="85">
        <f>COUNTIF(CM3:CM66,"Y")/64</f>
        <v>0.15625</v>
      </c>
      <c r="CN67" s="86"/>
      <c r="CO67" s="85">
        <f>COUNTIF(CO3:CO66,"Y")/64</f>
        <v>0.40625</v>
      </c>
      <c r="CP67" s="86"/>
      <c r="CQ67" s="85">
        <f>COUNTIF(CQ3:CQ66,"Y")/64</f>
        <v>0.109375</v>
      </c>
      <c r="CR67" s="86"/>
      <c r="CS67" s="85">
        <f>COUNTIF(CS3:CS66,"Y")/64</f>
        <v>0.53125</v>
      </c>
      <c r="CT67" s="86"/>
      <c r="CU67" s="85">
        <f>COUNTIF(CU3:CU66,"Y")/64</f>
        <v>0.28125</v>
      </c>
      <c r="CV67" s="86"/>
      <c r="CW67" s="86"/>
      <c r="CX67" s="89"/>
      <c r="CY67" s="85">
        <f>COUNTIF(CY3:CY66,"Y")/64</f>
        <v>0.859375</v>
      </c>
      <c r="CZ67" s="86"/>
      <c r="DA67" s="86"/>
      <c r="DB67" s="86"/>
      <c r="DC67" s="85">
        <f>COUNTIF(DC3:DC66,"Y")/64</f>
        <v>9.375E-2</v>
      </c>
      <c r="DD67" s="86"/>
      <c r="DE67" s="85">
        <f>COUNTIF(DE3:DE66,"Y")/64</f>
        <v>0.8125</v>
      </c>
      <c r="DF67" s="86"/>
      <c r="DG67" s="85">
        <f t="shared" ref="DG67:DR67" si="62">COUNTIF(DG3:DG66,"Y")/64</f>
        <v>6.25E-2</v>
      </c>
      <c r="DH67" s="85">
        <f t="shared" si="62"/>
        <v>0.125</v>
      </c>
      <c r="DI67" s="85">
        <f t="shared" si="62"/>
        <v>0.28125</v>
      </c>
      <c r="DJ67" s="85">
        <f t="shared" si="62"/>
        <v>0.75</v>
      </c>
      <c r="DK67" s="85">
        <f t="shared" si="62"/>
        <v>6.25E-2</v>
      </c>
      <c r="DL67" s="85">
        <f t="shared" si="62"/>
        <v>0.25</v>
      </c>
      <c r="DM67" s="85">
        <f t="shared" si="62"/>
        <v>0.515625</v>
      </c>
      <c r="DN67" s="85">
        <f t="shared" si="62"/>
        <v>3.125E-2</v>
      </c>
      <c r="DO67" s="85">
        <f t="shared" si="62"/>
        <v>0.421875</v>
      </c>
      <c r="DP67" s="85">
        <f t="shared" si="62"/>
        <v>0.59375</v>
      </c>
      <c r="DQ67" s="85">
        <f t="shared" si="62"/>
        <v>1.5625E-2</v>
      </c>
      <c r="DR67" s="85">
        <f t="shared" si="62"/>
        <v>3.125E-2</v>
      </c>
      <c r="DS67" s="86"/>
      <c r="DT67" s="85">
        <f>COUNTIF(DT3:DT66,"Y")/64</f>
        <v>0.140625</v>
      </c>
      <c r="DU67" s="86"/>
      <c r="DV67" s="85">
        <f>COUNTIF(DV3:DV66,"Y")/64</f>
        <v>0.140625</v>
      </c>
      <c r="DW67" s="86"/>
      <c r="DX67" s="85">
        <f>COUNTIF(DX3:DX66,"Y")/64</f>
        <v>0.5</v>
      </c>
      <c r="DY67" s="86"/>
      <c r="DZ67" s="85">
        <f>COUNTIF(DZ3:DZ66,"Y")/64</f>
        <v>0.1875</v>
      </c>
      <c r="EA67" s="86"/>
      <c r="EB67" s="85">
        <f>COUNTIF(EB3:EB66,"Y")/64</f>
        <v>0.453125</v>
      </c>
      <c r="EC67" s="86"/>
      <c r="ED67" s="84"/>
      <c r="EE67" s="86"/>
      <c r="EF67" s="85"/>
      <c r="EG67" s="86"/>
      <c r="EH67" s="85">
        <f>COUNTIF(EH3:EH66,"Y")/64</f>
        <v>0.40625</v>
      </c>
      <c r="EI67" s="86"/>
      <c r="EJ67" s="85">
        <f>COUNTIF(EJ3:EJ66,"Y")/64</f>
        <v>0.15625</v>
      </c>
      <c r="EK67" s="88"/>
      <c r="EL67" s="85">
        <f>COUNTIF(EL3:EL66,"Y")/64</f>
        <v>6.25E-2</v>
      </c>
      <c r="EM67" s="88"/>
      <c r="EN67" s="85">
        <f>COUNTIF(EN3:EN66,"Y")/64</f>
        <v>0.734375</v>
      </c>
      <c r="EO67" s="86"/>
      <c r="EP67" s="85">
        <f>COUNTIF(EP3:EP66,"Y")/64</f>
        <v>0.125</v>
      </c>
      <c r="EQ67" s="86"/>
      <c r="ER67" s="86"/>
      <c r="ES67" s="86"/>
      <c r="ET67" s="85">
        <f>COUNTIF(ET3:ET66,"Y")/64</f>
        <v>0.109375</v>
      </c>
      <c r="EU67" s="86"/>
      <c r="EV67" s="85">
        <f>COUNTIF(EV3:EV66,"Y")/64</f>
        <v>7.8125E-2</v>
      </c>
      <c r="EW67" s="86"/>
      <c r="EX67" s="85">
        <f>COUNTIF(EX3:EX66,"Y")/64</f>
        <v>1.5625E-2</v>
      </c>
      <c r="EY67" s="86"/>
      <c r="EZ67" s="85">
        <f>COUNTIF(EZ3:EZ66,"Y")/64</f>
        <v>3.125E-2</v>
      </c>
      <c r="FA67" s="88"/>
      <c r="FB67" s="85">
        <f>COUNTIF(FB3:FB66,"Y")/64</f>
        <v>0.65625</v>
      </c>
      <c r="FC67" s="88"/>
      <c r="FD67" s="85">
        <f>COUNTIF(FD3:FD66,"Y")/64</f>
        <v>0.453125</v>
      </c>
      <c r="FE67" s="88"/>
      <c r="FF67" s="85">
        <f>COUNTIF(FF3:FF66,"Y")/64</f>
        <v>0.140625</v>
      </c>
      <c r="FG67" s="88"/>
      <c r="FH67" s="85">
        <f>COUNTIF(FH3:FH66,"Y")/64</f>
        <v>1.5625E-2</v>
      </c>
      <c r="FI67" s="88"/>
      <c r="FJ67" s="85">
        <f>COUNTIF(FJ3:FJ66,"Y")/64</f>
        <v>0.71875</v>
      </c>
      <c r="FK67" s="84"/>
      <c r="FL67" s="84"/>
      <c r="FM67" s="84"/>
      <c r="FN67" s="84"/>
    </row>
  </sheetData>
  <autoFilter ref="A2:FN67"/>
  <mergeCells count="5">
    <mergeCell ref="A1:I1"/>
    <mergeCell ref="J1:AA1"/>
    <mergeCell ref="BY1:CX1"/>
    <mergeCell ref="EF1:ES1"/>
    <mergeCell ref="ET1:FM1"/>
  </mergeCells>
  <pageMargins left="0.78749999999999998" right="0.78749999999999998" top="1.0527777777777778" bottom="1.0527777777777778" header="0.78749999999999998" footer="0.78749999999999998"/>
  <pageSetup orientation="portrait" horizontalDpi="4294967292" verticalDpi="4294967292"/>
  <headerFooter>
    <oddHeader>&amp;C&amp;"Times New Roman,Regular"&amp;12&amp;A</oddHeader>
    <oddFooter>&amp;C&amp;"Times New Roman,Regular"&amp;12Page &amp;P</oddFooter>
  </headerFooter>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topLeftCell="A29" workbookViewId="0">
      <selection activeCell="D33" sqref="D33"/>
    </sheetView>
  </sheetViews>
  <sheetFormatPr baseColWidth="10" defaultRowHeight="13" x14ac:dyDescent="0"/>
  <cols>
    <col min="1" max="16384" width="10.83203125" style="96"/>
  </cols>
  <sheetData>
    <row r="1" spans="1:4" ht="39">
      <c r="A1" s="93" t="s">
        <v>1</v>
      </c>
      <c r="B1" s="93" t="s">
        <v>3</v>
      </c>
      <c r="C1" s="94" t="s">
        <v>56</v>
      </c>
      <c r="D1" s="95" t="s">
        <v>58</v>
      </c>
    </row>
    <row r="2" spans="1:4" ht="14">
      <c r="A2" s="97" t="s">
        <v>78</v>
      </c>
      <c r="B2" s="97" t="s">
        <v>79</v>
      </c>
      <c r="C2" s="96">
        <v>23</v>
      </c>
      <c r="D2" s="98">
        <v>0.36999999999999994</v>
      </c>
    </row>
    <row r="3" spans="1:4" ht="14">
      <c r="A3" s="97" t="s">
        <v>102</v>
      </c>
      <c r="B3" s="97" t="s">
        <v>79</v>
      </c>
      <c r="C3" s="96">
        <v>14</v>
      </c>
      <c r="D3" s="98">
        <v>0.12</v>
      </c>
    </row>
    <row r="4" spans="1:4" ht="14">
      <c r="A4" s="97" t="s">
        <v>104</v>
      </c>
      <c r="B4" s="97" t="s">
        <v>79</v>
      </c>
      <c r="C4" s="96" t="s">
        <v>89</v>
      </c>
      <c r="D4" s="98" t="s">
        <v>89</v>
      </c>
    </row>
    <row r="5" spans="1:4" ht="14">
      <c r="A5" s="97" t="s">
        <v>106</v>
      </c>
      <c r="B5" s="97" t="s">
        <v>79</v>
      </c>
      <c r="C5" s="96">
        <v>-2</v>
      </c>
      <c r="D5" s="98">
        <v>-7.0000000000000062E-2</v>
      </c>
    </row>
    <row r="6" spans="1:4" ht="14">
      <c r="A6" s="97" t="s">
        <v>109</v>
      </c>
      <c r="B6" s="97" t="s">
        <v>79</v>
      </c>
      <c r="C6" s="96">
        <v>4</v>
      </c>
      <c r="D6" s="98">
        <v>1.0000000000000009E-2</v>
      </c>
    </row>
    <row r="7" spans="1:4" ht="14">
      <c r="A7" s="97" t="s">
        <v>139</v>
      </c>
      <c r="B7" s="97" t="s">
        <v>79</v>
      </c>
      <c r="C7" s="96">
        <v>-4</v>
      </c>
      <c r="D7" s="98">
        <v>9.9999999999999985E-3</v>
      </c>
    </row>
    <row r="8" spans="1:4" ht="14">
      <c r="A8" s="97" t="s">
        <v>143</v>
      </c>
      <c r="B8" s="97" t="s">
        <v>79</v>
      </c>
      <c r="C8" s="96" t="s">
        <v>89</v>
      </c>
      <c r="D8" s="98" t="s">
        <v>89</v>
      </c>
    </row>
    <row r="9" spans="1:4" ht="14">
      <c r="A9" s="97" t="s">
        <v>156</v>
      </c>
      <c r="B9" s="97" t="s">
        <v>79</v>
      </c>
      <c r="C9" s="96" t="s">
        <v>89</v>
      </c>
      <c r="D9" s="98" t="s">
        <v>89</v>
      </c>
    </row>
    <row r="10" spans="1:4" ht="14">
      <c r="A10" s="97" t="s">
        <v>158</v>
      </c>
      <c r="B10" s="97" t="s">
        <v>79</v>
      </c>
      <c r="C10" s="96" t="s">
        <v>89</v>
      </c>
      <c r="D10" s="98" t="s">
        <v>89</v>
      </c>
    </row>
    <row r="11" spans="1:4" ht="14">
      <c r="A11" s="97" t="s">
        <v>161</v>
      </c>
      <c r="B11" s="97" t="s">
        <v>79</v>
      </c>
      <c r="C11" s="96" t="s">
        <v>89</v>
      </c>
      <c r="D11" s="98" t="s">
        <v>89</v>
      </c>
    </row>
    <row r="12" spans="1:4" ht="14">
      <c r="A12" s="97" t="s">
        <v>163</v>
      </c>
      <c r="B12" s="97" t="s">
        <v>79</v>
      </c>
      <c r="C12" s="96">
        <v>-6</v>
      </c>
      <c r="D12" s="98">
        <v>-1.999999999999999E-2</v>
      </c>
    </row>
    <row r="13" spans="1:4" ht="14">
      <c r="A13" s="97" t="s">
        <v>165</v>
      </c>
      <c r="B13" s="97" t="s">
        <v>79</v>
      </c>
      <c r="C13" s="96">
        <v>14</v>
      </c>
      <c r="D13" s="98">
        <v>7.0000000000000062E-2</v>
      </c>
    </row>
    <row r="14" spans="1:4" ht="14">
      <c r="A14" s="97" t="s">
        <v>229</v>
      </c>
      <c r="B14" s="97" t="s">
        <v>79</v>
      </c>
      <c r="C14" s="96">
        <v>9</v>
      </c>
      <c r="D14" s="98">
        <v>1.0000000000000009E-2</v>
      </c>
    </row>
    <row r="15" spans="1:4" ht="14">
      <c r="A15" s="97" t="s">
        <v>129</v>
      </c>
      <c r="B15" s="97" t="s">
        <v>131</v>
      </c>
      <c r="C15" s="96" t="s">
        <v>89</v>
      </c>
      <c r="D15" s="98" t="s">
        <v>89</v>
      </c>
    </row>
    <row r="16" spans="1:4" ht="14">
      <c r="A16" s="97" t="s">
        <v>145</v>
      </c>
      <c r="B16" s="97" t="s">
        <v>131</v>
      </c>
      <c r="C16" s="96">
        <v>3</v>
      </c>
      <c r="D16" s="98">
        <v>2.0000000000000018E-2</v>
      </c>
    </row>
    <row r="17" spans="1:4" ht="14">
      <c r="A17" s="97" t="s">
        <v>90</v>
      </c>
      <c r="B17" s="97" t="s">
        <v>91</v>
      </c>
      <c r="C17" s="96">
        <v>2</v>
      </c>
      <c r="D17" s="98">
        <v>2.0000000000000018E-2</v>
      </c>
    </row>
    <row r="18" spans="1:4" ht="14">
      <c r="A18" s="97" t="s">
        <v>120</v>
      </c>
      <c r="B18" s="97" t="s">
        <v>91</v>
      </c>
      <c r="C18" s="96">
        <v>-13</v>
      </c>
      <c r="D18" s="98">
        <v>-0.15000000000000002</v>
      </c>
    </row>
    <row r="19" spans="1:4" ht="14">
      <c r="A19" s="97" t="s">
        <v>125</v>
      </c>
      <c r="B19" s="97" t="s">
        <v>91</v>
      </c>
      <c r="C19" s="96" t="s">
        <v>89</v>
      </c>
      <c r="D19" s="98" t="s">
        <v>89</v>
      </c>
    </row>
    <row r="20" spans="1:4" ht="14">
      <c r="A20" s="97" t="s">
        <v>127</v>
      </c>
      <c r="B20" s="97" t="s">
        <v>91</v>
      </c>
      <c r="C20" s="96">
        <v>14</v>
      </c>
      <c r="D20" s="98">
        <v>0.10999999999999999</v>
      </c>
    </row>
    <row r="21" spans="1:4" ht="14">
      <c r="A21" s="97" t="s">
        <v>134</v>
      </c>
      <c r="B21" s="97" t="s">
        <v>91</v>
      </c>
      <c r="C21" s="96">
        <v>-17</v>
      </c>
      <c r="D21" s="98">
        <v>-0.22</v>
      </c>
    </row>
    <row r="22" spans="1:4" ht="14">
      <c r="A22" s="97" t="s">
        <v>136</v>
      </c>
      <c r="B22" s="97" t="s">
        <v>91</v>
      </c>
      <c r="C22" s="96">
        <v>35</v>
      </c>
      <c r="D22" s="98">
        <v>0.33999999999999997</v>
      </c>
    </row>
    <row r="23" spans="1:4" ht="14">
      <c r="A23" s="97" t="s">
        <v>141</v>
      </c>
      <c r="B23" s="97" t="s">
        <v>91</v>
      </c>
      <c r="C23" s="96">
        <v>4</v>
      </c>
      <c r="D23" s="98">
        <v>0</v>
      </c>
    </row>
    <row r="24" spans="1:4" ht="14">
      <c r="A24" s="97" t="s">
        <v>171</v>
      </c>
      <c r="B24" s="97" t="s">
        <v>91</v>
      </c>
      <c r="C24" s="96">
        <v>-24</v>
      </c>
      <c r="D24" s="98">
        <v>-7.0000000000000007E-2</v>
      </c>
    </row>
    <row r="25" spans="1:4" ht="14">
      <c r="A25" s="97" t="s">
        <v>177</v>
      </c>
      <c r="B25" s="97" t="s">
        <v>91</v>
      </c>
      <c r="C25" s="96" t="s">
        <v>89</v>
      </c>
      <c r="D25" s="98" t="s">
        <v>89</v>
      </c>
    </row>
    <row r="26" spans="1:4" ht="14">
      <c r="A26" s="97" t="s">
        <v>187</v>
      </c>
      <c r="B26" s="97" t="s">
        <v>91</v>
      </c>
      <c r="C26" s="96">
        <v>13</v>
      </c>
      <c r="D26" s="98">
        <v>0.16</v>
      </c>
    </row>
    <row r="27" spans="1:4" ht="14">
      <c r="A27" s="97" t="s">
        <v>193</v>
      </c>
      <c r="B27" s="97" t="s">
        <v>91</v>
      </c>
      <c r="C27" s="96">
        <v>4</v>
      </c>
      <c r="D27" s="98">
        <v>1.0000000000000009E-2</v>
      </c>
    </row>
    <row r="28" spans="1:4" ht="14">
      <c r="A28" s="97" t="s">
        <v>196</v>
      </c>
      <c r="B28" s="97" t="s">
        <v>91</v>
      </c>
      <c r="C28" s="96">
        <v>7</v>
      </c>
      <c r="D28" s="98">
        <v>0.10999999999999999</v>
      </c>
    </row>
    <row r="29" spans="1:4" ht="14">
      <c r="A29" s="97" t="s">
        <v>199</v>
      </c>
      <c r="B29" s="97" t="s">
        <v>91</v>
      </c>
      <c r="C29" s="96" t="s">
        <v>89</v>
      </c>
      <c r="D29" s="98" t="s">
        <v>89</v>
      </c>
    </row>
    <row r="30" spans="1:4" ht="14">
      <c r="A30" s="97" t="s">
        <v>215</v>
      </c>
      <c r="B30" s="97" t="s">
        <v>91</v>
      </c>
      <c r="C30" s="96">
        <v>12</v>
      </c>
      <c r="D30" s="98">
        <v>6.9999999999999993E-2</v>
      </c>
    </row>
    <row r="31" spans="1:4" ht="14">
      <c r="A31" s="97" t="s">
        <v>222</v>
      </c>
      <c r="B31" s="97" t="s">
        <v>91</v>
      </c>
      <c r="C31" s="96">
        <v>4</v>
      </c>
      <c r="D31" s="98">
        <v>0.06</v>
      </c>
    </row>
    <row r="32" spans="1:4" ht="14">
      <c r="A32" s="97" t="s">
        <v>225</v>
      </c>
      <c r="B32" s="97" t="s">
        <v>91</v>
      </c>
      <c r="C32" s="96">
        <v>8</v>
      </c>
      <c r="D32" s="98">
        <v>0.15000000000000002</v>
      </c>
    </row>
    <row r="33" spans="1:4" ht="14">
      <c r="A33" s="97" t="s">
        <v>209</v>
      </c>
      <c r="B33" s="97" t="s">
        <v>211</v>
      </c>
      <c r="C33" s="96">
        <v>-16</v>
      </c>
      <c r="D33" s="98">
        <v>-0.15</v>
      </c>
    </row>
    <row r="34" spans="1:4" ht="14">
      <c r="A34" s="97" t="s">
        <v>82</v>
      </c>
      <c r="B34" s="97" t="s">
        <v>84</v>
      </c>
      <c r="C34" s="96">
        <v>3</v>
      </c>
      <c r="D34" s="98">
        <v>7.9999999999999988E-2</v>
      </c>
    </row>
    <row r="35" spans="1:4" ht="14">
      <c r="A35" s="97" t="s">
        <v>63</v>
      </c>
      <c r="B35" s="97" t="s">
        <v>65</v>
      </c>
      <c r="C35" s="96">
        <v>-5</v>
      </c>
      <c r="D35" s="98">
        <v>-0.10999999999999999</v>
      </c>
    </row>
    <row r="36" spans="1:4" ht="14">
      <c r="A36" s="97" t="s">
        <v>69</v>
      </c>
      <c r="B36" s="97" t="s">
        <v>65</v>
      </c>
      <c r="C36" s="96">
        <v>5</v>
      </c>
      <c r="D36" s="98">
        <v>8.9999999999999969E-2</v>
      </c>
    </row>
    <row r="37" spans="1:4" ht="14">
      <c r="A37" s="97" t="s">
        <v>87</v>
      </c>
      <c r="B37" s="97" t="s">
        <v>65</v>
      </c>
      <c r="C37" s="96" t="s">
        <v>89</v>
      </c>
      <c r="D37" s="98" t="s">
        <v>89</v>
      </c>
    </row>
    <row r="38" spans="1:4" ht="14">
      <c r="A38" s="97" t="s">
        <v>93</v>
      </c>
      <c r="B38" s="97" t="s">
        <v>65</v>
      </c>
      <c r="C38" s="96">
        <v>9</v>
      </c>
      <c r="D38" s="98">
        <v>0</v>
      </c>
    </row>
    <row r="39" spans="1:4" ht="14">
      <c r="A39" s="97" t="s">
        <v>148</v>
      </c>
      <c r="B39" s="97" t="s">
        <v>65</v>
      </c>
      <c r="C39" s="96">
        <v>-11</v>
      </c>
      <c r="D39" s="98">
        <v>-0.17000000000000004</v>
      </c>
    </row>
    <row r="40" spans="1:4" ht="14">
      <c r="A40" s="97" t="s">
        <v>167</v>
      </c>
      <c r="B40" s="97" t="s">
        <v>65</v>
      </c>
      <c r="C40" s="96">
        <v>-9</v>
      </c>
      <c r="D40" s="98">
        <v>0</v>
      </c>
    </row>
    <row r="41" spans="1:4" ht="14">
      <c r="A41" s="97" t="s">
        <v>180</v>
      </c>
      <c r="B41" s="97" t="s">
        <v>65</v>
      </c>
      <c r="C41" s="96">
        <v>3</v>
      </c>
      <c r="D41" s="98">
        <v>2.9999999999999971E-2</v>
      </c>
    </row>
    <row r="42" spans="1:4" ht="14">
      <c r="A42" s="97" t="s">
        <v>185</v>
      </c>
      <c r="B42" s="97" t="s">
        <v>65</v>
      </c>
      <c r="C42" s="96">
        <v>-14</v>
      </c>
      <c r="D42" s="98">
        <v>-0.26000000000000006</v>
      </c>
    </row>
    <row r="43" spans="1:4" ht="14">
      <c r="A43" s="97" t="s">
        <v>201</v>
      </c>
      <c r="B43" s="97" t="s">
        <v>65</v>
      </c>
      <c r="C43" s="96" t="s">
        <v>89</v>
      </c>
      <c r="D43" s="98" t="s">
        <v>89</v>
      </c>
    </row>
    <row r="44" spans="1:4" ht="14">
      <c r="A44" s="97" t="s">
        <v>206</v>
      </c>
      <c r="B44" s="97" t="s">
        <v>65</v>
      </c>
      <c r="C44" s="96" t="s">
        <v>89</v>
      </c>
      <c r="D44" s="98" t="s">
        <v>89</v>
      </c>
    </row>
    <row r="45" spans="1:4" ht="14">
      <c r="A45" s="97" t="s">
        <v>213</v>
      </c>
      <c r="B45" s="97" t="s">
        <v>65</v>
      </c>
      <c r="C45" s="96" t="s">
        <v>89</v>
      </c>
      <c r="D45" s="98" t="s">
        <v>89</v>
      </c>
    </row>
    <row r="46" spans="1:4" ht="14">
      <c r="A46" s="97" t="s">
        <v>228</v>
      </c>
      <c r="B46" s="97" t="s">
        <v>65</v>
      </c>
      <c r="C46" s="96" t="s">
        <v>89</v>
      </c>
      <c r="D46" s="98" t="s">
        <v>89</v>
      </c>
    </row>
    <row r="47" spans="1:4" ht="14">
      <c r="A47" s="97" t="s">
        <v>72</v>
      </c>
      <c r="B47" s="97" t="s">
        <v>74</v>
      </c>
      <c r="C47" s="96">
        <v>-17</v>
      </c>
      <c r="D47" s="98">
        <v>-1.9999999999999997E-2</v>
      </c>
    </row>
    <row r="48" spans="1:4" ht="14">
      <c r="A48" s="97" t="s">
        <v>96</v>
      </c>
      <c r="B48" s="97" t="s">
        <v>74</v>
      </c>
      <c r="C48" s="96">
        <v>-1</v>
      </c>
      <c r="D48" s="98">
        <v>-6.9999999999999951E-2</v>
      </c>
    </row>
    <row r="49" spans="1:4" ht="14">
      <c r="A49" s="97" t="s">
        <v>100</v>
      </c>
      <c r="B49" s="97" t="s">
        <v>74</v>
      </c>
      <c r="C49" s="96">
        <v>-16</v>
      </c>
      <c r="D49" s="98">
        <v>0</v>
      </c>
    </row>
    <row r="50" spans="1:4" ht="14">
      <c r="A50" s="97" t="s">
        <v>111</v>
      </c>
      <c r="B50" s="97" t="s">
        <v>74</v>
      </c>
      <c r="C50" s="96">
        <v>2</v>
      </c>
      <c r="D50" s="98">
        <v>-2.9999999999999916E-2</v>
      </c>
    </row>
    <row r="51" spans="1:4" ht="14">
      <c r="A51" s="97" t="s">
        <v>114</v>
      </c>
      <c r="B51" s="97" t="s">
        <v>74</v>
      </c>
      <c r="C51" s="96">
        <v>30</v>
      </c>
      <c r="D51" s="98">
        <v>0.36000000000000004</v>
      </c>
    </row>
    <row r="52" spans="1:4" ht="14">
      <c r="A52" s="97" t="s">
        <v>117</v>
      </c>
      <c r="B52" s="97" t="s">
        <v>74</v>
      </c>
      <c r="C52" s="96">
        <v>10</v>
      </c>
      <c r="D52" s="98">
        <v>4.9999999999999933E-2</v>
      </c>
    </row>
    <row r="53" spans="1:4" ht="14">
      <c r="A53" s="97" t="s">
        <v>123</v>
      </c>
      <c r="B53" s="97" t="s">
        <v>74</v>
      </c>
      <c r="C53" s="96">
        <v>-3</v>
      </c>
      <c r="D53" s="98">
        <v>-0.14000000000000001</v>
      </c>
    </row>
    <row r="54" spans="1:4" ht="14">
      <c r="A54" s="97" t="s">
        <v>150</v>
      </c>
      <c r="B54" s="97" t="s">
        <v>74</v>
      </c>
      <c r="C54" s="96">
        <v>2</v>
      </c>
      <c r="D54" s="98">
        <v>-4.9999999999999933E-2</v>
      </c>
    </row>
    <row r="55" spans="1:4" ht="14">
      <c r="A55" s="97" t="s">
        <v>153</v>
      </c>
      <c r="B55" s="97" t="s">
        <v>74</v>
      </c>
      <c r="C55" s="96">
        <v>5</v>
      </c>
      <c r="D55" s="98">
        <v>-2.0000000000000018E-2</v>
      </c>
    </row>
    <row r="56" spans="1:4" ht="14">
      <c r="A56" s="97" t="s">
        <v>169</v>
      </c>
      <c r="B56" s="97" t="s">
        <v>74</v>
      </c>
      <c r="C56" s="96">
        <v>-6</v>
      </c>
      <c r="D56" s="98">
        <v>-0.15000000000000002</v>
      </c>
    </row>
    <row r="57" spans="1:4" ht="14">
      <c r="A57" s="97" t="s">
        <v>174</v>
      </c>
      <c r="B57" s="97" t="s">
        <v>74</v>
      </c>
      <c r="C57" s="96">
        <v>-3</v>
      </c>
      <c r="D57" s="98">
        <v>-5.0000000000000044E-2</v>
      </c>
    </row>
    <row r="58" spans="1:4" ht="14">
      <c r="A58" s="97" t="s">
        <v>182</v>
      </c>
      <c r="B58" s="97" t="s">
        <v>74</v>
      </c>
      <c r="C58" s="96">
        <v>21</v>
      </c>
      <c r="D58" s="98">
        <v>0.25999999999999995</v>
      </c>
    </row>
    <row r="59" spans="1:4" ht="14">
      <c r="A59" s="97" t="s">
        <v>190</v>
      </c>
      <c r="B59" s="97" t="s">
        <v>74</v>
      </c>
      <c r="C59" s="96">
        <v>17</v>
      </c>
      <c r="D59" s="98">
        <v>0.10999999999999999</v>
      </c>
    </row>
    <row r="60" spans="1:4" ht="14">
      <c r="A60" s="97" t="s">
        <v>203</v>
      </c>
      <c r="B60" s="97" t="s">
        <v>74</v>
      </c>
      <c r="C60" s="96">
        <v>-9</v>
      </c>
      <c r="D60" s="98">
        <v>-0.2</v>
      </c>
    </row>
    <row r="61" spans="1:4" ht="14">
      <c r="A61" s="97" t="s">
        <v>218</v>
      </c>
      <c r="B61" s="97" t="s">
        <v>74</v>
      </c>
      <c r="C61" s="96" t="s">
        <v>89</v>
      </c>
      <c r="D61" s="98" t="s">
        <v>89</v>
      </c>
    </row>
    <row r="62" spans="1:4" ht="14">
      <c r="A62" s="97" t="s">
        <v>220</v>
      </c>
      <c r="B62" s="97" t="s">
        <v>74</v>
      </c>
      <c r="C62" s="96">
        <v>12</v>
      </c>
      <c r="D62" s="98">
        <v>5.9999999999999942E-2</v>
      </c>
    </row>
    <row r="63" spans="1:4" ht="14">
      <c r="A63" s="97" t="s">
        <v>231</v>
      </c>
      <c r="B63" s="97" t="s">
        <v>74</v>
      </c>
      <c r="C63" s="96">
        <v>-14</v>
      </c>
      <c r="D63" s="98">
        <v>-0.03</v>
      </c>
    </row>
    <row r="64" spans="1:4" ht="14">
      <c r="A64" s="97" t="s">
        <v>234</v>
      </c>
      <c r="B64" s="97" t="s">
        <v>74</v>
      </c>
      <c r="C64" s="96" t="s">
        <v>89</v>
      </c>
      <c r="D64" s="98" t="s">
        <v>89</v>
      </c>
    </row>
    <row r="65" spans="1:4" ht="14">
      <c r="A65" s="97" t="s">
        <v>236</v>
      </c>
      <c r="B65" s="97" t="s">
        <v>74</v>
      </c>
      <c r="C65" s="96" t="s">
        <v>89</v>
      </c>
      <c r="D65" s="98" t="s">
        <v>89</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
  <sheetViews>
    <sheetView workbookViewId="0">
      <pane xSplit="2" ySplit="1" topLeftCell="C51" activePane="bottomRight" state="frozen"/>
      <selection pane="topRight" activeCell="C1" sqref="C1"/>
      <selection pane="bottomLeft" activeCell="A2" sqref="A2"/>
      <selection pane="bottomRight" activeCell="G55" sqref="G55"/>
    </sheetView>
  </sheetViews>
  <sheetFormatPr baseColWidth="10" defaultColWidth="17.1640625" defaultRowHeight="12.75" customHeight="1" x14ac:dyDescent="0"/>
  <cols>
    <col min="1" max="1" width="17.1640625" style="109" customWidth="1"/>
    <col min="2" max="2" width="30.5" style="109" customWidth="1"/>
    <col min="3" max="3" width="17.1640625" style="109" customWidth="1"/>
    <col min="4" max="4" width="38.33203125" style="109" customWidth="1"/>
    <col min="5" max="5" width="11" style="109" customWidth="1"/>
    <col min="6" max="6" width="17.1640625" style="109" customWidth="1"/>
    <col min="7" max="7" width="32.5" style="109" customWidth="1"/>
    <col min="8" max="8" width="11" style="109" customWidth="1"/>
    <col min="9" max="9" width="17.1640625" style="109" customWidth="1"/>
    <col min="10" max="10" width="34.33203125" style="109" customWidth="1"/>
    <col min="11" max="11" width="11" style="109" customWidth="1"/>
    <col min="12" max="12" width="17.1640625" style="109" customWidth="1"/>
    <col min="13" max="13" width="25.5" style="109" customWidth="1"/>
    <col min="14" max="14" width="11" style="109" customWidth="1"/>
    <col min="15" max="15" width="17.1640625" style="109" customWidth="1"/>
    <col min="16" max="16" width="34.1640625" style="109" bestFit="1" customWidth="1"/>
    <col min="17" max="17" width="11" style="109" customWidth="1"/>
    <col min="18" max="19" width="17.1640625" style="109" customWidth="1"/>
    <col min="20" max="20" width="11" style="109" customWidth="1"/>
    <col min="21" max="21" width="17.1640625" style="109" customWidth="1"/>
    <col min="22" max="22" width="17.6640625" style="109" bestFit="1" customWidth="1"/>
    <col min="23" max="23" width="11" style="109" customWidth="1"/>
    <col min="24" max="25" width="17.1640625" style="109"/>
    <col min="26" max="26" width="11" style="109" customWidth="1"/>
    <col min="27" max="16384" width="17.1640625" style="109"/>
  </cols>
  <sheetData>
    <row r="1" spans="1:27" ht="12">
      <c r="A1" s="104" t="s">
        <v>0</v>
      </c>
      <c r="B1" s="104" t="s">
        <v>249</v>
      </c>
      <c r="C1" s="105" t="s">
        <v>806</v>
      </c>
      <c r="D1" s="105" t="s">
        <v>807</v>
      </c>
      <c r="E1" s="106" t="s">
        <v>808</v>
      </c>
      <c r="F1" s="107" t="s">
        <v>806</v>
      </c>
      <c r="G1" s="107" t="s">
        <v>807</v>
      </c>
      <c r="H1" s="106" t="s">
        <v>808</v>
      </c>
      <c r="I1" s="107" t="s">
        <v>806</v>
      </c>
      <c r="J1" s="107" t="s">
        <v>807</v>
      </c>
      <c r="K1" s="106" t="s">
        <v>808</v>
      </c>
      <c r="L1" s="107" t="s">
        <v>806</v>
      </c>
      <c r="M1" s="107" t="s">
        <v>807</v>
      </c>
      <c r="N1" s="106" t="s">
        <v>808</v>
      </c>
      <c r="O1" s="107" t="s">
        <v>806</v>
      </c>
      <c r="P1" s="107" t="s">
        <v>807</v>
      </c>
      <c r="Q1" s="106" t="s">
        <v>808</v>
      </c>
      <c r="R1" s="107" t="s">
        <v>806</v>
      </c>
      <c r="S1" s="107" t="s">
        <v>807</v>
      </c>
      <c r="T1" s="106" t="s">
        <v>808</v>
      </c>
      <c r="U1" s="107" t="s">
        <v>809</v>
      </c>
      <c r="V1" s="107" t="s">
        <v>807</v>
      </c>
      <c r="W1" s="106" t="s">
        <v>808</v>
      </c>
      <c r="X1" s="107" t="s">
        <v>809</v>
      </c>
      <c r="Y1" s="107" t="s">
        <v>807</v>
      </c>
      <c r="Z1" s="106" t="s">
        <v>808</v>
      </c>
      <c r="AA1" s="108" t="s">
        <v>810</v>
      </c>
    </row>
    <row r="2" spans="1:27" ht="48">
      <c r="A2" s="110">
        <v>1</v>
      </c>
      <c r="B2" s="110" t="s">
        <v>63</v>
      </c>
      <c r="C2" s="111" t="s">
        <v>811</v>
      </c>
      <c r="D2" s="111" t="s">
        <v>812</v>
      </c>
      <c r="E2" s="112">
        <v>0.5</v>
      </c>
      <c r="F2" s="113"/>
      <c r="G2" s="113"/>
      <c r="H2" s="112"/>
      <c r="I2" s="113"/>
      <c r="J2" s="113"/>
      <c r="K2" s="112"/>
      <c r="L2" s="114"/>
      <c r="M2" s="114"/>
      <c r="N2" s="112"/>
      <c r="O2" s="114"/>
      <c r="P2" s="114"/>
      <c r="Q2" s="112"/>
      <c r="R2" s="114"/>
      <c r="S2" s="114"/>
      <c r="T2" s="112"/>
      <c r="U2" s="114"/>
      <c r="V2" s="114"/>
      <c r="W2" s="112"/>
      <c r="X2" s="114"/>
      <c r="Y2" s="114"/>
      <c r="Z2" s="112"/>
      <c r="AA2" s="115">
        <f>SUM(Z2,W2,T2,Q2,N2,K2,H2,E2)</f>
        <v>0.5</v>
      </c>
    </row>
    <row r="3" spans="1:27" ht="132">
      <c r="A3" s="110">
        <v>2</v>
      </c>
      <c r="B3" s="110" t="s">
        <v>69</v>
      </c>
      <c r="C3" s="110" t="s">
        <v>813</v>
      </c>
      <c r="D3" s="110" t="s">
        <v>814</v>
      </c>
      <c r="E3" s="116">
        <v>0.25</v>
      </c>
      <c r="F3" s="110" t="s">
        <v>815</v>
      </c>
      <c r="G3" s="110" t="s">
        <v>816</v>
      </c>
      <c r="H3" s="116">
        <v>0.25</v>
      </c>
      <c r="I3" s="110" t="s">
        <v>817</v>
      </c>
      <c r="J3" s="110" t="s">
        <v>818</v>
      </c>
      <c r="K3" s="116">
        <v>0.25</v>
      </c>
      <c r="L3" s="117" t="s">
        <v>819</v>
      </c>
      <c r="M3" s="117" t="s">
        <v>820</v>
      </c>
      <c r="N3" s="116">
        <v>0.75</v>
      </c>
      <c r="O3" s="113"/>
      <c r="P3" s="113"/>
      <c r="Q3" s="116"/>
      <c r="R3" s="114"/>
      <c r="S3" s="114"/>
      <c r="T3" s="116"/>
      <c r="U3" s="114"/>
      <c r="V3" s="114"/>
      <c r="W3" s="116"/>
      <c r="X3" s="114"/>
      <c r="Y3" s="114"/>
      <c r="Z3" s="112"/>
      <c r="AA3" s="115">
        <f t="shared" ref="AA3:AA64" si="0">SUM(Z3,W3,T3,Q3,N3,K3,H3,E3)</f>
        <v>1.5</v>
      </c>
    </row>
    <row r="4" spans="1:27" ht="96">
      <c r="A4" s="110">
        <v>3</v>
      </c>
      <c r="B4" s="110" t="s">
        <v>72</v>
      </c>
      <c r="C4" s="118" t="s">
        <v>821</v>
      </c>
      <c r="D4" s="119" t="s">
        <v>822</v>
      </c>
      <c r="E4" s="112">
        <v>0.75</v>
      </c>
      <c r="F4" s="114"/>
      <c r="G4" s="114"/>
      <c r="H4" s="112"/>
      <c r="I4" s="114"/>
      <c r="J4" s="114"/>
      <c r="K4" s="112"/>
      <c r="L4" s="114"/>
      <c r="M4" s="114"/>
      <c r="N4" s="112"/>
      <c r="O4" s="114"/>
      <c r="P4" s="114"/>
      <c r="Q4" s="112"/>
      <c r="R4" s="114"/>
      <c r="S4" s="114"/>
      <c r="T4" s="112"/>
      <c r="U4" s="114"/>
      <c r="V4" s="114"/>
      <c r="W4" s="112"/>
      <c r="X4" s="114"/>
      <c r="Y4" s="114"/>
      <c r="Z4" s="112"/>
      <c r="AA4" s="115">
        <f t="shared" si="0"/>
        <v>0.75</v>
      </c>
    </row>
    <row r="5" spans="1:27" ht="60">
      <c r="A5" s="110">
        <v>4</v>
      </c>
      <c r="B5" s="110" t="s">
        <v>78</v>
      </c>
      <c r="C5" s="120" t="s">
        <v>823</v>
      </c>
      <c r="D5" s="111" t="s">
        <v>824</v>
      </c>
      <c r="E5" s="112">
        <v>0.5</v>
      </c>
      <c r="F5" s="117" t="s">
        <v>825</v>
      </c>
      <c r="G5" s="117" t="s">
        <v>826</v>
      </c>
      <c r="H5" s="116">
        <v>0.25</v>
      </c>
      <c r="I5" s="114"/>
      <c r="J5" s="114"/>
      <c r="K5" s="112"/>
      <c r="L5" s="114"/>
      <c r="M5" s="114"/>
      <c r="N5" s="112"/>
      <c r="O5" s="114"/>
      <c r="P5" s="114"/>
      <c r="Q5" s="112"/>
      <c r="R5" s="114"/>
      <c r="S5" s="114"/>
      <c r="T5" s="112"/>
      <c r="U5" s="114"/>
      <c r="V5" s="114"/>
      <c r="W5" s="112"/>
      <c r="X5" s="114"/>
      <c r="Y5" s="114"/>
      <c r="Z5" s="112"/>
      <c r="AA5" s="115">
        <f t="shared" si="0"/>
        <v>0.75</v>
      </c>
    </row>
    <row r="6" spans="1:27" ht="48">
      <c r="A6" s="110">
        <v>5</v>
      </c>
      <c r="B6" s="110" t="s">
        <v>82</v>
      </c>
      <c r="C6" s="121" t="s">
        <v>827</v>
      </c>
      <c r="D6" s="117" t="s">
        <v>828</v>
      </c>
      <c r="E6" s="112">
        <v>0.5</v>
      </c>
      <c r="F6" s="114"/>
      <c r="G6" s="114"/>
      <c r="H6" s="112"/>
      <c r="I6" s="114"/>
      <c r="J6" s="114"/>
      <c r="K6" s="112"/>
      <c r="L6" s="114"/>
      <c r="M6" s="114"/>
      <c r="N6" s="112"/>
      <c r="O6" s="114"/>
      <c r="P6" s="114"/>
      <c r="Q6" s="112"/>
      <c r="R6" s="114"/>
      <c r="S6" s="114"/>
      <c r="T6" s="112"/>
      <c r="U6" s="114"/>
      <c r="V6" s="114"/>
      <c r="W6" s="112"/>
      <c r="X6" s="114"/>
      <c r="Y6" s="114"/>
      <c r="Z6" s="112"/>
      <c r="AA6" s="115">
        <f t="shared" si="0"/>
        <v>0.5</v>
      </c>
    </row>
    <row r="7" spans="1:27" ht="120">
      <c r="A7" s="110">
        <v>6</v>
      </c>
      <c r="B7" s="110" t="s">
        <v>87</v>
      </c>
      <c r="C7" s="114" t="s">
        <v>829</v>
      </c>
      <c r="D7" s="114" t="s">
        <v>830</v>
      </c>
      <c r="E7" s="112">
        <v>0.25</v>
      </c>
      <c r="F7" s="114"/>
      <c r="G7" s="114"/>
      <c r="H7" s="112"/>
      <c r="I7" s="114"/>
      <c r="J7" s="114"/>
      <c r="K7" s="112"/>
      <c r="L7" s="114"/>
      <c r="M7" s="114"/>
      <c r="N7" s="112"/>
      <c r="O7" s="114"/>
      <c r="P7" s="114"/>
      <c r="Q7" s="112"/>
      <c r="R7" s="114"/>
      <c r="S7" s="114"/>
      <c r="T7" s="112"/>
      <c r="U7" s="114"/>
      <c r="V7" s="114"/>
      <c r="W7" s="112"/>
      <c r="X7" s="114"/>
      <c r="Y7" s="114"/>
      <c r="Z7" s="112"/>
      <c r="AA7" s="115">
        <f t="shared" si="0"/>
        <v>0.25</v>
      </c>
    </row>
    <row r="8" spans="1:27" ht="240">
      <c r="A8" s="110">
        <v>7</v>
      </c>
      <c r="B8" s="110" t="s">
        <v>90</v>
      </c>
      <c r="C8" s="122" t="s">
        <v>831</v>
      </c>
      <c r="D8" s="110" t="s">
        <v>832</v>
      </c>
      <c r="E8" s="116">
        <v>0</v>
      </c>
      <c r="F8" s="110" t="s">
        <v>833</v>
      </c>
      <c r="G8" s="114" t="s">
        <v>834</v>
      </c>
      <c r="H8" s="116">
        <v>0.25</v>
      </c>
      <c r="I8" s="114" t="s">
        <v>835</v>
      </c>
      <c r="J8" s="114" t="s">
        <v>836</v>
      </c>
      <c r="K8" s="116">
        <v>0.25</v>
      </c>
      <c r="L8" s="114" t="s">
        <v>837</v>
      </c>
      <c r="M8" s="114" t="s">
        <v>838</v>
      </c>
      <c r="N8" s="116">
        <v>0.75</v>
      </c>
      <c r="O8" s="114" t="s">
        <v>839</v>
      </c>
      <c r="P8" s="114" t="s">
        <v>840</v>
      </c>
      <c r="Q8" s="116"/>
      <c r="R8" s="111" t="s">
        <v>841</v>
      </c>
      <c r="S8" s="111" t="s">
        <v>842</v>
      </c>
      <c r="T8" s="112">
        <v>0.5</v>
      </c>
      <c r="U8" s="117" t="s">
        <v>843</v>
      </c>
      <c r="V8" s="117" t="s">
        <v>844</v>
      </c>
      <c r="W8" s="116">
        <v>0.5</v>
      </c>
      <c r="X8" s="113"/>
      <c r="Y8" s="113"/>
      <c r="Z8" s="116"/>
      <c r="AA8" s="115">
        <f t="shared" si="0"/>
        <v>2.25</v>
      </c>
    </row>
    <row r="9" spans="1:27" ht="192">
      <c r="A9" s="110">
        <v>8</v>
      </c>
      <c r="B9" s="110" t="s">
        <v>93</v>
      </c>
      <c r="C9" s="122" t="s">
        <v>845</v>
      </c>
      <c r="D9" s="110" t="s">
        <v>846</v>
      </c>
      <c r="E9" s="116">
        <v>0.5</v>
      </c>
      <c r="F9" s="110" t="s">
        <v>815</v>
      </c>
      <c r="G9" s="110" t="s">
        <v>847</v>
      </c>
      <c r="H9" s="116">
        <v>0.25</v>
      </c>
      <c r="I9" s="123" t="s">
        <v>848</v>
      </c>
      <c r="J9" s="123" t="s">
        <v>849</v>
      </c>
      <c r="K9" s="116">
        <v>0.5</v>
      </c>
      <c r="L9" s="114" t="s">
        <v>850</v>
      </c>
      <c r="M9" s="114" t="s">
        <v>851</v>
      </c>
      <c r="N9" s="116">
        <v>1</v>
      </c>
      <c r="O9" s="114" t="s">
        <v>852</v>
      </c>
      <c r="P9" s="114" t="s">
        <v>853</v>
      </c>
      <c r="Q9" s="116">
        <v>0.25</v>
      </c>
      <c r="R9" s="117" t="s">
        <v>854</v>
      </c>
      <c r="S9" s="117" t="s">
        <v>855</v>
      </c>
      <c r="T9" s="116">
        <v>0.75</v>
      </c>
      <c r="U9" s="113"/>
      <c r="V9" s="113"/>
      <c r="W9" s="116"/>
      <c r="X9" s="114"/>
      <c r="Y9" s="114"/>
      <c r="Z9" s="116"/>
      <c r="AA9" s="115">
        <f t="shared" si="0"/>
        <v>3.25</v>
      </c>
    </row>
    <row r="10" spans="1:27" ht="228">
      <c r="A10" s="110">
        <v>9</v>
      </c>
      <c r="B10" s="110" t="s">
        <v>96</v>
      </c>
      <c r="C10" s="122" t="s">
        <v>856</v>
      </c>
      <c r="D10" s="110" t="s">
        <v>857</v>
      </c>
      <c r="E10" s="116">
        <v>0.25</v>
      </c>
      <c r="F10" s="117" t="s">
        <v>858</v>
      </c>
      <c r="G10" s="117" t="s">
        <v>859</v>
      </c>
      <c r="H10" s="116">
        <v>0.5</v>
      </c>
      <c r="I10" s="114"/>
      <c r="J10" s="114"/>
      <c r="K10" s="116"/>
      <c r="L10" s="114"/>
      <c r="M10" s="114"/>
      <c r="N10" s="116"/>
      <c r="O10" s="114"/>
      <c r="P10" s="114"/>
      <c r="Q10" s="116"/>
      <c r="R10" s="114"/>
      <c r="S10" s="114"/>
      <c r="T10" s="116"/>
      <c r="U10" s="114"/>
      <c r="V10" s="114"/>
      <c r="W10" s="116"/>
      <c r="X10" s="114"/>
      <c r="Y10" s="114"/>
      <c r="Z10" s="116"/>
      <c r="AA10" s="115">
        <f t="shared" si="0"/>
        <v>0.75</v>
      </c>
    </row>
    <row r="11" spans="1:27" ht="48">
      <c r="A11" s="110">
        <v>10</v>
      </c>
      <c r="B11" s="110" t="s">
        <v>100</v>
      </c>
      <c r="C11" s="121" t="s">
        <v>860</v>
      </c>
      <c r="D11" s="117" t="s">
        <v>861</v>
      </c>
      <c r="E11" s="112">
        <v>0.25</v>
      </c>
      <c r="F11" s="114"/>
      <c r="G11" s="114"/>
      <c r="H11" s="112"/>
      <c r="I11" s="114"/>
      <c r="J11" s="114"/>
      <c r="K11" s="112"/>
      <c r="L11" s="114"/>
      <c r="M11" s="114"/>
      <c r="N11" s="112"/>
      <c r="O11" s="114"/>
      <c r="P11" s="114"/>
      <c r="Q11" s="112"/>
      <c r="R11" s="114"/>
      <c r="S11" s="114"/>
      <c r="T11" s="112"/>
      <c r="U11" s="114"/>
      <c r="V11" s="114"/>
      <c r="W11" s="112"/>
      <c r="X11" s="114"/>
      <c r="Y11" s="114"/>
      <c r="Z11" s="112"/>
      <c r="AA11" s="115">
        <f t="shared" si="0"/>
        <v>0.25</v>
      </c>
    </row>
    <row r="12" spans="1:27" ht="96">
      <c r="A12" s="110">
        <v>11</v>
      </c>
      <c r="B12" s="110" t="s">
        <v>102</v>
      </c>
      <c r="C12" s="114" t="s">
        <v>821</v>
      </c>
      <c r="D12" s="114" t="s">
        <v>862</v>
      </c>
      <c r="E12" s="116">
        <v>0.5</v>
      </c>
      <c r="F12" s="117" t="s">
        <v>863</v>
      </c>
      <c r="G12" s="117" t="s">
        <v>864</v>
      </c>
      <c r="H12" s="116">
        <v>0.5</v>
      </c>
      <c r="I12" s="114"/>
      <c r="J12" s="114"/>
      <c r="K12" s="116"/>
      <c r="L12" s="114"/>
      <c r="M12" s="114"/>
      <c r="N12" s="116"/>
      <c r="O12" s="113"/>
      <c r="P12" s="113"/>
      <c r="Q12" s="116"/>
      <c r="R12" s="113"/>
      <c r="S12" s="113"/>
      <c r="T12" s="116"/>
      <c r="U12" s="114"/>
      <c r="V12" s="114"/>
      <c r="W12" s="116"/>
      <c r="X12" s="114"/>
      <c r="Y12" s="114"/>
      <c r="Z12" s="116"/>
      <c r="AA12" s="115">
        <f t="shared" si="0"/>
        <v>1</v>
      </c>
    </row>
    <row r="13" spans="1:27" ht="12">
      <c r="A13" s="110">
        <v>12</v>
      </c>
      <c r="B13" s="110" t="s">
        <v>104</v>
      </c>
      <c r="C13" s="122"/>
      <c r="D13" s="114"/>
      <c r="E13" s="112"/>
      <c r="F13" s="114"/>
      <c r="G13" s="114"/>
      <c r="H13" s="112"/>
      <c r="I13" s="114"/>
      <c r="J13" s="114"/>
      <c r="K13" s="112"/>
      <c r="L13" s="114"/>
      <c r="M13" s="114"/>
      <c r="N13" s="112"/>
      <c r="O13" s="114"/>
      <c r="P13" s="114"/>
      <c r="Q13" s="112"/>
      <c r="R13" s="114"/>
      <c r="S13" s="114"/>
      <c r="T13" s="112"/>
      <c r="U13" s="114"/>
      <c r="V13" s="114"/>
      <c r="W13" s="112"/>
      <c r="X13" s="114"/>
      <c r="Y13" s="114"/>
      <c r="Z13" s="112"/>
      <c r="AA13" s="115">
        <f t="shared" si="0"/>
        <v>0</v>
      </c>
    </row>
    <row r="14" spans="1:27" ht="48">
      <c r="A14" s="110">
        <v>13</v>
      </c>
      <c r="B14" s="110" t="s">
        <v>106</v>
      </c>
      <c r="C14" s="122" t="s">
        <v>865</v>
      </c>
      <c r="D14" s="110" t="s">
        <v>866</v>
      </c>
      <c r="E14" s="116">
        <v>0.5</v>
      </c>
      <c r="F14" s="114"/>
      <c r="G14" s="114"/>
      <c r="H14" s="116"/>
      <c r="I14" s="114"/>
      <c r="J14" s="114"/>
      <c r="K14" s="116"/>
      <c r="L14" s="114"/>
      <c r="M14" s="114"/>
      <c r="N14" s="116"/>
      <c r="O14" s="114"/>
      <c r="P14" s="114"/>
      <c r="Q14" s="116"/>
      <c r="R14" s="114"/>
      <c r="S14" s="114"/>
      <c r="T14" s="116"/>
      <c r="U14" s="114"/>
      <c r="V14" s="114"/>
      <c r="W14" s="116"/>
      <c r="X14" s="114"/>
      <c r="Y14" s="114"/>
      <c r="Z14" s="116"/>
      <c r="AA14" s="115">
        <f t="shared" si="0"/>
        <v>0.5</v>
      </c>
    </row>
    <row r="15" spans="1:27" ht="60">
      <c r="A15" s="110">
        <v>14</v>
      </c>
      <c r="B15" s="110" t="s">
        <v>109</v>
      </c>
      <c r="C15" s="111" t="s">
        <v>867</v>
      </c>
      <c r="D15" s="111" t="s">
        <v>868</v>
      </c>
      <c r="E15" s="112">
        <v>0.5</v>
      </c>
      <c r="F15" s="117" t="s">
        <v>869</v>
      </c>
      <c r="G15" s="117" t="s">
        <v>870</v>
      </c>
      <c r="H15" s="116">
        <v>0.25</v>
      </c>
      <c r="I15" s="113"/>
      <c r="J15" s="113"/>
      <c r="K15" s="112"/>
      <c r="L15" s="113"/>
      <c r="M15" s="113"/>
      <c r="N15" s="116"/>
      <c r="O15" s="114"/>
      <c r="P15" s="114"/>
      <c r="Q15" s="116"/>
      <c r="R15" s="114"/>
      <c r="S15" s="114"/>
      <c r="T15" s="116"/>
      <c r="U15" s="114"/>
      <c r="V15" s="114"/>
      <c r="W15" s="116"/>
      <c r="X15" s="114"/>
      <c r="Y15" s="114"/>
      <c r="Z15" s="116"/>
      <c r="AA15" s="115">
        <f t="shared" si="0"/>
        <v>0.75</v>
      </c>
    </row>
    <row r="16" spans="1:27" ht="168">
      <c r="A16" s="110">
        <v>15</v>
      </c>
      <c r="B16" s="110" t="s">
        <v>111</v>
      </c>
      <c r="C16" s="122" t="s">
        <v>871</v>
      </c>
      <c r="D16" s="114" t="s">
        <v>872</v>
      </c>
      <c r="E16" s="112">
        <v>0.5</v>
      </c>
      <c r="F16" s="114" t="s">
        <v>873</v>
      </c>
      <c r="G16" s="114" t="s">
        <v>874</v>
      </c>
      <c r="H16" s="112">
        <v>0.5</v>
      </c>
      <c r="I16" s="114" t="s">
        <v>875</v>
      </c>
      <c r="J16" s="114" t="s">
        <v>876</v>
      </c>
      <c r="K16" s="112">
        <v>0.5</v>
      </c>
      <c r="L16" s="114"/>
      <c r="M16" s="114"/>
      <c r="N16" s="112"/>
      <c r="O16" s="114"/>
      <c r="P16" s="114"/>
      <c r="Q16" s="112"/>
      <c r="R16" s="114"/>
      <c r="S16" s="114"/>
      <c r="T16" s="112"/>
      <c r="U16" s="114"/>
      <c r="V16" s="114"/>
      <c r="W16" s="112"/>
      <c r="X16" s="114"/>
      <c r="Y16" s="114"/>
      <c r="Z16" s="112"/>
      <c r="AA16" s="115">
        <f t="shared" si="0"/>
        <v>1.5</v>
      </c>
    </row>
    <row r="17" spans="1:27" ht="72">
      <c r="A17" s="110">
        <v>16</v>
      </c>
      <c r="B17" s="110" t="s">
        <v>114</v>
      </c>
      <c r="C17" s="122" t="s">
        <v>877</v>
      </c>
      <c r="D17" s="110" t="s">
        <v>878</v>
      </c>
      <c r="E17" s="116">
        <v>0.25</v>
      </c>
      <c r="F17" s="114"/>
      <c r="G17" s="114"/>
      <c r="H17" s="116"/>
      <c r="I17" s="114"/>
      <c r="J17" s="114"/>
      <c r="K17" s="116"/>
      <c r="L17" s="114"/>
      <c r="M17" s="114"/>
      <c r="N17" s="116"/>
      <c r="O17" s="114"/>
      <c r="P17" s="114"/>
      <c r="Q17" s="116"/>
      <c r="R17" s="114"/>
      <c r="S17" s="114"/>
      <c r="T17" s="116"/>
      <c r="U17" s="114"/>
      <c r="V17" s="114"/>
      <c r="W17" s="116"/>
      <c r="X17" s="114"/>
      <c r="Y17" s="114"/>
      <c r="Z17" s="116"/>
      <c r="AA17" s="115">
        <f t="shared" si="0"/>
        <v>0.25</v>
      </c>
    </row>
    <row r="18" spans="1:27" ht="12">
      <c r="A18" s="110">
        <v>17</v>
      </c>
      <c r="B18" s="110" t="s">
        <v>234</v>
      </c>
      <c r="C18" s="122"/>
      <c r="D18" s="114"/>
      <c r="E18" s="112"/>
      <c r="F18" s="114"/>
      <c r="G18" s="114"/>
      <c r="H18" s="112"/>
      <c r="I18" s="114"/>
      <c r="J18" s="114"/>
      <c r="K18" s="112"/>
      <c r="L18" s="114"/>
      <c r="M18" s="114"/>
      <c r="N18" s="112"/>
      <c r="O18" s="114"/>
      <c r="P18" s="114"/>
      <c r="Q18" s="112"/>
      <c r="R18" s="114"/>
      <c r="S18" s="114"/>
      <c r="T18" s="112"/>
      <c r="U18" s="114"/>
      <c r="V18" s="114"/>
      <c r="W18" s="112"/>
      <c r="X18" s="114"/>
      <c r="Y18" s="114"/>
      <c r="Z18" s="112"/>
      <c r="AA18" s="115">
        <f t="shared" si="0"/>
        <v>0</v>
      </c>
    </row>
    <row r="19" spans="1:27" ht="96">
      <c r="A19" s="110">
        <v>18</v>
      </c>
      <c r="B19" s="110" t="s">
        <v>117</v>
      </c>
      <c r="C19" s="124" t="s">
        <v>879</v>
      </c>
      <c r="D19" s="124" t="s">
        <v>880</v>
      </c>
      <c r="E19" s="116">
        <v>0.25</v>
      </c>
      <c r="F19" s="117" t="s">
        <v>881</v>
      </c>
      <c r="G19" s="117" t="s">
        <v>882</v>
      </c>
      <c r="H19" s="112">
        <v>0.75</v>
      </c>
      <c r="I19" s="114"/>
      <c r="J19" s="114"/>
      <c r="K19" s="112"/>
      <c r="L19" s="114"/>
      <c r="M19" s="114"/>
      <c r="N19" s="112"/>
      <c r="O19" s="114"/>
      <c r="P19" s="114"/>
      <c r="Q19" s="112"/>
      <c r="R19" s="114"/>
      <c r="S19" s="114"/>
      <c r="T19" s="112"/>
      <c r="U19" s="114"/>
      <c r="V19" s="114"/>
      <c r="W19" s="112"/>
      <c r="X19" s="114"/>
      <c r="Y19" s="114"/>
      <c r="Z19" s="112"/>
      <c r="AA19" s="115">
        <f t="shared" si="0"/>
        <v>1</v>
      </c>
    </row>
    <row r="20" spans="1:27" ht="228">
      <c r="A20" s="110">
        <v>19</v>
      </c>
      <c r="B20" s="110" t="s">
        <v>120</v>
      </c>
      <c r="C20" s="110" t="s">
        <v>883</v>
      </c>
      <c r="D20" s="110" t="s">
        <v>884</v>
      </c>
      <c r="E20" s="116">
        <v>0.25</v>
      </c>
      <c r="F20" s="110" t="s">
        <v>885</v>
      </c>
      <c r="G20" s="110" t="s">
        <v>886</v>
      </c>
      <c r="H20" s="116">
        <v>0.5</v>
      </c>
      <c r="I20" s="110" t="s">
        <v>865</v>
      </c>
      <c r="J20" s="110" t="s">
        <v>887</v>
      </c>
      <c r="K20" s="116">
        <v>0.25</v>
      </c>
      <c r="L20" s="110"/>
      <c r="M20" s="110"/>
      <c r="N20" s="116"/>
      <c r="O20" s="114"/>
      <c r="P20" s="114"/>
      <c r="Q20" s="116"/>
      <c r="R20" s="114"/>
      <c r="S20" s="114"/>
      <c r="T20" s="116"/>
      <c r="U20" s="114"/>
      <c r="V20" s="114"/>
      <c r="W20" s="116"/>
      <c r="X20" s="114"/>
      <c r="Y20" s="114"/>
      <c r="Z20" s="116"/>
      <c r="AA20" s="115">
        <f t="shared" si="0"/>
        <v>1</v>
      </c>
    </row>
    <row r="21" spans="1:27" ht="132">
      <c r="A21" s="110">
        <v>20</v>
      </c>
      <c r="B21" s="110" t="s">
        <v>123</v>
      </c>
      <c r="C21" s="122" t="s">
        <v>888</v>
      </c>
      <c r="D21" s="110" t="s">
        <v>889</v>
      </c>
      <c r="E21" s="116">
        <v>0.75</v>
      </c>
      <c r="F21" s="110" t="s">
        <v>890</v>
      </c>
      <c r="G21" s="110" t="s">
        <v>891</v>
      </c>
      <c r="H21" s="116">
        <v>0.25</v>
      </c>
      <c r="I21" s="114" t="s">
        <v>892</v>
      </c>
      <c r="J21" s="114" t="s">
        <v>893</v>
      </c>
      <c r="K21" s="116">
        <v>0.5</v>
      </c>
      <c r="L21" s="114"/>
      <c r="M21" s="114"/>
      <c r="N21" s="116"/>
      <c r="O21" s="114"/>
      <c r="P21" s="114"/>
      <c r="Q21" s="116"/>
      <c r="R21" s="114"/>
      <c r="S21" s="114"/>
      <c r="T21" s="116"/>
      <c r="U21" s="114"/>
      <c r="V21" s="114"/>
      <c r="W21" s="116"/>
      <c r="X21" s="114"/>
      <c r="Y21" s="114"/>
      <c r="Z21" s="116"/>
      <c r="AA21" s="115">
        <f t="shared" si="0"/>
        <v>1.5</v>
      </c>
    </row>
    <row r="22" spans="1:27" ht="12">
      <c r="A22" s="110">
        <v>21</v>
      </c>
      <c r="B22" s="110" t="s">
        <v>125</v>
      </c>
      <c r="C22" s="122"/>
      <c r="D22" s="114"/>
      <c r="E22" s="112"/>
      <c r="F22" s="114"/>
      <c r="G22" s="114"/>
      <c r="H22" s="112"/>
      <c r="I22" s="114"/>
      <c r="J22" s="114"/>
      <c r="K22" s="112"/>
      <c r="L22" s="114"/>
      <c r="M22" s="114"/>
      <c r="N22" s="112"/>
      <c r="O22" s="114"/>
      <c r="P22" s="114"/>
      <c r="Q22" s="112"/>
      <c r="R22" s="114"/>
      <c r="S22" s="114"/>
      <c r="T22" s="112"/>
      <c r="U22" s="114"/>
      <c r="V22" s="114"/>
      <c r="W22" s="112"/>
      <c r="X22" s="114"/>
      <c r="Y22" s="114"/>
      <c r="Z22" s="112"/>
      <c r="AA22" s="115">
        <f t="shared" si="0"/>
        <v>0</v>
      </c>
    </row>
    <row r="23" spans="1:27" ht="156">
      <c r="A23" s="110">
        <v>22</v>
      </c>
      <c r="B23" s="110" t="s">
        <v>127</v>
      </c>
      <c r="C23" s="110" t="s">
        <v>894</v>
      </c>
      <c r="D23" s="114" t="s">
        <v>895</v>
      </c>
      <c r="E23" s="116">
        <v>0.25</v>
      </c>
      <c r="F23" s="110"/>
      <c r="G23" s="110"/>
      <c r="H23" s="116"/>
      <c r="I23" s="110"/>
      <c r="J23" s="110"/>
      <c r="K23" s="116"/>
      <c r="N23" s="116"/>
      <c r="O23" s="114"/>
      <c r="P23" s="114"/>
      <c r="Q23" s="116"/>
      <c r="R23" s="114"/>
      <c r="S23" s="114"/>
      <c r="T23" s="116"/>
      <c r="U23" s="114"/>
      <c r="V23" s="114"/>
      <c r="W23" s="116"/>
      <c r="X23" s="114"/>
      <c r="Y23" s="114"/>
      <c r="Z23" s="116"/>
      <c r="AA23" s="115">
        <f t="shared" si="0"/>
        <v>0.25</v>
      </c>
    </row>
    <row r="24" spans="1:27" ht="12">
      <c r="A24" s="110">
        <v>23</v>
      </c>
      <c r="B24" s="110" t="s">
        <v>129</v>
      </c>
      <c r="C24" s="122"/>
      <c r="D24" s="114"/>
      <c r="E24" s="112"/>
      <c r="F24" s="114"/>
      <c r="G24" s="114"/>
      <c r="H24" s="112"/>
      <c r="I24" s="114"/>
      <c r="J24" s="114"/>
      <c r="K24" s="112"/>
      <c r="L24" s="114"/>
      <c r="M24" s="114"/>
      <c r="N24" s="112"/>
      <c r="O24" s="114"/>
      <c r="P24" s="114"/>
      <c r="Q24" s="112"/>
      <c r="R24" s="114"/>
      <c r="S24" s="114"/>
      <c r="T24" s="112"/>
      <c r="U24" s="114"/>
      <c r="V24" s="114"/>
      <c r="W24" s="112"/>
      <c r="X24" s="114"/>
      <c r="Y24" s="114"/>
      <c r="Z24" s="112"/>
      <c r="AA24" s="115">
        <f t="shared" si="0"/>
        <v>0</v>
      </c>
    </row>
    <row r="25" spans="1:27" ht="84">
      <c r="A25" s="110">
        <v>24</v>
      </c>
      <c r="B25" s="110" t="s">
        <v>134</v>
      </c>
      <c r="C25" s="114" t="s">
        <v>896</v>
      </c>
      <c r="D25" s="114" t="s">
        <v>897</v>
      </c>
      <c r="E25" s="112">
        <v>0.25</v>
      </c>
      <c r="F25" s="114" t="s">
        <v>898</v>
      </c>
      <c r="G25" s="114" t="s">
        <v>899</v>
      </c>
      <c r="H25" s="112">
        <v>0.5</v>
      </c>
      <c r="I25" s="114"/>
      <c r="J25" s="114"/>
      <c r="K25" s="112"/>
      <c r="L25" s="114"/>
      <c r="M25" s="114"/>
      <c r="N25" s="112"/>
      <c r="O25" s="114"/>
      <c r="P25" s="114"/>
      <c r="Q25" s="112"/>
      <c r="R25" s="114"/>
      <c r="S25" s="114"/>
      <c r="T25" s="112"/>
      <c r="U25" s="114"/>
      <c r="V25" s="114"/>
      <c r="W25" s="112"/>
      <c r="X25" s="114"/>
      <c r="Y25" s="114"/>
      <c r="Z25" s="112"/>
      <c r="AA25" s="115">
        <f t="shared" si="0"/>
        <v>0.75</v>
      </c>
    </row>
    <row r="26" spans="1:27" ht="120">
      <c r="A26" s="110">
        <v>25</v>
      </c>
      <c r="B26" s="110" t="s">
        <v>136</v>
      </c>
      <c r="C26" s="122" t="s">
        <v>900</v>
      </c>
      <c r="D26" s="110" t="s">
        <v>901</v>
      </c>
      <c r="E26" s="116">
        <v>0.25</v>
      </c>
      <c r="F26" s="110" t="s">
        <v>902</v>
      </c>
      <c r="G26" s="110" t="s">
        <v>903</v>
      </c>
      <c r="H26" s="116">
        <v>1</v>
      </c>
      <c r="I26" s="110" t="s">
        <v>904</v>
      </c>
      <c r="J26" s="110" t="s">
        <v>905</v>
      </c>
      <c r="K26" s="116">
        <v>0</v>
      </c>
      <c r="L26" s="110" t="s">
        <v>906</v>
      </c>
      <c r="M26" s="110" t="s">
        <v>907</v>
      </c>
      <c r="N26" s="116">
        <v>0.25</v>
      </c>
      <c r="O26" s="117" t="s">
        <v>908</v>
      </c>
      <c r="P26" s="117" t="s">
        <v>909</v>
      </c>
      <c r="Q26" s="116">
        <v>0.5</v>
      </c>
      <c r="R26" s="113"/>
      <c r="S26" s="113"/>
      <c r="T26" s="116"/>
      <c r="U26" s="113"/>
      <c r="V26" s="113"/>
      <c r="W26" s="116"/>
      <c r="X26" s="114"/>
      <c r="Y26" s="114"/>
      <c r="Z26" s="116"/>
      <c r="AA26" s="115">
        <f t="shared" si="0"/>
        <v>2</v>
      </c>
    </row>
    <row r="27" spans="1:27" ht="12">
      <c r="A27" s="110">
        <v>26</v>
      </c>
      <c r="B27" s="110" t="s">
        <v>139</v>
      </c>
      <c r="C27" s="122"/>
      <c r="D27" s="114"/>
      <c r="E27" s="112"/>
      <c r="F27" s="114"/>
      <c r="G27" s="114"/>
      <c r="H27" s="112"/>
      <c r="I27" s="114"/>
      <c r="J27" s="114"/>
      <c r="K27" s="112"/>
      <c r="L27" s="114"/>
      <c r="M27" s="114"/>
      <c r="N27" s="112"/>
      <c r="O27" s="114"/>
      <c r="P27" s="114"/>
      <c r="Q27" s="112"/>
      <c r="R27" s="114"/>
      <c r="S27" s="114"/>
      <c r="T27" s="112"/>
      <c r="U27" s="114"/>
      <c r="V27" s="114"/>
      <c r="W27" s="112"/>
      <c r="X27" s="114"/>
      <c r="Y27" s="114"/>
      <c r="Z27" s="112"/>
      <c r="AA27" s="115">
        <f t="shared" si="0"/>
        <v>0</v>
      </c>
    </row>
    <row r="28" spans="1:27" ht="288">
      <c r="A28" s="110">
        <v>27</v>
      </c>
      <c r="B28" s="110" t="s">
        <v>141</v>
      </c>
      <c r="C28" s="122" t="s">
        <v>910</v>
      </c>
      <c r="D28" s="110" t="s">
        <v>911</v>
      </c>
      <c r="E28" s="116">
        <v>0.5</v>
      </c>
      <c r="F28" s="110" t="s">
        <v>912</v>
      </c>
      <c r="G28" s="110" t="s">
        <v>913</v>
      </c>
      <c r="H28" s="116">
        <v>0.5</v>
      </c>
      <c r="I28" s="110" t="s">
        <v>914</v>
      </c>
      <c r="J28" s="110" t="s">
        <v>915</v>
      </c>
      <c r="K28" s="116">
        <v>0.25</v>
      </c>
      <c r="L28" s="117" t="s">
        <v>916</v>
      </c>
      <c r="M28" s="117" t="s">
        <v>917</v>
      </c>
      <c r="N28" s="116">
        <v>0.5</v>
      </c>
      <c r="O28" s="114"/>
      <c r="P28" s="114"/>
      <c r="Q28" s="116"/>
      <c r="R28" s="114"/>
      <c r="S28" s="114"/>
      <c r="T28" s="116"/>
      <c r="U28" s="114"/>
      <c r="V28" s="114"/>
      <c r="W28" s="116"/>
      <c r="X28" s="114"/>
      <c r="Y28" s="114"/>
      <c r="Z28" s="116"/>
      <c r="AA28" s="115">
        <f t="shared" si="0"/>
        <v>1.75</v>
      </c>
    </row>
    <row r="29" spans="1:27" ht="192">
      <c r="A29" s="110">
        <v>28</v>
      </c>
      <c r="B29" s="110" t="s">
        <v>143</v>
      </c>
      <c r="C29" s="122" t="s">
        <v>865</v>
      </c>
      <c r="D29" s="110" t="s">
        <v>918</v>
      </c>
      <c r="E29" s="116">
        <v>0.25</v>
      </c>
      <c r="F29" s="114" t="s">
        <v>919</v>
      </c>
      <c r="G29" s="114" t="s">
        <v>920</v>
      </c>
      <c r="H29" s="116">
        <v>0.25</v>
      </c>
      <c r="I29" s="114" t="s">
        <v>921</v>
      </c>
      <c r="J29" s="114" t="s">
        <v>922</v>
      </c>
      <c r="K29" s="116">
        <v>0.5</v>
      </c>
      <c r="L29" s="114" t="s">
        <v>923</v>
      </c>
      <c r="M29" s="114" t="s">
        <v>924</v>
      </c>
      <c r="N29" s="116">
        <v>0.5</v>
      </c>
      <c r="O29" s="124" t="s">
        <v>879</v>
      </c>
      <c r="P29" s="124" t="s">
        <v>925</v>
      </c>
      <c r="Q29" s="116">
        <v>0.25</v>
      </c>
      <c r="R29" s="114"/>
      <c r="S29" s="114"/>
      <c r="T29" s="116"/>
      <c r="U29" s="114"/>
      <c r="V29" s="114"/>
      <c r="W29" s="116"/>
      <c r="X29" s="114"/>
      <c r="Y29" s="114"/>
      <c r="Z29" s="116"/>
      <c r="AA29" s="115">
        <f t="shared" si="0"/>
        <v>1.75</v>
      </c>
    </row>
    <row r="30" spans="1:27" ht="132">
      <c r="A30" s="110">
        <v>29</v>
      </c>
      <c r="B30" s="110" t="s">
        <v>145</v>
      </c>
      <c r="C30" s="122" t="s">
        <v>926</v>
      </c>
      <c r="D30" s="110" t="s">
        <v>927</v>
      </c>
      <c r="E30" s="116">
        <v>0.25</v>
      </c>
      <c r="F30" s="110" t="s">
        <v>928</v>
      </c>
      <c r="G30" s="110" t="s">
        <v>929</v>
      </c>
      <c r="H30" s="116">
        <v>0.25</v>
      </c>
      <c r="I30" s="110" t="s">
        <v>930</v>
      </c>
      <c r="J30" s="110" t="s">
        <v>931</v>
      </c>
      <c r="K30" s="116">
        <v>0.75</v>
      </c>
      <c r="L30" s="110" t="s">
        <v>815</v>
      </c>
      <c r="M30" s="110" t="s">
        <v>932</v>
      </c>
      <c r="N30" s="116">
        <v>0</v>
      </c>
      <c r="O30" s="110" t="s">
        <v>933</v>
      </c>
      <c r="P30" s="110" t="s">
        <v>934</v>
      </c>
      <c r="Q30" s="116">
        <v>0.25</v>
      </c>
      <c r="R30" s="117" t="s">
        <v>935</v>
      </c>
      <c r="S30" s="117" t="s">
        <v>936</v>
      </c>
      <c r="T30" s="116">
        <v>0.5</v>
      </c>
      <c r="U30" s="113"/>
      <c r="V30" s="113"/>
      <c r="W30" s="116"/>
      <c r="X30" s="114"/>
      <c r="Y30" s="114"/>
      <c r="Z30" s="116"/>
      <c r="AA30" s="115">
        <f t="shared" si="0"/>
        <v>2</v>
      </c>
    </row>
    <row r="31" spans="1:27" ht="132">
      <c r="A31" s="110">
        <v>30</v>
      </c>
      <c r="B31" s="110" t="s">
        <v>148</v>
      </c>
      <c r="C31" s="110" t="s">
        <v>883</v>
      </c>
      <c r="D31" s="110" t="s">
        <v>937</v>
      </c>
      <c r="E31" s="116">
        <v>0.25</v>
      </c>
      <c r="F31" s="110" t="s">
        <v>938</v>
      </c>
      <c r="G31" s="110" t="s">
        <v>939</v>
      </c>
      <c r="H31" s="116">
        <v>0.25</v>
      </c>
      <c r="I31" s="110" t="s">
        <v>940</v>
      </c>
      <c r="J31" s="110" t="s">
        <v>941</v>
      </c>
      <c r="K31" s="116">
        <v>0.25</v>
      </c>
      <c r="L31" s="110" t="s">
        <v>942</v>
      </c>
      <c r="M31" s="110" t="s">
        <v>943</v>
      </c>
      <c r="N31" s="116">
        <v>0.5</v>
      </c>
      <c r="O31" s="117" t="s">
        <v>944</v>
      </c>
      <c r="P31" s="117" t="s">
        <v>945</v>
      </c>
      <c r="Q31" s="116">
        <v>0.75</v>
      </c>
      <c r="R31" s="114"/>
      <c r="S31" s="114"/>
      <c r="T31" s="116"/>
      <c r="U31" s="114"/>
      <c r="V31" s="114"/>
      <c r="W31" s="116"/>
      <c r="X31" s="114"/>
      <c r="Y31" s="114"/>
      <c r="Z31" s="116"/>
      <c r="AA31" s="115">
        <f t="shared" si="0"/>
        <v>2</v>
      </c>
    </row>
    <row r="32" spans="1:27" ht="84">
      <c r="A32" s="110">
        <v>31</v>
      </c>
      <c r="B32" s="110" t="s">
        <v>150</v>
      </c>
      <c r="C32" s="124" t="s">
        <v>879</v>
      </c>
      <c r="D32" s="124" t="s">
        <v>946</v>
      </c>
      <c r="E32" s="116">
        <v>0.25</v>
      </c>
      <c r="F32" s="114" t="s">
        <v>896</v>
      </c>
      <c r="G32" s="114" t="s">
        <v>947</v>
      </c>
      <c r="H32" s="112">
        <v>0.25</v>
      </c>
      <c r="I32" s="114"/>
      <c r="J32" s="114"/>
      <c r="K32" s="112"/>
      <c r="L32" s="114"/>
      <c r="M32" s="114"/>
      <c r="N32" s="112"/>
      <c r="O32" s="114"/>
      <c r="P32" s="114"/>
      <c r="Q32" s="112"/>
      <c r="R32" s="114"/>
      <c r="S32" s="114"/>
      <c r="T32" s="112"/>
      <c r="U32" s="114"/>
      <c r="V32" s="114"/>
      <c r="W32" s="112"/>
      <c r="X32" s="114"/>
      <c r="Y32" s="114"/>
      <c r="Z32" s="112"/>
      <c r="AA32" s="115">
        <f t="shared" si="0"/>
        <v>0.5</v>
      </c>
    </row>
    <row r="33" spans="1:27" ht="300">
      <c r="A33" s="110">
        <v>32</v>
      </c>
      <c r="B33" s="110" t="s">
        <v>153</v>
      </c>
      <c r="C33" s="122" t="s">
        <v>919</v>
      </c>
      <c r="D33" s="114" t="s">
        <v>948</v>
      </c>
      <c r="E33" s="112">
        <v>0.25</v>
      </c>
      <c r="F33" s="114" t="s">
        <v>949</v>
      </c>
      <c r="G33" s="114" t="s">
        <v>950</v>
      </c>
      <c r="H33" s="112">
        <v>0.75</v>
      </c>
      <c r="I33" s="114" t="s">
        <v>951</v>
      </c>
      <c r="J33" s="114" t="s">
        <v>952</v>
      </c>
      <c r="K33" s="112">
        <v>0.5</v>
      </c>
      <c r="L33" s="114" t="s">
        <v>953</v>
      </c>
      <c r="M33" s="114" t="s">
        <v>954</v>
      </c>
      <c r="N33" s="112">
        <v>0.5</v>
      </c>
      <c r="O33" s="114" t="s">
        <v>955</v>
      </c>
      <c r="P33" s="114" t="s">
        <v>956</v>
      </c>
      <c r="Q33" s="112">
        <v>0.5</v>
      </c>
      <c r="R33" s="117" t="s">
        <v>957</v>
      </c>
      <c r="S33" s="117" t="s">
        <v>958</v>
      </c>
      <c r="T33" s="112">
        <v>1</v>
      </c>
      <c r="U33" s="114"/>
      <c r="V33" s="114"/>
      <c r="W33" s="112"/>
      <c r="X33" s="114"/>
      <c r="Y33" s="114"/>
      <c r="Z33" s="112"/>
      <c r="AA33" s="115">
        <f t="shared" si="0"/>
        <v>3.5</v>
      </c>
    </row>
    <row r="34" spans="1:27" ht="408">
      <c r="A34" s="110">
        <v>33</v>
      </c>
      <c r="B34" s="110" t="s">
        <v>156</v>
      </c>
      <c r="C34" s="125" t="s">
        <v>959</v>
      </c>
      <c r="D34" s="125" t="s">
        <v>960</v>
      </c>
      <c r="E34" s="126">
        <v>0.25</v>
      </c>
      <c r="F34" s="127" t="s">
        <v>961</v>
      </c>
      <c r="G34" s="114" t="s">
        <v>962</v>
      </c>
      <c r="H34" s="126">
        <v>0.5</v>
      </c>
      <c r="I34" s="481" t="s">
        <v>963</v>
      </c>
      <c r="J34" s="125" t="s">
        <v>964</v>
      </c>
      <c r="K34" s="126">
        <v>0</v>
      </c>
      <c r="L34" s="125" t="s">
        <v>965</v>
      </c>
      <c r="M34" s="125" t="s">
        <v>966</v>
      </c>
      <c r="N34" s="126">
        <v>0.25</v>
      </c>
      <c r="O34" s="125" t="s">
        <v>967</v>
      </c>
      <c r="P34" s="125" t="s">
        <v>968</v>
      </c>
      <c r="Q34" s="126">
        <v>0.25</v>
      </c>
      <c r="R34" s="125" t="s">
        <v>969</v>
      </c>
      <c r="S34" s="125" t="s">
        <v>970</v>
      </c>
      <c r="T34" s="126">
        <v>0</v>
      </c>
      <c r="U34" s="111" t="s">
        <v>971</v>
      </c>
      <c r="V34" s="114"/>
      <c r="W34" s="126">
        <v>0.5</v>
      </c>
      <c r="X34" s="114"/>
      <c r="Y34" s="114"/>
      <c r="Z34" s="128"/>
      <c r="AA34" s="115">
        <f t="shared" si="0"/>
        <v>1.75</v>
      </c>
    </row>
    <row r="35" spans="1:27" ht="12">
      <c r="A35" s="110">
        <v>34</v>
      </c>
      <c r="B35" s="129" t="s">
        <v>158</v>
      </c>
      <c r="C35" s="118"/>
      <c r="D35" s="130"/>
      <c r="E35" s="130"/>
      <c r="F35" s="130"/>
      <c r="G35" s="130"/>
      <c r="H35" s="130"/>
      <c r="I35" s="481"/>
      <c r="J35" s="125"/>
      <c r="K35" s="130"/>
      <c r="L35" s="130"/>
      <c r="M35" s="130"/>
      <c r="N35" s="130"/>
      <c r="O35" s="130"/>
      <c r="P35" s="119"/>
      <c r="Q35" s="130"/>
      <c r="R35" s="130"/>
      <c r="T35" s="126"/>
      <c r="W35" s="126"/>
      <c r="Z35" s="131"/>
      <c r="AA35" s="115">
        <f t="shared" si="0"/>
        <v>0</v>
      </c>
    </row>
    <row r="36" spans="1:27" ht="312">
      <c r="A36" s="110">
        <v>35</v>
      </c>
      <c r="B36" s="110" t="s">
        <v>161</v>
      </c>
      <c r="C36" s="122"/>
      <c r="D36" s="110"/>
      <c r="E36" s="116"/>
      <c r="F36" s="114" t="s">
        <v>919</v>
      </c>
      <c r="G36" s="114" t="s">
        <v>972</v>
      </c>
      <c r="H36" s="116">
        <v>0.25</v>
      </c>
      <c r="I36" s="114" t="s">
        <v>973</v>
      </c>
      <c r="J36" s="114" t="s">
        <v>974</v>
      </c>
      <c r="K36" s="116">
        <v>0</v>
      </c>
      <c r="L36" s="114" t="s">
        <v>975</v>
      </c>
      <c r="M36" s="114" t="s">
        <v>976</v>
      </c>
      <c r="N36" s="116">
        <v>0.25</v>
      </c>
      <c r="O36" s="111" t="s">
        <v>977</v>
      </c>
      <c r="P36" s="114"/>
      <c r="Q36" s="116">
        <v>0.5</v>
      </c>
      <c r="T36" s="116"/>
      <c r="W36" s="116"/>
      <c r="Z36" s="131"/>
      <c r="AA36" s="115">
        <f t="shared" si="0"/>
        <v>1</v>
      </c>
    </row>
    <row r="37" spans="1:27" ht="216">
      <c r="A37" s="110">
        <v>36</v>
      </c>
      <c r="B37" s="110" t="s">
        <v>163</v>
      </c>
      <c r="C37" s="125" t="s">
        <v>978</v>
      </c>
      <c r="D37" s="125" t="s">
        <v>979</v>
      </c>
      <c r="E37" s="126">
        <v>0.5</v>
      </c>
      <c r="F37" s="114"/>
      <c r="G37" s="114"/>
      <c r="H37" s="126"/>
      <c r="K37" s="126"/>
      <c r="M37" s="114"/>
      <c r="N37" s="126"/>
      <c r="P37" s="114"/>
      <c r="Q37" s="126"/>
      <c r="T37" s="126"/>
      <c r="W37" s="126"/>
      <c r="Z37" s="131"/>
      <c r="AA37" s="115">
        <f t="shared" si="0"/>
        <v>0.5</v>
      </c>
    </row>
    <row r="38" spans="1:27" ht="228">
      <c r="A38" s="110">
        <v>37</v>
      </c>
      <c r="B38" s="110" t="s">
        <v>165</v>
      </c>
      <c r="C38" s="122"/>
      <c r="D38" s="110"/>
      <c r="E38" s="116"/>
      <c r="F38" s="110" t="s">
        <v>980</v>
      </c>
      <c r="G38" s="110" t="s">
        <v>981</v>
      </c>
      <c r="H38" s="116">
        <v>0.5</v>
      </c>
      <c r="I38" s="110"/>
      <c r="J38" s="110"/>
      <c r="K38" s="116"/>
      <c r="L38" s="110" t="s">
        <v>982</v>
      </c>
      <c r="M38" s="110" t="s">
        <v>983</v>
      </c>
      <c r="N38" s="116">
        <v>0.25</v>
      </c>
      <c r="O38" s="110"/>
      <c r="P38" s="110"/>
      <c r="Q38" s="116"/>
      <c r="R38" s="110"/>
      <c r="S38" s="110"/>
      <c r="T38" s="116"/>
      <c r="U38" s="114"/>
      <c r="W38" s="116"/>
      <c r="Z38" s="131"/>
      <c r="AA38" s="115">
        <f t="shared" si="0"/>
        <v>0.75</v>
      </c>
    </row>
    <row r="39" spans="1:27" ht="360">
      <c r="A39" s="110">
        <v>38</v>
      </c>
      <c r="B39" s="110" t="s">
        <v>167</v>
      </c>
      <c r="C39" s="122"/>
      <c r="E39" s="126"/>
      <c r="F39" s="114" t="s">
        <v>984</v>
      </c>
      <c r="G39" s="114" t="s">
        <v>985</v>
      </c>
      <c r="H39" s="126">
        <v>0.25</v>
      </c>
      <c r="I39" s="125" t="s">
        <v>986</v>
      </c>
      <c r="J39" s="125" t="s">
        <v>987</v>
      </c>
      <c r="K39" s="126">
        <v>0.25</v>
      </c>
      <c r="L39" s="132" t="s">
        <v>988</v>
      </c>
      <c r="M39" s="132" t="s">
        <v>989</v>
      </c>
      <c r="N39" s="126">
        <v>0.75</v>
      </c>
      <c r="O39" s="125" t="s">
        <v>990</v>
      </c>
      <c r="P39" s="125" t="s">
        <v>991</v>
      </c>
      <c r="Q39" s="126">
        <v>0</v>
      </c>
      <c r="R39" s="114"/>
      <c r="S39" s="114"/>
      <c r="T39" s="126"/>
      <c r="W39" s="126"/>
      <c r="Z39" s="131"/>
      <c r="AA39" s="115">
        <f t="shared" si="0"/>
        <v>1.25</v>
      </c>
    </row>
    <row r="40" spans="1:27" ht="408">
      <c r="A40" s="110">
        <v>39</v>
      </c>
      <c r="B40" s="110" t="s">
        <v>169</v>
      </c>
      <c r="C40" s="122" t="s">
        <v>992</v>
      </c>
      <c r="D40" s="110" t="s">
        <v>993</v>
      </c>
      <c r="E40" s="116">
        <v>0.25</v>
      </c>
      <c r="F40" s="110" t="s">
        <v>994</v>
      </c>
      <c r="G40" s="110" t="s">
        <v>995</v>
      </c>
      <c r="H40" s="116">
        <v>0.5</v>
      </c>
      <c r="I40" s="133" t="s">
        <v>996</v>
      </c>
      <c r="J40" s="133" t="s">
        <v>997</v>
      </c>
      <c r="K40" s="116">
        <v>0.25</v>
      </c>
      <c r="L40" s="111" t="s">
        <v>998</v>
      </c>
      <c r="M40" s="125"/>
      <c r="N40" s="116">
        <v>0.5</v>
      </c>
      <c r="O40" s="114" t="s">
        <v>999</v>
      </c>
      <c r="P40" s="114" t="s">
        <v>1000</v>
      </c>
      <c r="Q40" s="116">
        <v>0.25</v>
      </c>
      <c r="R40" s="133" t="s">
        <v>1001</v>
      </c>
      <c r="S40" s="114" t="s">
        <v>1002</v>
      </c>
      <c r="T40" s="116">
        <v>0.5</v>
      </c>
      <c r="U40" s="114" t="s">
        <v>1003</v>
      </c>
      <c r="V40" s="114" t="s">
        <v>1004</v>
      </c>
      <c r="W40" s="116">
        <v>0.25</v>
      </c>
      <c r="X40" s="134" t="s">
        <v>1005</v>
      </c>
      <c r="Y40" s="134" t="s">
        <v>1006</v>
      </c>
      <c r="Z40" s="131">
        <v>0.25</v>
      </c>
      <c r="AA40" s="115">
        <f t="shared" si="0"/>
        <v>2.75</v>
      </c>
    </row>
    <row r="41" spans="1:27" ht="12">
      <c r="A41" s="110">
        <v>40</v>
      </c>
      <c r="B41" s="110" t="s">
        <v>171</v>
      </c>
      <c r="C41" s="122"/>
      <c r="D41" s="110"/>
      <c r="E41" s="116"/>
      <c r="F41" s="110"/>
      <c r="G41" s="110"/>
      <c r="H41" s="116"/>
      <c r="I41" s="110"/>
      <c r="J41" s="110"/>
      <c r="K41" s="116"/>
      <c r="L41" s="110"/>
      <c r="M41" s="110"/>
      <c r="N41" s="116"/>
      <c r="O41" s="110"/>
      <c r="P41" s="110"/>
      <c r="Q41" s="116"/>
      <c r="R41" s="110"/>
      <c r="S41" s="110"/>
      <c r="T41" s="116"/>
      <c r="U41" s="110"/>
      <c r="V41" s="110"/>
      <c r="W41" s="116"/>
      <c r="X41" s="110"/>
      <c r="Y41" s="110"/>
      <c r="Z41" s="135"/>
      <c r="AA41" s="115">
        <f t="shared" si="0"/>
        <v>0</v>
      </c>
    </row>
    <row r="42" spans="1:27" ht="192">
      <c r="A42" s="110">
        <v>41</v>
      </c>
      <c r="B42" s="110" t="s">
        <v>174</v>
      </c>
      <c r="C42" s="122" t="s">
        <v>1007</v>
      </c>
      <c r="D42" s="110" t="s">
        <v>1008</v>
      </c>
      <c r="E42" s="116">
        <v>0.25</v>
      </c>
      <c r="F42" s="110" t="s">
        <v>883</v>
      </c>
      <c r="G42" s="110" t="s">
        <v>1009</v>
      </c>
      <c r="H42" s="116">
        <v>0.25</v>
      </c>
      <c r="I42" s="110" t="s">
        <v>1010</v>
      </c>
      <c r="J42" s="110" t="s">
        <v>1011</v>
      </c>
      <c r="K42" s="116">
        <v>0</v>
      </c>
      <c r="L42" s="110" t="s">
        <v>865</v>
      </c>
      <c r="M42" s="110" t="s">
        <v>1012</v>
      </c>
      <c r="N42" s="116">
        <v>0.75</v>
      </c>
      <c r="O42" s="110" t="s">
        <v>1013</v>
      </c>
      <c r="P42" s="110" t="s">
        <v>1014</v>
      </c>
      <c r="Q42" s="116">
        <v>0.25</v>
      </c>
      <c r="R42" s="129" t="s">
        <v>1015</v>
      </c>
      <c r="S42" s="129" t="s">
        <v>1016</v>
      </c>
      <c r="T42" s="116">
        <v>0.75</v>
      </c>
      <c r="U42" s="110"/>
      <c r="V42" s="110"/>
      <c r="W42" s="116"/>
      <c r="X42" s="110"/>
      <c r="Y42" s="110"/>
      <c r="Z42" s="135"/>
      <c r="AA42" s="115">
        <f t="shared" si="0"/>
        <v>2.25</v>
      </c>
    </row>
    <row r="43" spans="1:27" ht="156">
      <c r="A43" s="110">
        <v>42</v>
      </c>
      <c r="B43" s="110" t="s">
        <v>177</v>
      </c>
      <c r="C43" s="114" t="s">
        <v>1017</v>
      </c>
      <c r="D43" s="114" t="s">
        <v>1018</v>
      </c>
      <c r="E43" s="126">
        <v>0.25</v>
      </c>
      <c r="F43" s="125" t="s">
        <v>1019</v>
      </c>
      <c r="G43" s="110" t="s">
        <v>1020</v>
      </c>
      <c r="H43" s="126">
        <v>0.5</v>
      </c>
      <c r="I43" s="125" t="s">
        <v>1021</v>
      </c>
      <c r="J43" s="110" t="s">
        <v>1022</v>
      </c>
      <c r="K43" s="126">
        <v>0.25</v>
      </c>
      <c r="L43" s="114"/>
      <c r="M43" s="114"/>
      <c r="N43" s="126"/>
      <c r="O43" s="114"/>
      <c r="P43" s="114"/>
      <c r="Q43" s="126"/>
      <c r="R43" s="114"/>
      <c r="S43" s="114"/>
      <c r="T43" s="126"/>
      <c r="U43" s="114"/>
      <c r="W43" s="126"/>
      <c r="Z43" s="131"/>
      <c r="AA43" s="115">
        <f t="shared" si="0"/>
        <v>1</v>
      </c>
    </row>
    <row r="44" spans="1:27" ht="204">
      <c r="A44" s="110">
        <v>43</v>
      </c>
      <c r="B44" s="110" t="s">
        <v>180</v>
      </c>
      <c r="C44" s="125" t="s">
        <v>1023</v>
      </c>
      <c r="D44" s="114" t="s">
        <v>1024</v>
      </c>
      <c r="E44" s="126">
        <v>0.5</v>
      </c>
      <c r="F44" s="136" t="s">
        <v>1025</v>
      </c>
      <c r="G44" s="137" t="s">
        <v>1026</v>
      </c>
      <c r="H44" s="126">
        <v>0.75</v>
      </c>
      <c r="K44" s="126"/>
      <c r="M44" s="114"/>
      <c r="N44" s="126"/>
      <c r="O44" s="125"/>
      <c r="P44" s="114"/>
      <c r="Q44" s="126"/>
      <c r="T44" s="126"/>
      <c r="W44" s="126"/>
      <c r="Z44" s="131"/>
      <c r="AA44" s="115">
        <f t="shared" si="0"/>
        <v>1.25</v>
      </c>
    </row>
    <row r="45" spans="1:27" ht="324">
      <c r="A45" s="110">
        <v>44</v>
      </c>
      <c r="B45" s="110" t="s">
        <v>182</v>
      </c>
      <c r="C45" s="122" t="s">
        <v>1027</v>
      </c>
      <c r="D45" s="114" t="s">
        <v>1028</v>
      </c>
      <c r="E45" s="126">
        <v>0.75</v>
      </c>
      <c r="F45" s="110" t="s">
        <v>1029</v>
      </c>
      <c r="G45" s="110" t="s">
        <v>1030</v>
      </c>
      <c r="H45" s="126">
        <v>0.25</v>
      </c>
      <c r="I45" s="110" t="s">
        <v>883</v>
      </c>
      <c r="J45" s="110" t="s">
        <v>1031</v>
      </c>
      <c r="K45" s="126">
        <v>0.25</v>
      </c>
      <c r="L45" s="110" t="s">
        <v>1032</v>
      </c>
      <c r="M45" s="110" t="s">
        <v>1033</v>
      </c>
      <c r="N45" s="126">
        <v>0.5</v>
      </c>
      <c r="O45" s="110"/>
      <c r="P45" s="110" t="s">
        <v>1034</v>
      </c>
      <c r="Q45" s="126">
        <v>0.5</v>
      </c>
      <c r="R45" s="110" t="s">
        <v>1035</v>
      </c>
      <c r="S45" s="110" t="s">
        <v>1036</v>
      </c>
      <c r="T45" s="126">
        <v>0.25</v>
      </c>
      <c r="U45" s="111" t="s">
        <v>1037</v>
      </c>
      <c r="W45" s="126">
        <v>0.5</v>
      </c>
      <c r="X45" s="134" t="s">
        <v>1038</v>
      </c>
      <c r="Y45" s="134" t="s">
        <v>1039</v>
      </c>
      <c r="Z45" s="131">
        <v>0.25</v>
      </c>
      <c r="AA45" s="115">
        <f t="shared" si="0"/>
        <v>3.25</v>
      </c>
    </row>
    <row r="46" spans="1:27" ht="240">
      <c r="A46" s="110">
        <v>45</v>
      </c>
      <c r="B46" s="129" t="s">
        <v>185</v>
      </c>
      <c r="C46" s="138" t="s">
        <v>1040</v>
      </c>
      <c r="D46" s="119" t="s">
        <v>1041</v>
      </c>
      <c r="E46" s="130">
        <v>0.25</v>
      </c>
      <c r="F46" s="139" t="s">
        <v>1042</v>
      </c>
      <c r="G46" s="119" t="s">
        <v>1043</v>
      </c>
      <c r="H46" s="130">
        <v>0.5</v>
      </c>
      <c r="I46" s="111" t="s">
        <v>1044</v>
      </c>
      <c r="K46" s="126">
        <v>0.5</v>
      </c>
      <c r="L46" s="140" t="s">
        <v>1045</v>
      </c>
      <c r="M46" s="140" t="s">
        <v>1046</v>
      </c>
      <c r="N46" s="126">
        <v>0.25</v>
      </c>
      <c r="Q46" s="126"/>
      <c r="T46" s="126"/>
      <c r="W46" s="126"/>
      <c r="Z46" s="131"/>
      <c r="AA46" s="115">
        <f t="shared" si="0"/>
        <v>1.5</v>
      </c>
    </row>
    <row r="47" spans="1:27" ht="276">
      <c r="A47" s="110">
        <v>46</v>
      </c>
      <c r="B47" s="110" t="s">
        <v>187</v>
      </c>
      <c r="C47" s="122"/>
      <c r="D47" s="110"/>
      <c r="E47" s="116"/>
      <c r="F47" s="110"/>
      <c r="G47" s="110"/>
      <c r="H47" s="116"/>
      <c r="I47" s="114" t="s">
        <v>1047</v>
      </c>
      <c r="J47" s="114" t="s">
        <v>1048</v>
      </c>
      <c r="K47" s="116">
        <v>0.25</v>
      </c>
      <c r="L47" s="114" t="s">
        <v>1049</v>
      </c>
      <c r="M47" s="114" t="s">
        <v>1050</v>
      </c>
      <c r="N47" s="116">
        <v>0.25</v>
      </c>
      <c r="Q47" s="116"/>
      <c r="T47" s="116"/>
      <c r="W47" s="116"/>
      <c r="Z47" s="131"/>
      <c r="AA47" s="115">
        <f t="shared" si="0"/>
        <v>0.5</v>
      </c>
    </row>
    <row r="48" spans="1:27" ht="252">
      <c r="A48" s="110">
        <v>47</v>
      </c>
      <c r="B48" s="110" t="s">
        <v>190</v>
      </c>
      <c r="C48" s="122" t="s">
        <v>1051</v>
      </c>
      <c r="D48" s="110" t="s">
        <v>1052</v>
      </c>
      <c r="E48" s="116">
        <v>1</v>
      </c>
      <c r="F48" s="110" t="s">
        <v>1053</v>
      </c>
      <c r="G48" s="110" t="s">
        <v>1054</v>
      </c>
      <c r="H48" s="116">
        <v>0</v>
      </c>
      <c r="I48" s="110" t="s">
        <v>1055</v>
      </c>
      <c r="J48" s="110" t="s">
        <v>1056</v>
      </c>
      <c r="K48" s="116">
        <v>0</v>
      </c>
      <c r="L48" s="110" t="s">
        <v>1057</v>
      </c>
      <c r="M48" s="110" t="s">
        <v>1058</v>
      </c>
      <c r="N48" s="116">
        <v>0</v>
      </c>
      <c r="O48" s="111" t="s">
        <v>1059</v>
      </c>
      <c r="Q48" s="116">
        <v>0.5</v>
      </c>
      <c r="T48" s="116"/>
      <c r="W48" s="116"/>
      <c r="Z48" s="131"/>
      <c r="AA48" s="115">
        <f t="shared" si="0"/>
        <v>1.5</v>
      </c>
    </row>
    <row r="49" spans="1:27" ht="156">
      <c r="A49" s="110">
        <v>48</v>
      </c>
      <c r="B49" s="110" t="s">
        <v>193</v>
      </c>
      <c r="C49" s="141" t="s">
        <v>1060</v>
      </c>
      <c r="D49" s="134" t="s">
        <v>1061</v>
      </c>
      <c r="E49" s="130">
        <v>0.25</v>
      </c>
      <c r="G49" s="110"/>
      <c r="H49" s="126"/>
      <c r="K49" s="126"/>
      <c r="N49" s="126"/>
      <c r="Q49" s="126"/>
      <c r="T49" s="126"/>
      <c r="W49" s="126"/>
      <c r="Z49" s="131"/>
      <c r="AA49" s="115">
        <f t="shared" si="0"/>
        <v>0.25</v>
      </c>
    </row>
    <row r="50" spans="1:27" ht="144">
      <c r="A50" s="110">
        <v>49</v>
      </c>
      <c r="B50" s="110" t="s">
        <v>196</v>
      </c>
      <c r="C50" s="122" t="s">
        <v>1062</v>
      </c>
      <c r="D50" s="110" t="s">
        <v>1063</v>
      </c>
      <c r="E50" s="116">
        <v>0.75</v>
      </c>
      <c r="F50" s="110" t="s">
        <v>865</v>
      </c>
      <c r="G50" s="110" t="s">
        <v>1064</v>
      </c>
      <c r="H50" s="116">
        <v>0.75</v>
      </c>
      <c r="I50" s="110" t="s">
        <v>1065</v>
      </c>
      <c r="J50" s="114" t="s">
        <v>1066</v>
      </c>
      <c r="K50" s="116">
        <v>0.25</v>
      </c>
      <c r="L50" s="114" t="s">
        <v>1067</v>
      </c>
      <c r="M50" s="114" t="s">
        <v>1068</v>
      </c>
      <c r="N50" s="116">
        <v>0.25</v>
      </c>
      <c r="Q50" s="116"/>
      <c r="T50" s="116"/>
      <c r="W50" s="116"/>
      <c r="Z50" s="116"/>
      <c r="AA50" s="115">
        <f t="shared" si="0"/>
        <v>2</v>
      </c>
    </row>
    <row r="51" spans="1:27" ht="12">
      <c r="A51" s="110">
        <v>50</v>
      </c>
      <c r="B51" s="110" t="s">
        <v>199</v>
      </c>
      <c r="C51" s="122"/>
      <c r="E51" s="126"/>
      <c r="H51" s="126"/>
      <c r="K51" s="126"/>
      <c r="N51" s="126"/>
      <c r="Q51" s="126"/>
      <c r="T51" s="126"/>
      <c r="W51" s="126"/>
      <c r="Z51" s="126"/>
      <c r="AA51" s="115">
        <f t="shared" si="0"/>
        <v>0</v>
      </c>
    </row>
    <row r="52" spans="1:27" ht="12">
      <c r="A52" s="110">
        <v>51</v>
      </c>
      <c r="B52" s="110" t="s">
        <v>201</v>
      </c>
      <c r="C52" s="122"/>
      <c r="D52" s="110"/>
      <c r="E52" s="116"/>
      <c r="H52" s="116"/>
      <c r="K52" s="116"/>
      <c r="N52" s="116"/>
      <c r="Q52" s="116"/>
      <c r="T52" s="116"/>
      <c r="W52" s="116"/>
      <c r="Z52" s="116"/>
      <c r="AA52" s="115">
        <f t="shared" si="0"/>
        <v>0</v>
      </c>
    </row>
    <row r="53" spans="1:27" ht="12">
      <c r="A53" s="110">
        <v>52</v>
      </c>
      <c r="B53" s="110" t="s">
        <v>203</v>
      </c>
      <c r="C53" s="122"/>
      <c r="E53" s="126"/>
      <c r="H53" s="126"/>
      <c r="K53" s="126"/>
      <c r="N53" s="126"/>
      <c r="Q53" s="126"/>
      <c r="T53" s="126"/>
      <c r="W53" s="126"/>
      <c r="Z53" s="126"/>
      <c r="AA53" s="115">
        <f t="shared" si="0"/>
        <v>0</v>
      </c>
    </row>
    <row r="54" spans="1:27" ht="108">
      <c r="A54" s="110">
        <v>53</v>
      </c>
      <c r="B54" s="110" t="s">
        <v>206</v>
      </c>
      <c r="C54" s="122" t="s">
        <v>1069</v>
      </c>
      <c r="D54" s="109" t="s">
        <v>1070</v>
      </c>
      <c r="E54" s="126">
        <v>0.5</v>
      </c>
      <c r="F54" s="114" t="s">
        <v>1071</v>
      </c>
      <c r="G54" s="114" t="s">
        <v>1072</v>
      </c>
      <c r="H54" s="126">
        <v>0.5</v>
      </c>
      <c r="K54" s="126"/>
      <c r="N54" s="126"/>
      <c r="Q54" s="126"/>
      <c r="T54" s="126"/>
      <c r="W54" s="126"/>
      <c r="Z54" s="126"/>
      <c r="AA54" s="115">
        <f t="shared" si="0"/>
        <v>1</v>
      </c>
    </row>
    <row r="55" spans="1:27" ht="12">
      <c r="A55" s="110">
        <v>54</v>
      </c>
      <c r="B55" s="110" t="s">
        <v>209</v>
      </c>
      <c r="C55" s="122"/>
      <c r="E55" s="126"/>
      <c r="H55" s="126"/>
      <c r="K55" s="126"/>
      <c r="N55" s="126"/>
      <c r="Q55" s="126"/>
      <c r="T55" s="126"/>
      <c r="W55" s="126"/>
      <c r="Z55" s="126"/>
      <c r="AA55" s="115">
        <f t="shared" si="0"/>
        <v>0</v>
      </c>
    </row>
    <row r="56" spans="1:27" ht="72">
      <c r="A56" s="110">
        <v>55</v>
      </c>
      <c r="B56" s="110" t="s">
        <v>213</v>
      </c>
      <c r="C56" s="110" t="s">
        <v>1073</v>
      </c>
      <c r="D56" s="122" t="s">
        <v>1074</v>
      </c>
      <c r="E56" s="142">
        <v>0.25</v>
      </c>
      <c r="H56" s="142"/>
      <c r="K56" s="142"/>
      <c r="N56" s="142"/>
      <c r="Q56" s="142"/>
      <c r="T56" s="142"/>
      <c r="W56" s="142"/>
      <c r="Z56" s="142"/>
      <c r="AA56" s="115">
        <f t="shared" si="0"/>
        <v>0.25</v>
      </c>
    </row>
    <row r="57" spans="1:27" ht="72">
      <c r="A57" s="110">
        <v>56</v>
      </c>
      <c r="B57" s="110" t="s">
        <v>215</v>
      </c>
      <c r="C57" s="122" t="s">
        <v>1075</v>
      </c>
      <c r="D57" s="110" t="s">
        <v>1076</v>
      </c>
      <c r="E57" s="116">
        <v>0.25</v>
      </c>
      <c r="H57" s="116"/>
      <c r="K57" s="116"/>
      <c r="N57" s="116"/>
      <c r="Q57" s="116"/>
      <c r="T57" s="116"/>
      <c r="W57" s="116"/>
      <c r="Z57" s="116"/>
      <c r="AA57" s="115">
        <f t="shared" si="0"/>
        <v>0.25</v>
      </c>
    </row>
    <row r="58" spans="1:27" ht="12">
      <c r="A58" s="110">
        <v>57</v>
      </c>
      <c r="B58" s="110" t="s">
        <v>218</v>
      </c>
      <c r="C58" s="122"/>
      <c r="E58" s="126"/>
      <c r="H58" s="126"/>
      <c r="K58" s="126"/>
      <c r="N58" s="126"/>
      <c r="Q58" s="126"/>
      <c r="T58" s="126"/>
      <c r="W58" s="126"/>
      <c r="Z58" s="126"/>
      <c r="AA58" s="115">
        <f t="shared" si="0"/>
        <v>0</v>
      </c>
    </row>
    <row r="59" spans="1:27" ht="228">
      <c r="A59" s="110">
        <v>58</v>
      </c>
      <c r="B59" s="110" t="s">
        <v>220</v>
      </c>
      <c r="C59" s="122" t="s">
        <v>1077</v>
      </c>
      <c r="D59" s="110" t="s">
        <v>1078</v>
      </c>
      <c r="E59" s="116"/>
      <c r="F59" s="110" t="s">
        <v>1079</v>
      </c>
      <c r="G59" s="110" t="s">
        <v>1080</v>
      </c>
      <c r="H59" s="116"/>
      <c r="I59" s="110" t="s">
        <v>1081</v>
      </c>
      <c r="J59" s="110" t="s">
        <v>1082</v>
      </c>
      <c r="K59" s="116">
        <v>0.25</v>
      </c>
      <c r="L59" s="114" t="s">
        <v>1083</v>
      </c>
      <c r="M59" s="110" t="s">
        <v>1084</v>
      </c>
      <c r="N59" s="116">
        <v>0.25</v>
      </c>
      <c r="O59" s="110" t="s">
        <v>1085</v>
      </c>
      <c r="P59" s="110" t="s">
        <v>1086</v>
      </c>
      <c r="Q59" s="116">
        <v>0.5</v>
      </c>
      <c r="R59" s="110" t="s">
        <v>896</v>
      </c>
      <c r="S59" s="110" t="s">
        <v>1087</v>
      </c>
      <c r="T59" s="116">
        <v>0.25</v>
      </c>
      <c r="U59" s="114" t="s">
        <v>1088</v>
      </c>
      <c r="V59" s="143" t="s">
        <v>1089</v>
      </c>
      <c r="W59" s="116">
        <v>0.25</v>
      </c>
      <c r="X59" s="114" t="s">
        <v>1090</v>
      </c>
      <c r="Y59" s="109" t="s">
        <v>1091</v>
      </c>
      <c r="Z59" s="116">
        <v>0.5</v>
      </c>
      <c r="AA59" s="115">
        <f t="shared" si="0"/>
        <v>2</v>
      </c>
    </row>
    <row r="60" spans="1:27" ht="96">
      <c r="A60" s="110">
        <v>59</v>
      </c>
      <c r="B60" s="110" t="s">
        <v>222</v>
      </c>
      <c r="C60" s="110" t="s">
        <v>1092</v>
      </c>
      <c r="D60" s="114" t="s">
        <v>1093</v>
      </c>
      <c r="E60" s="116">
        <v>0.5</v>
      </c>
      <c r="H60" s="116"/>
      <c r="K60" s="116"/>
      <c r="N60" s="116"/>
      <c r="Q60" s="116"/>
      <c r="T60" s="116"/>
      <c r="W60" s="116"/>
      <c r="Z60" s="116"/>
      <c r="AA60" s="115">
        <f t="shared" si="0"/>
        <v>0.5</v>
      </c>
    </row>
    <row r="61" spans="1:27" ht="60">
      <c r="A61" s="110">
        <v>60</v>
      </c>
      <c r="B61" s="110" t="s">
        <v>225</v>
      </c>
      <c r="C61" s="122" t="s">
        <v>1094</v>
      </c>
      <c r="D61" s="110" t="s">
        <v>1095</v>
      </c>
      <c r="E61" s="116">
        <v>0.25</v>
      </c>
      <c r="H61" s="116"/>
      <c r="K61" s="116"/>
      <c r="N61" s="116"/>
      <c r="Q61" s="116"/>
      <c r="T61" s="116"/>
      <c r="W61" s="116"/>
      <c r="Z61" s="116"/>
      <c r="AA61" s="115">
        <f t="shared" si="0"/>
        <v>0.25</v>
      </c>
    </row>
    <row r="62" spans="1:27" ht="24">
      <c r="A62" s="110">
        <v>61</v>
      </c>
      <c r="B62" s="110" t="s">
        <v>228</v>
      </c>
      <c r="C62" s="122" t="s">
        <v>1096</v>
      </c>
      <c r="D62" s="110" t="s">
        <v>1091</v>
      </c>
      <c r="E62" s="126">
        <v>0.25</v>
      </c>
      <c r="H62" s="126"/>
      <c r="K62" s="126"/>
      <c r="N62" s="126"/>
      <c r="Q62" s="126"/>
      <c r="T62" s="126"/>
      <c r="W62" s="126"/>
      <c r="Z62" s="126"/>
      <c r="AA62" s="115">
        <f t="shared" si="0"/>
        <v>0.25</v>
      </c>
    </row>
    <row r="63" spans="1:27" ht="48">
      <c r="A63" s="110">
        <v>62</v>
      </c>
      <c r="B63" s="110" t="s">
        <v>229</v>
      </c>
      <c r="C63" s="122" t="s">
        <v>1097</v>
      </c>
      <c r="D63" s="110" t="s">
        <v>1098</v>
      </c>
      <c r="E63" s="116">
        <v>0.25</v>
      </c>
      <c r="H63" s="116"/>
      <c r="K63" s="116"/>
      <c r="N63" s="116"/>
      <c r="Q63" s="116"/>
      <c r="T63" s="116"/>
      <c r="W63" s="116"/>
      <c r="Z63" s="116"/>
      <c r="AA63" s="115">
        <f t="shared" si="0"/>
        <v>0.25</v>
      </c>
    </row>
    <row r="64" spans="1:27" ht="12">
      <c r="A64" s="110">
        <v>63</v>
      </c>
      <c r="B64" s="110" t="s">
        <v>231</v>
      </c>
      <c r="C64" s="122"/>
      <c r="E64" s="126"/>
      <c r="H64" s="126"/>
      <c r="K64" s="126"/>
      <c r="N64" s="126"/>
      <c r="Q64" s="126"/>
      <c r="T64" s="126"/>
      <c r="W64" s="126"/>
      <c r="Z64" s="126"/>
      <c r="AA64" s="115">
        <f t="shared" si="0"/>
        <v>0</v>
      </c>
    </row>
    <row r="65" spans="3:3" ht="12">
      <c r="C65" s="122"/>
    </row>
    <row r="66" spans="3:3" ht="12">
      <c r="C66" s="122"/>
    </row>
    <row r="67" spans="3:3" ht="12">
      <c r="C67" s="122"/>
    </row>
    <row r="68" spans="3:3" ht="12">
      <c r="C68" s="122"/>
    </row>
    <row r="69" spans="3:3" ht="12">
      <c r="C69" s="122"/>
    </row>
    <row r="70" spans="3:3" ht="12">
      <c r="C70" s="122"/>
    </row>
    <row r="71" spans="3:3" ht="12">
      <c r="C71" s="122"/>
    </row>
    <row r="72" spans="3:3" ht="12">
      <c r="C72" s="122"/>
    </row>
    <row r="73" spans="3:3" ht="12">
      <c r="C73" s="122"/>
    </row>
    <row r="74" spans="3:3" ht="12">
      <c r="C74" s="122"/>
    </row>
    <row r="75" spans="3:3" ht="12">
      <c r="C75" s="122"/>
    </row>
    <row r="76" spans="3:3" ht="12">
      <c r="C76" s="122"/>
    </row>
    <row r="77" spans="3:3" ht="12">
      <c r="C77" s="122"/>
    </row>
    <row r="78" spans="3:3" ht="12">
      <c r="C78" s="122"/>
    </row>
    <row r="79" spans="3:3" ht="12">
      <c r="C79" s="122"/>
    </row>
    <row r="80" spans="3:3" ht="12">
      <c r="C80" s="122"/>
    </row>
    <row r="81" spans="3:3" ht="12">
      <c r="C81" s="122"/>
    </row>
    <row r="82" spans="3:3" ht="12">
      <c r="C82" s="122"/>
    </row>
    <row r="83" spans="3:3" ht="12">
      <c r="C83" s="122"/>
    </row>
    <row r="84" spans="3:3" ht="12">
      <c r="C84" s="122"/>
    </row>
    <row r="85" spans="3:3" ht="12">
      <c r="C85" s="122"/>
    </row>
    <row r="86" spans="3:3" ht="12">
      <c r="C86" s="122"/>
    </row>
    <row r="87" spans="3:3" ht="12">
      <c r="C87" s="122"/>
    </row>
    <row r="88" spans="3:3" ht="12">
      <c r="C88" s="144"/>
    </row>
    <row r="89" spans="3:3" ht="12">
      <c r="C89" s="144"/>
    </row>
    <row r="90" spans="3:3" ht="12">
      <c r="C90" s="144"/>
    </row>
    <row r="91" spans="3:3" ht="12">
      <c r="C91" s="144"/>
    </row>
    <row r="92" spans="3:3" ht="12">
      <c r="C92" s="144"/>
    </row>
    <row r="93" spans="3:3" ht="12"/>
    <row r="94" spans="3:3" ht="12"/>
    <row r="95" spans="3:3" ht="12"/>
    <row r="96" spans="3:3" ht="12"/>
    <row r="97" ht="12"/>
    <row r="98" ht="12"/>
    <row r="99" ht="12"/>
    <row r="100" ht="12"/>
  </sheetData>
  <mergeCells count="1">
    <mergeCell ref="I34:I35"/>
  </mergeCells>
  <pageMargins left="0.75" right="0.75" top="1" bottom="1" header="0.5" footer="0.5"/>
  <pageSetup paperSize="9" orientation="portrait" horizontalDpi="300" verticalDpi="3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72"/>
  <sheetViews>
    <sheetView topLeftCell="G1" zoomScale="125" zoomScaleNormal="125" zoomScalePageLayoutView="125" workbookViewId="0">
      <pane ySplit="2" topLeftCell="A52" activePane="bottomLeft" state="frozen"/>
      <selection pane="bottomLeft" activeCell="M55" sqref="M55"/>
    </sheetView>
  </sheetViews>
  <sheetFormatPr baseColWidth="10" defaultColWidth="21.83203125" defaultRowHeight="14" x14ac:dyDescent="0"/>
  <cols>
    <col min="1" max="1" width="21.83203125" style="194"/>
    <col min="2" max="4" width="0" style="194" hidden="1" customWidth="1"/>
    <col min="5" max="5" width="24.5" style="194" hidden="1" customWidth="1"/>
    <col min="6" max="13" width="21.83203125" style="194"/>
    <col min="14" max="14" width="29.1640625" style="194" bestFit="1" customWidth="1"/>
    <col min="15" max="34" width="21.83203125" style="194"/>
    <col min="35" max="35" width="21.83203125" style="200"/>
    <col min="36" max="48" width="21.83203125" style="194"/>
    <col min="49" max="49" width="14.5" style="194" bestFit="1" customWidth="1"/>
    <col min="50" max="16384" width="21.83203125" style="194"/>
  </cols>
  <sheetData>
    <row r="1" spans="1:50">
      <c r="N1" s="194">
        <v>1</v>
      </c>
      <c r="P1" s="194">
        <v>0.25</v>
      </c>
      <c r="R1" s="194">
        <v>0.25</v>
      </c>
      <c r="W1" s="194">
        <v>0.25</v>
      </c>
      <c r="X1" s="194">
        <v>0.25</v>
      </c>
      <c r="Y1" s="194">
        <v>0.25</v>
      </c>
      <c r="Z1" s="194">
        <v>0.5</v>
      </c>
      <c r="AF1" s="194">
        <v>0.25</v>
      </c>
      <c r="AK1" s="194">
        <v>1</v>
      </c>
      <c r="AN1" s="194">
        <v>0.25</v>
      </c>
      <c r="AQ1" s="194">
        <v>0.25</v>
      </c>
      <c r="AS1" s="194">
        <v>0.25</v>
      </c>
      <c r="AU1" s="194">
        <v>0.25</v>
      </c>
      <c r="AW1" s="194">
        <f>SUM(AU1,AS1,AQ1,AN1,AK1,AF1,Z1,,Y1,X1,W1,R1,P1,N1)</f>
        <v>5</v>
      </c>
    </row>
    <row r="2" spans="1:50">
      <c r="A2" s="234" t="s">
        <v>1100</v>
      </c>
      <c r="B2" s="234" t="s">
        <v>1660</v>
      </c>
      <c r="C2" s="234" t="s">
        <v>1405</v>
      </c>
      <c r="D2" s="234" t="s">
        <v>1101</v>
      </c>
      <c r="E2" s="234"/>
      <c r="F2" s="234" t="s">
        <v>3385</v>
      </c>
      <c r="G2" s="234" t="s">
        <v>3386</v>
      </c>
      <c r="H2" s="234" t="s">
        <v>3387</v>
      </c>
      <c r="I2" s="234" t="s">
        <v>3388</v>
      </c>
      <c r="J2" s="234" t="s">
        <v>3389</v>
      </c>
      <c r="K2" s="234" t="s">
        <v>3390</v>
      </c>
      <c r="L2" s="234" t="s">
        <v>3391</v>
      </c>
      <c r="M2" s="234" t="s">
        <v>3392</v>
      </c>
      <c r="N2" s="234" t="s">
        <v>3393</v>
      </c>
      <c r="O2" s="234" t="s">
        <v>3394</v>
      </c>
      <c r="P2" s="234" t="s">
        <v>3395</v>
      </c>
      <c r="Q2" s="234" t="s">
        <v>3396</v>
      </c>
      <c r="R2" s="234" t="s">
        <v>3397</v>
      </c>
      <c r="S2" s="234" t="s">
        <v>3398</v>
      </c>
      <c r="T2" s="234" t="s">
        <v>3399</v>
      </c>
      <c r="U2" s="234" t="s">
        <v>3400</v>
      </c>
      <c r="V2" s="234" t="s">
        <v>3401</v>
      </c>
      <c r="W2" s="234" t="s">
        <v>3402</v>
      </c>
      <c r="X2" s="234" t="s">
        <v>2434</v>
      </c>
      <c r="Y2" s="234" t="s">
        <v>3403</v>
      </c>
      <c r="Z2" s="234" t="s">
        <v>3404</v>
      </c>
      <c r="AA2" s="234" t="s">
        <v>3405</v>
      </c>
      <c r="AB2" s="234" t="s">
        <v>3406</v>
      </c>
      <c r="AC2" s="234" t="s">
        <v>3407</v>
      </c>
      <c r="AD2" s="234" t="s">
        <v>3408</v>
      </c>
      <c r="AE2" s="234" t="s">
        <v>3409</v>
      </c>
      <c r="AF2" s="410" t="s">
        <v>3410</v>
      </c>
      <c r="AG2" s="234" t="s">
        <v>3411</v>
      </c>
      <c r="AH2" s="234" t="s">
        <v>3412</v>
      </c>
      <c r="AI2" s="195" t="s">
        <v>3413</v>
      </c>
      <c r="AJ2" s="234" t="s">
        <v>3414</v>
      </c>
      <c r="AK2" s="234" t="s">
        <v>3415</v>
      </c>
      <c r="AL2" s="234" t="s">
        <v>3416</v>
      </c>
      <c r="AM2" s="234" t="s">
        <v>3417</v>
      </c>
      <c r="AN2" s="234" t="s">
        <v>3418</v>
      </c>
      <c r="AO2" s="234" t="s">
        <v>3419</v>
      </c>
      <c r="AP2" s="234" t="s">
        <v>3420</v>
      </c>
      <c r="AQ2" s="234" t="s">
        <v>3421</v>
      </c>
      <c r="AR2" s="234" t="s">
        <v>3422</v>
      </c>
      <c r="AS2" s="234" t="s">
        <v>3423</v>
      </c>
      <c r="AT2" s="410" t="s">
        <v>3424</v>
      </c>
      <c r="AU2" s="410" t="s">
        <v>3425</v>
      </c>
      <c r="AV2" s="234" t="s">
        <v>3426</v>
      </c>
      <c r="AW2" s="411" t="s">
        <v>3427</v>
      </c>
      <c r="AX2" s="234" t="s">
        <v>1102</v>
      </c>
    </row>
    <row r="3" spans="1:50">
      <c r="A3" s="205">
        <v>1</v>
      </c>
      <c r="B3" s="178" t="s">
        <v>1171</v>
      </c>
      <c r="C3" s="178" t="s">
        <v>63</v>
      </c>
      <c r="D3" s="178" t="s">
        <v>413</v>
      </c>
      <c r="E3" s="205" t="str">
        <f t="shared" ref="E3:E65" si="0">CONCATENATE(C3,D3)</f>
        <v>Alexander McQueenGlobal</v>
      </c>
      <c r="F3" s="178" t="s">
        <v>63</v>
      </c>
      <c r="J3" s="205">
        <v>10</v>
      </c>
      <c r="K3" s="205">
        <v>1</v>
      </c>
      <c r="L3" s="178" t="s">
        <v>3428</v>
      </c>
      <c r="M3" s="208">
        <f>K3/J3</f>
        <v>0.1</v>
      </c>
      <c r="N3" s="205">
        <f>PERCENTRANK($M$3:$M$65,M3,2)</f>
        <v>0.01</v>
      </c>
      <c r="O3" s="178" t="s">
        <v>1174</v>
      </c>
      <c r="P3" s="205">
        <f>IF(O3="Yes",$P$1,0)</f>
        <v>0.25</v>
      </c>
      <c r="Q3" s="178" t="s">
        <v>1174</v>
      </c>
      <c r="R3" s="205">
        <v>0.25</v>
      </c>
      <c r="S3" s="178" t="s">
        <v>3429</v>
      </c>
      <c r="W3" s="178" t="s">
        <v>1176</v>
      </c>
      <c r="X3" s="178" t="s">
        <v>1176</v>
      </c>
      <c r="Y3" s="178" t="s">
        <v>1176</v>
      </c>
      <c r="Z3" s="178" t="s">
        <v>1174</v>
      </c>
      <c r="AA3" s="205">
        <f>IF(W3="Yes",$W$1,0)+IF(X3="Yes",$X$1,0)+IF(Y3="Yes",$Y$1,0)+IF(Z3="Yes",$Z$1,0)</f>
        <v>0.5</v>
      </c>
      <c r="AE3" s="178" t="s">
        <v>1174</v>
      </c>
      <c r="AF3" s="412">
        <f>IF(AE3="Yes",$AF$1,0)</f>
        <v>0.25</v>
      </c>
      <c r="AG3" s="205">
        <v>1</v>
      </c>
      <c r="AH3" s="205">
        <v>5</v>
      </c>
      <c r="AJ3" s="413">
        <v>0.2</v>
      </c>
      <c r="AK3" s="205">
        <v>0.5</v>
      </c>
      <c r="AL3" s="178" t="s">
        <v>1174</v>
      </c>
      <c r="AM3" s="178" t="s">
        <v>1176</v>
      </c>
      <c r="AN3" s="205">
        <v>0</v>
      </c>
      <c r="AO3" s="178" t="s">
        <v>1174</v>
      </c>
      <c r="AP3" s="178" t="s">
        <v>3430</v>
      </c>
      <c r="AQ3" s="194">
        <f>IF(AP3="Yes",$AQ$1,0)</f>
        <v>0</v>
      </c>
      <c r="AR3" s="178" t="s">
        <v>3430</v>
      </c>
      <c r="AS3" s="194">
        <f>IF(AR3="Yes",$AS$1,0)</f>
        <v>0</v>
      </c>
      <c r="AU3" s="194">
        <f>IF(AT3="Yes",$AU$1,0)</f>
        <v>0</v>
      </c>
      <c r="AW3" s="414">
        <f>SUM(AU3,AS3,AQ3,AN3,AK3,AF3,AA3,R3,P3,N3)</f>
        <v>1.76</v>
      </c>
      <c r="AX3" s="178" t="s">
        <v>1747</v>
      </c>
    </row>
    <row r="4" spans="1:50">
      <c r="A4" s="205">
        <v>2</v>
      </c>
      <c r="B4" s="178" t="s">
        <v>1171</v>
      </c>
      <c r="C4" s="178" t="s">
        <v>69</v>
      </c>
      <c r="D4" s="178" t="s">
        <v>74</v>
      </c>
      <c r="E4" s="205" t="str">
        <f t="shared" si="0"/>
        <v>Alfred DunhillUnited States</v>
      </c>
      <c r="F4" s="178" t="s">
        <v>69</v>
      </c>
      <c r="J4" s="205">
        <v>10</v>
      </c>
      <c r="K4" s="205">
        <v>2</v>
      </c>
      <c r="M4" s="208">
        <f t="shared" ref="M4:M65" si="1">K4/J4</f>
        <v>0.2</v>
      </c>
      <c r="N4" s="205">
        <f t="shared" ref="N4:N65" si="2">PERCENTRANK($M$3:$M$65,M4,2)</f>
        <v>0.51</v>
      </c>
      <c r="O4" s="178" t="s">
        <v>1174</v>
      </c>
      <c r="P4" s="205">
        <f t="shared" ref="P4:P65" si="3">IF(O4="Yes",$P$1,0)</f>
        <v>0.25</v>
      </c>
      <c r="Q4" s="178" t="s">
        <v>1174</v>
      </c>
      <c r="R4" s="205">
        <v>0.25</v>
      </c>
      <c r="S4" s="178" t="s">
        <v>3431</v>
      </c>
      <c r="W4" s="178" t="s">
        <v>1176</v>
      </c>
      <c r="X4" s="178" t="s">
        <v>1176</v>
      </c>
      <c r="Y4" s="178" t="s">
        <v>1174</v>
      </c>
      <c r="Z4" s="178" t="s">
        <v>1174</v>
      </c>
      <c r="AA4" s="205">
        <f t="shared" ref="AA4:AA65" si="4">IF(W4="Yes",$W$1,0)+IF(X4="Yes",$X$1,0)+IF(Y4="Yes",$Y$1,0)+IF(Z4="Yes",$Z$1,0)</f>
        <v>0.75</v>
      </c>
      <c r="AE4" s="178" t="s">
        <v>1176</v>
      </c>
      <c r="AF4" s="412">
        <f t="shared" ref="AF4:AF66" si="5">IF(AE4="Yes",$AF$1,0)</f>
        <v>0</v>
      </c>
      <c r="AG4" s="205">
        <v>0</v>
      </c>
      <c r="AH4" s="205">
        <v>5</v>
      </c>
      <c r="AJ4" s="413">
        <v>0</v>
      </c>
      <c r="AK4" s="205">
        <v>0</v>
      </c>
      <c r="AL4" s="178" t="s">
        <v>1176</v>
      </c>
      <c r="AM4" s="178" t="s">
        <v>1176</v>
      </c>
      <c r="AN4" s="205">
        <v>0</v>
      </c>
      <c r="AO4" s="178" t="s">
        <v>1176</v>
      </c>
      <c r="AP4" s="178" t="s">
        <v>3432</v>
      </c>
      <c r="AQ4" s="194">
        <f t="shared" ref="AQ4:AQ65" si="6">IF(AP4="Yes",$AQ$1,0)</f>
        <v>0</v>
      </c>
      <c r="AR4" s="415" t="s">
        <v>3430</v>
      </c>
      <c r="AS4" s="194">
        <f t="shared" ref="AS4:AS65" si="7">IF(AR4="Yes",$AS$1,0)</f>
        <v>0</v>
      </c>
      <c r="AU4" s="194">
        <f t="shared" ref="AU4:AU65" si="8">IF(AT4="Yes",$AU$1,0)</f>
        <v>0</v>
      </c>
      <c r="AW4" s="414">
        <f t="shared" ref="AW4:AW65" si="9">SUM(AU4,AS4,AQ4,AN4,AK4,AF4,AA4,R4,P4,N4)</f>
        <v>1.76</v>
      </c>
      <c r="AX4" s="178" t="s">
        <v>1182</v>
      </c>
    </row>
    <row r="5" spans="1:50">
      <c r="A5" s="205">
        <v>3</v>
      </c>
      <c r="B5" s="178" t="s">
        <v>1171</v>
      </c>
      <c r="C5" s="178" t="s">
        <v>72</v>
      </c>
      <c r="D5" s="178" t="s">
        <v>413</v>
      </c>
      <c r="E5" s="205" t="str">
        <f t="shared" si="0"/>
        <v>Badgley MischkaGlobal</v>
      </c>
      <c r="F5" s="178" t="s">
        <v>72</v>
      </c>
      <c r="J5" s="205">
        <v>10</v>
      </c>
      <c r="K5" s="205">
        <v>2</v>
      </c>
      <c r="L5" s="178" t="s">
        <v>3433</v>
      </c>
      <c r="M5" s="208">
        <f t="shared" si="1"/>
        <v>0.2</v>
      </c>
      <c r="N5" s="205">
        <f t="shared" si="2"/>
        <v>0.51</v>
      </c>
      <c r="O5" s="178" t="s">
        <v>1174</v>
      </c>
      <c r="P5" s="205">
        <f t="shared" si="3"/>
        <v>0.25</v>
      </c>
      <c r="Q5" s="178" t="s">
        <v>1174</v>
      </c>
      <c r="R5" s="205">
        <v>0.25</v>
      </c>
      <c r="S5" s="178" t="s">
        <v>3429</v>
      </c>
      <c r="W5" s="178" t="s">
        <v>1176</v>
      </c>
      <c r="X5" s="178" t="s">
        <v>1176</v>
      </c>
      <c r="Y5" s="178" t="s">
        <v>1176</v>
      </c>
      <c r="Z5" s="178" t="s">
        <v>1174</v>
      </c>
      <c r="AA5" s="205">
        <f t="shared" si="4"/>
        <v>0.5</v>
      </c>
      <c r="AE5" s="178" t="s">
        <v>1176</v>
      </c>
      <c r="AF5" s="412">
        <f t="shared" si="5"/>
        <v>0</v>
      </c>
      <c r="AG5" s="205">
        <v>0</v>
      </c>
      <c r="AH5" s="205">
        <v>11</v>
      </c>
      <c r="AJ5" s="413">
        <v>0</v>
      </c>
      <c r="AK5" s="205">
        <v>0</v>
      </c>
      <c r="AL5" s="178" t="s">
        <v>1176</v>
      </c>
      <c r="AM5" s="178" t="s">
        <v>1176</v>
      </c>
      <c r="AN5" s="205">
        <v>0</v>
      </c>
      <c r="AO5" s="178" t="s">
        <v>1176</v>
      </c>
      <c r="AP5" s="178" t="s">
        <v>3434</v>
      </c>
      <c r="AQ5" s="194">
        <f t="shared" si="6"/>
        <v>0</v>
      </c>
      <c r="AR5" s="415" t="s">
        <v>3430</v>
      </c>
      <c r="AS5" s="194">
        <f t="shared" si="7"/>
        <v>0</v>
      </c>
      <c r="AU5" s="194">
        <f t="shared" si="8"/>
        <v>0</v>
      </c>
      <c r="AW5" s="414">
        <f t="shared" si="9"/>
        <v>1.51</v>
      </c>
      <c r="AX5" s="178" t="s">
        <v>1184</v>
      </c>
    </row>
    <row r="6" spans="1:50">
      <c r="A6" s="205">
        <v>4</v>
      </c>
      <c r="B6" s="178" t="s">
        <v>1171</v>
      </c>
      <c r="C6" s="178" t="s">
        <v>78</v>
      </c>
      <c r="D6" s="178" t="s">
        <v>74</v>
      </c>
      <c r="E6" s="205" t="str">
        <f t="shared" si="0"/>
        <v>BalenciagaUnited States</v>
      </c>
      <c r="F6" s="178" t="s">
        <v>78</v>
      </c>
      <c r="J6" s="205">
        <v>10</v>
      </c>
      <c r="K6" s="205">
        <v>1</v>
      </c>
      <c r="L6" s="178" t="s">
        <v>3435</v>
      </c>
      <c r="M6" s="208">
        <f t="shared" si="1"/>
        <v>0.1</v>
      </c>
      <c r="N6" s="205">
        <f t="shared" si="2"/>
        <v>0.01</v>
      </c>
      <c r="O6" s="178" t="s">
        <v>1174</v>
      </c>
      <c r="P6" s="205">
        <f t="shared" si="3"/>
        <v>0.25</v>
      </c>
      <c r="Q6" s="178" t="s">
        <v>1174</v>
      </c>
      <c r="R6" s="205">
        <v>0.25</v>
      </c>
      <c r="S6" s="178" t="s">
        <v>3436</v>
      </c>
      <c r="W6" s="178" t="s">
        <v>1176</v>
      </c>
      <c r="X6" s="178" t="s">
        <v>1176</v>
      </c>
      <c r="Y6" s="178" t="s">
        <v>1174</v>
      </c>
      <c r="Z6" s="178" t="s">
        <v>1174</v>
      </c>
      <c r="AA6" s="205">
        <f t="shared" si="4"/>
        <v>0.75</v>
      </c>
      <c r="AE6" s="178" t="s">
        <v>1174</v>
      </c>
      <c r="AF6" s="412">
        <f t="shared" si="5"/>
        <v>0.25</v>
      </c>
      <c r="AG6" s="205">
        <v>1</v>
      </c>
      <c r="AH6" s="205">
        <v>5</v>
      </c>
      <c r="AJ6" s="413">
        <v>0.2</v>
      </c>
      <c r="AK6" s="205">
        <v>0.5</v>
      </c>
      <c r="AL6" s="178" t="s">
        <v>1174</v>
      </c>
      <c r="AM6" s="178" t="s">
        <v>1176</v>
      </c>
      <c r="AN6" s="205">
        <v>0</v>
      </c>
      <c r="AO6" s="178" t="s">
        <v>1174</v>
      </c>
      <c r="AP6" s="178" t="s">
        <v>3437</v>
      </c>
      <c r="AQ6" s="194">
        <f t="shared" si="6"/>
        <v>0</v>
      </c>
      <c r="AR6" s="178" t="s">
        <v>3430</v>
      </c>
      <c r="AS6" s="194">
        <f t="shared" si="7"/>
        <v>0</v>
      </c>
      <c r="AU6" s="194">
        <f t="shared" si="8"/>
        <v>0</v>
      </c>
      <c r="AW6" s="414">
        <f t="shared" si="9"/>
        <v>2.0099999999999998</v>
      </c>
      <c r="AX6" s="178" t="s">
        <v>1752</v>
      </c>
    </row>
    <row r="7" spans="1:50">
      <c r="A7" s="205">
        <v>5</v>
      </c>
      <c r="B7" s="178" t="s">
        <v>1171</v>
      </c>
      <c r="C7" s="178" t="s">
        <v>82</v>
      </c>
      <c r="D7" s="178" t="s">
        <v>413</v>
      </c>
      <c r="E7" s="205" t="str">
        <f t="shared" si="0"/>
        <v>BallyGlobal</v>
      </c>
      <c r="F7" s="178" t="s">
        <v>2615</v>
      </c>
      <c r="J7" s="205">
        <v>10</v>
      </c>
      <c r="K7" s="205">
        <v>1</v>
      </c>
      <c r="L7" s="178" t="s">
        <v>3438</v>
      </c>
      <c r="M7" s="208">
        <f t="shared" si="1"/>
        <v>0.1</v>
      </c>
      <c r="N7" s="205">
        <f t="shared" si="2"/>
        <v>0.01</v>
      </c>
      <c r="O7" s="178" t="s">
        <v>1174</v>
      </c>
      <c r="P7" s="205">
        <f t="shared" si="3"/>
        <v>0.25</v>
      </c>
      <c r="Q7" s="178" t="s">
        <v>1176</v>
      </c>
      <c r="R7" s="205">
        <v>0</v>
      </c>
      <c r="W7" s="178" t="s">
        <v>1176</v>
      </c>
      <c r="X7" s="178" t="s">
        <v>1176</v>
      </c>
      <c r="Y7" s="178" t="s">
        <v>1176</v>
      </c>
      <c r="Z7" s="178" t="s">
        <v>1174</v>
      </c>
      <c r="AA7" s="205">
        <f t="shared" si="4"/>
        <v>0.5</v>
      </c>
      <c r="AE7" s="178" t="s">
        <v>1174</v>
      </c>
      <c r="AF7" s="412">
        <f t="shared" si="5"/>
        <v>0.25</v>
      </c>
      <c r="AG7" s="205">
        <v>1</v>
      </c>
      <c r="AH7" s="205">
        <v>11</v>
      </c>
      <c r="AJ7" s="413">
        <v>9.0909090909090898E-2</v>
      </c>
      <c r="AK7" s="205">
        <v>0.5</v>
      </c>
      <c r="AL7" s="178" t="s">
        <v>1174</v>
      </c>
      <c r="AM7" s="178" t="s">
        <v>1176</v>
      </c>
      <c r="AN7" s="205">
        <v>0</v>
      </c>
      <c r="AO7" s="178" t="s">
        <v>1174</v>
      </c>
      <c r="AP7" s="178" t="s">
        <v>3430</v>
      </c>
      <c r="AQ7" s="194">
        <f t="shared" si="6"/>
        <v>0</v>
      </c>
      <c r="AR7" s="178" t="s">
        <v>3430</v>
      </c>
      <c r="AS7" s="194">
        <f t="shared" si="7"/>
        <v>0</v>
      </c>
      <c r="AU7" s="194">
        <f t="shared" si="8"/>
        <v>0</v>
      </c>
      <c r="AW7" s="414">
        <f t="shared" si="9"/>
        <v>1.51</v>
      </c>
      <c r="AX7" s="178" t="s">
        <v>1758</v>
      </c>
    </row>
    <row r="8" spans="1:50">
      <c r="A8" s="205">
        <v>6</v>
      </c>
      <c r="B8" s="178" t="s">
        <v>1171</v>
      </c>
      <c r="C8" s="178" t="s">
        <v>87</v>
      </c>
      <c r="D8" s="178" t="s">
        <v>413</v>
      </c>
      <c r="E8" s="205" t="str">
        <f t="shared" si="0"/>
        <v>BelstaffGlobal</v>
      </c>
      <c r="F8" s="178" t="s">
        <v>87</v>
      </c>
      <c r="J8" s="205">
        <v>10</v>
      </c>
      <c r="K8" s="205">
        <v>2</v>
      </c>
      <c r="L8" s="178" t="s">
        <v>3439</v>
      </c>
      <c r="M8" s="208">
        <f t="shared" si="1"/>
        <v>0.2</v>
      </c>
      <c r="N8" s="205">
        <f t="shared" si="2"/>
        <v>0.51</v>
      </c>
      <c r="O8" s="178" t="s">
        <v>1174</v>
      </c>
      <c r="P8" s="205">
        <f t="shared" si="3"/>
        <v>0.25</v>
      </c>
      <c r="Q8" s="178" t="s">
        <v>1176</v>
      </c>
      <c r="R8" s="205">
        <v>0</v>
      </c>
      <c r="W8" s="178" t="s">
        <v>1176</v>
      </c>
      <c r="X8" s="178" t="s">
        <v>1176</v>
      </c>
      <c r="Y8" s="178" t="s">
        <v>1176</v>
      </c>
      <c r="Z8" s="178" t="s">
        <v>1176</v>
      </c>
      <c r="AA8" s="205">
        <f t="shared" si="4"/>
        <v>0</v>
      </c>
      <c r="AE8" s="178" t="s">
        <v>1176</v>
      </c>
      <c r="AF8" s="412">
        <f t="shared" si="5"/>
        <v>0</v>
      </c>
      <c r="AG8" s="205">
        <v>0</v>
      </c>
      <c r="AH8" s="205">
        <v>3</v>
      </c>
      <c r="AJ8" s="413">
        <v>0</v>
      </c>
      <c r="AK8" s="205">
        <v>0</v>
      </c>
      <c r="AL8" s="178" t="s">
        <v>1176</v>
      </c>
      <c r="AM8" s="178" t="s">
        <v>1176</v>
      </c>
      <c r="AN8" s="205">
        <v>0</v>
      </c>
      <c r="AO8" s="178" t="s">
        <v>1176</v>
      </c>
      <c r="AP8" s="415" t="s">
        <v>3430</v>
      </c>
      <c r="AQ8" s="194">
        <f t="shared" si="6"/>
        <v>0</v>
      </c>
      <c r="AR8" s="415" t="s">
        <v>3430</v>
      </c>
      <c r="AS8" s="194">
        <f t="shared" si="7"/>
        <v>0</v>
      </c>
      <c r="AU8" s="194">
        <f t="shared" si="8"/>
        <v>0</v>
      </c>
      <c r="AW8" s="414">
        <f t="shared" si="9"/>
        <v>0.76</v>
      </c>
      <c r="AX8" s="178" t="s">
        <v>88</v>
      </c>
    </row>
    <row r="9" spans="1:50">
      <c r="A9" s="205">
        <v>7</v>
      </c>
      <c r="B9" s="178" t="s">
        <v>1171</v>
      </c>
      <c r="C9" s="178" t="s">
        <v>90</v>
      </c>
      <c r="D9" s="178" t="s">
        <v>413</v>
      </c>
      <c r="E9" s="205" t="str">
        <f t="shared" si="0"/>
        <v>Bottega VenetaGlobal</v>
      </c>
      <c r="F9" s="178" t="s">
        <v>90</v>
      </c>
      <c r="J9" s="205">
        <v>10</v>
      </c>
      <c r="K9" s="205">
        <v>2</v>
      </c>
      <c r="L9" s="178" t="s">
        <v>3440</v>
      </c>
      <c r="M9" s="208">
        <f t="shared" si="1"/>
        <v>0.2</v>
      </c>
      <c r="N9" s="205">
        <f t="shared" si="2"/>
        <v>0.51</v>
      </c>
      <c r="O9" s="178" t="s">
        <v>1174</v>
      </c>
      <c r="P9" s="205">
        <f t="shared" si="3"/>
        <v>0.25</v>
      </c>
      <c r="Q9" s="178" t="s">
        <v>1174</v>
      </c>
      <c r="R9" s="205">
        <v>0.25</v>
      </c>
      <c r="S9" s="178" t="s">
        <v>3429</v>
      </c>
      <c r="W9" s="178" t="s">
        <v>1176</v>
      </c>
      <c r="X9" s="178" t="s">
        <v>1176</v>
      </c>
      <c r="Y9" s="178" t="s">
        <v>1176</v>
      </c>
      <c r="Z9" s="178" t="s">
        <v>1174</v>
      </c>
      <c r="AA9" s="205">
        <f t="shared" si="4"/>
        <v>0.5</v>
      </c>
      <c r="AE9" s="178" t="s">
        <v>1174</v>
      </c>
      <c r="AF9" s="412">
        <f t="shared" si="5"/>
        <v>0.25</v>
      </c>
      <c r="AG9" s="205">
        <v>1</v>
      </c>
      <c r="AH9" s="205">
        <v>9</v>
      </c>
      <c r="AJ9" s="413">
        <v>0.1111111111111111</v>
      </c>
      <c r="AK9" s="205">
        <v>0.5</v>
      </c>
      <c r="AL9" s="178" t="s">
        <v>1174</v>
      </c>
      <c r="AM9" s="178" t="s">
        <v>1176</v>
      </c>
      <c r="AN9" s="205">
        <v>0</v>
      </c>
      <c r="AO9" s="178" t="s">
        <v>1174</v>
      </c>
      <c r="AP9" s="178" t="s">
        <v>3441</v>
      </c>
      <c r="AQ9" s="194">
        <f t="shared" si="6"/>
        <v>0</v>
      </c>
      <c r="AR9" s="178" t="s">
        <v>3430</v>
      </c>
      <c r="AS9" s="194">
        <f t="shared" si="7"/>
        <v>0</v>
      </c>
      <c r="AT9" s="194" t="s">
        <v>3442</v>
      </c>
      <c r="AU9" s="194">
        <f t="shared" si="8"/>
        <v>0.25</v>
      </c>
      <c r="AW9" s="414">
        <f t="shared" si="9"/>
        <v>2.5099999999999998</v>
      </c>
      <c r="AX9" s="178" t="s">
        <v>1195</v>
      </c>
    </row>
    <row r="10" spans="1:50">
      <c r="A10" s="205">
        <v>8</v>
      </c>
      <c r="B10" s="178" t="s">
        <v>1171</v>
      </c>
      <c r="C10" s="178" t="s">
        <v>93</v>
      </c>
      <c r="D10" s="178" t="s">
        <v>413</v>
      </c>
      <c r="E10" s="205" t="str">
        <f t="shared" si="0"/>
        <v>BurberryGlobal</v>
      </c>
      <c r="F10" s="178" t="s">
        <v>93</v>
      </c>
      <c r="J10" s="205">
        <v>10</v>
      </c>
      <c r="K10" s="205">
        <v>1</v>
      </c>
      <c r="L10" s="178" t="s">
        <v>3443</v>
      </c>
      <c r="M10" s="208">
        <f t="shared" si="1"/>
        <v>0.1</v>
      </c>
      <c r="N10" s="205">
        <f t="shared" si="2"/>
        <v>0.01</v>
      </c>
      <c r="O10" s="178" t="s">
        <v>1174</v>
      </c>
      <c r="P10" s="205">
        <f t="shared" si="3"/>
        <v>0.25</v>
      </c>
      <c r="Q10" s="178" t="s">
        <v>1174</v>
      </c>
      <c r="R10" s="205">
        <v>0.25</v>
      </c>
      <c r="S10" s="178" t="s">
        <v>3436</v>
      </c>
      <c r="W10" s="178" t="s">
        <v>1176</v>
      </c>
      <c r="X10" s="178" t="s">
        <v>1176</v>
      </c>
      <c r="Y10" s="178" t="s">
        <v>1174</v>
      </c>
      <c r="Z10" s="178" t="s">
        <v>1174</v>
      </c>
      <c r="AA10" s="205">
        <f t="shared" si="4"/>
        <v>0.75</v>
      </c>
      <c r="AE10" s="178" t="s">
        <v>1174</v>
      </c>
      <c r="AF10" s="412">
        <f t="shared" si="5"/>
        <v>0.25</v>
      </c>
      <c r="AG10" s="205">
        <v>1</v>
      </c>
      <c r="AH10" s="205">
        <v>6</v>
      </c>
      <c r="AJ10" s="413">
        <v>0.16666666666666671</v>
      </c>
      <c r="AK10" s="205">
        <v>0.5</v>
      </c>
      <c r="AL10" s="178" t="s">
        <v>1174</v>
      </c>
      <c r="AM10" s="178" t="s">
        <v>1176</v>
      </c>
      <c r="AN10" s="205">
        <v>0</v>
      </c>
      <c r="AO10" s="178" t="s">
        <v>1174</v>
      </c>
      <c r="AP10" s="178" t="s">
        <v>3444</v>
      </c>
      <c r="AQ10" s="194">
        <f t="shared" si="6"/>
        <v>0</v>
      </c>
      <c r="AR10" s="178" t="s">
        <v>3444</v>
      </c>
      <c r="AS10" s="194">
        <f t="shared" si="7"/>
        <v>0</v>
      </c>
      <c r="AU10" s="194">
        <f t="shared" si="8"/>
        <v>0</v>
      </c>
      <c r="AV10" s="194" t="s">
        <v>3445</v>
      </c>
      <c r="AW10" s="414">
        <f t="shared" si="9"/>
        <v>2.0099999999999998</v>
      </c>
      <c r="AX10" s="178" t="s">
        <v>1761</v>
      </c>
    </row>
    <row r="11" spans="1:50" ht="28">
      <c r="A11" s="205">
        <v>9</v>
      </c>
      <c r="B11" s="178" t="s">
        <v>1171</v>
      </c>
      <c r="C11" s="178" t="s">
        <v>96</v>
      </c>
      <c r="D11" s="178" t="s">
        <v>413</v>
      </c>
      <c r="E11" s="205" t="str">
        <f t="shared" si="0"/>
        <v>Calvin KleinGlobal</v>
      </c>
      <c r="F11" s="178" t="s">
        <v>96</v>
      </c>
      <c r="J11" s="205">
        <v>9</v>
      </c>
      <c r="K11" s="205">
        <v>3</v>
      </c>
      <c r="M11" s="208">
        <f t="shared" si="1"/>
        <v>0.33333333333333331</v>
      </c>
      <c r="N11" s="205">
        <f t="shared" si="2"/>
        <v>0.91</v>
      </c>
      <c r="O11" s="178" t="s">
        <v>1174</v>
      </c>
      <c r="P11" s="205">
        <f t="shared" si="3"/>
        <v>0.25</v>
      </c>
      <c r="Q11" s="178" t="s">
        <v>1176</v>
      </c>
      <c r="R11" s="205">
        <v>0</v>
      </c>
      <c r="W11" s="178" t="s">
        <v>1176</v>
      </c>
      <c r="X11" s="178" t="s">
        <v>1176</v>
      </c>
      <c r="Y11" s="178" t="s">
        <v>1174</v>
      </c>
      <c r="Z11" s="178" t="s">
        <v>1174</v>
      </c>
      <c r="AA11" s="205">
        <f t="shared" si="4"/>
        <v>0.75</v>
      </c>
      <c r="AE11" s="178" t="s">
        <v>1174</v>
      </c>
      <c r="AF11" s="412">
        <f t="shared" si="5"/>
        <v>0.25</v>
      </c>
      <c r="AG11" s="205">
        <v>1</v>
      </c>
      <c r="AH11" s="205">
        <v>3</v>
      </c>
      <c r="AI11" s="207" t="s">
        <v>3446</v>
      </c>
      <c r="AJ11" s="413">
        <v>0.33333333333333331</v>
      </c>
      <c r="AK11" s="205">
        <v>0.5</v>
      </c>
      <c r="AL11" s="178" t="s">
        <v>1174</v>
      </c>
      <c r="AM11" s="178" t="s">
        <v>1176</v>
      </c>
      <c r="AN11" s="205">
        <v>0</v>
      </c>
      <c r="AO11" s="178" t="s">
        <v>1174</v>
      </c>
      <c r="AP11" s="415" t="s">
        <v>3430</v>
      </c>
      <c r="AQ11" s="194">
        <f t="shared" si="6"/>
        <v>0</v>
      </c>
      <c r="AR11" s="415" t="s">
        <v>3430</v>
      </c>
      <c r="AS11" s="194">
        <f t="shared" si="7"/>
        <v>0</v>
      </c>
      <c r="AT11" s="194" t="s">
        <v>3442</v>
      </c>
      <c r="AU11" s="194">
        <f t="shared" si="8"/>
        <v>0.25</v>
      </c>
      <c r="AW11" s="414">
        <f t="shared" si="9"/>
        <v>2.91</v>
      </c>
      <c r="AX11" s="178" t="s">
        <v>1202</v>
      </c>
    </row>
    <row r="12" spans="1:50">
      <c r="A12" s="205">
        <v>10</v>
      </c>
      <c r="B12" s="178" t="s">
        <v>1171</v>
      </c>
      <c r="C12" s="178" t="s">
        <v>100</v>
      </c>
      <c r="D12" s="178" t="s">
        <v>413</v>
      </c>
      <c r="E12" s="205" t="str">
        <f t="shared" si="0"/>
        <v>Catherine MalandrinoGlobal</v>
      </c>
      <c r="F12" s="178" t="s">
        <v>100</v>
      </c>
      <c r="J12" s="205">
        <v>10</v>
      </c>
      <c r="K12" s="205">
        <v>1</v>
      </c>
      <c r="L12" s="178" t="s">
        <v>3447</v>
      </c>
      <c r="M12" s="208">
        <f t="shared" si="1"/>
        <v>0.1</v>
      </c>
      <c r="N12" s="205">
        <f t="shared" si="2"/>
        <v>0.01</v>
      </c>
      <c r="O12" s="178" t="s">
        <v>1174</v>
      </c>
      <c r="P12" s="205">
        <f t="shared" si="3"/>
        <v>0.25</v>
      </c>
      <c r="Q12" s="178" t="s">
        <v>1174</v>
      </c>
      <c r="R12" s="205">
        <v>0.25</v>
      </c>
      <c r="S12" s="178" t="s">
        <v>3429</v>
      </c>
      <c r="W12" s="178" t="s">
        <v>1176</v>
      </c>
      <c r="X12" s="178" t="s">
        <v>1176</v>
      </c>
      <c r="Y12" s="178" t="s">
        <v>1176</v>
      </c>
      <c r="Z12" s="178" t="s">
        <v>1174</v>
      </c>
      <c r="AA12" s="205">
        <f t="shared" si="4"/>
        <v>0.5</v>
      </c>
      <c r="AE12" s="178" t="s">
        <v>1176</v>
      </c>
      <c r="AF12" s="412">
        <f t="shared" si="5"/>
        <v>0</v>
      </c>
      <c r="AG12" s="205">
        <v>0</v>
      </c>
      <c r="AH12" s="205">
        <v>11</v>
      </c>
      <c r="AJ12" s="413">
        <v>0</v>
      </c>
      <c r="AK12" s="205">
        <v>0</v>
      </c>
      <c r="AL12" s="178" t="s">
        <v>1176</v>
      </c>
      <c r="AM12" s="178" t="s">
        <v>1176</v>
      </c>
      <c r="AN12" s="205">
        <v>0</v>
      </c>
      <c r="AO12" s="178" t="s">
        <v>1176</v>
      </c>
      <c r="AP12" s="178" t="s">
        <v>3448</v>
      </c>
      <c r="AQ12" s="194">
        <f t="shared" si="6"/>
        <v>0</v>
      </c>
      <c r="AR12" s="178" t="s">
        <v>3448</v>
      </c>
      <c r="AS12" s="194">
        <f t="shared" si="7"/>
        <v>0</v>
      </c>
      <c r="AU12" s="194">
        <f t="shared" si="8"/>
        <v>0</v>
      </c>
      <c r="AW12" s="414">
        <f t="shared" si="9"/>
        <v>1.01</v>
      </c>
      <c r="AX12" s="178" t="s">
        <v>1204</v>
      </c>
    </row>
    <row r="13" spans="1:50">
      <c r="A13" s="205">
        <v>11</v>
      </c>
      <c r="B13" s="178" t="s">
        <v>1171</v>
      </c>
      <c r="C13" s="178" t="s">
        <v>102</v>
      </c>
      <c r="D13" s="178" t="s">
        <v>413</v>
      </c>
      <c r="E13" s="205" t="str">
        <f t="shared" si="0"/>
        <v>ChanelGlobal</v>
      </c>
      <c r="F13" s="178" t="s">
        <v>102</v>
      </c>
      <c r="J13" s="205">
        <v>10</v>
      </c>
      <c r="K13" s="205">
        <v>1</v>
      </c>
      <c r="M13" s="208">
        <f t="shared" si="1"/>
        <v>0.1</v>
      </c>
      <c r="N13" s="205">
        <f t="shared" si="2"/>
        <v>0.01</v>
      </c>
      <c r="O13" s="178" t="s">
        <v>1174</v>
      </c>
      <c r="P13" s="205">
        <f t="shared" si="3"/>
        <v>0.25</v>
      </c>
      <c r="Q13" s="178" t="s">
        <v>1174</v>
      </c>
      <c r="R13" s="205">
        <v>0.25</v>
      </c>
      <c r="S13" s="178" t="s">
        <v>3436</v>
      </c>
      <c r="W13" s="178" t="s">
        <v>1176</v>
      </c>
      <c r="X13" s="178" t="s">
        <v>1176</v>
      </c>
      <c r="Y13" s="178" t="s">
        <v>1174</v>
      </c>
      <c r="Z13" s="178" t="s">
        <v>1176</v>
      </c>
      <c r="AA13" s="205">
        <f t="shared" si="4"/>
        <v>0.25</v>
      </c>
      <c r="AE13" s="178" t="s">
        <v>1174</v>
      </c>
      <c r="AF13" s="412">
        <f t="shared" si="5"/>
        <v>0.25</v>
      </c>
      <c r="AG13" s="205">
        <v>1</v>
      </c>
      <c r="AH13" s="205">
        <v>3</v>
      </c>
      <c r="AJ13" s="413">
        <v>0.33333333333333331</v>
      </c>
      <c r="AK13" s="205">
        <v>0.5</v>
      </c>
      <c r="AL13" s="178" t="s">
        <v>1174</v>
      </c>
      <c r="AM13" s="178" t="s">
        <v>1176</v>
      </c>
      <c r="AN13" s="205">
        <v>0</v>
      </c>
      <c r="AO13" s="178" t="s">
        <v>1174</v>
      </c>
      <c r="AP13" s="178" t="s">
        <v>3430</v>
      </c>
      <c r="AQ13" s="194">
        <f t="shared" si="6"/>
        <v>0</v>
      </c>
      <c r="AR13" s="178" t="s">
        <v>3430</v>
      </c>
      <c r="AS13" s="194">
        <f t="shared" si="7"/>
        <v>0</v>
      </c>
      <c r="AU13" s="194">
        <f t="shared" si="8"/>
        <v>0</v>
      </c>
      <c r="AW13" s="414">
        <f t="shared" si="9"/>
        <v>1.51</v>
      </c>
      <c r="AX13" s="178" t="s">
        <v>1207</v>
      </c>
    </row>
    <row r="14" spans="1:50">
      <c r="A14" s="205">
        <v>12</v>
      </c>
      <c r="B14" s="178" t="s">
        <v>1171</v>
      </c>
      <c r="C14" s="178" t="s">
        <v>104</v>
      </c>
      <c r="D14" s="178" t="s">
        <v>413</v>
      </c>
      <c r="E14" s="205" t="str">
        <f t="shared" si="0"/>
        <v>ChloeGlobal</v>
      </c>
      <c r="F14" s="178" t="s">
        <v>2616</v>
      </c>
      <c r="J14" s="205">
        <v>10</v>
      </c>
      <c r="K14" s="205">
        <v>1</v>
      </c>
      <c r="L14" s="178" t="s">
        <v>3433</v>
      </c>
      <c r="M14" s="208">
        <f t="shared" si="1"/>
        <v>0.1</v>
      </c>
      <c r="N14" s="205">
        <f t="shared" si="2"/>
        <v>0.01</v>
      </c>
      <c r="O14" s="178" t="s">
        <v>1174</v>
      </c>
      <c r="P14" s="205">
        <f t="shared" si="3"/>
        <v>0.25</v>
      </c>
      <c r="Q14" s="178" t="s">
        <v>1176</v>
      </c>
      <c r="R14" s="205">
        <v>0</v>
      </c>
      <c r="W14" s="178" t="s">
        <v>1176</v>
      </c>
      <c r="X14" s="178" t="s">
        <v>1176</v>
      </c>
      <c r="Y14" s="178" t="s">
        <v>1176</v>
      </c>
      <c r="Z14" s="178" t="s">
        <v>1176</v>
      </c>
      <c r="AA14" s="205">
        <f t="shared" si="4"/>
        <v>0</v>
      </c>
      <c r="AE14" s="178" t="s">
        <v>1176</v>
      </c>
      <c r="AF14" s="412">
        <f t="shared" si="5"/>
        <v>0</v>
      </c>
      <c r="AG14" s="205">
        <v>0</v>
      </c>
      <c r="AH14" s="205">
        <v>11</v>
      </c>
      <c r="AJ14" s="413">
        <v>0</v>
      </c>
      <c r="AK14" s="205">
        <v>0</v>
      </c>
      <c r="AL14" s="178" t="s">
        <v>1176</v>
      </c>
      <c r="AM14" s="178" t="s">
        <v>1176</v>
      </c>
      <c r="AN14" s="205">
        <v>0</v>
      </c>
      <c r="AO14" s="178" t="s">
        <v>1176</v>
      </c>
      <c r="AP14" s="178" t="s">
        <v>3430</v>
      </c>
      <c r="AQ14" s="194">
        <f t="shared" si="6"/>
        <v>0</v>
      </c>
      <c r="AR14" s="178" t="s">
        <v>3430</v>
      </c>
      <c r="AS14" s="194">
        <f t="shared" si="7"/>
        <v>0</v>
      </c>
      <c r="AU14" s="194">
        <f t="shared" si="8"/>
        <v>0</v>
      </c>
      <c r="AW14" s="414">
        <f t="shared" si="9"/>
        <v>0.26</v>
      </c>
      <c r="AX14" s="178" t="s">
        <v>1210</v>
      </c>
    </row>
    <row r="15" spans="1:50" ht="42">
      <c r="A15" s="205">
        <v>13</v>
      </c>
      <c r="B15" s="178" t="s">
        <v>1171</v>
      </c>
      <c r="C15" s="178" t="s">
        <v>106</v>
      </c>
      <c r="D15" s="178" t="s">
        <v>413</v>
      </c>
      <c r="E15" s="205" t="str">
        <f t="shared" si="0"/>
        <v>Christian DiorGlobal</v>
      </c>
      <c r="F15" s="178" t="s">
        <v>1494</v>
      </c>
      <c r="J15" s="205">
        <v>10</v>
      </c>
      <c r="K15" s="205">
        <v>1</v>
      </c>
      <c r="L15" s="178" t="s">
        <v>3449</v>
      </c>
      <c r="M15" s="208">
        <f t="shared" si="1"/>
        <v>0.1</v>
      </c>
      <c r="N15" s="205">
        <f t="shared" si="2"/>
        <v>0.01</v>
      </c>
      <c r="O15" s="178" t="s">
        <v>1174</v>
      </c>
      <c r="P15" s="205">
        <f t="shared" si="3"/>
        <v>0.25</v>
      </c>
      <c r="Q15" s="178" t="s">
        <v>1174</v>
      </c>
      <c r="R15" s="205">
        <v>0.25</v>
      </c>
      <c r="S15" s="178" t="s">
        <v>3431</v>
      </c>
      <c r="W15" s="178" t="s">
        <v>1176</v>
      </c>
      <c r="X15" s="178" t="s">
        <v>1176</v>
      </c>
      <c r="Y15" s="178" t="s">
        <v>1176</v>
      </c>
      <c r="Z15" s="178" t="s">
        <v>1174</v>
      </c>
      <c r="AA15" s="205">
        <f t="shared" si="4"/>
        <v>0.5</v>
      </c>
      <c r="AE15" s="178" t="s">
        <v>1174</v>
      </c>
      <c r="AF15" s="412">
        <f t="shared" si="5"/>
        <v>0.25</v>
      </c>
      <c r="AG15" s="205">
        <v>1</v>
      </c>
      <c r="AH15" s="205">
        <v>4</v>
      </c>
      <c r="AI15" s="207" t="s">
        <v>3450</v>
      </c>
      <c r="AJ15" s="413">
        <v>0.25</v>
      </c>
      <c r="AK15" s="205">
        <v>0.5</v>
      </c>
      <c r="AL15" s="178" t="s">
        <v>1174</v>
      </c>
      <c r="AM15" s="178" t="s">
        <v>1176</v>
      </c>
      <c r="AN15" s="205">
        <v>0</v>
      </c>
      <c r="AO15" s="178" t="s">
        <v>1174</v>
      </c>
      <c r="AP15" s="415" t="s">
        <v>3430</v>
      </c>
      <c r="AQ15" s="194">
        <f t="shared" si="6"/>
        <v>0</v>
      </c>
      <c r="AR15" s="178" t="s">
        <v>3430</v>
      </c>
      <c r="AS15" s="194">
        <f t="shared" si="7"/>
        <v>0</v>
      </c>
      <c r="AT15" s="194" t="s">
        <v>3451</v>
      </c>
      <c r="AU15" s="194">
        <f t="shared" si="8"/>
        <v>0.25</v>
      </c>
      <c r="AV15" s="194" t="s">
        <v>3452</v>
      </c>
      <c r="AW15" s="414">
        <f t="shared" si="9"/>
        <v>2.0099999999999998</v>
      </c>
      <c r="AX15" s="178" t="s">
        <v>1770</v>
      </c>
    </row>
    <row r="16" spans="1:50">
      <c r="A16" s="205">
        <v>14</v>
      </c>
      <c r="B16" s="178" t="s">
        <v>1171</v>
      </c>
      <c r="C16" s="178" t="s">
        <v>109</v>
      </c>
      <c r="D16" s="178" t="s">
        <v>413</v>
      </c>
      <c r="E16" s="205" t="str">
        <f t="shared" si="0"/>
        <v>Christian LouboutinGlobal</v>
      </c>
      <c r="F16" s="178" t="s">
        <v>2021</v>
      </c>
      <c r="J16" s="205">
        <v>10</v>
      </c>
      <c r="K16" s="205">
        <v>1</v>
      </c>
      <c r="L16" s="178" t="s">
        <v>3438</v>
      </c>
      <c r="M16" s="208">
        <f t="shared" si="1"/>
        <v>0.1</v>
      </c>
      <c r="N16" s="205">
        <f t="shared" si="2"/>
        <v>0.01</v>
      </c>
      <c r="O16" s="178" t="s">
        <v>1174</v>
      </c>
      <c r="P16" s="205">
        <f t="shared" si="3"/>
        <v>0.25</v>
      </c>
      <c r="Q16" s="178" t="s">
        <v>1176</v>
      </c>
      <c r="R16" s="205">
        <v>0</v>
      </c>
      <c r="W16" s="178" t="s">
        <v>1176</v>
      </c>
      <c r="X16" s="178" t="s">
        <v>1176</v>
      </c>
      <c r="Y16" s="178" t="s">
        <v>1174</v>
      </c>
      <c r="Z16" s="178" t="s">
        <v>1176</v>
      </c>
      <c r="AA16" s="205">
        <f t="shared" si="4"/>
        <v>0.25</v>
      </c>
      <c r="AE16" s="178" t="s">
        <v>1176</v>
      </c>
      <c r="AF16" s="412">
        <f t="shared" si="5"/>
        <v>0</v>
      </c>
      <c r="AG16" s="205">
        <v>0</v>
      </c>
      <c r="AH16" s="205">
        <v>6</v>
      </c>
      <c r="AJ16" s="413">
        <v>0</v>
      </c>
      <c r="AK16" s="205">
        <v>0</v>
      </c>
      <c r="AL16" s="178" t="s">
        <v>1176</v>
      </c>
      <c r="AM16" s="178" t="s">
        <v>1176</v>
      </c>
      <c r="AN16" s="205">
        <v>0</v>
      </c>
      <c r="AO16" s="178" t="s">
        <v>1176</v>
      </c>
      <c r="AP16" s="415" t="s">
        <v>3430</v>
      </c>
      <c r="AQ16" s="194">
        <f t="shared" si="6"/>
        <v>0</v>
      </c>
      <c r="AR16" s="178" t="s">
        <v>3430</v>
      </c>
      <c r="AS16" s="194">
        <f t="shared" si="7"/>
        <v>0</v>
      </c>
      <c r="AU16" s="194">
        <f t="shared" si="8"/>
        <v>0</v>
      </c>
      <c r="AW16" s="414">
        <f t="shared" si="9"/>
        <v>0.51</v>
      </c>
      <c r="AX16" s="178" t="s">
        <v>1771</v>
      </c>
    </row>
    <row r="17" spans="1:50">
      <c r="A17" s="205">
        <v>15</v>
      </c>
      <c r="B17" s="178" t="s">
        <v>1171</v>
      </c>
      <c r="C17" s="178" t="s">
        <v>111</v>
      </c>
      <c r="D17" s="178" t="s">
        <v>413</v>
      </c>
      <c r="E17" s="205" t="str">
        <f t="shared" si="0"/>
        <v>CoachGlobal</v>
      </c>
      <c r="F17" s="178" t="s">
        <v>2618</v>
      </c>
      <c r="J17" s="205">
        <v>10</v>
      </c>
      <c r="K17" s="205">
        <v>2</v>
      </c>
      <c r="L17" s="178" t="s">
        <v>3433</v>
      </c>
      <c r="M17" s="208">
        <f t="shared" si="1"/>
        <v>0.2</v>
      </c>
      <c r="N17" s="205">
        <f t="shared" si="2"/>
        <v>0.51</v>
      </c>
      <c r="O17" s="178" t="s">
        <v>1174</v>
      </c>
      <c r="P17" s="205">
        <f t="shared" si="3"/>
        <v>0.25</v>
      </c>
      <c r="Q17" s="178" t="s">
        <v>1176</v>
      </c>
      <c r="R17" s="205">
        <v>0</v>
      </c>
      <c r="W17" s="178" t="s">
        <v>1176</v>
      </c>
      <c r="X17" s="178" t="s">
        <v>1176</v>
      </c>
      <c r="Y17" s="178" t="s">
        <v>1176</v>
      </c>
      <c r="Z17" s="178" t="s">
        <v>1174</v>
      </c>
      <c r="AA17" s="205">
        <f t="shared" si="4"/>
        <v>0.5</v>
      </c>
      <c r="AE17" s="178" t="s">
        <v>1174</v>
      </c>
      <c r="AF17" s="412">
        <f t="shared" si="5"/>
        <v>0.25</v>
      </c>
      <c r="AG17" s="205">
        <v>1</v>
      </c>
      <c r="AH17" s="205">
        <v>6</v>
      </c>
      <c r="AJ17" s="413">
        <v>0.16666666666666671</v>
      </c>
      <c r="AK17" s="205">
        <v>0.5</v>
      </c>
      <c r="AL17" s="178" t="s">
        <v>1174</v>
      </c>
      <c r="AM17" s="178" t="s">
        <v>1176</v>
      </c>
      <c r="AN17" s="205">
        <v>0</v>
      </c>
      <c r="AO17" s="178" t="s">
        <v>1174</v>
      </c>
      <c r="AP17" s="415" t="s">
        <v>3430</v>
      </c>
      <c r="AQ17" s="194">
        <f t="shared" si="6"/>
        <v>0</v>
      </c>
      <c r="AR17" s="178" t="s">
        <v>3430</v>
      </c>
      <c r="AS17" s="194">
        <f t="shared" si="7"/>
        <v>0</v>
      </c>
      <c r="AU17" s="194">
        <f t="shared" si="8"/>
        <v>0</v>
      </c>
      <c r="AW17" s="414">
        <f t="shared" si="9"/>
        <v>2.0099999999999998</v>
      </c>
      <c r="AX17" s="178" t="s">
        <v>1224</v>
      </c>
    </row>
    <row r="18" spans="1:50">
      <c r="A18" s="205">
        <v>16</v>
      </c>
      <c r="B18" s="178" t="s">
        <v>1171</v>
      </c>
      <c r="C18" s="178" t="s">
        <v>114</v>
      </c>
      <c r="D18" s="178" t="s">
        <v>413</v>
      </c>
      <c r="E18" s="205" t="str">
        <f t="shared" si="0"/>
        <v>Cole HaanGlobal</v>
      </c>
      <c r="F18" s="178" t="s">
        <v>114</v>
      </c>
      <c r="J18" s="205">
        <v>10</v>
      </c>
      <c r="K18" s="205">
        <v>1</v>
      </c>
      <c r="M18" s="208">
        <f t="shared" si="1"/>
        <v>0.1</v>
      </c>
      <c r="N18" s="205">
        <f t="shared" si="2"/>
        <v>0.01</v>
      </c>
      <c r="O18" s="178" t="s">
        <v>1174</v>
      </c>
      <c r="P18" s="205">
        <f t="shared" si="3"/>
        <v>0.25</v>
      </c>
      <c r="Q18" s="178" t="s">
        <v>1174</v>
      </c>
      <c r="R18" s="205">
        <v>0.25</v>
      </c>
      <c r="S18" s="178" t="s">
        <v>3429</v>
      </c>
      <c r="W18" s="178" t="s">
        <v>1176</v>
      </c>
      <c r="X18" s="178" t="s">
        <v>1176</v>
      </c>
      <c r="Y18" s="178" t="s">
        <v>1174</v>
      </c>
      <c r="Z18" s="178" t="s">
        <v>1174</v>
      </c>
      <c r="AA18" s="205">
        <f t="shared" si="4"/>
        <v>0.75</v>
      </c>
      <c r="AE18" s="178" t="s">
        <v>1174</v>
      </c>
      <c r="AF18" s="412">
        <f t="shared" si="5"/>
        <v>0.25</v>
      </c>
      <c r="AG18" s="205">
        <v>1</v>
      </c>
      <c r="AH18" s="205">
        <v>6</v>
      </c>
      <c r="AJ18" s="413">
        <v>0.16666666666666671</v>
      </c>
      <c r="AK18" s="205">
        <v>0.5</v>
      </c>
      <c r="AL18" s="178" t="s">
        <v>1174</v>
      </c>
      <c r="AM18" s="178" t="s">
        <v>1176</v>
      </c>
      <c r="AN18" s="205">
        <v>0</v>
      </c>
      <c r="AO18" s="178" t="s">
        <v>1174</v>
      </c>
      <c r="AP18" s="415" t="s">
        <v>3430</v>
      </c>
      <c r="AQ18" s="194">
        <f t="shared" si="6"/>
        <v>0</v>
      </c>
      <c r="AR18" s="178" t="s">
        <v>3430</v>
      </c>
      <c r="AS18" s="194">
        <f t="shared" si="7"/>
        <v>0</v>
      </c>
      <c r="AU18" s="194">
        <f t="shared" si="8"/>
        <v>0</v>
      </c>
      <c r="AW18" s="414">
        <f t="shared" si="9"/>
        <v>2.0099999999999998</v>
      </c>
      <c r="AX18" s="178" t="s">
        <v>1227</v>
      </c>
    </row>
    <row r="19" spans="1:50">
      <c r="A19" s="205">
        <v>17</v>
      </c>
      <c r="B19" s="178" t="s">
        <v>1171</v>
      </c>
      <c r="C19" s="178" t="s">
        <v>117</v>
      </c>
      <c r="D19" s="178" t="s">
        <v>413</v>
      </c>
      <c r="E19" s="205" t="str">
        <f t="shared" si="0"/>
        <v>Diane von FurstenbergGlobal</v>
      </c>
      <c r="F19" s="178" t="s">
        <v>117</v>
      </c>
      <c r="J19" s="205">
        <v>10</v>
      </c>
      <c r="K19" s="205">
        <v>1</v>
      </c>
      <c r="L19" s="178" t="s">
        <v>3453</v>
      </c>
      <c r="M19" s="208">
        <f t="shared" si="1"/>
        <v>0.1</v>
      </c>
      <c r="N19" s="205">
        <f t="shared" si="2"/>
        <v>0.01</v>
      </c>
      <c r="O19" s="178" t="s">
        <v>1174</v>
      </c>
      <c r="P19" s="205">
        <f t="shared" si="3"/>
        <v>0.25</v>
      </c>
      <c r="Q19" s="178" t="s">
        <v>1174</v>
      </c>
      <c r="R19" s="205">
        <v>0.25</v>
      </c>
      <c r="S19" s="178" t="s">
        <v>3429</v>
      </c>
      <c r="W19" s="178" t="s">
        <v>1176</v>
      </c>
      <c r="X19" s="178" t="s">
        <v>1176</v>
      </c>
      <c r="Y19" s="178" t="s">
        <v>1174</v>
      </c>
      <c r="Z19" s="178" t="s">
        <v>1176</v>
      </c>
      <c r="AA19" s="205">
        <f t="shared" si="4"/>
        <v>0.25</v>
      </c>
      <c r="AE19" s="178" t="s">
        <v>1174</v>
      </c>
      <c r="AF19" s="412">
        <f t="shared" si="5"/>
        <v>0.25</v>
      </c>
      <c r="AG19" s="205">
        <v>1</v>
      </c>
      <c r="AH19" s="205">
        <v>3</v>
      </c>
      <c r="AJ19" s="413">
        <v>0.33333333333333331</v>
      </c>
      <c r="AK19" s="205">
        <v>0.5</v>
      </c>
      <c r="AL19" s="178" t="s">
        <v>1174</v>
      </c>
      <c r="AM19" s="178" t="s">
        <v>1176</v>
      </c>
      <c r="AN19" s="205">
        <v>0</v>
      </c>
      <c r="AO19" s="178" t="s">
        <v>1174</v>
      </c>
      <c r="AP19" s="415" t="s">
        <v>3442</v>
      </c>
      <c r="AQ19" s="194">
        <f t="shared" si="6"/>
        <v>0.25</v>
      </c>
      <c r="AR19" s="178" t="s">
        <v>3430</v>
      </c>
      <c r="AS19" s="194">
        <f t="shared" si="7"/>
        <v>0</v>
      </c>
      <c r="AU19" s="194">
        <f t="shared" si="8"/>
        <v>0</v>
      </c>
      <c r="AW19" s="414">
        <f t="shared" si="9"/>
        <v>1.76</v>
      </c>
      <c r="AX19" s="178" t="s">
        <v>1230</v>
      </c>
    </row>
    <row r="20" spans="1:50">
      <c r="A20" s="205">
        <v>18</v>
      </c>
      <c r="B20" s="178" t="s">
        <v>1171</v>
      </c>
      <c r="C20" s="178" t="s">
        <v>120</v>
      </c>
      <c r="D20" s="178" t="s">
        <v>413</v>
      </c>
      <c r="E20" s="205" t="str">
        <f t="shared" si="0"/>
        <v>Dolce &amp; GabbanaGlobal</v>
      </c>
      <c r="F20" s="178" t="s">
        <v>120</v>
      </c>
      <c r="J20" s="205">
        <v>10</v>
      </c>
      <c r="K20" s="205">
        <v>2</v>
      </c>
      <c r="M20" s="208">
        <f t="shared" si="1"/>
        <v>0.2</v>
      </c>
      <c r="N20" s="205">
        <f t="shared" si="2"/>
        <v>0.51</v>
      </c>
      <c r="O20" s="178" t="s">
        <v>1174</v>
      </c>
      <c r="P20" s="205">
        <f t="shared" si="3"/>
        <v>0.25</v>
      </c>
      <c r="Q20" s="178" t="s">
        <v>1174</v>
      </c>
      <c r="R20" s="205">
        <v>0.25</v>
      </c>
      <c r="S20" s="178" t="s">
        <v>3429</v>
      </c>
      <c r="W20" s="178" t="s">
        <v>1176</v>
      </c>
      <c r="X20" s="178" t="s">
        <v>1176</v>
      </c>
      <c r="Y20" s="178" t="s">
        <v>1176</v>
      </c>
      <c r="Z20" s="178" t="s">
        <v>1174</v>
      </c>
      <c r="AA20" s="205">
        <f t="shared" si="4"/>
        <v>0.5</v>
      </c>
      <c r="AE20" s="178" t="s">
        <v>1174</v>
      </c>
      <c r="AF20" s="412">
        <f t="shared" si="5"/>
        <v>0.25</v>
      </c>
      <c r="AG20" s="205">
        <v>1</v>
      </c>
      <c r="AH20" s="205">
        <v>8</v>
      </c>
      <c r="AJ20" s="413">
        <v>0.125</v>
      </c>
      <c r="AK20" s="205">
        <v>0.5</v>
      </c>
      <c r="AL20" s="178" t="s">
        <v>1174</v>
      </c>
      <c r="AM20" s="178" t="s">
        <v>1176</v>
      </c>
      <c r="AN20" s="205">
        <v>0</v>
      </c>
      <c r="AO20" s="178" t="s">
        <v>1174</v>
      </c>
      <c r="AP20" s="415" t="s">
        <v>3454</v>
      </c>
      <c r="AQ20" s="194">
        <f t="shared" si="6"/>
        <v>0</v>
      </c>
      <c r="AR20" s="415" t="s">
        <v>3430</v>
      </c>
      <c r="AS20" s="194">
        <f t="shared" si="7"/>
        <v>0</v>
      </c>
      <c r="AU20" s="194">
        <f t="shared" si="8"/>
        <v>0</v>
      </c>
      <c r="AW20" s="414">
        <f t="shared" si="9"/>
        <v>2.2599999999999998</v>
      </c>
      <c r="AX20" s="178" t="s">
        <v>1235</v>
      </c>
    </row>
    <row r="21" spans="1:50">
      <c r="A21" s="205">
        <v>19</v>
      </c>
      <c r="B21" s="178" t="s">
        <v>1171</v>
      </c>
      <c r="C21" s="178" t="s">
        <v>123</v>
      </c>
      <c r="D21" s="178" t="s">
        <v>413</v>
      </c>
      <c r="E21" s="205" t="str">
        <f t="shared" si="0"/>
        <v>Donna Karan / DKNYGlobal</v>
      </c>
      <c r="F21" s="178" t="s">
        <v>2047</v>
      </c>
      <c r="J21" s="205">
        <v>10</v>
      </c>
      <c r="K21" s="205">
        <v>4</v>
      </c>
      <c r="L21" s="178" t="s">
        <v>3453</v>
      </c>
      <c r="M21" s="208">
        <f t="shared" si="1"/>
        <v>0.4</v>
      </c>
      <c r="N21" s="205">
        <f t="shared" si="2"/>
        <v>0.93</v>
      </c>
      <c r="O21" s="178" t="s">
        <v>1174</v>
      </c>
      <c r="P21" s="205">
        <f t="shared" si="3"/>
        <v>0.25</v>
      </c>
      <c r="Q21" s="178" t="s">
        <v>1174</v>
      </c>
      <c r="R21" s="205">
        <v>0.25</v>
      </c>
      <c r="S21" s="178" t="s">
        <v>3429</v>
      </c>
      <c r="W21" s="178" t="s">
        <v>1176</v>
      </c>
      <c r="X21" s="178" t="s">
        <v>1176</v>
      </c>
      <c r="Y21" s="178" t="s">
        <v>1176</v>
      </c>
      <c r="Z21" s="178" t="s">
        <v>1174</v>
      </c>
      <c r="AA21" s="205">
        <f t="shared" si="4"/>
        <v>0.5</v>
      </c>
      <c r="AE21" s="178" t="s">
        <v>1174</v>
      </c>
      <c r="AF21" s="412">
        <f t="shared" si="5"/>
        <v>0.25</v>
      </c>
      <c r="AG21" s="205">
        <v>2</v>
      </c>
      <c r="AH21" s="205">
        <v>11</v>
      </c>
      <c r="AJ21" s="413">
        <v>0.1818181818181818</v>
      </c>
      <c r="AK21" s="205">
        <v>0.5</v>
      </c>
      <c r="AL21" s="178" t="s">
        <v>1174</v>
      </c>
      <c r="AM21" s="178" t="s">
        <v>1176</v>
      </c>
      <c r="AN21" s="205">
        <v>0</v>
      </c>
      <c r="AO21" s="178" t="s">
        <v>1174</v>
      </c>
      <c r="AP21" s="415" t="s">
        <v>3430</v>
      </c>
      <c r="AQ21" s="194">
        <f t="shared" si="6"/>
        <v>0</v>
      </c>
      <c r="AR21" s="415" t="s">
        <v>3430</v>
      </c>
      <c r="AS21" s="194">
        <f t="shared" si="7"/>
        <v>0</v>
      </c>
      <c r="AU21" s="194">
        <f t="shared" si="8"/>
        <v>0</v>
      </c>
      <c r="AW21" s="414">
        <f t="shared" si="9"/>
        <v>2.68</v>
      </c>
      <c r="AX21" s="178" t="s">
        <v>124</v>
      </c>
    </row>
    <row r="22" spans="1:50">
      <c r="A22" s="205">
        <v>20</v>
      </c>
      <c r="B22" s="178" t="s">
        <v>1171</v>
      </c>
      <c r="C22" s="178" t="s">
        <v>125</v>
      </c>
      <c r="D22" s="178" t="s">
        <v>413</v>
      </c>
      <c r="E22" s="205" t="str">
        <f t="shared" si="0"/>
        <v>Emilio PucciGlobal</v>
      </c>
      <c r="F22" s="178" t="s">
        <v>125</v>
      </c>
      <c r="J22" s="205">
        <v>10</v>
      </c>
      <c r="K22" s="205">
        <v>2</v>
      </c>
      <c r="L22" s="178" t="s">
        <v>3455</v>
      </c>
      <c r="M22" s="208">
        <f t="shared" si="1"/>
        <v>0.2</v>
      </c>
      <c r="N22" s="205">
        <f t="shared" si="2"/>
        <v>0.51</v>
      </c>
      <c r="O22" s="178" t="s">
        <v>1174</v>
      </c>
      <c r="P22" s="205">
        <f t="shared" si="3"/>
        <v>0.25</v>
      </c>
      <c r="Q22" s="178" t="s">
        <v>1176</v>
      </c>
      <c r="R22" s="205">
        <v>0</v>
      </c>
      <c r="W22" s="178" t="s">
        <v>1176</v>
      </c>
      <c r="X22" s="178" t="s">
        <v>1176</v>
      </c>
      <c r="Y22" s="178" t="s">
        <v>1176</v>
      </c>
      <c r="Z22" s="178" t="s">
        <v>1174</v>
      </c>
      <c r="AA22" s="205">
        <f t="shared" si="4"/>
        <v>0.5</v>
      </c>
      <c r="AE22" s="178" t="s">
        <v>1174</v>
      </c>
      <c r="AF22" s="412">
        <f t="shared" si="5"/>
        <v>0.25</v>
      </c>
      <c r="AG22" s="205">
        <v>1</v>
      </c>
      <c r="AH22" s="205">
        <v>10</v>
      </c>
      <c r="AJ22" s="413">
        <v>0.1</v>
      </c>
      <c r="AK22" s="205">
        <v>0.5</v>
      </c>
      <c r="AL22" s="178" t="s">
        <v>1174</v>
      </c>
      <c r="AM22" s="178" t="s">
        <v>1176</v>
      </c>
      <c r="AN22" s="205">
        <v>0</v>
      </c>
      <c r="AO22" s="178" t="s">
        <v>1174</v>
      </c>
      <c r="AP22" s="415" t="s">
        <v>3430</v>
      </c>
      <c r="AQ22" s="194">
        <f t="shared" si="6"/>
        <v>0</v>
      </c>
      <c r="AR22" s="415" t="s">
        <v>3430</v>
      </c>
      <c r="AS22" s="194">
        <f t="shared" si="7"/>
        <v>0</v>
      </c>
      <c r="AU22" s="194">
        <f t="shared" si="8"/>
        <v>0</v>
      </c>
      <c r="AW22" s="414">
        <f t="shared" si="9"/>
        <v>2.0099999999999998</v>
      </c>
      <c r="AX22" s="178" t="s">
        <v>126</v>
      </c>
    </row>
    <row r="23" spans="1:50">
      <c r="A23" s="205">
        <v>21</v>
      </c>
      <c r="B23" s="178" t="s">
        <v>1171</v>
      </c>
      <c r="C23" s="178" t="s">
        <v>127</v>
      </c>
      <c r="D23" s="178" t="s">
        <v>413</v>
      </c>
      <c r="E23" s="205" t="str">
        <f t="shared" si="0"/>
        <v>Ermenegildo ZegnaGlobal</v>
      </c>
      <c r="F23" s="178" t="s">
        <v>1521</v>
      </c>
      <c r="J23" s="205">
        <v>10</v>
      </c>
      <c r="K23" s="205">
        <v>1</v>
      </c>
      <c r="M23" s="208">
        <f t="shared" si="1"/>
        <v>0.1</v>
      </c>
      <c r="N23" s="205">
        <f t="shared" si="2"/>
        <v>0.01</v>
      </c>
      <c r="O23" s="178" t="s">
        <v>1174</v>
      </c>
      <c r="P23" s="205">
        <f t="shared" si="3"/>
        <v>0.25</v>
      </c>
      <c r="Q23" s="178" t="s">
        <v>1174</v>
      </c>
      <c r="R23" s="205">
        <v>0.25</v>
      </c>
      <c r="S23" s="178" t="s">
        <v>3429</v>
      </c>
      <c r="W23" s="178" t="s">
        <v>1176</v>
      </c>
      <c r="X23" s="178" t="s">
        <v>1176</v>
      </c>
      <c r="Y23" s="178" t="s">
        <v>1174</v>
      </c>
      <c r="Z23" s="178" t="s">
        <v>1174</v>
      </c>
      <c r="AA23" s="205">
        <f t="shared" si="4"/>
        <v>0.75</v>
      </c>
      <c r="AE23" s="178" t="s">
        <v>1174</v>
      </c>
      <c r="AF23" s="412">
        <f t="shared" si="5"/>
        <v>0.25</v>
      </c>
      <c r="AG23" s="205">
        <v>1</v>
      </c>
      <c r="AH23" s="205">
        <v>2</v>
      </c>
      <c r="AJ23" s="413">
        <v>0.5</v>
      </c>
      <c r="AK23" s="205">
        <v>1</v>
      </c>
      <c r="AL23" s="178" t="s">
        <v>1174</v>
      </c>
      <c r="AM23" s="178" t="s">
        <v>1176</v>
      </c>
      <c r="AN23" s="205">
        <v>0</v>
      </c>
      <c r="AO23" s="178" t="s">
        <v>1174</v>
      </c>
      <c r="AP23" s="415" t="s">
        <v>3444</v>
      </c>
      <c r="AQ23" s="194">
        <f t="shared" si="6"/>
        <v>0</v>
      </c>
      <c r="AR23" s="415" t="s">
        <v>3444</v>
      </c>
      <c r="AS23" s="194">
        <f t="shared" si="7"/>
        <v>0</v>
      </c>
      <c r="AU23" s="194">
        <f t="shared" si="8"/>
        <v>0</v>
      </c>
      <c r="AW23" s="414">
        <f t="shared" si="9"/>
        <v>2.5099999999999998</v>
      </c>
      <c r="AX23" s="178" t="s">
        <v>128</v>
      </c>
    </row>
    <row r="24" spans="1:50">
      <c r="A24" s="205">
        <v>22</v>
      </c>
      <c r="B24" s="178" t="s">
        <v>1171</v>
      </c>
      <c r="C24" s="178" t="s">
        <v>129</v>
      </c>
      <c r="D24" s="178" t="s">
        <v>413</v>
      </c>
      <c r="E24" s="205" t="str">
        <f t="shared" si="0"/>
        <v>EscadaGlobal</v>
      </c>
      <c r="F24" s="178" t="s">
        <v>129</v>
      </c>
      <c r="J24" s="205">
        <v>10</v>
      </c>
      <c r="K24" s="205">
        <v>2</v>
      </c>
      <c r="M24" s="208">
        <f t="shared" si="1"/>
        <v>0.2</v>
      </c>
      <c r="N24" s="205">
        <f t="shared" si="2"/>
        <v>0.51</v>
      </c>
      <c r="O24" s="178" t="s">
        <v>1174</v>
      </c>
      <c r="P24" s="205">
        <f t="shared" si="3"/>
        <v>0.25</v>
      </c>
      <c r="Q24" s="178" t="s">
        <v>1174</v>
      </c>
      <c r="R24" s="205">
        <v>0.25</v>
      </c>
      <c r="S24" s="178" t="s">
        <v>3429</v>
      </c>
      <c r="W24" s="178" t="s">
        <v>1176</v>
      </c>
      <c r="X24" s="178" t="s">
        <v>1176</v>
      </c>
      <c r="Y24" s="178" t="s">
        <v>1174</v>
      </c>
      <c r="Z24" s="178" t="s">
        <v>1174</v>
      </c>
      <c r="AA24" s="205">
        <f t="shared" si="4"/>
        <v>0.75</v>
      </c>
      <c r="AE24" s="178" t="s">
        <v>1176</v>
      </c>
      <c r="AF24" s="412">
        <f t="shared" si="5"/>
        <v>0</v>
      </c>
      <c r="AG24" s="205">
        <v>0</v>
      </c>
      <c r="AH24" s="205">
        <v>7</v>
      </c>
      <c r="AJ24" s="413">
        <v>0</v>
      </c>
      <c r="AK24" s="205">
        <v>0</v>
      </c>
      <c r="AL24" s="178" t="s">
        <v>1176</v>
      </c>
      <c r="AM24" s="178" t="s">
        <v>1176</v>
      </c>
      <c r="AN24" s="205">
        <v>0</v>
      </c>
      <c r="AO24" s="178" t="s">
        <v>1176</v>
      </c>
      <c r="AP24" s="415" t="s">
        <v>3444</v>
      </c>
      <c r="AQ24" s="194">
        <f t="shared" si="6"/>
        <v>0</v>
      </c>
      <c r="AR24" s="415" t="s">
        <v>3430</v>
      </c>
      <c r="AS24" s="194">
        <f t="shared" si="7"/>
        <v>0</v>
      </c>
      <c r="AU24" s="194">
        <f t="shared" si="8"/>
        <v>0</v>
      </c>
      <c r="AW24" s="414">
        <f t="shared" si="9"/>
        <v>1.76</v>
      </c>
      <c r="AX24" s="178" t="s">
        <v>132</v>
      </c>
    </row>
    <row r="25" spans="1:50">
      <c r="A25" s="205">
        <v>23</v>
      </c>
      <c r="B25" s="178" t="s">
        <v>1171</v>
      </c>
      <c r="C25" s="178" t="s">
        <v>134</v>
      </c>
      <c r="D25" s="178" t="s">
        <v>413</v>
      </c>
      <c r="E25" s="205" t="str">
        <f t="shared" si="0"/>
        <v>FendiGlobal</v>
      </c>
      <c r="F25" s="178" t="s">
        <v>134</v>
      </c>
      <c r="J25" s="205">
        <v>10</v>
      </c>
      <c r="K25" s="205">
        <v>1</v>
      </c>
      <c r="M25" s="208">
        <f t="shared" si="1"/>
        <v>0.1</v>
      </c>
      <c r="N25" s="205">
        <f t="shared" si="2"/>
        <v>0.01</v>
      </c>
      <c r="O25" s="178" t="s">
        <v>1174</v>
      </c>
      <c r="P25" s="205">
        <f t="shared" si="3"/>
        <v>0.25</v>
      </c>
      <c r="Q25" s="178" t="s">
        <v>1176</v>
      </c>
      <c r="R25" s="205">
        <v>0</v>
      </c>
      <c r="W25" s="178" t="s">
        <v>1176</v>
      </c>
      <c r="X25" s="178" t="s">
        <v>1176</v>
      </c>
      <c r="Y25" s="178" t="s">
        <v>1174</v>
      </c>
      <c r="Z25" s="178" t="s">
        <v>1176</v>
      </c>
      <c r="AA25" s="205">
        <f t="shared" si="4"/>
        <v>0.25</v>
      </c>
      <c r="AE25" s="178" t="s">
        <v>1176</v>
      </c>
      <c r="AF25" s="412">
        <f t="shared" si="5"/>
        <v>0</v>
      </c>
      <c r="AG25" s="205">
        <v>0</v>
      </c>
      <c r="AH25" s="205">
        <v>10</v>
      </c>
      <c r="AJ25" s="413">
        <v>0</v>
      </c>
      <c r="AK25" s="205">
        <v>0</v>
      </c>
      <c r="AL25" s="178" t="s">
        <v>1176</v>
      </c>
      <c r="AM25" s="178" t="s">
        <v>1176</v>
      </c>
      <c r="AN25" s="205">
        <v>0</v>
      </c>
      <c r="AO25" s="178" t="s">
        <v>1176</v>
      </c>
      <c r="AP25" s="415" t="s">
        <v>3430</v>
      </c>
      <c r="AQ25" s="194">
        <f t="shared" si="6"/>
        <v>0</v>
      </c>
      <c r="AR25" s="415" t="s">
        <v>3430</v>
      </c>
      <c r="AS25" s="194">
        <f t="shared" si="7"/>
        <v>0</v>
      </c>
      <c r="AU25" s="194">
        <f t="shared" si="8"/>
        <v>0</v>
      </c>
      <c r="AW25" s="414">
        <f t="shared" si="9"/>
        <v>0.51</v>
      </c>
      <c r="AX25" s="178" t="s">
        <v>135</v>
      </c>
    </row>
    <row r="26" spans="1:50">
      <c r="A26" s="205">
        <v>24</v>
      </c>
      <c r="B26" s="178" t="s">
        <v>1171</v>
      </c>
      <c r="C26" s="178" t="s">
        <v>136</v>
      </c>
      <c r="D26" s="178" t="s">
        <v>413</v>
      </c>
      <c r="E26" s="205" t="str">
        <f t="shared" si="0"/>
        <v>Giorgio ArmaniGlobal</v>
      </c>
      <c r="F26" s="178" t="s">
        <v>2374</v>
      </c>
      <c r="J26" s="205">
        <v>10</v>
      </c>
      <c r="K26" s="205">
        <v>6</v>
      </c>
      <c r="L26" s="178" t="s">
        <v>3456</v>
      </c>
      <c r="M26" s="208">
        <f t="shared" si="1"/>
        <v>0.6</v>
      </c>
      <c r="N26" s="205">
        <f t="shared" si="2"/>
        <v>1</v>
      </c>
      <c r="O26" s="178" t="s">
        <v>1174</v>
      </c>
      <c r="P26" s="205">
        <f t="shared" si="3"/>
        <v>0.25</v>
      </c>
      <c r="Q26" s="178" t="s">
        <v>1174</v>
      </c>
      <c r="R26" s="205">
        <v>0.25</v>
      </c>
      <c r="S26" s="178" t="s">
        <v>3436</v>
      </c>
      <c r="W26" s="178" t="s">
        <v>1176</v>
      </c>
      <c r="X26" s="178" t="s">
        <v>1176</v>
      </c>
      <c r="Y26" s="178" t="s">
        <v>1174</v>
      </c>
      <c r="Z26" s="178" t="s">
        <v>1174</v>
      </c>
      <c r="AA26" s="205">
        <f t="shared" si="4"/>
        <v>0.75</v>
      </c>
      <c r="AE26" s="178" t="s">
        <v>1174</v>
      </c>
      <c r="AF26" s="412">
        <f t="shared" si="5"/>
        <v>0.25</v>
      </c>
      <c r="AG26" s="205">
        <v>1</v>
      </c>
      <c r="AH26" s="205">
        <v>5</v>
      </c>
      <c r="AJ26" s="413">
        <v>0.2</v>
      </c>
      <c r="AK26" s="205">
        <v>0.5</v>
      </c>
      <c r="AL26" s="178" t="s">
        <v>1174</v>
      </c>
      <c r="AM26" s="178" t="s">
        <v>1176</v>
      </c>
      <c r="AN26" s="205">
        <v>0</v>
      </c>
      <c r="AO26" s="178" t="s">
        <v>1174</v>
      </c>
      <c r="AP26" s="415" t="s">
        <v>3444</v>
      </c>
      <c r="AQ26" s="194">
        <f t="shared" si="6"/>
        <v>0</v>
      </c>
      <c r="AR26" s="415" t="s">
        <v>3430</v>
      </c>
      <c r="AS26" s="194">
        <f t="shared" si="7"/>
        <v>0</v>
      </c>
      <c r="AU26" s="194">
        <f t="shared" si="8"/>
        <v>0</v>
      </c>
      <c r="AW26" s="414">
        <f t="shared" si="9"/>
        <v>3</v>
      </c>
      <c r="AX26" s="178" t="s">
        <v>138</v>
      </c>
    </row>
    <row r="27" spans="1:50">
      <c r="A27" s="205">
        <v>25</v>
      </c>
      <c r="B27" s="178" t="s">
        <v>1171</v>
      </c>
      <c r="C27" s="178" t="s">
        <v>139</v>
      </c>
      <c r="D27" s="178" t="s">
        <v>413</v>
      </c>
      <c r="E27" s="205" t="str">
        <f t="shared" si="0"/>
        <v>GivenchyGlobal</v>
      </c>
      <c r="F27" s="178" t="s">
        <v>139</v>
      </c>
      <c r="J27" s="205">
        <v>10</v>
      </c>
      <c r="K27" s="205">
        <v>2</v>
      </c>
      <c r="L27" s="178" t="s">
        <v>3457</v>
      </c>
      <c r="M27" s="208">
        <f t="shared" si="1"/>
        <v>0.2</v>
      </c>
      <c r="N27" s="205">
        <f t="shared" si="2"/>
        <v>0.51</v>
      </c>
      <c r="O27" s="178" t="s">
        <v>1174</v>
      </c>
      <c r="P27" s="205">
        <f t="shared" si="3"/>
        <v>0.25</v>
      </c>
      <c r="Q27" s="178" t="s">
        <v>1174</v>
      </c>
      <c r="R27" s="205">
        <v>0.25</v>
      </c>
      <c r="S27" s="178" t="s">
        <v>3429</v>
      </c>
      <c r="W27" s="178" t="s">
        <v>1176</v>
      </c>
      <c r="X27" s="178" t="s">
        <v>1176</v>
      </c>
      <c r="Y27" s="178" t="s">
        <v>1176</v>
      </c>
      <c r="Z27" s="178" t="s">
        <v>1176</v>
      </c>
      <c r="AA27" s="205">
        <f t="shared" si="4"/>
        <v>0</v>
      </c>
      <c r="AE27" s="178" t="s">
        <v>1174</v>
      </c>
      <c r="AF27" s="412">
        <f t="shared" si="5"/>
        <v>0.25</v>
      </c>
      <c r="AG27" s="205">
        <v>1</v>
      </c>
      <c r="AH27" s="205">
        <v>6</v>
      </c>
      <c r="AJ27" s="413">
        <v>0.16666666666666671</v>
      </c>
      <c r="AK27" s="205">
        <v>0.5</v>
      </c>
      <c r="AL27" s="178" t="s">
        <v>1174</v>
      </c>
      <c r="AM27" s="178" t="s">
        <v>1176</v>
      </c>
      <c r="AN27" s="205">
        <v>0</v>
      </c>
      <c r="AO27" s="178" t="s">
        <v>1174</v>
      </c>
      <c r="AP27" s="415" t="s">
        <v>3444</v>
      </c>
      <c r="AQ27" s="194">
        <f t="shared" si="6"/>
        <v>0</v>
      </c>
      <c r="AR27" s="415" t="s">
        <v>3430</v>
      </c>
      <c r="AS27" s="194">
        <f t="shared" si="7"/>
        <v>0</v>
      </c>
      <c r="AU27" s="194">
        <f t="shared" si="8"/>
        <v>0</v>
      </c>
      <c r="AW27" s="414">
        <f t="shared" si="9"/>
        <v>1.76</v>
      </c>
      <c r="AX27" s="178" t="s">
        <v>140</v>
      </c>
    </row>
    <row r="28" spans="1:50">
      <c r="A28" s="205">
        <v>26</v>
      </c>
      <c r="B28" s="178" t="s">
        <v>1171</v>
      </c>
      <c r="C28" s="178" t="s">
        <v>141</v>
      </c>
      <c r="D28" s="178" t="s">
        <v>413</v>
      </c>
      <c r="E28" s="205" t="str">
        <f t="shared" si="0"/>
        <v>GucciGlobal</v>
      </c>
      <c r="F28" s="178" t="s">
        <v>141</v>
      </c>
      <c r="J28" s="205">
        <v>10</v>
      </c>
      <c r="K28" s="205">
        <v>2</v>
      </c>
      <c r="L28" s="178" t="s">
        <v>3458</v>
      </c>
      <c r="M28" s="208">
        <f t="shared" si="1"/>
        <v>0.2</v>
      </c>
      <c r="N28" s="205">
        <f t="shared" si="2"/>
        <v>0.51</v>
      </c>
      <c r="O28" s="178" t="s">
        <v>1174</v>
      </c>
      <c r="P28" s="205">
        <f t="shared" si="3"/>
        <v>0.25</v>
      </c>
      <c r="Q28" s="178" t="s">
        <v>1174</v>
      </c>
      <c r="R28" s="205">
        <v>0.25</v>
      </c>
      <c r="S28" s="178" t="s">
        <v>3436</v>
      </c>
      <c r="W28" s="178" t="s">
        <v>1176</v>
      </c>
      <c r="X28" s="178" t="s">
        <v>1176</v>
      </c>
      <c r="Y28" s="178" t="s">
        <v>1176</v>
      </c>
      <c r="Z28" s="178" t="s">
        <v>1174</v>
      </c>
      <c r="AA28" s="205">
        <f t="shared" si="4"/>
        <v>0.5</v>
      </c>
      <c r="AE28" s="178" t="s">
        <v>1174</v>
      </c>
      <c r="AF28" s="412">
        <f t="shared" si="5"/>
        <v>0.25</v>
      </c>
      <c r="AG28" s="205">
        <v>1</v>
      </c>
      <c r="AH28" s="205">
        <v>3</v>
      </c>
      <c r="AJ28" s="413">
        <v>0.33333333333333331</v>
      </c>
      <c r="AK28" s="205">
        <v>0.5</v>
      </c>
      <c r="AL28" s="178" t="s">
        <v>1174</v>
      </c>
      <c r="AM28" s="178" t="s">
        <v>1174</v>
      </c>
      <c r="AN28" s="205">
        <v>0.25</v>
      </c>
      <c r="AO28" s="178" t="s">
        <v>1174</v>
      </c>
      <c r="AP28" s="415" t="s">
        <v>3444</v>
      </c>
      <c r="AQ28" s="194">
        <f t="shared" si="6"/>
        <v>0</v>
      </c>
      <c r="AR28" s="415" t="s">
        <v>3430</v>
      </c>
      <c r="AS28" s="194">
        <f t="shared" si="7"/>
        <v>0</v>
      </c>
      <c r="AU28" s="194">
        <f t="shared" si="8"/>
        <v>0</v>
      </c>
      <c r="AV28" s="194" t="s">
        <v>3445</v>
      </c>
      <c r="AW28" s="414">
        <f t="shared" si="9"/>
        <v>2.5099999999999998</v>
      </c>
      <c r="AX28" s="178" t="s">
        <v>142</v>
      </c>
    </row>
    <row r="29" spans="1:50">
      <c r="A29" s="205">
        <v>27</v>
      </c>
      <c r="B29" s="178" t="s">
        <v>1171</v>
      </c>
      <c r="C29" s="178" t="s">
        <v>143</v>
      </c>
      <c r="D29" s="178" t="s">
        <v>413</v>
      </c>
      <c r="E29" s="205" t="str">
        <f t="shared" si="0"/>
        <v>HermesGlobal</v>
      </c>
      <c r="F29" s="178" t="s">
        <v>2626</v>
      </c>
      <c r="J29" s="205">
        <v>10</v>
      </c>
      <c r="K29" s="205">
        <v>1</v>
      </c>
      <c r="L29" s="178" t="s">
        <v>3459</v>
      </c>
      <c r="M29" s="208">
        <f t="shared" si="1"/>
        <v>0.1</v>
      </c>
      <c r="N29" s="205">
        <f t="shared" si="2"/>
        <v>0.01</v>
      </c>
      <c r="O29" s="178" t="s">
        <v>1174</v>
      </c>
      <c r="P29" s="205">
        <f t="shared" si="3"/>
        <v>0.25</v>
      </c>
      <c r="Q29" s="178" t="s">
        <v>1176</v>
      </c>
      <c r="R29" s="205">
        <v>0</v>
      </c>
      <c r="W29" s="178" t="s">
        <v>1176</v>
      </c>
      <c r="X29" s="178" t="s">
        <v>1176</v>
      </c>
      <c r="Y29" s="178" t="s">
        <v>1176</v>
      </c>
      <c r="Z29" s="178" t="s">
        <v>1174</v>
      </c>
      <c r="AA29" s="205">
        <f t="shared" si="4"/>
        <v>0.5</v>
      </c>
      <c r="AE29" s="178" t="s">
        <v>1174</v>
      </c>
      <c r="AF29" s="412">
        <f t="shared" si="5"/>
        <v>0.25</v>
      </c>
      <c r="AG29" s="205">
        <v>1</v>
      </c>
      <c r="AH29" s="205">
        <v>8</v>
      </c>
      <c r="AJ29" s="413">
        <v>0.125</v>
      </c>
      <c r="AK29" s="205">
        <v>0.5</v>
      </c>
      <c r="AL29" s="178" t="s">
        <v>1174</v>
      </c>
      <c r="AM29" s="178" t="s">
        <v>1176</v>
      </c>
      <c r="AN29" s="205">
        <v>0</v>
      </c>
      <c r="AO29" s="178" t="s">
        <v>1174</v>
      </c>
      <c r="AP29" s="415" t="s">
        <v>3444</v>
      </c>
      <c r="AQ29" s="194">
        <f t="shared" si="6"/>
        <v>0</v>
      </c>
      <c r="AR29" s="415" t="s">
        <v>3430</v>
      </c>
      <c r="AS29" s="194">
        <f t="shared" si="7"/>
        <v>0</v>
      </c>
      <c r="AU29" s="194">
        <f t="shared" si="8"/>
        <v>0</v>
      </c>
      <c r="AW29" s="414">
        <f t="shared" si="9"/>
        <v>1.51</v>
      </c>
      <c r="AX29" s="178" t="s">
        <v>144</v>
      </c>
    </row>
    <row r="30" spans="1:50">
      <c r="A30" s="205">
        <v>28</v>
      </c>
      <c r="B30" s="178" t="s">
        <v>1171</v>
      </c>
      <c r="C30" s="178" t="s">
        <v>145</v>
      </c>
      <c r="D30" s="178" t="s">
        <v>413</v>
      </c>
      <c r="E30" s="205" t="str">
        <f t="shared" si="0"/>
        <v>Hugo BossGlobal</v>
      </c>
      <c r="F30" s="178" t="s">
        <v>145</v>
      </c>
      <c r="J30" s="205">
        <v>10</v>
      </c>
      <c r="K30" s="205">
        <v>1</v>
      </c>
      <c r="L30" s="178" t="s">
        <v>3460</v>
      </c>
      <c r="M30" s="208">
        <f t="shared" si="1"/>
        <v>0.1</v>
      </c>
      <c r="N30" s="205">
        <f t="shared" si="2"/>
        <v>0.01</v>
      </c>
      <c r="O30" s="178" t="s">
        <v>1174</v>
      </c>
      <c r="P30" s="205">
        <f t="shared" si="3"/>
        <v>0.25</v>
      </c>
      <c r="Q30" s="178" t="s">
        <v>1174</v>
      </c>
      <c r="R30" s="205">
        <v>0.25</v>
      </c>
      <c r="S30" s="178" t="s">
        <v>3429</v>
      </c>
      <c r="W30" s="178" t="s">
        <v>1176</v>
      </c>
      <c r="X30" s="178" t="s">
        <v>1176</v>
      </c>
      <c r="Y30" s="178" t="s">
        <v>1174</v>
      </c>
      <c r="Z30" s="178" t="s">
        <v>1174</v>
      </c>
      <c r="AA30" s="205">
        <f t="shared" si="4"/>
        <v>0.75</v>
      </c>
      <c r="AE30" s="178" t="s">
        <v>1174</v>
      </c>
      <c r="AF30" s="412">
        <f t="shared" si="5"/>
        <v>0.25</v>
      </c>
      <c r="AG30" s="205">
        <v>1</v>
      </c>
      <c r="AH30" s="205">
        <v>3</v>
      </c>
      <c r="AJ30" s="413">
        <v>0.33333333333333331</v>
      </c>
      <c r="AK30" s="205">
        <v>0.5</v>
      </c>
      <c r="AL30" s="178" t="s">
        <v>1174</v>
      </c>
      <c r="AM30" s="178" t="s">
        <v>1176</v>
      </c>
      <c r="AN30" s="205">
        <v>0</v>
      </c>
      <c r="AO30" s="178" t="s">
        <v>1174</v>
      </c>
      <c r="AP30" s="415" t="s">
        <v>3444</v>
      </c>
      <c r="AQ30" s="194">
        <f t="shared" si="6"/>
        <v>0</v>
      </c>
      <c r="AR30" s="415" t="s">
        <v>3430</v>
      </c>
      <c r="AS30" s="194">
        <f t="shared" si="7"/>
        <v>0</v>
      </c>
      <c r="AU30" s="194">
        <f t="shared" si="8"/>
        <v>0</v>
      </c>
      <c r="AV30" s="194" t="s">
        <v>3445</v>
      </c>
      <c r="AW30" s="414">
        <f t="shared" si="9"/>
        <v>2.0099999999999998</v>
      </c>
      <c r="AX30" s="178" t="s">
        <v>1797</v>
      </c>
    </row>
    <row r="31" spans="1:50" ht="28">
      <c r="A31" s="205">
        <v>29</v>
      </c>
      <c r="B31" s="178" t="s">
        <v>1171</v>
      </c>
      <c r="C31" s="178" t="s">
        <v>148</v>
      </c>
      <c r="D31" s="178" t="s">
        <v>413</v>
      </c>
      <c r="E31" s="205" t="str">
        <f t="shared" si="0"/>
        <v>Jimmy ChooGlobal</v>
      </c>
      <c r="F31" s="178" t="s">
        <v>148</v>
      </c>
      <c r="J31" s="205">
        <v>10</v>
      </c>
      <c r="K31" s="205">
        <v>1</v>
      </c>
      <c r="M31" s="208">
        <f t="shared" si="1"/>
        <v>0.1</v>
      </c>
      <c r="N31" s="205">
        <f t="shared" si="2"/>
        <v>0.01</v>
      </c>
      <c r="O31" s="178" t="s">
        <v>1174</v>
      </c>
      <c r="P31" s="205">
        <f t="shared" si="3"/>
        <v>0.25</v>
      </c>
      <c r="Q31" s="178" t="s">
        <v>1174</v>
      </c>
      <c r="R31" s="205">
        <v>0.25</v>
      </c>
      <c r="S31" s="178" t="s">
        <v>3429</v>
      </c>
      <c r="W31" s="178" t="s">
        <v>1176</v>
      </c>
      <c r="X31" s="178" t="s">
        <v>1176</v>
      </c>
      <c r="Y31" s="178" t="s">
        <v>1174</v>
      </c>
      <c r="Z31" s="178" t="s">
        <v>1174</v>
      </c>
      <c r="AA31" s="205">
        <f t="shared" si="4"/>
        <v>0.75</v>
      </c>
      <c r="AE31" s="178" t="s">
        <v>1174</v>
      </c>
      <c r="AF31" s="412">
        <f t="shared" si="5"/>
        <v>0.25</v>
      </c>
      <c r="AG31" s="205">
        <v>1</v>
      </c>
      <c r="AH31" s="205">
        <v>9</v>
      </c>
      <c r="AI31" s="207" t="s">
        <v>3461</v>
      </c>
      <c r="AJ31" s="413">
        <v>0.1111111111111111</v>
      </c>
      <c r="AK31" s="205">
        <v>0.5</v>
      </c>
      <c r="AL31" s="178" t="s">
        <v>1174</v>
      </c>
      <c r="AM31" s="178" t="s">
        <v>1176</v>
      </c>
      <c r="AN31" s="205">
        <v>0</v>
      </c>
      <c r="AO31" s="178" t="s">
        <v>1174</v>
      </c>
      <c r="AP31" s="415" t="s">
        <v>3444</v>
      </c>
      <c r="AQ31" s="194">
        <f t="shared" si="6"/>
        <v>0</v>
      </c>
      <c r="AR31" s="415" t="s">
        <v>3430</v>
      </c>
      <c r="AS31" s="194">
        <f t="shared" si="7"/>
        <v>0</v>
      </c>
      <c r="AT31" s="194" t="s">
        <v>3442</v>
      </c>
      <c r="AU31" s="194">
        <f t="shared" si="8"/>
        <v>0.25</v>
      </c>
      <c r="AW31" s="414">
        <f t="shared" si="9"/>
        <v>2.2599999999999998</v>
      </c>
      <c r="AX31" s="178" t="s">
        <v>149</v>
      </c>
    </row>
    <row r="32" spans="1:50">
      <c r="A32" s="205">
        <v>30</v>
      </c>
      <c r="B32" s="178" t="s">
        <v>1171</v>
      </c>
      <c r="C32" s="178" t="s">
        <v>150</v>
      </c>
      <c r="D32" s="178" t="s">
        <v>413</v>
      </c>
      <c r="E32" s="205" t="str">
        <f t="shared" si="0"/>
        <v>John VarvatosGlobal</v>
      </c>
      <c r="F32" s="178" t="s">
        <v>150</v>
      </c>
      <c r="J32" s="205">
        <v>10</v>
      </c>
      <c r="K32" s="205">
        <v>1</v>
      </c>
      <c r="L32" s="178" t="s">
        <v>3462</v>
      </c>
      <c r="M32" s="208">
        <f t="shared" si="1"/>
        <v>0.1</v>
      </c>
      <c r="N32" s="205">
        <f t="shared" si="2"/>
        <v>0.01</v>
      </c>
      <c r="O32" s="178" t="s">
        <v>1174</v>
      </c>
      <c r="P32" s="205">
        <f t="shared" si="3"/>
        <v>0.25</v>
      </c>
      <c r="Q32" s="178" t="s">
        <v>1174</v>
      </c>
      <c r="R32" s="205">
        <v>0.25</v>
      </c>
      <c r="S32" s="178" t="s">
        <v>3436</v>
      </c>
      <c r="W32" s="178" t="s">
        <v>1176</v>
      </c>
      <c r="X32" s="178" t="s">
        <v>1176</v>
      </c>
      <c r="Y32" s="178" t="s">
        <v>1176</v>
      </c>
      <c r="Z32" s="178" t="s">
        <v>1176</v>
      </c>
      <c r="AA32" s="205">
        <f t="shared" si="4"/>
        <v>0</v>
      </c>
      <c r="AE32" s="178" t="s">
        <v>1174</v>
      </c>
      <c r="AF32" s="412">
        <f t="shared" si="5"/>
        <v>0.25</v>
      </c>
      <c r="AG32" s="205">
        <v>1</v>
      </c>
      <c r="AH32" s="205">
        <v>6</v>
      </c>
      <c r="AJ32" s="413">
        <v>0.16666666666666671</v>
      </c>
      <c r="AK32" s="205">
        <v>0.5</v>
      </c>
      <c r="AL32" s="178" t="s">
        <v>1174</v>
      </c>
      <c r="AM32" s="178" t="s">
        <v>1176</v>
      </c>
      <c r="AN32" s="205">
        <v>0</v>
      </c>
      <c r="AO32" s="178" t="s">
        <v>1174</v>
      </c>
      <c r="AP32" s="415" t="s">
        <v>3444</v>
      </c>
      <c r="AQ32" s="194">
        <f t="shared" si="6"/>
        <v>0</v>
      </c>
      <c r="AR32" s="415" t="s">
        <v>3430</v>
      </c>
      <c r="AS32" s="194">
        <f t="shared" si="7"/>
        <v>0</v>
      </c>
      <c r="AU32" s="194">
        <f t="shared" si="8"/>
        <v>0</v>
      </c>
      <c r="AW32" s="414">
        <f t="shared" si="9"/>
        <v>1.26</v>
      </c>
      <c r="AX32" s="178" t="s">
        <v>152</v>
      </c>
    </row>
    <row r="33" spans="1:50">
      <c r="A33" s="205">
        <v>31</v>
      </c>
      <c r="B33" s="178" t="s">
        <v>1171</v>
      </c>
      <c r="C33" s="178" t="s">
        <v>153</v>
      </c>
      <c r="D33" s="178" t="s">
        <v>413</v>
      </c>
      <c r="E33" s="205" t="str">
        <f t="shared" si="0"/>
        <v>Kate SpadeGlobal</v>
      </c>
      <c r="F33" s="178" t="s">
        <v>153</v>
      </c>
      <c r="J33" s="205">
        <v>10</v>
      </c>
      <c r="K33" s="205">
        <v>1</v>
      </c>
      <c r="L33" s="178" t="s">
        <v>3456</v>
      </c>
      <c r="M33" s="208">
        <f t="shared" si="1"/>
        <v>0.1</v>
      </c>
      <c r="N33" s="205">
        <f t="shared" si="2"/>
        <v>0.01</v>
      </c>
      <c r="O33" s="178" t="s">
        <v>1174</v>
      </c>
      <c r="P33" s="205">
        <f t="shared" si="3"/>
        <v>0.25</v>
      </c>
      <c r="Q33" s="178" t="s">
        <v>1174</v>
      </c>
      <c r="R33" s="205">
        <v>0.25</v>
      </c>
      <c r="S33" s="178" t="s">
        <v>3463</v>
      </c>
      <c r="W33" s="178" t="s">
        <v>1176</v>
      </c>
      <c r="X33" s="178" t="s">
        <v>1176</v>
      </c>
      <c r="Y33" s="178" t="s">
        <v>1176</v>
      </c>
      <c r="Z33" s="178" t="s">
        <v>1174</v>
      </c>
      <c r="AA33" s="205">
        <f t="shared" si="4"/>
        <v>0.5</v>
      </c>
      <c r="AE33" s="178" t="s">
        <v>1174</v>
      </c>
      <c r="AF33" s="412">
        <f t="shared" si="5"/>
        <v>0.25</v>
      </c>
      <c r="AG33" s="205">
        <v>1</v>
      </c>
      <c r="AH33" s="205">
        <v>3</v>
      </c>
      <c r="AJ33" s="413">
        <v>0.33333333333333331</v>
      </c>
      <c r="AK33" s="205">
        <v>0.5</v>
      </c>
      <c r="AL33" s="178" t="s">
        <v>1174</v>
      </c>
      <c r="AM33" s="178" t="s">
        <v>1176</v>
      </c>
      <c r="AN33" s="205">
        <v>0</v>
      </c>
      <c r="AO33" s="178" t="s">
        <v>1174</v>
      </c>
      <c r="AP33" s="415" t="s">
        <v>3444</v>
      </c>
      <c r="AQ33" s="194">
        <f t="shared" si="6"/>
        <v>0</v>
      </c>
      <c r="AR33" s="415" t="s">
        <v>3430</v>
      </c>
      <c r="AS33" s="194">
        <f t="shared" si="7"/>
        <v>0</v>
      </c>
      <c r="AU33" s="194">
        <f t="shared" si="8"/>
        <v>0</v>
      </c>
      <c r="AW33" s="414">
        <f t="shared" si="9"/>
        <v>1.76</v>
      </c>
      <c r="AX33" s="178" t="s">
        <v>1277</v>
      </c>
    </row>
    <row r="34" spans="1:50">
      <c r="A34" s="205">
        <v>32</v>
      </c>
      <c r="B34" s="178" t="s">
        <v>1171</v>
      </c>
      <c r="C34" s="178" t="s">
        <v>156</v>
      </c>
      <c r="D34" s="178" t="s">
        <v>413</v>
      </c>
      <c r="E34" s="205" t="str">
        <f t="shared" si="0"/>
        <v>LacosteGlobal</v>
      </c>
      <c r="F34" s="178" t="s">
        <v>156</v>
      </c>
      <c r="J34" s="205">
        <v>10</v>
      </c>
      <c r="K34" s="205">
        <v>2</v>
      </c>
      <c r="L34" s="178" t="s">
        <v>3464</v>
      </c>
      <c r="M34" s="208">
        <f t="shared" si="1"/>
        <v>0.2</v>
      </c>
      <c r="N34" s="205">
        <f t="shared" si="2"/>
        <v>0.51</v>
      </c>
      <c r="O34" s="178" t="s">
        <v>1174</v>
      </c>
      <c r="P34" s="205">
        <f t="shared" si="3"/>
        <v>0.25</v>
      </c>
      <c r="Q34" s="178" t="s">
        <v>1174</v>
      </c>
      <c r="R34" s="205">
        <v>0.25</v>
      </c>
      <c r="S34" s="178" t="s">
        <v>3436</v>
      </c>
      <c r="W34" s="178" t="s">
        <v>1176</v>
      </c>
      <c r="X34" s="178" t="s">
        <v>1176</v>
      </c>
      <c r="Y34" s="178" t="s">
        <v>1174</v>
      </c>
      <c r="Z34" s="178" t="s">
        <v>1174</v>
      </c>
      <c r="AA34" s="205">
        <f t="shared" si="4"/>
        <v>0.75</v>
      </c>
      <c r="AE34" s="178" t="s">
        <v>1174</v>
      </c>
      <c r="AF34" s="412">
        <f t="shared" si="5"/>
        <v>0.25</v>
      </c>
      <c r="AG34" s="205">
        <v>1</v>
      </c>
      <c r="AH34" s="205">
        <v>4</v>
      </c>
      <c r="AJ34" s="413">
        <v>0.25</v>
      </c>
      <c r="AK34" s="205">
        <v>0.5</v>
      </c>
      <c r="AL34" s="178" t="s">
        <v>1174</v>
      </c>
      <c r="AM34" s="178" t="s">
        <v>1176</v>
      </c>
      <c r="AN34" s="205">
        <v>0</v>
      </c>
      <c r="AO34" s="178" t="s">
        <v>1174</v>
      </c>
      <c r="AP34" s="415" t="s">
        <v>3444</v>
      </c>
      <c r="AQ34" s="194">
        <f t="shared" si="6"/>
        <v>0</v>
      </c>
      <c r="AR34" s="415" t="s">
        <v>3442</v>
      </c>
      <c r="AS34" s="194">
        <f t="shared" si="7"/>
        <v>0.25</v>
      </c>
      <c r="AU34" s="194">
        <f t="shared" si="8"/>
        <v>0</v>
      </c>
      <c r="AV34" s="194" t="s">
        <v>3465</v>
      </c>
      <c r="AW34" s="414">
        <f t="shared" si="9"/>
        <v>2.76</v>
      </c>
      <c r="AX34" s="178" t="s">
        <v>157</v>
      </c>
    </row>
    <row r="35" spans="1:50">
      <c r="A35" s="205">
        <v>33</v>
      </c>
      <c r="B35" s="178" t="s">
        <v>1171</v>
      </c>
      <c r="C35" s="178" t="s">
        <v>158</v>
      </c>
      <c r="D35" s="178" t="s">
        <v>413</v>
      </c>
      <c r="E35" s="205" t="str">
        <f t="shared" si="0"/>
        <v>LancelGlobal</v>
      </c>
      <c r="F35" s="178" t="s">
        <v>158</v>
      </c>
      <c r="J35" s="205">
        <v>10</v>
      </c>
      <c r="K35" s="205">
        <v>3</v>
      </c>
      <c r="M35" s="208">
        <f t="shared" si="1"/>
        <v>0.3</v>
      </c>
      <c r="N35" s="205">
        <f t="shared" si="2"/>
        <v>0.79</v>
      </c>
      <c r="O35" s="178" t="s">
        <v>1174</v>
      </c>
      <c r="P35" s="205">
        <f t="shared" si="3"/>
        <v>0.25</v>
      </c>
      <c r="Q35" s="178" t="s">
        <v>1176</v>
      </c>
      <c r="R35" s="205">
        <v>0</v>
      </c>
      <c r="W35" s="178" t="s">
        <v>1176</v>
      </c>
      <c r="X35" s="178" t="s">
        <v>1176</v>
      </c>
      <c r="Y35" s="178" t="s">
        <v>1176</v>
      </c>
      <c r="Z35" s="178" t="s">
        <v>1176</v>
      </c>
      <c r="AA35" s="205">
        <f t="shared" si="4"/>
        <v>0</v>
      </c>
      <c r="AE35" s="178" t="s">
        <v>1176</v>
      </c>
      <c r="AF35" s="412">
        <f t="shared" si="5"/>
        <v>0</v>
      </c>
      <c r="AG35" s="205">
        <v>0</v>
      </c>
      <c r="AH35" s="205">
        <v>5</v>
      </c>
      <c r="AJ35" s="413">
        <v>0</v>
      </c>
      <c r="AK35" s="205">
        <v>0</v>
      </c>
      <c r="AL35" s="178" t="s">
        <v>1176</v>
      </c>
      <c r="AM35" s="178" t="s">
        <v>1176</v>
      </c>
      <c r="AN35" s="205">
        <v>0</v>
      </c>
      <c r="AO35" s="178" t="s">
        <v>1176</v>
      </c>
      <c r="AP35" s="415" t="s">
        <v>3430</v>
      </c>
      <c r="AQ35" s="194">
        <f t="shared" si="6"/>
        <v>0</v>
      </c>
      <c r="AR35" s="415" t="s">
        <v>3430</v>
      </c>
      <c r="AS35" s="194">
        <f t="shared" si="7"/>
        <v>0</v>
      </c>
      <c r="AU35" s="194">
        <f t="shared" si="8"/>
        <v>0</v>
      </c>
      <c r="AW35" s="414">
        <f t="shared" si="9"/>
        <v>1.04</v>
      </c>
      <c r="AX35" s="178" t="s">
        <v>160</v>
      </c>
    </row>
    <row r="36" spans="1:50">
      <c r="A36" s="205">
        <v>34</v>
      </c>
      <c r="B36" s="178" t="s">
        <v>1171</v>
      </c>
      <c r="C36" s="178" t="s">
        <v>161</v>
      </c>
      <c r="D36" s="178" t="s">
        <v>413</v>
      </c>
      <c r="E36" s="205" t="str">
        <f t="shared" si="0"/>
        <v>LanvinGlobal</v>
      </c>
      <c r="F36" s="178" t="s">
        <v>161</v>
      </c>
      <c r="J36" s="205">
        <v>10</v>
      </c>
      <c r="K36" s="205">
        <v>1</v>
      </c>
      <c r="L36" s="178" t="s">
        <v>3466</v>
      </c>
      <c r="M36" s="208">
        <f t="shared" si="1"/>
        <v>0.1</v>
      </c>
      <c r="N36" s="205">
        <f t="shared" si="2"/>
        <v>0.01</v>
      </c>
      <c r="O36" s="178" t="s">
        <v>1174</v>
      </c>
      <c r="P36" s="205">
        <f t="shared" si="3"/>
        <v>0.25</v>
      </c>
      <c r="Q36" s="178" t="s">
        <v>1174</v>
      </c>
      <c r="R36" s="205">
        <v>0.25</v>
      </c>
      <c r="S36" s="178" t="s">
        <v>3429</v>
      </c>
      <c r="W36" s="178" t="s">
        <v>1176</v>
      </c>
      <c r="X36" s="178" t="s">
        <v>1176</v>
      </c>
      <c r="Y36" s="178" t="s">
        <v>1176</v>
      </c>
      <c r="Z36" s="178" t="s">
        <v>1176</v>
      </c>
      <c r="AA36" s="205">
        <f t="shared" si="4"/>
        <v>0</v>
      </c>
      <c r="AE36" s="178" t="s">
        <v>1176</v>
      </c>
      <c r="AF36" s="412">
        <f t="shared" si="5"/>
        <v>0</v>
      </c>
      <c r="AG36" s="205">
        <v>0</v>
      </c>
      <c r="AH36" s="205">
        <v>11</v>
      </c>
      <c r="AJ36" s="413">
        <v>0</v>
      </c>
      <c r="AK36" s="205">
        <v>0</v>
      </c>
      <c r="AL36" s="178" t="s">
        <v>1176</v>
      </c>
      <c r="AM36" s="178" t="s">
        <v>1176</v>
      </c>
      <c r="AN36" s="205">
        <v>0</v>
      </c>
      <c r="AO36" s="178" t="s">
        <v>1176</v>
      </c>
      <c r="AP36" s="415" t="s">
        <v>3444</v>
      </c>
      <c r="AQ36" s="194">
        <f t="shared" si="6"/>
        <v>0</v>
      </c>
      <c r="AR36" s="415" t="s">
        <v>3430</v>
      </c>
      <c r="AS36" s="194">
        <f t="shared" si="7"/>
        <v>0</v>
      </c>
      <c r="AU36" s="194">
        <f t="shared" si="8"/>
        <v>0</v>
      </c>
      <c r="AW36" s="414">
        <f t="shared" si="9"/>
        <v>0.51</v>
      </c>
      <c r="AX36" s="178" t="s">
        <v>162</v>
      </c>
    </row>
    <row r="37" spans="1:50">
      <c r="A37" s="205">
        <v>35</v>
      </c>
      <c r="B37" s="178" t="s">
        <v>1171</v>
      </c>
      <c r="C37" s="178" t="s">
        <v>163</v>
      </c>
      <c r="D37" s="178" t="s">
        <v>413</v>
      </c>
      <c r="E37" s="205" t="str">
        <f t="shared" si="0"/>
        <v>LongchampGlobal</v>
      </c>
      <c r="F37" s="178" t="s">
        <v>163</v>
      </c>
      <c r="J37" s="205">
        <v>10</v>
      </c>
      <c r="K37" s="205">
        <v>1</v>
      </c>
      <c r="L37" s="178" t="s">
        <v>3433</v>
      </c>
      <c r="M37" s="208">
        <f t="shared" si="1"/>
        <v>0.1</v>
      </c>
      <c r="N37" s="205">
        <f t="shared" si="2"/>
        <v>0.01</v>
      </c>
      <c r="O37" s="178" t="s">
        <v>1174</v>
      </c>
      <c r="P37" s="205">
        <f t="shared" si="3"/>
        <v>0.25</v>
      </c>
      <c r="Q37" s="178" t="s">
        <v>1176</v>
      </c>
      <c r="R37" s="205">
        <v>0</v>
      </c>
      <c r="W37" s="178" t="s">
        <v>1176</v>
      </c>
      <c r="X37" s="178" t="s">
        <v>1176</v>
      </c>
      <c r="Y37" s="178" t="s">
        <v>1174</v>
      </c>
      <c r="Z37" s="178" t="s">
        <v>1174</v>
      </c>
      <c r="AA37" s="205">
        <f t="shared" si="4"/>
        <v>0.75</v>
      </c>
      <c r="AE37" s="178" t="s">
        <v>1176</v>
      </c>
      <c r="AF37" s="412">
        <f t="shared" si="5"/>
        <v>0</v>
      </c>
      <c r="AG37" s="205">
        <v>0</v>
      </c>
      <c r="AH37" s="205">
        <v>5</v>
      </c>
      <c r="AJ37" s="413">
        <v>0</v>
      </c>
      <c r="AK37" s="205">
        <v>0</v>
      </c>
      <c r="AL37" s="178" t="s">
        <v>1176</v>
      </c>
      <c r="AM37" s="178" t="s">
        <v>1176</v>
      </c>
      <c r="AN37" s="205">
        <v>0</v>
      </c>
      <c r="AO37" s="178" t="s">
        <v>1176</v>
      </c>
      <c r="AP37" s="415" t="s">
        <v>3430</v>
      </c>
      <c r="AQ37" s="194">
        <f t="shared" si="6"/>
        <v>0</v>
      </c>
      <c r="AR37" s="415" t="s">
        <v>3430</v>
      </c>
      <c r="AS37" s="194">
        <f t="shared" si="7"/>
        <v>0</v>
      </c>
      <c r="AU37" s="194">
        <f t="shared" si="8"/>
        <v>0</v>
      </c>
      <c r="AW37" s="414">
        <f t="shared" si="9"/>
        <v>1.01</v>
      </c>
      <c r="AX37" s="178" t="s">
        <v>164</v>
      </c>
    </row>
    <row r="38" spans="1:50">
      <c r="A38" s="205">
        <v>36</v>
      </c>
      <c r="B38" s="178" t="s">
        <v>1171</v>
      </c>
      <c r="C38" s="178" t="s">
        <v>165</v>
      </c>
      <c r="D38" s="178" t="s">
        <v>413</v>
      </c>
      <c r="E38" s="205" t="str">
        <f t="shared" si="0"/>
        <v>Louis VuittonGlobal</v>
      </c>
      <c r="F38" s="178" t="s">
        <v>165</v>
      </c>
      <c r="J38" s="205">
        <v>10</v>
      </c>
      <c r="K38" s="205">
        <v>4</v>
      </c>
      <c r="L38" s="178" t="s">
        <v>3467</v>
      </c>
      <c r="M38" s="208">
        <f t="shared" si="1"/>
        <v>0.4</v>
      </c>
      <c r="N38" s="205">
        <f t="shared" si="2"/>
        <v>0.93</v>
      </c>
      <c r="O38" s="178" t="s">
        <v>1174</v>
      </c>
      <c r="P38" s="205">
        <f t="shared" si="3"/>
        <v>0.25</v>
      </c>
      <c r="Q38" s="178" t="s">
        <v>1174</v>
      </c>
      <c r="R38" s="205">
        <v>0.25</v>
      </c>
      <c r="S38" s="178" t="s">
        <v>3429</v>
      </c>
      <c r="W38" s="178" t="s">
        <v>1176</v>
      </c>
      <c r="X38" s="178" t="s">
        <v>1176</v>
      </c>
      <c r="Y38" s="178" t="s">
        <v>1174</v>
      </c>
      <c r="Z38" s="178" t="s">
        <v>1176</v>
      </c>
      <c r="AA38" s="205">
        <f t="shared" si="4"/>
        <v>0.25</v>
      </c>
      <c r="AE38" s="178" t="s">
        <v>1176</v>
      </c>
      <c r="AF38" s="412">
        <f t="shared" si="5"/>
        <v>0</v>
      </c>
      <c r="AG38" s="205">
        <v>0</v>
      </c>
      <c r="AH38" s="205">
        <v>2</v>
      </c>
      <c r="AJ38" s="413">
        <v>0</v>
      </c>
      <c r="AK38" s="205">
        <v>0</v>
      </c>
      <c r="AL38" s="178" t="s">
        <v>1176</v>
      </c>
      <c r="AM38" s="178" t="s">
        <v>1176</v>
      </c>
      <c r="AN38" s="205">
        <v>0</v>
      </c>
      <c r="AO38" s="178" t="s">
        <v>1176</v>
      </c>
      <c r="AP38" s="415" t="s">
        <v>3430</v>
      </c>
      <c r="AQ38" s="194">
        <f t="shared" si="6"/>
        <v>0</v>
      </c>
      <c r="AR38" s="415" t="s">
        <v>3430</v>
      </c>
      <c r="AS38" s="194">
        <f t="shared" si="7"/>
        <v>0</v>
      </c>
      <c r="AU38" s="194">
        <f t="shared" si="8"/>
        <v>0</v>
      </c>
      <c r="AW38" s="414">
        <f t="shared" si="9"/>
        <v>1.6800000000000002</v>
      </c>
      <c r="AX38" s="178" t="s">
        <v>166</v>
      </c>
    </row>
    <row r="39" spans="1:50">
      <c r="A39" s="205">
        <v>37</v>
      </c>
      <c r="B39" s="178" t="s">
        <v>1171</v>
      </c>
      <c r="C39" s="178" t="s">
        <v>167</v>
      </c>
      <c r="D39" s="178" t="s">
        <v>413</v>
      </c>
      <c r="E39" s="205" t="str">
        <f t="shared" si="0"/>
        <v>Manolo Blahnik Global</v>
      </c>
      <c r="F39" s="178" t="s">
        <v>1573</v>
      </c>
      <c r="J39" s="205">
        <v>10</v>
      </c>
      <c r="K39" s="205">
        <v>1</v>
      </c>
      <c r="L39" s="178" t="s">
        <v>3468</v>
      </c>
      <c r="M39" s="208">
        <f t="shared" si="1"/>
        <v>0.1</v>
      </c>
      <c r="N39" s="205">
        <f t="shared" si="2"/>
        <v>0.01</v>
      </c>
      <c r="O39" s="178" t="s">
        <v>1174</v>
      </c>
      <c r="P39" s="205">
        <f t="shared" si="3"/>
        <v>0.25</v>
      </c>
      <c r="Q39" s="178" t="s">
        <v>1176</v>
      </c>
      <c r="R39" s="205">
        <v>0</v>
      </c>
      <c r="W39" s="178" t="s">
        <v>1176</v>
      </c>
      <c r="X39" s="178" t="s">
        <v>1176</v>
      </c>
      <c r="Y39" s="178" t="s">
        <v>1176</v>
      </c>
      <c r="Z39" s="178" t="s">
        <v>1176</v>
      </c>
      <c r="AA39" s="205">
        <f t="shared" si="4"/>
        <v>0</v>
      </c>
      <c r="AE39" s="178" t="s">
        <v>1176</v>
      </c>
      <c r="AF39" s="412">
        <f t="shared" si="5"/>
        <v>0</v>
      </c>
      <c r="AG39" s="205">
        <v>0</v>
      </c>
      <c r="AH39" s="205">
        <v>7</v>
      </c>
      <c r="AJ39" s="413">
        <v>0</v>
      </c>
      <c r="AK39" s="205">
        <v>0</v>
      </c>
      <c r="AL39" s="178" t="s">
        <v>1176</v>
      </c>
      <c r="AM39" s="178" t="s">
        <v>1176</v>
      </c>
      <c r="AN39" s="205">
        <v>0</v>
      </c>
      <c r="AO39" s="178" t="s">
        <v>1176</v>
      </c>
      <c r="AP39" s="415" t="s">
        <v>3430</v>
      </c>
      <c r="AQ39" s="194">
        <f t="shared" si="6"/>
        <v>0</v>
      </c>
      <c r="AR39" s="415" t="s">
        <v>3430</v>
      </c>
      <c r="AS39" s="194">
        <f t="shared" si="7"/>
        <v>0</v>
      </c>
      <c r="AU39" s="194">
        <f t="shared" si="8"/>
        <v>0</v>
      </c>
      <c r="AW39" s="414">
        <f t="shared" si="9"/>
        <v>0.26</v>
      </c>
      <c r="AX39" s="178" t="s">
        <v>168</v>
      </c>
    </row>
    <row r="40" spans="1:50">
      <c r="A40" s="205">
        <v>38</v>
      </c>
      <c r="B40" s="178" t="s">
        <v>1171</v>
      </c>
      <c r="C40" s="178" t="s">
        <v>169</v>
      </c>
      <c r="D40" s="178" t="s">
        <v>413</v>
      </c>
      <c r="E40" s="205" t="str">
        <f t="shared" si="0"/>
        <v>Marc JacobsGlobal</v>
      </c>
      <c r="F40" s="178" t="s">
        <v>169</v>
      </c>
      <c r="J40" s="205">
        <v>10</v>
      </c>
      <c r="K40" s="205">
        <v>1</v>
      </c>
      <c r="L40" s="178" t="s">
        <v>3469</v>
      </c>
      <c r="M40" s="208">
        <f t="shared" si="1"/>
        <v>0.1</v>
      </c>
      <c r="N40" s="205">
        <f t="shared" si="2"/>
        <v>0.01</v>
      </c>
      <c r="O40" s="178" t="s">
        <v>1174</v>
      </c>
      <c r="P40" s="205">
        <f t="shared" si="3"/>
        <v>0.25</v>
      </c>
      <c r="Q40" s="178" t="s">
        <v>1174</v>
      </c>
      <c r="R40" s="205">
        <v>0.25</v>
      </c>
      <c r="S40" s="178" t="s">
        <v>3429</v>
      </c>
      <c r="W40" s="178" t="s">
        <v>1176</v>
      </c>
      <c r="X40" s="178" t="s">
        <v>1176</v>
      </c>
      <c r="Y40" s="178" t="s">
        <v>1174</v>
      </c>
      <c r="Z40" s="178" t="s">
        <v>1174</v>
      </c>
      <c r="AA40" s="205">
        <f t="shared" si="4"/>
        <v>0.75</v>
      </c>
      <c r="AE40" s="178" t="s">
        <v>1174</v>
      </c>
      <c r="AF40" s="412">
        <f t="shared" si="5"/>
        <v>0.25</v>
      </c>
      <c r="AG40" s="205">
        <v>1</v>
      </c>
      <c r="AH40" s="205">
        <v>7</v>
      </c>
      <c r="AJ40" s="413">
        <v>0.1428571428571429</v>
      </c>
      <c r="AK40" s="205">
        <v>0.5</v>
      </c>
      <c r="AL40" s="178" t="s">
        <v>1174</v>
      </c>
      <c r="AM40" s="178" t="s">
        <v>1176</v>
      </c>
      <c r="AN40" s="205">
        <v>0</v>
      </c>
      <c r="AO40" s="178" t="s">
        <v>1174</v>
      </c>
      <c r="AP40" s="415" t="s">
        <v>3430</v>
      </c>
      <c r="AQ40" s="194">
        <f t="shared" si="6"/>
        <v>0</v>
      </c>
      <c r="AR40" s="415" t="s">
        <v>3430</v>
      </c>
      <c r="AS40" s="194">
        <f t="shared" si="7"/>
        <v>0</v>
      </c>
      <c r="AU40" s="194">
        <f t="shared" si="8"/>
        <v>0</v>
      </c>
      <c r="AW40" s="414">
        <f t="shared" si="9"/>
        <v>2.0099999999999998</v>
      </c>
      <c r="AX40" s="178" t="s">
        <v>170</v>
      </c>
    </row>
    <row r="41" spans="1:50">
      <c r="A41" s="205">
        <v>39</v>
      </c>
      <c r="B41" s="178" t="s">
        <v>1171</v>
      </c>
      <c r="C41" s="178" t="s">
        <v>171</v>
      </c>
      <c r="D41" s="178" t="s">
        <v>413</v>
      </c>
      <c r="E41" s="205" t="str">
        <f t="shared" si="0"/>
        <v>Max MaraGlobal</v>
      </c>
      <c r="F41" s="178" t="s">
        <v>171</v>
      </c>
      <c r="J41" s="205">
        <v>10</v>
      </c>
      <c r="K41" s="205">
        <v>2</v>
      </c>
      <c r="L41" s="178" t="s">
        <v>3470</v>
      </c>
      <c r="M41" s="208">
        <f t="shared" si="1"/>
        <v>0.2</v>
      </c>
      <c r="N41" s="205">
        <f t="shared" si="2"/>
        <v>0.51</v>
      </c>
      <c r="O41" s="178" t="s">
        <v>1174</v>
      </c>
      <c r="P41" s="205">
        <f t="shared" si="3"/>
        <v>0.25</v>
      </c>
      <c r="Q41" s="178" t="s">
        <v>1176</v>
      </c>
      <c r="R41" s="205">
        <v>0</v>
      </c>
      <c r="W41" s="178" t="s">
        <v>1176</v>
      </c>
      <c r="X41" s="178" t="s">
        <v>1176</v>
      </c>
      <c r="Y41" s="178" t="s">
        <v>1174</v>
      </c>
      <c r="Z41" s="178" t="s">
        <v>1174</v>
      </c>
      <c r="AA41" s="205">
        <f t="shared" si="4"/>
        <v>0.75</v>
      </c>
      <c r="AE41" s="178" t="s">
        <v>1176</v>
      </c>
      <c r="AF41" s="412">
        <f t="shared" si="5"/>
        <v>0</v>
      </c>
      <c r="AG41" s="205">
        <v>0</v>
      </c>
      <c r="AH41" s="205">
        <v>4</v>
      </c>
      <c r="AJ41" s="413">
        <v>0</v>
      </c>
      <c r="AK41" s="205">
        <v>0</v>
      </c>
      <c r="AL41" s="178" t="s">
        <v>1176</v>
      </c>
      <c r="AM41" s="178" t="s">
        <v>1176</v>
      </c>
      <c r="AN41" s="205">
        <v>0</v>
      </c>
      <c r="AO41" s="178" t="s">
        <v>1176</v>
      </c>
      <c r="AP41" s="415" t="s">
        <v>3430</v>
      </c>
      <c r="AQ41" s="194">
        <f t="shared" si="6"/>
        <v>0</v>
      </c>
      <c r="AR41" s="415" t="s">
        <v>3430</v>
      </c>
      <c r="AS41" s="194">
        <f t="shared" si="7"/>
        <v>0</v>
      </c>
      <c r="AU41" s="194">
        <f t="shared" si="8"/>
        <v>0</v>
      </c>
      <c r="AW41" s="414">
        <f t="shared" si="9"/>
        <v>1.51</v>
      </c>
      <c r="AX41" s="178" t="s">
        <v>173</v>
      </c>
    </row>
    <row r="42" spans="1:50">
      <c r="A42" s="205">
        <v>40</v>
      </c>
      <c r="B42" s="178" t="s">
        <v>1171</v>
      </c>
      <c r="C42" s="178" t="s">
        <v>174</v>
      </c>
      <c r="D42" s="178" t="s">
        <v>74</v>
      </c>
      <c r="E42" s="205" t="str">
        <f t="shared" si="0"/>
        <v>Michael KorsUnited States</v>
      </c>
      <c r="F42" s="178" t="s">
        <v>174</v>
      </c>
      <c r="J42" s="205">
        <v>10</v>
      </c>
      <c r="K42" s="205">
        <v>1</v>
      </c>
      <c r="L42" s="178" t="s">
        <v>3471</v>
      </c>
      <c r="M42" s="208">
        <f t="shared" si="1"/>
        <v>0.1</v>
      </c>
      <c r="N42" s="205">
        <f t="shared" si="2"/>
        <v>0.01</v>
      </c>
      <c r="O42" s="178" t="s">
        <v>1174</v>
      </c>
      <c r="P42" s="205">
        <f t="shared" si="3"/>
        <v>0.25</v>
      </c>
      <c r="Q42" s="178" t="s">
        <v>1174</v>
      </c>
      <c r="R42" s="205">
        <v>0.25</v>
      </c>
      <c r="S42" s="178" t="s">
        <v>3436</v>
      </c>
      <c r="W42" s="178" t="s">
        <v>1176</v>
      </c>
      <c r="X42" s="178" t="s">
        <v>1176</v>
      </c>
      <c r="Y42" s="178" t="s">
        <v>1174</v>
      </c>
      <c r="Z42" s="178" t="s">
        <v>1174</v>
      </c>
      <c r="AA42" s="205">
        <f t="shared" si="4"/>
        <v>0.75</v>
      </c>
      <c r="AE42" s="178" t="s">
        <v>1174</v>
      </c>
      <c r="AF42" s="412">
        <f t="shared" si="5"/>
        <v>0.25</v>
      </c>
      <c r="AG42" s="205">
        <v>1</v>
      </c>
      <c r="AH42" s="205">
        <v>7</v>
      </c>
      <c r="AJ42" s="413">
        <v>0.1428571428571429</v>
      </c>
      <c r="AK42" s="205">
        <v>0.5</v>
      </c>
      <c r="AL42" s="178" t="s">
        <v>1174</v>
      </c>
      <c r="AO42" s="178" t="s">
        <v>1174</v>
      </c>
      <c r="AP42" s="415" t="s">
        <v>3430</v>
      </c>
      <c r="AQ42" s="194">
        <f t="shared" si="6"/>
        <v>0</v>
      </c>
      <c r="AR42" s="415" t="s">
        <v>3442</v>
      </c>
      <c r="AS42" s="194">
        <f t="shared" si="7"/>
        <v>0.25</v>
      </c>
      <c r="AU42" s="194">
        <f t="shared" si="8"/>
        <v>0</v>
      </c>
      <c r="AW42" s="414">
        <f t="shared" si="9"/>
        <v>2.2599999999999998</v>
      </c>
      <c r="AX42" s="178" t="s">
        <v>176</v>
      </c>
    </row>
    <row r="43" spans="1:50">
      <c r="A43" s="205">
        <v>41</v>
      </c>
      <c r="B43" s="178" t="s">
        <v>1171</v>
      </c>
      <c r="C43" s="178" t="s">
        <v>177</v>
      </c>
      <c r="D43" s="178" t="s">
        <v>413</v>
      </c>
      <c r="E43" s="205" t="str">
        <f t="shared" si="0"/>
        <v>MissoniGlobal</v>
      </c>
      <c r="F43" s="178" t="s">
        <v>177</v>
      </c>
      <c r="J43" s="205">
        <v>10</v>
      </c>
      <c r="K43" s="205">
        <v>5</v>
      </c>
      <c r="L43" s="178" t="s">
        <v>3472</v>
      </c>
      <c r="M43" s="208">
        <f t="shared" si="1"/>
        <v>0.5</v>
      </c>
      <c r="N43" s="205">
        <f t="shared" si="2"/>
        <v>0.98</v>
      </c>
      <c r="O43" s="178" t="s">
        <v>1174</v>
      </c>
      <c r="P43" s="205">
        <f t="shared" si="3"/>
        <v>0.25</v>
      </c>
      <c r="Q43" s="178" t="s">
        <v>1176</v>
      </c>
      <c r="R43" s="205">
        <v>0</v>
      </c>
      <c r="W43" s="178" t="s">
        <v>1176</v>
      </c>
      <c r="X43" s="178" t="s">
        <v>1176</v>
      </c>
      <c r="Y43" s="178" t="s">
        <v>1176</v>
      </c>
      <c r="Z43" s="178" t="s">
        <v>1176</v>
      </c>
      <c r="AA43" s="205">
        <f t="shared" si="4"/>
        <v>0</v>
      </c>
      <c r="AE43" s="178" t="s">
        <v>1176</v>
      </c>
      <c r="AF43" s="412">
        <f t="shared" si="5"/>
        <v>0</v>
      </c>
      <c r="AG43" s="205">
        <v>0</v>
      </c>
      <c r="AH43" s="205">
        <v>11</v>
      </c>
      <c r="AJ43" s="413">
        <v>0</v>
      </c>
      <c r="AK43" s="205">
        <v>0</v>
      </c>
      <c r="AL43" s="178" t="s">
        <v>1176</v>
      </c>
      <c r="AM43" s="178" t="s">
        <v>1176</v>
      </c>
      <c r="AN43" s="205">
        <v>0</v>
      </c>
      <c r="AO43" s="178" t="s">
        <v>1176</v>
      </c>
      <c r="AP43" s="415" t="s">
        <v>3430</v>
      </c>
      <c r="AQ43" s="194">
        <f t="shared" si="6"/>
        <v>0</v>
      </c>
      <c r="AR43" s="415" t="s">
        <v>3430</v>
      </c>
      <c r="AS43" s="194">
        <f t="shared" si="7"/>
        <v>0</v>
      </c>
      <c r="AU43" s="194">
        <f t="shared" si="8"/>
        <v>0</v>
      </c>
      <c r="AW43" s="414">
        <f t="shared" si="9"/>
        <v>1.23</v>
      </c>
      <c r="AX43" s="178" t="s">
        <v>179</v>
      </c>
    </row>
    <row r="44" spans="1:50" ht="56">
      <c r="A44" s="205">
        <v>42</v>
      </c>
      <c r="B44" s="178" t="s">
        <v>1171</v>
      </c>
      <c r="C44" s="178" t="s">
        <v>180</v>
      </c>
      <c r="D44" s="178" t="s">
        <v>413</v>
      </c>
      <c r="E44" s="205" t="str">
        <f t="shared" si="0"/>
        <v>MulberryGlobal</v>
      </c>
      <c r="F44" s="178" t="s">
        <v>2636</v>
      </c>
      <c r="J44" s="205">
        <v>10</v>
      </c>
      <c r="K44" s="205">
        <v>1</v>
      </c>
      <c r="M44" s="208">
        <f t="shared" si="1"/>
        <v>0.1</v>
      </c>
      <c r="N44" s="205">
        <f t="shared" si="2"/>
        <v>0.01</v>
      </c>
      <c r="O44" s="178" t="s">
        <v>1174</v>
      </c>
      <c r="P44" s="205">
        <f t="shared" si="3"/>
        <v>0.25</v>
      </c>
      <c r="Q44" s="178" t="s">
        <v>1176</v>
      </c>
      <c r="R44" s="205">
        <v>0</v>
      </c>
      <c r="W44" s="178" t="s">
        <v>1176</v>
      </c>
      <c r="X44" s="178" t="s">
        <v>1176</v>
      </c>
      <c r="Y44" s="178" t="s">
        <v>1176</v>
      </c>
      <c r="Z44" s="178" t="s">
        <v>1174</v>
      </c>
      <c r="AA44" s="205">
        <f t="shared" si="4"/>
        <v>0.5</v>
      </c>
      <c r="AE44" s="178" t="s">
        <v>1174</v>
      </c>
      <c r="AF44" s="412">
        <f t="shared" si="5"/>
        <v>0.25</v>
      </c>
      <c r="AG44" s="205">
        <v>1</v>
      </c>
      <c r="AH44" s="205">
        <v>8</v>
      </c>
      <c r="AI44" s="207" t="s">
        <v>3473</v>
      </c>
      <c r="AJ44" s="413">
        <v>0.125</v>
      </c>
      <c r="AK44" s="205">
        <v>0.5</v>
      </c>
      <c r="AL44" s="178" t="s">
        <v>1174</v>
      </c>
      <c r="AM44" s="178" t="s">
        <v>1176</v>
      </c>
      <c r="AN44" s="205">
        <v>0</v>
      </c>
      <c r="AO44" s="178" t="s">
        <v>1174</v>
      </c>
      <c r="AP44" s="415" t="s">
        <v>3430</v>
      </c>
      <c r="AQ44" s="194">
        <f t="shared" si="6"/>
        <v>0</v>
      </c>
      <c r="AR44" s="415" t="s">
        <v>3430</v>
      </c>
      <c r="AS44" s="194">
        <f t="shared" si="7"/>
        <v>0</v>
      </c>
      <c r="AU44" s="194">
        <f t="shared" si="8"/>
        <v>0</v>
      </c>
      <c r="AW44" s="414">
        <f t="shared" si="9"/>
        <v>1.51</v>
      </c>
      <c r="AX44" s="178" t="s">
        <v>181</v>
      </c>
    </row>
    <row r="45" spans="1:50" ht="70">
      <c r="A45" s="205">
        <v>43</v>
      </c>
      <c r="B45" s="178" t="s">
        <v>1171</v>
      </c>
      <c r="C45" s="178" t="s">
        <v>182</v>
      </c>
      <c r="D45" s="178" t="s">
        <v>413</v>
      </c>
      <c r="E45" s="205" t="str">
        <f t="shared" si="0"/>
        <v>Oscar de la RentaGlobal</v>
      </c>
      <c r="F45" s="178" t="s">
        <v>182</v>
      </c>
      <c r="J45" s="205">
        <v>10</v>
      </c>
      <c r="K45" s="205">
        <v>1</v>
      </c>
      <c r="L45" s="178" t="s">
        <v>3474</v>
      </c>
      <c r="M45" s="208">
        <f t="shared" si="1"/>
        <v>0.1</v>
      </c>
      <c r="N45" s="205">
        <f t="shared" si="2"/>
        <v>0.01</v>
      </c>
      <c r="O45" s="178" t="s">
        <v>1174</v>
      </c>
      <c r="P45" s="205">
        <f t="shared" si="3"/>
        <v>0.25</v>
      </c>
      <c r="Q45" s="178" t="s">
        <v>1174</v>
      </c>
      <c r="R45" s="205">
        <v>0.25</v>
      </c>
      <c r="S45" s="178" t="s">
        <v>3429</v>
      </c>
      <c r="W45" s="178" t="s">
        <v>1176</v>
      </c>
      <c r="X45" s="178" t="s">
        <v>1176</v>
      </c>
      <c r="Y45" s="178" t="s">
        <v>1176</v>
      </c>
      <c r="Z45" s="178" t="s">
        <v>1176</v>
      </c>
      <c r="AA45" s="205">
        <f t="shared" si="4"/>
        <v>0</v>
      </c>
      <c r="AE45" s="178" t="s">
        <v>1174</v>
      </c>
      <c r="AF45" s="412">
        <f t="shared" si="5"/>
        <v>0.25</v>
      </c>
      <c r="AG45" s="205">
        <v>1</v>
      </c>
      <c r="AH45" s="205">
        <v>1</v>
      </c>
      <c r="AI45" s="207" t="s">
        <v>3475</v>
      </c>
      <c r="AJ45" s="413">
        <v>1</v>
      </c>
      <c r="AK45" s="205">
        <v>1</v>
      </c>
      <c r="AL45" s="178" t="s">
        <v>1174</v>
      </c>
      <c r="AM45" s="178" t="s">
        <v>1174</v>
      </c>
      <c r="AN45" s="205">
        <v>0.25</v>
      </c>
      <c r="AO45" s="178" t="s">
        <v>1174</v>
      </c>
      <c r="AP45" s="415" t="s">
        <v>3442</v>
      </c>
      <c r="AQ45" s="194">
        <f t="shared" si="6"/>
        <v>0.25</v>
      </c>
      <c r="AR45" s="415" t="s">
        <v>3430</v>
      </c>
      <c r="AS45" s="194">
        <f t="shared" si="7"/>
        <v>0</v>
      </c>
      <c r="AU45" s="194">
        <f t="shared" si="8"/>
        <v>0</v>
      </c>
      <c r="AV45" s="194" t="s">
        <v>3476</v>
      </c>
      <c r="AW45" s="414">
        <f t="shared" si="9"/>
        <v>2.2599999999999998</v>
      </c>
      <c r="AX45" s="178" t="s">
        <v>184</v>
      </c>
    </row>
    <row r="46" spans="1:50">
      <c r="A46" s="205">
        <v>44</v>
      </c>
      <c r="B46" s="178" t="s">
        <v>1171</v>
      </c>
      <c r="C46" s="178" t="s">
        <v>185</v>
      </c>
      <c r="D46" s="178" t="s">
        <v>413</v>
      </c>
      <c r="E46" s="205" t="str">
        <f t="shared" si="0"/>
        <v>Paul SmithGlobal</v>
      </c>
      <c r="F46" s="178" t="s">
        <v>2639</v>
      </c>
      <c r="J46" s="205">
        <v>10</v>
      </c>
      <c r="K46" s="205">
        <v>1</v>
      </c>
      <c r="M46" s="208">
        <f t="shared" si="1"/>
        <v>0.1</v>
      </c>
      <c r="N46" s="205">
        <f t="shared" si="2"/>
        <v>0.01</v>
      </c>
      <c r="O46" s="178" t="s">
        <v>1174</v>
      </c>
      <c r="P46" s="205">
        <f t="shared" si="3"/>
        <v>0.25</v>
      </c>
      <c r="Q46" s="178" t="s">
        <v>1176</v>
      </c>
      <c r="R46" s="205">
        <v>0</v>
      </c>
      <c r="W46" s="178" t="s">
        <v>1176</v>
      </c>
      <c r="X46" s="178" t="s">
        <v>1176</v>
      </c>
      <c r="Y46" s="178" t="s">
        <v>1174</v>
      </c>
      <c r="Z46" s="178" t="s">
        <v>1174</v>
      </c>
      <c r="AA46" s="205">
        <f t="shared" si="4"/>
        <v>0.75</v>
      </c>
      <c r="AE46" s="178" t="s">
        <v>1176</v>
      </c>
      <c r="AF46" s="412">
        <f t="shared" si="5"/>
        <v>0</v>
      </c>
      <c r="AG46" s="205">
        <v>0</v>
      </c>
      <c r="AH46" s="205">
        <v>4</v>
      </c>
      <c r="AJ46" s="413">
        <v>0</v>
      </c>
      <c r="AK46" s="205">
        <v>0</v>
      </c>
      <c r="AL46" s="178" t="s">
        <v>1176</v>
      </c>
      <c r="AO46" s="178" t="s">
        <v>1176</v>
      </c>
      <c r="AP46" s="415" t="s">
        <v>3430</v>
      </c>
      <c r="AQ46" s="194">
        <f t="shared" si="6"/>
        <v>0</v>
      </c>
      <c r="AR46" s="415" t="s">
        <v>3430</v>
      </c>
      <c r="AS46" s="194">
        <f t="shared" si="7"/>
        <v>0</v>
      </c>
      <c r="AU46" s="194">
        <f t="shared" si="8"/>
        <v>0</v>
      </c>
      <c r="AW46" s="414">
        <f t="shared" si="9"/>
        <v>1.01</v>
      </c>
      <c r="AX46" s="178" t="s">
        <v>186</v>
      </c>
    </row>
    <row r="47" spans="1:50">
      <c r="A47" s="205">
        <v>45</v>
      </c>
      <c r="B47" s="178" t="s">
        <v>1171</v>
      </c>
      <c r="C47" s="178" t="s">
        <v>187</v>
      </c>
      <c r="D47" s="178" t="s">
        <v>413</v>
      </c>
      <c r="E47" s="205" t="str">
        <f t="shared" si="0"/>
        <v>PradaGlobal</v>
      </c>
      <c r="F47" s="178" t="s">
        <v>187</v>
      </c>
      <c r="J47" s="205">
        <v>10</v>
      </c>
      <c r="K47" s="205">
        <v>1</v>
      </c>
      <c r="M47" s="208">
        <f t="shared" si="1"/>
        <v>0.1</v>
      </c>
      <c r="N47" s="205">
        <f t="shared" si="2"/>
        <v>0.01</v>
      </c>
      <c r="O47" s="178" t="s">
        <v>1174</v>
      </c>
      <c r="P47" s="205">
        <f t="shared" si="3"/>
        <v>0.25</v>
      </c>
      <c r="Q47" s="178" t="s">
        <v>1176</v>
      </c>
      <c r="R47" s="205">
        <v>0</v>
      </c>
      <c r="W47" s="178" t="s">
        <v>1176</v>
      </c>
      <c r="X47" s="178" t="s">
        <v>1176</v>
      </c>
      <c r="Y47" s="178" t="s">
        <v>1174</v>
      </c>
      <c r="Z47" s="178" t="s">
        <v>1174</v>
      </c>
      <c r="AA47" s="205">
        <f t="shared" si="4"/>
        <v>0.75</v>
      </c>
      <c r="AE47" s="178" t="s">
        <v>1176</v>
      </c>
      <c r="AF47" s="412">
        <f t="shared" si="5"/>
        <v>0</v>
      </c>
      <c r="AG47" s="205">
        <v>0</v>
      </c>
      <c r="AH47" s="205">
        <v>3</v>
      </c>
      <c r="AJ47" s="413">
        <v>0</v>
      </c>
      <c r="AK47" s="205">
        <v>0</v>
      </c>
      <c r="AL47" s="178" t="s">
        <v>1176</v>
      </c>
      <c r="AM47" s="178" t="s">
        <v>1176</v>
      </c>
      <c r="AN47" s="205">
        <v>0</v>
      </c>
      <c r="AO47" s="178" t="s">
        <v>1176</v>
      </c>
      <c r="AP47" s="415" t="s">
        <v>3430</v>
      </c>
      <c r="AQ47" s="194">
        <f t="shared" si="6"/>
        <v>0</v>
      </c>
      <c r="AR47" s="415" t="s">
        <v>3430</v>
      </c>
      <c r="AS47" s="194">
        <f t="shared" si="7"/>
        <v>0</v>
      </c>
      <c r="AU47" s="194">
        <f t="shared" si="8"/>
        <v>0</v>
      </c>
      <c r="AW47" s="414">
        <f t="shared" si="9"/>
        <v>1.01</v>
      </c>
      <c r="AX47" s="178" t="s">
        <v>189</v>
      </c>
    </row>
    <row r="48" spans="1:50" ht="42">
      <c r="A48" s="205">
        <v>46</v>
      </c>
      <c r="B48" s="178" t="s">
        <v>1171</v>
      </c>
      <c r="C48" s="178" t="s">
        <v>190</v>
      </c>
      <c r="D48" s="178" t="s">
        <v>413</v>
      </c>
      <c r="E48" s="205" t="str">
        <f t="shared" si="0"/>
        <v>Ralph LaurenGlobal</v>
      </c>
      <c r="F48" s="178" t="s">
        <v>190</v>
      </c>
      <c r="J48" s="205">
        <v>10</v>
      </c>
      <c r="K48" s="205">
        <v>4</v>
      </c>
      <c r="L48" s="178" t="s">
        <v>3477</v>
      </c>
      <c r="M48" s="208">
        <f t="shared" si="1"/>
        <v>0.4</v>
      </c>
      <c r="N48" s="205">
        <f t="shared" si="2"/>
        <v>0.93</v>
      </c>
      <c r="O48" s="178" t="s">
        <v>1174</v>
      </c>
      <c r="P48" s="205">
        <f t="shared" si="3"/>
        <v>0.25</v>
      </c>
      <c r="Q48" s="178" t="s">
        <v>1174</v>
      </c>
      <c r="R48" s="205">
        <v>0.25</v>
      </c>
      <c r="S48" s="178" t="s">
        <v>3431</v>
      </c>
      <c r="W48" s="178" t="s">
        <v>1176</v>
      </c>
      <c r="X48" s="178" t="s">
        <v>1176</v>
      </c>
      <c r="Y48" s="178" t="s">
        <v>1174</v>
      </c>
      <c r="Z48" s="178" t="s">
        <v>1174</v>
      </c>
      <c r="AA48" s="205">
        <f t="shared" si="4"/>
        <v>0.75</v>
      </c>
      <c r="AE48" s="178" t="s">
        <v>1174</v>
      </c>
      <c r="AF48" s="412">
        <f t="shared" si="5"/>
        <v>0.25</v>
      </c>
      <c r="AG48" s="205">
        <v>1</v>
      </c>
      <c r="AH48" s="205">
        <v>1</v>
      </c>
      <c r="AI48" s="207" t="s">
        <v>3478</v>
      </c>
      <c r="AJ48" s="413">
        <v>1</v>
      </c>
      <c r="AK48" s="205">
        <v>1</v>
      </c>
      <c r="AL48" s="178" t="s">
        <v>1174</v>
      </c>
      <c r="AM48" s="178" t="s">
        <v>1174</v>
      </c>
      <c r="AN48" s="205">
        <v>0.25</v>
      </c>
      <c r="AO48" s="178" t="s">
        <v>1174</v>
      </c>
      <c r="AP48" s="415" t="s">
        <v>3430</v>
      </c>
      <c r="AQ48" s="194">
        <f t="shared" si="6"/>
        <v>0</v>
      </c>
      <c r="AR48" s="415" t="s">
        <v>3442</v>
      </c>
      <c r="AS48" s="194">
        <f t="shared" si="7"/>
        <v>0.25</v>
      </c>
      <c r="AU48" s="194">
        <f t="shared" si="8"/>
        <v>0</v>
      </c>
      <c r="AV48" s="194" t="s">
        <v>3479</v>
      </c>
      <c r="AW48" s="414">
        <f t="shared" si="9"/>
        <v>3.93</v>
      </c>
      <c r="AX48" s="178" t="s">
        <v>1322</v>
      </c>
    </row>
    <row r="49" spans="1:50">
      <c r="A49" s="205">
        <v>47</v>
      </c>
      <c r="B49" s="178" t="s">
        <v>1171</v>
      </c>
      <c r="C49" s="178" t="s">
        <v>193</v>
      </c>
      <c r="D49" s="178" t="s">
        <v>413</v>
      </c>
      <c r="E49" s="205" t="str">
        <f t="shared" si="0"/>
        <v>Roberto CavalliGlobal</v>
      </c>
      <c r="F49" s="178" t="s">
        <v>193</v>
      </c>
      <c r="J49" s="205">
        <v>10</v>
      </c>
      <c r="K49" s="205">
        <v>3</v>
      </c>
      <c r="L49" s="178" t="s">
        <v>3480</v>
      </c>
      <c r="M49" s="208">
        <f t="shared" si="1"/>
        <v>0.3</v>
      </c>
      <c r="N49" s="205">
        <f t="shared" si="2"/>
        <v>0.79</v>
      </c>
      <c r="O49" s="178" t="s">
        <v>1174</v>
      </c>
      <c r="P49" s="205">
        <f t="shared" si="3"/>
        <v>0.25</v>
      </c>
      <c r="Q49" s="178" t="s">
        <v>1174</v>
      </c>
      <c r="R49" s="205">
        <v>0.25</v>
      </c>
      <c r="S49" s="178" t="s">
        <v>3429</v>
      </c>
      <c r="W49" s="178" t="s">
        <v>1176</v>
      </c>
      <c r="X49" s="178" t="s">
        <v>1176</v>
      </c>
      <c r="Y49" s="178" t="s">
        <v>1176</v>
      </c>
      <c r="Z49" s="178" t="s">
        <v>1176</v>
      </c>
      <c r="AA49" s="205">
        <f t="shared" si="4"/>
        <v>0</v>
      </c>
      <c r="AE49" s="178" t="s">
        <v>1174</v>
      </c>
      <c r="AF49" s="412">
        <f t="shared" si="5"/>
        <v>0.25</v>
      </c>
      <c r="AG49" s="205">
        <v>1</v>
      </c>
      <c r="AH49" s="205">
        <v>2</v>
      </c>
      <c r="AJ49" s="413">
        <v>0.5</v>
      </c>
      <c r="AK49" s="205">
        <v>1</v>
      </c>
      <c r="AL49" s="178" t="s">
        <v>1174</v>
      </c>
      <c r="AM49" s="178" t="s">
        <v>1176</v>
      </c>
      <c r="AN49" s="205">
        <v>0</v>
      </c>
      <c r="AO49" s="178" t="s">
        <v>1174</v>
      </c>
      <c r="AP49" s="415" t="s">
        <v>3430</v>
      </c>
      <c r="AQ49" s="194">
        <f t="shared" si="6"/>
        <v>0</v>
      </c>
      <c r="AR49" s="415" t="s">
        <v>3430</v>
      </c>
      <c r="AS49" s="194">
        <f t="shared" si="7"/>
        <v>0</v>
      </c>
      <c r="AU49" s="194">
        <f t="shared" si="8"/>
        <v>0</v>
      </c>
      <c r="AW49" s="414">
        <f t="shared" si="9"/>
        <v>2.54</v>
      </c>
      <c r="AX49" s="178" t="s">
        <v>195</v>
      </c>
    </row>
    <row r="50" spans="1:50">
      <c r="A50" s="205">
        <v>48</v>
      </c>
      <c r="B50" s="178" t="s">
        <v>1171</v>
      </c>
      <c r="C50" s="178" t="s">
        <v>196</v>
      </c>
      <c r="D50" s="178" t="s">
        <v>413</v>
      </c>
      <c r="E50" s="205" t="str">
        <f t="shared" si="0"/>
        <v>Salvatore FerragamoGlobal</v>
      </c>
      <c r="F50" s="178" t="s">
        <v>2640</v>
      </c>
      <c r="J50" s="205">
        <v>10</v>
      </c>
      <c r="K50" s="205">
        <v>1</v>
      </c>
      <c r="M50" s="208">
        <f t="shared" si="1"/>
        <v>0.1</v>
      </c>
      <c r="N50" s="205">
        <f t="shared" si="2"/>
        <v>0.01</v>
      </c>
      <c r="O50" s="178" t="s">
        <v>1174</v>
      </c>
      <c r="P50" s="205">
        <f t="shared" si="3"/>
        <v>0.25</v>
      </c>
      <c r="Q50" s="178" t="s">
        <v>1174</v>
      </c>
      <c r="R50" s="205">
        <v>0.25</v>
      </c>
      <c r="S50" s="178" t="s">
        <v>2372</v>
      </c>
      <c r="W50" s="178" t="s">
        <v>1176</v>
      </c>
      <c r="X50" s="178" t="s">
        <v>1176</v>
      </c>
      <c r="Y50" s="178" t="s">
        <v>1174</v>
      </c>
      <c r="Z50" s="178" t="s">
        <v>1176</v>
      </c>
      <c r="AA50" s="205">
        <f t="shared" si="4"/>
        <v>0.25</v>
      </c>
      <c r="AE50" s="178" t="s">
        <v>1174</v>
      </c>
      <c r="AF50" s="412">
        <f t="shared" si="5"/>
        <v>0.25</v>
      </c>
      <c r="AG50" s="205">
        <v>1</v>
      </c>
      <c r="AH50" s="205">
        <v>6</v>
      </c>
      <c r="AJ50" s="413">
        <v>0.16666666666666671</v>
      </c>
      <c r="AK50" s="205">
        <v>0.5</v>
      </c>
      <c r="AL50" s="178" t="s">
        <v>1174</v>
      </c>
      <c r="AM50" s="178" t="s">
        <v>1176</v>
      </c>
      <c r="AN50" s="205">
        <v>0</v>
      </c>
      <c r="AO50" s="178" t="s">
        <v>1174</v>
      </c>
      <c r="AP50" s="415" t="s">
        <v>3430</v>
      </c>
      <c r="AQ50" s="194">
        <f t="shared" si="6"/>
        <v>0</v>
      </c>
      <c r="AR50" s="415" t="s">
        <v>3430</v>
      </c>
      <c r="AS50" s="194">
        <f t="shared" si="7"/>
        <v>0</v>
      </c>
      <c r="AU50" s="194">
        <f t="shared" si="8"/>
        <v>0</v>
      </c>
      <c r="AW50" s="414">
        <f t="shared" si="9"/>
        <v>1.51</v>
      </c>
      <c r="AX50" s="178" t="s">
        <v>198</v>
      </c>
    </row>
    <row r="51" spans="1:50">
      <c r="A51" s="205">
        <v>49</v>
      </c>
      <c r="B51" s="178" t="s">
        <v>1171</v>
      </c>
      <c r="C51" s="178" t="s">
        <v>199</v>
      </c>
      <c r="D51" s="178" t="s">
        <v>413</v>
      </c>
      <c r="E51" s="205" t="str">
        <f t="shared" si="0"/>
        <v>Sergio RossiGlobal</v>
      </c>
      <c r="F51" s="178" t="s">
        <v>199</v>
      </c>
      <c r="J51" s="205">
        <v>10</v>
      </c>
      <c r="K51" s="205">
        <v>3</v>
      </c>
      <c r="L51" s="178" t="s">
        <v>3474</v>
      </c>
      <c r="M51" s="208">
        <f t="shared" si="1"/>
        <v>0.3</v>
      </c>
      <c r="N51" s="205">
        <f t="shared" si="2"/>
        <v>0.79</v>
      </c>
      <c r="O51" s="178" t="s">
        <v>1174</v>
      </c>
      <c r="P51" s="205">
        <f t="shared" si="3"/>
        <v>0.25</v>
      </c>
      <c r="Q51" s="178" t="s">
        <v>1176</v>
      </c>
      <c r="R51" s="205">
        <v>0</v>
      </c>
      <c r="W51" s="178" t="s">
        <v>1176</v>
      </c>
      <c r="X51" s="178" t="s">
        <v>1176</v>
      </c>
      <c r="Y51" s="178" t="s">
        <v>1176</v>
      </c>
      <c r="Z51" s="178" t="s">
        <v>1176</v>
      </c>
      <c r="AA51" s="205">
        <f t="shared" si="4"/>
        <v>0</v>
      </c>
      <c r="AE51" s="178" t="s">
        <v>1174</v>
      </c>
      <c r="AF51" s="412">
        <f t="shared" si="5"/>
        <v>0.25</v>
      </c>
      <c r="AG51" s="205">
        <v>1</v>
      </c>
      <c r="AH51" s="205">
        <v>5</v>
      </c>
      <c r="AJ51" s="413">
        <v>0.2</v>
      </c>
      <c r="AK51" s="205">
        <v>0.5</v>
      </c>
      <c r="AL51" s="178" t="s">
        <v>1174</v>
      </c>
      <c r="AM51" s="178" t="s">
        <v>1176</v>
      </c>
      <c r="AN51" s="205">
        <v>0</v>
      </c>
      <c r="AO51" s="178" t="s">
        <v>1174</v>
      </c>
      <c r="AP51" s="415" t="s">
        <v>3430</v>
      </c>
      <c r="AQ51" s="194">
        <f t="shared" si="6"/>
        <v>0</v>
      </c>
      <c r="AR51" s="415" t="s">
        <v>3430</v>
      </c>
      <c r="AS51" s="194">
        <f t="shared" si="7"/>
        <v>0</v>
      </c>
      <c r="AU51" s="194">
        <f t="shared" si="8"/>
        <v>0</v>
      </c>
      <c r="AW51" s="414">
        <f t="shared" si="9"/>
        <v>1.79</v>
      </c>
      <c r="AX51" s="178" t="s">
        <v>200</v>
      </c>
    </row>
    <row r="52" spans="1:50">
      <c r="A52" s="205">
        <v>50</v>
      </c>
      <c r="B52" s="178" t="s">
        <v>1171</v>
      </c>
      <c r="C52" s="178" t="s">
        <v>201</v>
      </c>
      <c r="D52" s="178" t="s">
        <v>413</v>
      </c>
      <c r="E52" s="205" t="str">
        <f t="shared" si="0"/>
        <v>Stella McCartneyGlobal</v>
      </c>
      <c r="F52" s="178" t="s">
        <v>201</v>
      </c>
      <c r="J52" s="205">
        <v>10</v>
      </c>
      <c r="K52" s="205">
        <v>2</v>
      </c>
      <c r="L52" s="178" t="s">
        <v>3481</v>
      </c>
      <c r="M52" s="208">
        <f t="shared" si="1"/>
        <v>0.2</v>
      </c>
      <c r="N52" s="205">
        <f t="shared" si="2"/>
        <v>0.51</v>
      </c>
      <c r="O52" s="178" t="s">
        <v>1174</v>
      </c>
      <c r="P52" s="205">
        <f t="shared" si="3"/>
        <v>0.25</v>
      </c>
      <c r="Q52" s="178" t="s">
        <v>1174</v>
      </c>
      <c r="R52" s="205">
        <v>0.25</v>
      </c>
      <c r="S52" s="178" t="s">
        <v>3482</v>
      </c>
      <c r="W52" s="178" t="s">
        <v>1176</v>
      </c>
      <c r="X52" s="178" t="s">
        <v>1176</v>
      </c>
      <c r="Y52" s="178" t="s">
        <v>1176</v>
      </c>
      <c r="Z52" s="178" t="s">
        <v>1174</v>
      </c>
      <c r="AA52" s="205">
        <f t="shared" si="4"/>
        <v>0.5</v>
      </c>
      <c r="AE52" s="178" t="s">
        <v>1176</v>
      </c>
      <c r="AF52" s="412">
        <f t="shared" si="5"/>
        <v>0</v>
      </c>
      <c r="AG52" s="205">
        <v>0</v>
      </c>
      <c r="AH52" s="205">
        <v>2</v>
      </c>
      <c r="AJ52" s="413">
        <v>0</v>
      </c>
      <c r="AK52" s="205">
        <v>0</v>
      </c>
      <c r="AL52" s="178" t="s">
        <v>1176</v>
      </c>
      <c r="AM52" s="178" t="s">
        <v>1176</v>
      </c>
      <c r="AN52" s="205">
        <v>0</v>
      </c>
      <c r="AO52" s="178" t="s">
        <v>1176</v>
      </c>
      <c r="AP52" s="415" t="s">
        <v>3430</v>
      </c>
      <c r="AQ52" s="194">
        <f t="shared" si="6"/>
        <v>0</v>
      </c>
      <c r="AR52" s="415" t="s">
        <v>3430</v>
      </c>
      <c r="AS52" s="194">
        <f t="shared" si="7"/>
        <v>0</v>
      </c>
      <c r="AU52" s="194">
        <f t="shared" si="8"/>
        <v>0</v>
      </c>
      <c r="AW52" s="414">
        <f t="shared" si="9"/>
        <v>1.51</v>
      </c>
      <c r="AX52" s="178" t="s">
        <v>202</v>
      </c>
    </row>
    <row r="53" spans="1:50">
      <c r="A53" s="205">
        <v>51</v>
      </c>
      <c r="B53" s="178" t="s">
        <v>1171</v>
      </c>
      <c r="C53" s="178" t="s">
        <v>203</v>
      </c>
      <c r="D53" s="178" t="s">
        <v>413</v>
      </c>
      <c r="E53" s="205" t="str">
        <f t="shared" si="0"/>
        <v>Stuart WeitzmanGlobal</v>
      </c>
      <c r="F53" s="178" t="s">
        <v>203</v>
      </c>
      <c r="J53" s="205">
        <v>10</v>
      </c>
      <c r="K53" s="205">
        <v>2</v>
      </c>
      <c r="M53" s="208">
        <f t="shared" si="1"/>
        <v>0.2</v>
      </c>
      <c r="N53" s="205">
        <f t="shared" si="2"/>
        <v>0.51</v>
      </c>
      <c r="O53" s="178" t="s">
        <v>1174</v>
      </c>
      <c r="P53" s="205">
        <f t="shared" si="3"/>
        <v>0.25</v>
      </c>
      <c r="Q53" s="178" t="s">
        <v>1176</v>
      </c>
      <c r="R53" s="205">
        <v>0</v>
      </c>
      <c r="W53" s="178" t="s">
        <v>1176</v>
      </c>
      <c r="X53" s="178" t="s">
        <v>1174</v>
      </c>
      <c r="Y53" s="178" t="s">
        <v>1174</v>
      </c>
      <c r="Z53" s="178" t="s">
        <v>1176</v>
      </c>
      <c r="AA53" s="205">
        <f t="shared" si="4"/>
        <v>0.5</v>
      </c>
      <c r="AE53" s="178" t="s">
        <v>1174</v>
      </c>
      <c r="AF53" s="412">
        <f t="shared" si="5"/>
        <v>0.25</v>
      </c>
      <c r="AG53" s="205">
        <v>1</v>
      </c>
      <c r="AH53" s="205">
        <v>11</v>
      </c>
      <c r="AJ53" s="413">
        <v>9.0909090909090898E-2</v>
      </c>
      <c r="AK53" s="205">
        <v>0.5</v>
      </c>
      <c r="AL53" s="178" t="s">
        <v>1174</v>
      </c>
      <c r="AM53" s="178" t="s">
        <v>1176</v>
      </c>
      <c r="AN53" s="205">
        <v>0</v>
      </c>
      <c r="AO53" s="178" t="s">
        <v>1174</v>
      </c>
      <c r="AP53" s="415" t="s">
        <v>3430</v>
      </c>
      <c r="AQ53" s="194">
        <f t="shared" si="6"/>
        <v>0</v>
      </c>
      <c r="AR53" s="194" t="s">
        <v>3442</v>
      </c>
      <c r="AS53" s="194">
        <f t="shared" si="7"/>
        <v>0.25</v>
      </c>
      <c r="AU53" s="194">
        <f t="shared" si="8"/>
        <v>0</v>
      </c>
      <c r="AV53" s="194" t="s">
        <v>3483</v>
      </c>
      <c r="AW53" s="414">
        <f t="shared" si="9"/>
        <v>2.2599999999999998</v>
      </c>
      <c r="AX53" s="178" t="s">
        <v>1827</v>
      </c>
    </row>
    <row r="54" spans="1:50">
      <c r="A54" s="205">
        <v>52</v>
      </c>
      <c r="B54" s="178" t="s">
        <v>1171</v>
      </c>
      <c r="C54" s="178" t="s">
        <v>206</v>
      </c>
      <c r="D54" s="178" t="s">
        <v>413</v>
      </c>
      <c r="E54" s="205" t="str">
        <f t="shared" si="0"/>
        <v>Ted BakerGlobal</v>
      </c>
      <c r="F54" s="178" t="s">
        <v>206</v>
      </c>
      <c r="J54" s="205">
        <v>10</v>
      </c>
      <c r="K54" s="205">
        <v>2</v>
      </c>
      <c r="L54" s="178" t="s">
        <v>3484</v>
      </c>
      <c r="M54" s="208">
        <f t="shared" si="1"/>
        <v>0.2</v>
      </c>
      <c r="N54" s="205">
        <f t="shared" si="2"/>
        <v>0.51</v>
      </c>
      <c r="O54" s="178" t="s">
        <v>1174</v>
      </c>
      <c r="P54" s="205">
        <f t="shared" si="3"/>
        <v>0.25</v>
      </c>
      <c r="Q54" s="178" t="s">
        <v>1174</v>
      </c>
      <c r="R54" s="205">
        <v>0.25</v>
      </c>
      <c r="S54" s="178" t="s">
        <v>3429</v>
      </c>
      <c r="W54" s="178" t="s">
        <v>1176</v>
      </c>
      <c r="X54" s="178" t="s">
        <v>1176</v>
      </c>
      <c r="Y54" s="178" t="s">
        <v>1174</v>
      </c>
      <c r="Z54" s="178" t="s">
        <v>1174</v>
      </c>
      <c r="AA54" s="205">
        <f t="shared" si="4"/>
        <v>0.75</v>
      </c>
      <c r="AE54" s="178" t="s">
        <v>1174</v>
      </c>
      <c r="AF54" s="412">
        <f t="shared" si="5"/>
        <v>0.25</v>
      </c>
      <c r="AG54" s="205">
        <v>1</v>
      </c>
      <c r="AH54" s="205">
        <v>3</v>
      </c>
      <c r="AJ54" s="413">
        <v>0.33333333333333331</v>
      </c>
      <c r="AK54" s="205">
        <v>0.5</v>
      </c>
      <c r="AL54" s="178" t="s">
        <v>1174</v>
      </c>
      <c r="AM54" s="178" t="s">
        <v>1176</v>
      </c>
      <c r="AN54" s="205">
        <v>0</v>
      </c>
      <c r="AO54" s="178" t="s">
        <v>1174</v>
      </c>
      <c r="AP54" s="415" t="s">
        <v>3430</v>
      </c>
      <c r="AQ54" s="194">
        <f t="shared" si="6"/>
        <v>0</v>
      </c>
      <c r="AR54" s="415" t="s">
        <v>3430</v>
      </c>
      <c r="AS54" s="194">
        <f t="shared" si="7"/>
        <v>0</v>
      </c>
      <c r="AU54" s="194">
        <f t="shared" si="8"/>
        <v>0</v>
      </c>
      <c r="AW54" s="414">
        <f t="shared" si="9"/>
        <v>2.5099999999999998</v>
      </c>
      <c r="AX54" s="178" t="s">
        <v>208</v>
      </c>
    </row>
    <row r="55" spans="1:50">
      <c r="A55" s="205">
        <v>53</v>
      </c>
      <c r="B55" s="178" t="s">
        <v>1171</v>
      </c>
      <c r="C55" s="178" t="s">
        <v>209</v>
      </c>
      <c r="D55" s="178" t="s">
        <v>413</v>
      </c>
      <c r="E55" s="205" t="str">
        <f t="shared" si="0"/>
        <v>TheoryGlobal</v>
      </c>
      <c r="F55" s="178" t="s">
        <v>2644</v>
      </c>
      <c r="J55" s="205">
        <v>10</v>
      </c>
      <c r="K55" s="205">
        <v>3</v>
      </c>
      <c r="L55" s="178" t="s">
        <v>3485</v>
      </c>
      <c r="M55" s="208">
        <f t="shared" si="1"/>
        <v>0.3</v>
      </c>
      <c r="N55" s="205">
        <f t="shared" si="2"/>
        <v>0.79</v>
      </c>
      <c r="O55" s="178" t="s">
        <v>1174</v>
      </c>
      <c r="P55" s="205">
        <f t="shared" si="3"/>
        <v>0.25</v>
      </c>
      <c r="Q55" s="178" t="s">
        <v>1176</v>
      </c>
      <c r="R55" s="205">
        <v>0</v>
      </c>
      <c r="W55" s="178" t="s">
        <v>1176</v>
      </c>
      <c r="X55" s="178" t="s">
        <v>1176</v>
      </c>
      <c r="Y55" s="178" t="s">
        <v>1176</v>
      </c>
      <c r="Z55" s="178" t="s">
        <v>1176</v>
      </c>
      <c r="AA55" s="205">
        <f t="shared" si="4"/>
        <v>0</v>
      </c>
      <c r="AE55" s="178" t="s">
        <v>1176</v>
      </c>
      <c r="AF55" s="412">
        <f t="shared" si="5"/>
        <v>0</v>
      </c>
      <c r="AG55" s="205">
        <v>0</v>
      </c>
      <c r="AH55" s="205">
        <v>2</v>
      </c>
      <c r="AJ55" s="413">
        <v>0</v>
      </c>
      <c r="AK55" s="205">
        <v>0</v>
      </c>
      <c r="AL55" s="178" t="s">
        <v>1176</v>
      </c>
      <c r="AM55" s="178" t="s">
        <v>1176</v>
      </c>
      <c r="AN55" s="205">
        <v>0</v>
      </c>
      <c r="AO55" s="178" t="s">
        <v>1176</v>
      </c>
      <c r="AP55" s="415" t="s">
        <v>3430</v>
      </c>
      <c r="AQ55" s="194">
        <f t="shared" si="6"/>
        <v>0</v>
      </c>
      <c r="AR55" s="415" t="s">
        <v>3430</v>
      </c>
      <c r="AS55" s="194">
        <f t="shared" si="7"/>
        <v>0</v>
      </c>
      <c r="AU55" s="194">
        <f t="shared" si="8"/>
        <v>0</v>
      </c>
      <c r="AW55" s="414">
        <f t="shared" si="9"/>
        <v>1.04</v>
      </c>
      <c r="AX55" s="178" t="s">
        <v>212</v>
      </c>
    </row>
    <row r="56" spans="1:50">
      <c r="A56" s="205">
        <v>54</v>
      </c>
      <c r="B56" s="178" t="s">
        <v>1171</v>
      </c>
      <c r="C56" s="178" t="s">
        <v>213</v>
      </c>
      <c r="D56" s="178" t="s">
        <v>413</v>
      </c>
      <c r="E56" s="205" t="str">
        <f t="shared" si="0"/>
        <v>Thomas PinkGlobal</v>
      </c>
      <c r="F56" s="178" t="s">
        <v>213</v>
      </c>
      <c r="J56" s="205">
        <v>10</v>
      </c>
      <c r="K56" s="205">
        <v>1</v>
      </c>
      <c r="M56" s="208">
        <f t="shared" si="1"/>
        <v>0.1</v>
      </c>
      <c r="N56" s="205">
        <f t="shared" si="2"/>
        <v>0.01</v>
      </c>
      <c r="O56" s="178" t="s">
        <v>1174</v>
      </c>
      <c r="P56" s="205">
        <f t="shared" si="3"/>
        <v>0.25</v>
      </c>
      <c r="Q56" s="178" t="s">
        <v>1174</v>
      </c>
      <c r="R56" s="205">
        <v>0.25</v>
      </c>
      <c r="S56" s="178" t="s">
        <v>3429</v>
      </c>
      <c r="W56" s="178" t="s">
        <v>1176</v>
      </c>
      <c r="X56" s="178" t="s">
        <v>1176</v>
      </c>
      <c r="Y56" s="178" t="s">
        <v>1174</v>
      </c>
      <c r="Z56" s="178" t="s">
        <v>1174</v>
      </c>
      <c r="AA56" s="205">
        <f t="shared" si="4"/>
        <v>0.75</v>
      </c>
      <c r="AE56" s="178" t="s">
        <v>3430</v>
      </c>
      <c r="AF56" s="412">
        <f t="shared" si="5"/>
        <v>0</v>
      </c>
      <c r="AG56" s="205">
        <v>0</v>
      </c>
      <c r="AH56" s="205">
        <v>1</v>
      </c>
      <c r="AJ56" s="413">
        <v>0</v>
      </c>
      <c r="AK56" s="205">
        <v>0</v>
      </c>
      <c r="AL56" s="178" t="s">
        <v>1176</v>
      </c>
      <c r="AM56" s="178" t="s">
        <v>1176</v>
      </c>
      <c r="AN56" s="205">
        <v>0</v>
      </c>
      <c r="AO56" s="178" t="s">
        <v>1176</v>
      </c>
      <c r="AP56" s="415" t="s">
        <v>3430</v>
      </c>
      <c r="AQ56" s="194">
        <f t="shared" si="6"/>
        <v>0</v>
      </c>
      <c r="AR56" s="415" t="s">
        <v>3430</v>
      </c>
      <c r="AS56" s="194">
        <f t="shared" si="7"/>
        <v>0</v>
      </c>
      <c r="AU56" s="194">
        <f t="shared" si="8"/>
        <v>0</v>
      </c>
      <c r="AW56" s="414">
        <f t="shared" si="9"/>
        <v>1.26</v>
      </c>
      <c r="AX56" s="178" t="s">
        <v>214</v>
      </c>
    </row>
    <row r="57" spans="1:50" ht="28">
      <c r="A57" s="205">
        <v>55</v>
      </c>
      <c r="B57" s="178" t="s">
        <v>1171</v>
      </c>
      <c r="C57" s="178" t="s">
        <v>215</v>
      </c>
      <c r="D57" s="178" t="s">
        <v>413</v>
      </c>
      <c r="E57" s="205" t="str">
        <f t="shared" si="0"/>
        <v>Tod'sGlobal</v>
      </c>
      <c r="F57" s="178" t="s">
        <v>2647</v>
      </c>
      <c r="J57" s="205">
        <v>10</v>
      </c>
      <c r="K57" s="205">
        <v>1</v>
      </c>
      <c r="M57" s="208">
        <f t="shared" si="1"/>
        <v>0.1</v>
      </c>
      <c r="N57" s="205">
        <f t="shared" si="2"/>
        <v>0.01</v>
      </c>
      <c r="O57" s="178" t="s">
        <v>1174</v>
      </c>
      <c r="P57" s="205">
        <f t="shared" si="3"/>
        <v>0.25</v>
      </c>
      <c r="Q57" s="178" t="s">
        <v>1176</v>
      </c>
      <c r="R57" s="205">
        <v>0</v>
      </c>
      <c r="W57" s="178" t="s">
        <v>1176</v>
      </c>
      <c r="X57" s="178" t="s">
        <v>1176</v>
      </c>
      <c r="Y57" s="178" t="s">
        <v>1176</v>
      </c>
      <c r="Z57" s="178" t="s">
        <v>1174</v>
      </c>
      <c r="AA57" s="205">
        <f t="shared" si="4"/>
        <v>0.5</v>
      </c>
      <c r="AE57" s="178" t="s">
        <v>1176</v>
      </c>
      <c r="AF57" s="412">
        <f t="shared" si="5"/>
        <v>0</v>
      </c>
      <c r="AG57" s="205">
        <v>0</v>
      </c>
      <c r="AH57" s="205">
        <v>7</v>
      </c>
      <c r="AI57" s="207" t="s">
        <v>3486</v>
      </c>
      <c r="AJ57" s="413">
        <v>0</v>
      </c>
      <c r="AK57" s="205">
        <v>0</v>
      </c>
      <c r="AL57" s="178" t="s">
        <v>1176</v>
      </c>
      <c r="AM57" s="178" t="s">
        <v>1176</v>
      </c>
      <c r="AN57" s="205">
        <v>0</v>
      </c>
      <c r="AO57" s="178" t="s">
        <v>1176</v>
      </c>
      <c r="AP57" s="415" t="s">
        <v>3430</v>
      </c>
      <c r="AQ57" s="194">
        <f t="shared" si="6"/>
        <v>0</v>
      </c>
      <c r="AR57" s="415" t="s">
        <v>3430</v>
      </c>
      <c r="AS57" s="194">
        <f t="shared" si="7"/>
        <v>0</v>
      </c>
      <c r="AU57" s="194">
        <f t="shared" si="8"/>
        <v>0</v>
      </c>
      <c r="AW57" s="414">
        <f t="shared" si="9"/>
        <v>0.76</v>
      </c>
      <c r="AX57" s="178" t="s">
        <v>217</v>
      </c>
    </row>
    <row r="58" spans="1:50" ht="28">
      <c r="A58" s="205">
        <v>56</v>
      </c>
      <c r="B58" s="178" t="s">
        <v>1171</v>
      </c>
      <c r="C58" s="178" t="s">
        <v>218</v>
      </c>
      <c r="D58" s="178" t="s">
        <v>413</v>
      </c>
      <c r="E58" s="205" t="str">
        <f t="shared" si="0"/>
        <v>Tommy HilfigerGlobal</v>
      </c>
      <c r="F58" s="178" t="s">
        <v>218</v>
      </c>
      <c r="J58" s="205">
        <v>10</v>
      </c>
      <c r="K58" s="205">
        <v>3</v>
      </c>
      <c r="L58" s="178" t="s">
        <v>3487</v>
      </c>
      <c r="M58" s="208">
        <f t="shared" si="1"/>
        <v>0.3</v>
      </c>
      <c r="N58" s="205">
        <f t="shared" si="2"/>
        <v>0.79</v>
      </c>
      <c r="O58" s="178" t="s">
        <v>1174</v>
      </c>
      <c r="P58" s="205">
        <f t="shared" si="3"/>
        <v>0.25</v>
      </c>
      <c r="Q58" s="178" t="s">
        <v>1174</v>
      </c>
      <c r="R58" s="205">
        <v>0.25</v>
      </c>
      <c r="S58" s="178" t="s">
        <v>3429</v>
      </c>
      <c r="W58" s="178" t="s">
        <v>1174</v>
      </c>
      <c r="X58" s="178" t="s">
        <v>1174</v>
      </c>
      <c r="Y58" s="178" t="s">
        <v>1174</v>
      </c>
      <c r="Z58" s="178" t="s">
        <v>1174</v>
      </c>
      <c r="AA58" s="205">
        <f t="shared" si="4"/>
        <v>1.25</v>
      </c>
      <c r="AE58" s="178" t="s">
        <v>1174</v>
      </c>
      <c r="AF58" s="412">
        <f t="shared" si="5"/>
        <v>0.25</v>
      </c>
      <c r="AG58" s="205">
        <v>1</v>
      </c>
      <c r="AH58" s="205">
        <v>2</v>
      </c>
      <c r="AI58" s="207" t="s">
        <v>3488</v>
      </c>
      <c r="AJ58" s="413">
        <v>0.5</v>
      </c>
      <c r="AK58" s="205">
        <v>1</v>
      </c>
      <c r="AL58" s="178" t="s">
        <v>1174</v>
      </c>
      <c r="AM58" s="178" t="s">
        <v>1176</v>
      </c>
      <c r="AN58" s="205">
        <v>0</v>
      </c>
      <c r="AO58" s="178" t="s">
        <v>1174</v>
      </c>
      <c r="AP58" s="415" t="s">
        <v>3430</v>
      </c>
      <c r="AQ58" s="194">
        <f t="shared" si="6"/>
        <v>0</v>
      </c>
      <c r="AR58" s="415" t="s">
        <v>3430</v>
      </c>
      <c r="AS58" s="194">
        <f t="shared" si="7"/>
        <v>0</v>
      </c>
      <c r="AU58" s="194">
        <f t="shared" si="8"/>
        <v>0</v>
      </c>
      <c r="AW58" s="414">
        <f t="shared" si="9"/>
        <v>3.79</v>
      </c>
      <c r="AX58" s="178" t="s">
        <v>1833</v>
      </c>
    </row>
    <row r="59" spans="1:50" ht="28">
      <c r="A59" s="205">
        <v>57</v>
      </c>
      <c r="B59" s="178" t="s">
        <v>1171</v>
      </c>
      <c r="C59" s="178" t="s">
        <v>220</v>
      </c>
      <c r="D59" s="178" t="s">
        <v>413</v>
      </c>
      <c r="E59" s="205" t="str">
        <f t="shared" si="0"/>
        <v>Tory BurchGlobal</v>
      </c>
      <c r="F59" s="178" t="s">
        <v>220</v>
      </c>
      <c r="J59" s="205">
        <v>11</v>
      </c>
      <c r="K59" s="205">
        <v>1</v>
      </c>
      <c r="L59" s="178" t="s">
        <v>3489</v>
      </c>
      <c r="M59" s="208">
        <f t="shared" si="1"/>
        <v>9.0909090909090912E-2</v>
      </c>
      <c r="N59" s="205">
        <f t="shared" si="2"/>
        <v>0</v>
      </c>
      <c r="O59" s="178" t="s">
        <v>1174</v>
      </c>
      <c r="P59" s="205">
        <f t="shared" si="3"/>
        <v>0.25</v>
      </c>
      <c r="Q59" s="178" t="s">
        <v>1174</v>
      </c>
      <c r="R59" s="205">
        <v>0.25</v>
      </c>
      <c r="S59" s="178" t="s">
        <v>3482</v>
      </c>
      <c r="W59" s="178" t="s">
        <v>1176</v>
      </c>
      <c r="X59" s="178" t="s">
        <v>1176</v>
      </c>
      <c r="Y59" s="178" t="s">
        <v>1176</v>
      </c>
      <c r="Z59" s="178" t="s">
        <v>1174</v>
      </c>
      <c r="AA59" s="205">
        <f t="shared" si="4"/>
        <v>0.5</v>
      </c>
      <c r="AE59" s="178" t="s">
        <v>1174</v>
      </c>
      <c r="AF59" s="412">
        <f t="shared" si="5"/>
        <v>0.25</v>
      </c>
      <c r="AG59" s="205">
        <v>1</v>
      </c>
      <c r="AH59" s="205">
        <v>1</v>
      </c>
      <c r="AI59" s="207" t="s">
        <v>3490</v>
      </c>
      <c r="AJ59" s="413">
        <v>1</v>
      </c>
      <c r="AK59" s="205">
        <v>1</v>
      </c>
      <c r="AL59" s="178" t="s">
        <v>1174</v>
      </c>
      <c r="AM59" s="178" t="s">
        <v>1174</v>
      </c>
      <c r="AN59" s="205">
        <v>0.25</v>
      </c>
      <c r="AO59" s="178" t="s">
        <v>1174</v>
      </c>
      <c r="AP59" s="178" t="s">
        <v>3442</v>
      </c>
      <c r="AQ59" s="194">
        <f t="shared" si="6"/>
        <v>0.25</v>
      </c>
      <c r="AR59" s="415" t="s">
        <v>3430</v>
      </c>
      <c r="AS59" s="194">
        <f t="shared" si="7"/>
        <v>0</v>
      </c>
      <c r="AT59" s="194" t="s">
        <v>3442</v>
      </c>
      <c r="AU59" s="194">
        <f t="shared" si="8"/>
        <v>0.25</v>
      </c>
      <c r="AV59" s="194" t="s">
        <v>3491</v>
      </c>
      <c r="AW59" s="414">
        <f t="shared" si="9"/>
        <v>3</v>
      </c>
      <c r="AX59" s="178" t="s">
        <v>221</v>
      </c>
    </row>
    <row r="60" spans="1:50">
      <c r="A60" s="205">
        <v>58</v>
      </c>
      <c r="B60" s="178" t="s">
        <v>1171</v>
      </c>
      <c r="C60" s="178" t="s">
        <v>222</v>
      </c>
      <c r="D60" s="178" t="s">
        <v>413</v>
      </c>
      <c r="E60" s="205" t="str">
        <f t="shared" si="0"/>
        <v>ValentinoGlobal</v>
      </c>
      <c r="F60" s="178" t="s">
        <v>2649</v>
      </c>
      <c r="J60" s="205">
        <v>10</v>
      </c>
      <c r="K60" s="205">
        <v>1</v>
      </c>
      <c r="L60" s="178" t="s">
        <v>3492</v>
      </c>
      <c r="M60" s="208">
        <f t="shared" si="1"/>
        <v>0.1</v>
      </c>
      <c r="N60" s="205">
        <f t="shared" si="2"/>
        <v>0.01</v>
      </c>
      <c r="O60" s="178" t="s">
        <v>1176</v>
      </c>
      <c r="P60" s="205">
        <f t="shared" si="3"/>
        <v>0</v>
      </c>
      <c r="Q60" s="178" t="s">
        <v>1176</v>
      </c>
      <c r="R60" s="205">
        <v>0</v>
      </c>
      <c r="W60" s="178" t="s">
        <v>1176</v>
      </c>
      <c r="X60" s="178" t="s">
        <v>1176</v>
      </c>
      <c r="Y60" s="178" t="s">
        <v>1176</v>
      </c>
      <c r="Z60" s="178" t="s">
        <v>1174</v>
      </c>
      <c r="AA60" s="205">
        <f t="shared" si="4"/>
        <v>0.5</v>
      </c>
      <c r="AE60" s="178" t="s">
        <v>1176</v>
      </c>
      <c r="AF60" s="412">
        <f t="shared" si="5"/>
        <v>0</v>
      </c>
      <c r="AG60" s="205">
        <v>1</v>
      </c>
      <c r="AH60" s="205">
        <v>6</v>
      </c>
      <c r="AI60" s="207" t="s">
        <v>3492</v>
      </c>
      <c r="AJ60" s="413">
        <v>0.16666666666666671</v>
      </c>
      <c r="AK60" s="205">
        <v>0.5</v>
      </c>
      <c r="AL60" s="178" t="s">
        <v>1174</v>
      </c>
      <c r="AM60" s="178" t="s">
        <v>1176</v>
      </c>
      <c r="AN60" s="205">
        <v>0</v>
      </c>
      <c r="AO60" s="178" t="s">
        <v>1174</v>
      </c>
      <c r="AP60" s="415" t="s">
        <v>3430</v>
      </c>
      <c r="AQ60" s="194">
        <f t="shared" si="6"/>
        <v>0</v>
      </c>
      <c r="AR60" s="415" t="s">
        <v>3430</v>
      </c>
      <c r="AS60" s="194">
        <f t="shared" si="7"/>
        <v>0</v>
      </c>
      <c r="AU60" s="194">
        <f t="shared" si="8"/>
        <v>0</v>
      </c>
      <c r="AW60" s="414">
        <f t="shared" si="9"/>
        <v>1.01</v>
      </c>
      <c r="AX60" s="178" t="s">
        <v>224</v>
      </c>
    </row>
    <row r="61" spans="1:50">
      <c r="A61" s="205">
        <v>59</v>
      </c>
      <c r="B61" s="178" t="s">
        <v>1171</v>
      </c>
      <c r="C61" s="178" t="s">
        <v>225</v>
      </c>
      <c r="D61" s="178" t="s">
        <v>413</v>
      </c>
      <c r="E61" s="205" t="str">
        <f t="shared" si="0"/>
        <v>VersaceGlobal</v>
      </c>
      <c r="F61" s="178" t="s">
        <v>225</v>
      </c>
      <c r="J61" s="205">
        <v>10</v>
      </c>
      <c r="K61" s="205">
        <v>3</v>
      </c>
      <c r="L61" s="178" t="s">
        <v>3493</v>
      </c>
      <c r="M61" s="208">
        <f t="shared" si="1"/>
        <v>0.3</v>
      </c>
      <c r="N61" s="205">
        <f t="shared" si="2"/>
        <v>0.79</v>
      </c>
      <c r="O61" s="178" t="s">
        <v>1174</v>
      </c>
      <c r="P61" s="205">
        <f t="shared" si="3"/>
        <v>0.25</v>
      </c>
      <c r="Q61" s="178" t="s">
        <v>1174</v>
      </c>
      <c r="R61" s="205">
        <v>0.25</v>
      </c>
      <c r="S61" s="178" t="s">
        <v>3429</v>
      </c>
      <c r="W61" s="178" t="s">
        <v>1176</v>
      </c>
      <c r="X61" s="178" t="s">
        <v>1176</v>
      </c>
      <c r="Y61" s="178" t="s">
        <v>1176</v>
      </c>
      <c r="Z61" s="178" t="s">
        <v>1174</v>
      </c>
      <c r="AA61" s="205">
        <f t="shared" si="4"/>
        <v>0.5</v>
      </c>
      <c r="AE61" s="178" t="s">
        <v>1176</v>
      </c>
      <c r="AF61" s="412">
        <f t="shared" si="5"/>
        <v>0</v>
      </c>
      <c r="AG61" s="205">
        <v>0</v>
      </c>
      <c r="AH61" s="205">
        <v>3</v>
      </c>
      <c r="AJ61" s="413">
        <v>0</v>
      </c>
      <c r="AK61" s="205">
        <v>0</v>
      </c>
      <c r="AL61" s="178" t="s">
        <v>1176</v>
      </c>
      <c r="AM61" s="178" t="s">
        <v>1176</v>
      </c>
      <c r="AN61" s="205">
        <v>0</v>
      </c>
      <c r="AO61" s="178" t="s">
        <v>1176</v>
      </c>
      <c r="AP61" s="415" t="s">
        <v>3430</v>
      </c>
      <c r="AQ61" s="194">
        <f t="shared" si="6"/>
        <v>0</v>
      </c>
      <c r="AR61" s="415" t="s">
        <v>3430</v>
      </c>
      <c r="AS61" s="194">
        <f t="shared" si="7"/>
        <v>0</v>
      </c>
      <c r="AU61" s="194">
        <f t="shared" si="8"/>
        <v>0</v>
      </c>
      <c r="AW61" s="414">
        <f t="shared" si="9"/>
        <v>1.79</v>
      </c>
      <c r="AX61" s="178" t="s">
        <v>227</v>
      </c>
    </row>
    <row r="62" spans="1:50">
      <c r="A62" s="205">
        <v>60</v>
      </c>
      <c r="B62" s="178" t="s">
        <v>1171</v>
      </c>
      <c r="C62" s="178" t="s">
        <v>228</v>
      </c>
      <c r="D62" s="178" t="s">
        <v>413</v>
      </c>
      <c r="E62" s="205" t="str">
        <f t="shared" si="0"/>
        <v>Vivienne WestwoodGlobal</v>
      </c>
      <c r="F62" s="178" t="s">
        <v>228</v>
      </c>
      <c r="J62" s="205">
        <v>10</v>
      </c>
      <c r="K62" s="205">
        <v>3</v>
      </c>
      <c r="L62" s="178" t="s">
        <v>3489</v>
      </c>
      <c r="M62" s="208">
        <f t="shared" si="1"/>
        <v>0.3</v>
      </c>
      <c r="N62" s="205">
        <f t="shared" si="2"/>
        <v>0.79</v>
      </c>
      <c r="O62" s="178" t="s">
        <v>1174</v>
      </c>
      <c r="P62" s="205">
        <f t="shared" si="3"/>
        <v>0.25</v>
      </c>
      <c r="Q62" s="178" t="s">
        <v>1174</v>
      </c>
      <c r="R62" s="205">
        <v>0.25</v>
      </c>
      <c r="S62" s="178" t="s">
        <v>3429</v>
      </c>
      <c r="W62" s="178" t="s">
        <v>1176</v>
      </c>
      <c r="X62" s="178" t="s">
        <v>1176</v>
      </c>
      <c r="Y62" s="178" t="s">
        <v>1176</v>
      </c>
      <c r="Z62" s="178" t="s">
        <v>1176</v>
      </c>
      <c r="AA62" s="205">
        <f t="shared" si="4"/>
        <v>0</v>
      </c>
      <c r="AE62" s="178" t="s">
        <v>1176</v>
      </c>
      <c r="AF62" s="412">
        <f t="shared" si="5"/>
        <v>0</v>
      </c>
      <c r="AG62" s="205">
        <v>0</v>
      </c>
      <c r="AH62" s="205">
        <v>3</v>
      </c>
      <c r="AJ62" s="413">
        <v>0</v>
      </c>
      <c r="AK62" s="205">
        <v>0</v>
      </c>
      <c r="AL62" s="178" t="s">
        <v>1176</v>
      </c>
      <c r="AM62" s="178" t="s">
        <v>1176</v>
      </c>
      <c r="AN62" s="205">
        <v>0</v>
      </c>
      <c r="AO62" s="178" t="s">
        <v>1176</v>
      </c>
      <c r="AP62" s="415" t="s">
        <v>3430</v>
      </c>
      <c r="AQ62" s="194">
        <f t="shared" si="6"/>
        <v>0</v>
      </c>
      <c r="AR62" s="415" t="s">
        <v>3430</v>
      </c>
      <c r="AS62" s="194">
        <f t="shared" si="7"/>
        <v>0</v>
      </c>
      <c r="AU62" s="194">
        <f t="shared" si="8"/>
        <v>0</v>
      </c>
      <c r="AW62" s="414">
        <f t="shared" si="9"/>
        <v>1.29</v>
      </c>
      <c r="AX62" s="178" t="s">
        <v>1378</v>
      </c>
    </row>
    <row r="63" spans="1:50">
      <c r="A63" s="205">
        <v>61</v>
      </c>
      <c r="B63" s="178" t="s">
        <v>1171</v>
      </c>
      <c r="C63" s="178" t="s">
        <v>229</v>
      </c>
      <c r="D63" s="178" t="s">
        <v>413</v>
      </c>
      <c r="E63" s="205" t="str">
        <f t="shared" si="0"/>
        <v>Yves Saint LaurentGlobal</v>
      </c>
      <c r="F63" s="178" t="s">
        <v>229</v>
      </c>
      <c r="J63" s="205">
        <v>10</v>
      </c>
      <c r="K63" s="205">
        <v>2</v>
      </c>
      <c r="L63" s="178" t="s">
        <v>3494</v>
      </c>
      <c r="M63" s="208">
        <f t="shared" si="1"/>
        <v>0.2</v>
      </c>
      <c r="N63" s="205">
        <f t="shared" si="2"/>
        <v>0.51</v>
      </c>
      <c r="O63" s="178" t="s">
        <v>1174</v>
      </c>
      <c r="P63" s="205">
        <f t="shared" si="3"/>
        <v>0.25</v>
      </c>
      <c r="Q63" s="178" t="s">
        <v>1174</v>
      </c>
      <c r="R63" s="205">
        <v>0.25</v>
      </c>
      <c r="S63" s="178" t="s">
        <v>3429</v>
      </c>
      <c r="W63" s="178" t="s">
        <v>1176</v>
      </c>
      <c r="X63" s="178" t="s">
        <v>1176</v>
      </c>
      <c r="Y63" s="178" t="s">
        <v>1174</v>
      </c>
      <c r="Z63" s="178" t="s">
        <v>1174</v>
      </c>
      <c r="AA63" s="205">
        <f t="shared" si="4"/>
        <v>0.75</v>
      </c>
      <c r="AE63" s="178" t="s">
        <v>1174</v>
      </c>
      <c r="AF63" s="412">
        <f t="shared" si="5"/>
        <v>0.25</v>
      </c>
      <c r="AG63" s="205">
        <v>2</v>
      </c>
      <c r="AH63" s="205">
        <v>5</v>
      </c>
      <c r="AJ63" s="413">
        <v>0.4</v>
      </c>
      <c r="AK63" s="205">
        <v>0.5</v>
      </c>
      <c r="AL63" s="178" t="s">
        <v>1174</v>
      </c>
      <c r="AM63" s="178" t="s">
        <v>1176</v>
      </c>
      <c r="AN63" s="205">
        <v>0</v>
      </c>
      <c r="AO63" s="178" t="s">
        <v>1174</v>
      </c>
      <c r="AP63" s="415" t="s">
        <v>3430</v>
      </c>
      <c r="AQ63" s="194">
        <f t="shared" si="6"/>
        <v>0</v>
      </c>
      <c r="AR63" s="415" t="s">
        <v>3430</v>
      </c>
      <c r="AS63" s="194">
        <f t="shared" si="7"/>
        <v>0</v>
      </c>
      <c r="AU63" s="194">
        <f t="shared" si="8"/>
        <v>0</v>
      </c>
      <c r="AW63" s="414">
        <f t="shared" si="9"/>
        <v>2.5099999999999998</v>
      </c>
      <c r="AX63" s="178" t="s">
        <v>230</v>
      </c>
    </row>
    <row r="64" spans="1:50">
      <c r="A64" s="205">
        <v>62</v>
      </c>
      <c r="B64" s="178" t="s">
        <v>1171</v>
      </c>
      <c r="C64" s="178" t="s">
        <v>231</v>
      </c>
      <c r="D64" s="178" t="s">
        <v>413</v>
      </c>
      <c r="E64" s="205" t="str">
        <f t="shared" si="0"/>
        <v>Zac PosenGlobal</v>
      </c>
      <c r="F64" s="178" t="s">
        <v>231</v>
      </c>
      <c r="J64" s="205">
        <v>10</v>
      </c>
      <c r="K64" s="205">
        <v>2</v>
      </c>
      <c r="L64" s="178" t="s">
        <v>3495</v>
      </c>
      <c r="M64" s="208">
        <f t="shared" si="1"/>
        <v>0.2</v>
      </c>
      <c r="N64" s="205">
        <f t="shared" si="2"/>
        <v>0.51</v>
      </c>
      <c r="O64" s="178" t="s">
        <v>1174</v>
      </c>
      <c r="P64" s="205">
        <f t="shared" si="3"/>
        <v>0.25</v>
      </c>
      <c r="Q64" s="178" t="s">
        <v>1174</v>
      </c>
      <c r="R64" s="205">
        <v>0.25</v>
      </c>
      <c r="S64" s="178" t="s">
        <v>2372</v>
      </c>
      <c r="W64" s="178" t="s">
        <v>1176</v>
      </c>
      <c r="X64" s="178" t="s">
        <v>1176</v>
      </c>
      <c r="Y64" s="178" t="s">
        <v>1176</v>
      </c>
      <c r="Z64" s="178" t="s">
        <v>1176</v>
      </c>
      <c r="AA64" s="205">
        <f t="shared" si="4"/>
        <v>0</v>
      </c>
      <c r="AE64" s="178" t="s">
        <v>1176</v>
      </c>
      <c r="AF64" s="412">
        <f t="shared" si="5"/>
        <v>0</v>
      </c>
      <c r="AG64" s="205">
        <v>0</v>
      </c>
      <c r="AH64" s="205">
        <v>0</v>
      </c>
      <c r="AJ64" s="413">
        <v>0</v>
      </c>
      <c r="AK64" s="205">
        <v>1</v>
      </c>
      <c r="AL64" s="178" t="s">
        <v>1176</v>
      </c>
      <c r="AM64" s="178" t="s">
        <v>1176</v>
      </c>
      <c r="AN64" s="205">
        <v>0</v>
      </c>
      <c r="AO64" s="178" t="s">
        <v>1176</v>
      </c>
      <c r="AP64" s="415" t="s">
        <v>3430</v>
      </c>
      <c r="AQ64" s="194">
        <f t="shared" si="6"/>
        <v>0</v>
      </c>
      <c r="AR64" s="415" t="s">
        <v>3430</v>
      </c>
      <c r="AS64" s="194">
        <f t="shared" si="7"/>
        <v>0</v>
      </c>
      <c r="AU64" s="194">
        <f t="shared" si="8"/>
        <v>0</v>
      </c>
      <c r="AW64" s="414">
        <f t="shared" si="9"/>
        <v>2.0099999999999998</v>
      </c>
      <c r="AX64" s="178" t="s">
        <v>1384</v>
      </c>
    </row>
    <row r="65" spans="1:50">
      <c r="A65" s="205">
        <v>63</v>
      </c>
      <c r="B65" s="178" t="s">
        <v>1171</v>
      </c>
      <c r="C65" s="178" t="s">
        <v>234</v>
      </c>
      <c r="D65" s="178" t="s">
        <v>413</v>
      </c>
      <c r="E65" s="205" t="str">
        <f t="shared" si="0"/>
        <v>Derek LamGlobal</v>
      </c>
      <c r="F65" s="178" t="s">
        <v>234</v>
      </c>
      <c r="J65" s="205">
        <v>10</v>
      </c>
      <c r="K65" s="205">
        <v>3</v>
      </c>
      <c r="L65" s="178" t="s">
        <v>3496</v>
      </c>
      <c r="M65" s="208">
        <f t="shared" si="1"/>
        <v>0.3</v>
      </c>
      <c r="N65" s="205">
        <f t="shared" si="2"/>
        <v>0.79</v>
      </c>
      <c r="O65" s="178" t="s">
        <v>1174</v>
      </c>
      <c r="P65" s="205">
        <f t="shared" si="3"/>
        <v>0.25</v>
      </c>
      <c r="Q65" s="178" t="s">
        <v>1174</v>
      </c>
      <c r="R65" s="205">
        <v>0.25</v>
      </c>
      <c r="S65" s="178" t="s">
        <v>3429</v>
      </c>
      <c r="W65" s="178" t="s">
        <v>1176</v>
      </c>
      <c r="X65" s="178" t="s">
        <v>1176</v>
      </c>
      <c r="Y65" s="178" t="s">
        <v>1176</v>
      </c>
      <c r="Z65" s="178" t="s">
        <v>1174</v>
      </c>
      <c r="AA65" s="205">
        <f t="shared" si="4"/>
        <v>0.5</v>
      </c>
      <c r="AE65" s="178" t="s">
        <v>1176</v>
      </c>
      <c r="AF65" s="412">
        <f t="shared" si="5"/>
        <v>0</v>
      </c>
      <c r="AG65" s="205">
        <v>0</v>
      </c>
      <c r="AH65" s="205">
        <v>5</v>
      </c>
      <c r="AJ65" s="413">
        <v>0</v>
      </c>
      <c r="AK65" s="205">
        <v>0</v>
      </c>
      <c r="AL65" s="178" t="s">
        <v>1176</v>
      </c>
      <c r="AM65" s="178" t="s">
        <v>1176</v>
      </c>
      <c r="AN65" s="205">
        <v>0</v>
      </c>
      <c r="AO65" s="178" t="s">
        <v>1176</v>
      </c>
      <c r="AP65" s="415" t="s">
        <v>3430</v>
      </c>
      <c r="AQ65" s="194">
        <f t="shared" si="6"/>
        <v>0</v>
      </c>
      <c r="AR65" s="415" t="s">
        <v>3430</v>
      </c>
      <c r="AS65" s="194">
        <f t="shared" si="7"/>
        <v>0</v>
      </c>
      <c r="AU65" s="194">
        <f t="shared" si="8"/>
        <v>0</v>
      </c>
      <c r="AW65" s="414">
        <f t="shared" si="9"/>
        <v>1.79</v>
      </c>
      <c r="AX65" s="178" t="s">
        <v>235</v>
      </c>
    </row>
    <row r="66" spans="1:50" s="180" customFormat="1">
      <c r="F66" s="220" t="s">
        <v>67</v>
      </c>
      <c r="M66" s="416">
        <f>AVERAGE(M3:M65)</f>
        <v>0.18451178451178446</v>
      </c>
      <c r="N66" s="215"/>
      <c r="Q66" s="182">
        <f>COUNTIF(Q3:Q65,"Yes")/63</f>
        <v>0.65079365079365081</v>
      </c>
      <c r="W66" s="182">
        <f>COUNTIF(W3:W65,"Yes")/63</f>
        <v>1.5873015873015872E-2</v>
      </c>
      <c r="X66" s="182">
        <f>COUNTIF(X3:X65,"Yes")/63</f>
        <v>3.1746031746031744E-2</v>
      </c>
      <c r="Y66" s="182">
        <f>COUNTIF(Y3:Y65,"Yes")/63</f>
        <v>0.46031746031746029</v>
      </c>
      <c r="Z66" s="182">
        <f>COUNTIF(Z3:Z65,"Yes")/63</f>
        <v>0.66666666666666663</v>
      </c>
      <c r="AF66" s="417">
        <f t="shared" si="5"/>
        <v>0</v>
      </c>
      <c r="AI66" s="181"/>
      <c r="AL66" s="182">
        <f>COUNTIF(AL3:AL65,"Yes")/63</f>
        <v>0.60317460317460314</v>
      </c>
      <c r="AM66" s="182">
        <f>COUNTIF(AM3:AM65,"Yes")/63</f>
        <v>6.3492063492063489E-2</v>
      </c>
      <c r="AO66" s="182">
        <f>COUNTIF(AO3:AO65,"Yes")/63</f>
        <v>0.60317460317460314</v>
      </c>
      <c r="AP66" s="182">
        <f>COUNTIF(AP3:AP65,"Yes")/63</f>
        <v>4.7619047619047616E-2</v>
      </c>
      <c r="AR66" s="182">
        <f>COUNTIF(AR3:AR65,"Yes")/63</f>
        <v>6.3492063492063489E-2</v>
      </c>
      <c r="AT66" s="182">
        <f>COUNTIF(AT3:AT65,"Yes")/63</f>
        <v>7.9365079365079361E-2</v>
      </c>
    </row>
    <row r="67" spans="1:50">
      <c r="Q67" s="377"/>
      <c r="W67" s="377"/>
      <c r="X67" s="377"/>
      <c r="Y67" s="377"/>
      <c r="Z67" s="377"/>
      <c r="AL67" s="377"/>
      <c r="AM67" s="377"/>
      <c r="AP67" s="377"/>
    </row>
    <row r="72" spans="1:50">
      <c r="AK72" s="377"/>
    </row>
  </sheetData>
  <autoFilter ref="A2:AX67"/>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79"/>
  <sheetViews>
    <sheetView zoomScale="125" zoomScaleNormal="125" zoomScalePageLayoutView="125" workbookViewId="0">
      <pane xSplit="2" ySplit="1" topLeftCell="AM53" activePane="bottomRight" state="frozen"/>
      <selection pane="topRight" activeCell="C1" sqref="C1"/>
      <selection pane="bottomLeft" activeCell="A2" sqref="A2"/>
      <selection pane="bottomRight" activeCell="AQ54" sqref="AQ54"/>
    </sheetView>
  </sheetViews>
  <sheetFormatPr baseColWidth="10" defaultColWidth="21.83203125" defaultRowHeight="14" x14ac:dyDescent="0"/>
  <cols>
    <col min="1" max="1" width="21.83203125" style="168" customWidth="1"/>
    <col min="2" max="2" width="21.83203125" style="168"/>
    <col min="3" max="3" width="20.1640625" style="168" customWidth="1"/>
    <col min="4" max="4" width="21.83203125" style="168" customWidth="1"/>
    <col min="5" max="5" width="24.6640625" style="155" customWidth="1"/>
    <col min="6" max="6" width="30.5" style="155" customWidth="1"/>
    <col min="7" max="7" width="21.83203125" style="168" customWidth="1"/>
    <col min="8" max="8" width="21.83203125" style="168"/>
    <col min="9" max="23" width="21.83203125" style="168" customWidth="1"/>
    <col min="24" max="25" width="21.83203125" style="155" customWidth="1"/>
    <col min="26" max="30" width="21.83203125" style="168" customWidth="1"/>
    <col min="31" max="31" width="21.83203125" style="155" customWidth="1"/>
    <col min="32" max="44" width="21.83203125" style="168" customWidth="1"/>
    <col min="45" max="46" width="21.83203125" style="168"/>
    <col min="47" max="48" width="17.1640625" style="168" customWidth="1"/>
    <col min="49" max="49" width="21.83203125" style="168"/>
    <col min="50" max="50" width="18.83203125" style="188" customWidth="1"/>
    <col min="51" max="52" width="17" style="188" customWidth="1"/>
    <col min="53" max="63" width="21.83203125" style="168" customWidth="1"/>
    <col min="64" max="65" width="21.83203125" style="168" hidden="1" customWidth="1"/>
    <col min="66" max="66" width="21.83203125" style="168" customWidth="1"/>
    <col min="67" max="71" width="12.5" style="191" customWidth="1"/>
    <col min="72" max="16384" width="21.83203125" style="168"/>
  </cols>
  <sheetData>
    <row r="1" spans="1:73" s="155" customFormat="1" ht="70">
      <c r="A1" s="145" t="s">
        <v>1099</v>
      </c>
      <c r="B1" s="145" t="s">
        <v>249</v>
      </c>
      <c r="C1" s="145" t="s">
        <v>1100</v>
      </c>
      <c r="D1" s="145" t="s">
        <v>1101</v>
      </c>
      <c r="E1" s="145" t="s">
        <v>1102</v>
      </c>
      <c r="F1" s="145" t="s">
        <v>1103</v>
      </c>
      <c r="G1" s="145" t="s">
        <v>1104</v>
      </c>
      <c r="H1" s="145" t="s">
        <v>1105</v>
      </c>
      <c r="I1" s="145" t="s">
        <v>1106</v>
      </c>
      <c r="J1" s="145" t="s">
        <v>1107</v>
      </c>
      <c r="K1" s="146" t="s">
        <v>1108</v>
      </c>
      <c r="L1" s="147" t="s">
        <v>1109</v>
      </c>
      <c r="M1" s="146" t="s">
        <v>1110</v>
      </c>
      <c r="N1" s="147" t="s">
        <v>1111</v>
      </c>
      <c r="O1" s="148" t="s">
        <v>1112</v>
      </c>
      <c r="P1" s="145" t="s">
        <v>1113</v>
      </c>
      <c r="Q1" s="145" t="s">
        <v>1114</v>
      </c>
      <c r="R1" s="145" t="s">
        <v>1115</v>
      </c>
      <c r="S1" s="145" t="s">
        <v>1116</v>
      </c>
      <c r="T1" s="145" t="s">
        <v>1117</v>
      </c>
      <c r="U1" s="145" t="s">
        <v>1118</v>
      </c>
      <c r="V1" s="145" t="s">
        <v>1119</v>
      </c>
      <c r="W1" s="145" t="s">
        <v>1120</v>
      </c>
      <c r="X1" s="145" t="s">
        <v>1121</v>
      </c>
      <c r="Y1" s="145" t="s">
        <v>1122</v>
      </c>
      <c r="Z1" s="145" t="s">
        <v>1123</v>
      </c>
      <c r="AA1" s="145" t="s">
        <v>1124</v>
      </c>
      <c r="AB1" s="145" t="s">
        <v>1125</v>
      </c>
      <c r="AC1" s="145" t="s">
        <v>1126</v>
      </c>
      <c r="AD1" s="145" t="s">
        <v>1127</v>
      </c>
      <c r="AE1" s="145" t="s">
        <v>1128</v>
      </c>
      <c r="AF1" s="146" t="s">
        <v>1129</v>
      </c>
      <c r="AG1" s="147" t="s">
        <v>1130</v>
      </c>
      <c r="AH1" s="146" t="s">
        <v>1131</v>
      </c>
      <c r="AI1" s="147" t="s">
        <v>1132</v>
      </c>
      <c r="AJ1" s="146" t="s">
        <v>1133</v>
      </c>
      <c r="AK1" s="146" t="s">
        <v>1134</v>
      </c>
      <c r="AL1" s="147" t="s">
        <v>1135</v>
      </c>
      <c r="AM1" s="148" t="s">
        <v>1136</v>
      </c>
      <c r="AN1" s="148" t="s">
        <v>1137</v>
      </c>
      <c r="AO1" s="145" t="s">
        <v>1138</v>
      </c>
      <c r="AP1" s="145" t="s">
        <v>1139</v>
      </c>
      <c r="AQ1" s="145" t="s">
        <v>1140</v>
      </c>
      <c r="AR1" s="145" t="s">
        <v>1141</v>
      </c>
      <c r="AS1" s="149" t="s">
        <v>1142</v>
      </c>
      <c r="AT1" s="149" t="s">
        <v>1143</v>
      </c>
      <c r="AU1" s="149" t="s">
        <v>1144</v>
      </c>
      <c r="AV1" s="149" t="s">
        <v>1145</v>
      </c>
      <c r="AW1" s="149" t="s">
        <v>1146</v>
      </c>
      <c r="AX1" s="150" t="s">
        <v>1147</v>
      </c>
      <c r="AY1" s="150" t="s">
        <v>1148</v>
      </c>
      <c r="AZ1" s="151" t="s">
        <v>1149</v>
      </c>
      <c r="BA1" s="145" t="s">
        <v>1150</v>
      </c>
      <c r="BB1" s="145" t="s">
        <v>1151</v>
      </c>
      <c r="BC1" s="145" t="s">
        <v>1152</v>
      </c>
      <c r="BD1" s="145" t="s">
        <v>1153</v>
      </c>
      <c r="BE1" s="146" t="s">
        <v>1154</v>
      </c>
      <c r="BF1" s="147" t="s">
        <v>1155</v>
      </c>
      <c r="BG1" s="145" t="s">
        <v>1156</v>
      </c>
      <c r="BH1" s="145" t="s">
        <v>1157</v>
      </c>
      <c r="BI1" s="145" t="s">
        <v>1158</v>
      </c>
      <c r="BJ1" s="148" t="s">
        <v>1159</v>
      </c>
      <c r="BK1" s="145" t="s">
        <v>1160</v>
      </c>
      <c r="BL1" s="145" t="s">
        <v>1161</v>
      </c>
      <c r="BM1" s="145" t="s">
        <v>1162</v>
      </c>
      <c r="BN1" s="147" t="s">
        <v>1163</v>
      </c>
      <c r="BO1" s="152" t="s">
        <v>1164</v>
      </c>
      <c r="BP1" s="152" t="s">
        <v>1165</v>
      </c>
      <c r="BQ1" s="152" t="s">
        <v>1166</v>
      </c>
      <c r="BR1" s="152" t="s">
        <v>1167</v>
      </c>
      <c r="BS1" s="153" t="s">
        <v>1168</v>
      </c>
      <c r="BT1" s="147" t="s">
        <v>1169</v>
      </c>
      <c r="BU1" s="154" t="s">
        <v>1170</v>
      </c>
    </row>
    <row r="2" spans="1:73" ht="28">
      <c r="A2" s="156" t="s">
        <v>1171</v>
      </c>
      <c r="B2" s="156" t="s">
        <v>63</v>
      </c>
      <c r="C2" s="157">
        <v>1</v>
      </c>
      <c r="D2" s="156" t="s">
        <v>413</v>
      </c>
      <c r="E2" s="158" t="s">
        <v>1172</v>
      </c>
      <c r="F2" s="158" t="s">
        <v>1173</v>
      </c>
      <c r="G2" s="156" t="s">
        <v>1174</v>
      </c>
      <c r="H2" s="159">
        <v>41106</v>
      </c>
      <c r="I2" s="156" t="s">
        <v>1175</v>
      </c>
      <c r="J2" s="156" t="s">
        <v>1174</v>
      </c>
      <c r="K2" s="160" t="s">
        <v>1174</v>
      </c>
      <c r="L2" s="161">
        <f>IF(K2="YES",0.25,0)</f>
        <v>0.25</v>
      </c>
      <c r="M2" s="160" t="s">
        <v>1174</v>
      </c>
      <c r="N2" s="161">
        <f>IF(M2="YES",0.25,0)</f>
        <v>0.25</v>
      </c>
      <c r="O2" s="162">
        <f>SUM(N2,L2)</f>
        <v>0.5</v>
      </c>
      <c r="P2" s="156" t="s">
        <v>1174</v>
      </c>
      <c r="Q2" s="156" t="s">
        <v>1176</v>
      </c>
      <c r="R2" s="156" t="s">
        <v>1174</v>
      </c>
      <c r="S2" s="156" t="s">
        <v>1177</v>
      </c>
      <c r="T2" s="156" t="s">
        <v>1176</v>
      </c>
      <c r="U2" s="156" t="s">
        <v>1174</v>
      </c>
      <c r="V2" s="156" t="s">
        <v>1176</v>
      </c>
      <c r="W2" s="156" t="s">
        <v>1176</v>
      </c>
      <c r="X2" s="158" t="s">
        <v>1178</v>
      </c>
      <c r="Y2" s="158" t="s">
        <v>1179</v>
      </c>
      <c r="Z2" s="156" t="s">
        <v>1174</v>
      </c>
      <c r="AA2" s="156" t="s">
        <v>1174</v>
      </c>
      <c r="AB2" s="156" t="s">
        <v>1176</v>
      </c>
      <c r="AC2" s="156" t="s">
        <v>1176</v>
      </c>
      <c r="AD2" s="156" t="s">
        <v>1176</v>
      </c>
      <c r="AE2" s="158" t="s">
        <v>1178</v>
      </c>
      <c r="AF2" s="160" t="s">
        <v>1176</v>
      </c>
      <c r="AG2" s="161">
        <f>IF(AF2="YES",0.25,0)</f>
        <v>0</v>
      </c>
      <c r="AH2" s="160" t="s">
        <v>1176</v>
      </c>
      <c r="AI2" s="161">
        <f>IF(AH2="YES",0.25,0)</f>
        <v>0</v>
      </c>
      <c r="AJ2" s="160" t="s">
        <v>1174</v>
      </c>
      <c r="AK2" s="160" t="s">
        <v>1177</v>
      </c>
      <c r="AL2" s="161">
        <f>IF(AJ2="YES",0.25,0)</f>
        <v>0.25</v>
      </c>
      <c r="AM2" s="162">
        <f>SUM(AL2,AI2,AG2,O2)</f>
        <v>0.75</v>
      </c>
      <c r="AN2" s="162">
        <f>AM2/(1.25/1)</f>
        <v>0.6</v>
      </c>
      <c r="AO2" s="156" t="s">
        <v>1174</v>
      </c>
      <c r="AP2" s="156" t="s">
        <v>1174</v>
      </c>
      <c r="AQ2" s="156" t="s">
        <v>1174</v>
      </c>
      <c r="AR2" s="156" t="s">
        <v>1176</v>
      </c>
      <c r="AS2" s="163">
        <v>41103</v>
      </c>
      <c r="AT2" s="163">
        <v>41156</v>
      </c>
      <c r="AU2" s="164">
        <f>AT2-AS2</f>
        <v>53</v>
      </c>
      <c r="AV2" s="165">
        <f>AU2/7</f>
        <v>7.5714285714285712</v>
      </c>
      <c r="AW2" s="164">
        <v>4</v>
      </c>
      <c r="AX2" s="166">
        <f>AW2/AU2</f>
        <v>7.5471698113207544E-2</v>
      </c>
      <c r="AY2" s="166">
        <f>AW2/AV2</f>
        <v>0.52830188679245282</v>
      </c>
      <c r="AZ2" s="167">
        <f t="shared" ref="AZ2:AZ65" si="0">IF(AY2&lt;$AY$72,0,IF(AY2&lt;$AY$73,0.25,IF(AY2&lt;$AY$74,0.5,IF(AY2&lt;$AY$75,0.75,IF(AY2&lt;$AY$76,1,IF(AY2&lt;$AY$77,0.75,IF(AY2&lt;$AY$78,0.5,IF(AY2&lt;$AY$79,0.25,0))))))))</f>
        <v>0.5</v>
      </c>
      <c r="BA2" s="156" t="s">
        <v>1176</v>
      </c>
      <c r="BB2" s="156" t="s">
        <v>1176</v>
      </c>
      <c r="BC2" s="156" t="s">
        <v>1176</v>
      </c>
      <c r="BD2" s="156" t="s">
        <v>1176</v>
      </c>
      <c r="BE2" s="160" t="s">
        <v>1180</v>
      </c>
      <c r="BF2" s="161">
        <f>IF(BE2="Full", 0.5, IF(BE2="Partial", 0.25, 0))</f>
        <v>0.5</v>
      </c>
      <c r="BG2" s="156" t="s">
        <v>1176</v>
      </c>
      <c r="BH2" s="156" t="s">
        <v>1176</v>
      </c>
      <c r="BJ2" s="169">
        <f t="shared" ref="BJ2:BJ65" si="1">SUM(AZ2,BF2)</f>
        <v>1</v>
      </c>
      <c r="BK2" s="156" t="s">
        <v>1181</v>
      </c>
      <c r="BL2" s="156" t="s">
        <v>1174</v>
      </c>
      <c r="BM2" s="156" t="s">
        <v>1176</v>
      </c>
      <c r="BN2" s="161">
        <v>0</v>
      </c>
      <c r="BO2" s="170" t="s">
        <v>1174</v>
      </c>
      <c r="BP2" s="171">
        <f>IF(BO2="Yes",0.5,0)</f>
        <v>0.5</v>
      </c>
      <c r="BQ2" s="170" t="s">
        <v>1174</v>
      </c>
      <c r="BR2" s="171">
        <f>IF(BQ2="Yes",0.25,0)</f>
        <v>0.25</v>
      </c>
      <c r="BS2" s="172">
        <f>SUM(BR2,BP2,BN2)</f>
        <v>0.75</v>
      </c>
      <c r="BT2" s="173">
        <f t="shared" ref="BT2:BT65" si="2">SUM(BS2,BJ2,AN2)</f>
        <v>2.35</v>
      </c>
      <c r="BU2" s="174">
        <f>BT2*(5/3.75)</f>
        <v>3.1333333333333333</v>
      </c>
    </row>
    <row r="3" spans="1:73" ht="28">
      <c r="A3" s="156" t="s">
        <v>1171</v>
      </c>
      <c r="B3" s="156" t="s">
        <v>69</v>
      </c>
      <c r="C3" s="157">
        <v>2</v>
      </c>
      <c r="D3" s="156" t="s">
        <v>74</v>
      </c>
      <c r="E3" s="158" t="s">
        <v>1182</v>
      </c>
      <c r="F3" s="158" t="s">
        <v>1173</v>
      </c>
      <c r="G3" s="156" t="s">
        <v>1174</v>
      </c>
      <c r="H3" s="159">
        <v>41106</v>
      </c>
      <c r="I3" s="156" t="s">
        <v>1175</v>
      </c>
      <c r="J3" s="156" t="s">
        <v>1176</v>
      </c>
      <c r="K3" s="160" t="s">
        <v>1174</v>
      </c>
      <c r="L3" s="161">
        <f t="shared" ref="L3:L65" si="3">IF(K3="YES",0.25,0)</f>
        <v>0.25</v>
      </c>
      <c r="M3" s="160" t="s">
        <v>1174</v>
      </c>
      <c r="N3" s="161">
        <f t="shared" ref="N3:N65" si="4">IF(M3="YES",0.25,0)</f>
        <v>0.25</v>
      </c>
      <c r="O3" s="162">
        <f t="shared" ref="O3:O65" si="5">SUM(N3,L3)</f>
        <v>0.5</v>
      </c>
      <c r="P3" s="156" t="s">
        <v>1176</v>
      </c>
      <c r="Q3" s="156" t="s">
        <v>1176</v>
      </c>
      <c r="R3" s="156" t="s">
        <v>1176</v>
      </c>
      <c r="S3" s="156" t="s">
        <v>671</v>
      </c>
      <c r="T3" s="156" t="s">
        <v>1176</v>
      </c>
      <c r="U3" s="156" t="s">
        <v>1176</v>
      </c>
      <c r="V3" s="156" t="s">
        <v>1176</v>
      </c>
      <c r="W3" s="156" t="s">
        <v>1176</v>
      </c>
      <c r="X3" s="158" t="s">
        <v>1178</v>
      </c>
      <c r="Y3" s="158" t="s">
        <v>1179</v>
      </c>
      <c r="Z3" s="156" t="s">
        <v>1174</v>
      </c>
      <c r="AA3" s="156" t="s">
        <v>1174</v>
      </c>
      <c r="AB3" s="156" t="s">
        <v>1176</v>
      </c>
      <c r="AC3" s="156" t="s">
        <v>1176</v>
      </c>
      <c r="AE3" s="158" t="s">
        <v>1178</v>
      </c>
      <c r="AF3" s="160" t="s">
        <v>1176</v>
      </c>
      <c r="AG3" s="161">
        <f t="shared" ref="AG3:AG65" si="6">IF(AF3="YES",0.25,0)</f>
        <v>0</v>
      </c>
      <c r="AH3" s="160" t="s">
        <v>1176</v>
      </c>
      <c r="AI3" s="161">
        <f t="shared" ref="AI3:AI65" si="7">IF(AH3="YES",0.25,0)</f>
        <v>0</v>
      </c>
      <c r="AJ3" s="160" t="s">
        <v>1176</v>
      </c>
      <c r="AK3" s="160" t="s">
        <v>671</v>
      </c>
      <c r="AL3" s="161">
        <f t="shared" ref="AL3:AL65" si="8">IF(AJ3="YES",0.25,0)</f>
        <v>0</v>
      </c>
      <c r="AM3" s="162">
        <f t="shared" ref="AM3:AM65" si="9">SUM(AL3,AI3,AG3,O3)</f>
        <v>0.5</v>
      </c>
      <c r="AN3" s="162">
        <f t="shared" ref="AN3:AN65" si="10">AM3/(1.25/1)</f>
        <v>0.4</v>
      </c>
      <c r="AO3" s="156" t="s">
        <v>1174</v>
      </c>
      <c r="AP3" s="156" t="s">
        <v>1174</v>
      </c>
      <c r="AQ3" s="156" t="s">
        <v>1174</v>
      </c>
      <c r="AR3" s="156" t="s">
        <v>1174</v>
      </c>
      <c r="AS3" s="163">
        <v>41106</v>
      </c>
      <c r="AT3" s="163">
        <v>41156</v>
      </c>
      <c r="AU3" s="164">
        <f t="shared" ref="AU3:AU65" si="11">AT3-AS3</f>
        <v>50</v>
      </c>
      <c r="AV3" s="165">
        <f t="shared" ref="AV3:AV65" si="12">AU3/7</f>
        <v>7.1428571428571432</v>
      </c>
      <c r="AW3" s="164">
        <v>0</v>
      </c>
      <c r="AX3" s="166">
        <f t="shared" ref="AX3:AX65" si="13">AW3/AU3</f>
        <v>0</v>
      </c>
      <c r="AY3" s="166">
        <f t="shared" ref="AY3:AY65" si="14">AW3/AV3</f>
        <v>0</v>
      </c>
      <c r="AZ3" s="167">
        <f t="shared" si="0"/>
        <v>0</v>
      </c>
      <c r="BA3" s="156" t="s">
        <v>1176</v>
      </c>
      <c r="BB3" s="156" t="s">
        <v>1176</v>
      </c>
      <c r="BC3" s="156" t="s">
        <v>1176</v>
      </c>
      <c r="BD3" s="156" t="s">
        <v>1176</v>
      </c>
      <c r="BE3" s="160" t="s">
        <v>414</v>
      </c>
      <c r="BF3" s="161">
        <f t="shared" ref="BF3:BF65" si="15">IF(BE3="Full", 0.5, IF(BE3="Partial", 0.25, 0))</f>
        <v>0</v>
      </c>
      <c r="BG3" s="156" t="s">
        <v>1176</v>
      </c>
      <c r="BH3" s="156" t="s">
        <v>1176</v>
      </c>
      <c r="BJ3" s="169">
        <f t="shared" si="1"/>
        <v>0</v>
      </c>
      <c r="BK3" s="156" t="s">
        <v>1183</v>
      </c>
      <c r="BL3" s="156" t="s">
        <v>1174</v>
      </c>
      <c r="BM3" s="156" t="s">
        <v>1176</v>
      </c>
      <c r="BN3" s="161">
        <v>0</v>
      </c>
      <c r="BO3" s="170" t="s">
        <v>1176</v>
      </c>
      <c r="BP3" s="171">
        <f t="shared" ref="BP3:BP65" si="16">IF(BO3="Yes",0.5,0)</f>
        <v>0</v>
      </c>
      <c r="BQ3" s="170" t="s">
        <v>1176</v>
      </c>
      <c r="BR3" s="171">
        <f t="shared" ref="BR3:BR65" si="17">IF(BQ3="Yes",0.25,0)</f>
        <v>0</v>
      </c>
      <c r="BS3" s="172">
        <f t="shared" ref="BS3:BS65" si="18">SUM(BR3,BP3,BN3)</f>
        <v>0</v>
      </c>
      <c r="BT3" s="173">
        <f t="shared" si="2"/>
        <v>0.4</v>
      </c>
      <c r="BU3" s="174">
        <f t="shared" ref="BU3:BU65" si="19">BT3*(5/3.75)</f>
        <v>0.53333333333333333</v>
      </c>
    </row>
    <row r="4" spans="1:73" ht="42">
      <c r="A4" s="156" t="s">
        <v>1171</v>
      </c>
      <c r="B4" s="156" t="s">
        <v>72</v>
      </c>
      <c r="C4" s="157">
        <v>3</v>
      </c>
      <c r="D4" s="156" t="s">
        <v>413</v>
      </c>
      <c r="E4" s="158" t="s">
        <v>1184</v>
      </c>
      <c r="F4" s="158" t="s">
        <v>1173</v>
      </c>
      <c r="G4" s="156" t="s">
        <v>1174</v>
      </c>
      <c r="H4" s="159">
        <v>41106</v>
      </c>
      <c r="I4" s="156" t="s">
        <v>1185</v>
      </c>
      <c r="J4" s="156" t="s">
        <v>1174</v>
      </c>
      <c r="K4" s="160" t="s">
        <v>1176</v>
      </c>
      <c r="L4" s="161">
        <f t="shared" si="3"/>
        <v>0</v>
      </c>
      <c r="M4" s="160" t="s">
        <v>1176</v>
      </c>
      <c r="N4" s="161">
        <f t="shared" si="4"/>
        <v>0</v>
      </c>
      <c r="O4" s="162">
        <f t="shared" si="5"/>
        <v>0</v>
      </c>
      <c r="P4" s="156" t="s">
        <v>1174</v>
      </c>
      <c r="Q4" s="156" t="s">
        <v>1176</v>
      </c>
      <c r="R4" s="156" t="s">
        <v>1176</v>
      </c>
      <c r="S4" s="156" t="s">
        <v>671</v>
      </c>
      <c r="T4" s="156" t="s">
        <v>1176</v>
      </c>
      <c r="U4" s="156" t="s">
        <v>1176</v>
      </c>
      <c r="V4" s="156" t="s">
        <v>1176</v>
      </c>
      <c r="W4" s="156" t="s">
        <v>1176</v>
      </c>
      <c r="Z4" s="156" t="s">
        <v>1176</v>
      </c>
      <c r="AE4" s="158" t="s">
        <v>1186</v>
      </c>
      <c r="AF4" s="160" t="s">
        <v>1176</v>
      </c>
      <c r="AG4" s="161">
        <f t="shared" si="6"/>
        <v>0</v>
      </c>
      <c r="AH4" s="160" t="s">
        <v>1176</v>
      </c>
      <c r="AI4" s="161">
        <f t="shared" si="7"/>
        <v>0</v>
      </c>
      <c r="AJ4" s="160" t="s">
        <v>1176</v>
      </c>
      <c r="AK4" s="160"/>
      <c r="AL4" s="161">
        <f t="shared" si="8"/>
        <v>0</v>
      </c>
      <c r="AM4" s="162">
        <f t="shared" si="9"/>
        <v>0</v>
      </c>
      <c r="AN4" s="162">
        <f t="shared" si="10"/>
        <v>0</v>
      </c>
      <c r="AS4" s="163">
        <v>41106</v>
      </c>
      <c r="AT4" s="163">
        <v>41156</v>
      </c>
      <c r="AU4" s="164">
        <f t="shared" si="11"/>
        <v>50</v>
      </c>
      <c r="AV4" s="165">
        <f t="shared" si="12"/>
        <v>7.1428571428571432</v>
      </c>
      <c r="AW4" s="175">
        <v>0</v>
      </c>
      <c r="AX4" s="166">
        <f t="shared" si="13"/>
        <v>0</v>
      </c>
      <c r="AY4" s="166">
        <f t="shared" si="14"/>
        <v>0</v>
      </c>
      <c r="AZ4" s="167">
        <f t="shared" si="0"/>
        <v>0</v>
      </c>
      <c r="BE4" s="160" t="s">
        <v>414</v>
      </c>
      <c r="BF4" s="161">
        <f t="shared" si="15"/>
        <v>0</v>
      </c>
      <c r="BJ4" s="169">
        <f t="shared" si="1"/>
        <v>0</v>
      </c>
      <c r="BN4" s="176"/>
      <c r="BO4" s="171" t="s">
        <v>1176</v>
      </c>
      <c r="BP4" s="171">
        <f t="shared" si="16"/>
        <v>0</v>
      </c>
      <c r="BQ4" s="171" t="s">
        <v>1176</v>
      </c>
      <c r="BR4" s="171">
        <f t="shared" si="17"/>
        <v>0</v>
      </c>
      <c r="BS4" s="172">
        <f t="shared" si="18"/>
        <v>0</v>
      </c>
      <c r="BT4" s="173">
        <f t="shared" si="2"/>
        <v>0</v>
      </c>
      <c r="BU4" s="174">
        <f t="shared" si="19"/>
        <v>0</v>
      </c>
    </row>
    <row r="5" spans="1:73" ht="28">
      <c r="A5" s="156" t="s">
        <v>1171</v>
      </c>
      <c r="B5" s="156" t="s">
        <v>78</v>
      </c>
      <c r="C5" s="157">
        <v>4</v>
      </c>
      <c r="D5" s="156" t="s">
        <v>74</v>
      </c>
      <c r="E5" s="158" t="s">
        <v>1187</v>
      </c>
      <c r="F5" s="158" t="s">
        <v>1173</v>
      </c>
      <c r="G5" s="156" t="s">
        <v>1174</v>
      </c>
      <c r="H5" s="159">
        <v>41106</v>
      </c>
      <c r="I5" s="156" t="s">
        <v>1185</v>
      </c>
      <c r="J5" s="156" t="s">
        <v>1174</v>
      </c>
      <c r="K5" s="160" t="s">
        <v>1176</v>
      </c>
      <c r="L5" s="161">
        <f t="shared" si="3"/>
        <v>0</v>
      </c>
      <c r="M5" s="160" t="s">
        <v>1176</v>
      </c>
      <c r="N5" s="161">
        <f t="shared" si="4"/>
        <v>0</v>
      </c>
      <c r="O5" s="162">
        <f t="shared" si="5"/>
        <v>0</v>
      </c>
      <c r="P5" s="156" t="s">
        <v>1174</v>
      </c>
      <c r="Q5" s="156" t="s">
        <v>1176</v>
      </c>
      <c r="R5" s="156" t="s">
        <v>1176</v>
      </c>
      <c r="S5" s="156" t="s">
        <v>671</v>
      </c>
      <c r="T5" s="156" t="s">
        <v>1176</v>
      </c>
      <c r="U5" s="156" t="s">
        <v>1176</v>
      </c>
      <c r="V5" s="156" t="s">
        <v>1176</v>
      </c>
      <c r="W5" s="156" t="s">
        <v>1176</v>
      </c>
      <c r="X5" s="158" t="s">
        <v>1178</v>
      </c>
      <c r="Y5" s="158" t="s">
        <v>1179</v>
      </c>
      <c r="Z5" s="156" t="s">
        <v>1174</v>
      </c>
      <c r="AA5" s="156" t="s">
        <v>1174</v>
      </c>
      <c r="AB5" s="156" t="s">
        <v>1174</v>
      </c>
      <c r="AC5" s="156" t="s">
        <v>1176</v>
      </c>
      <c r="AD5" s="156" t="s">
        <v>1176</v>
      </c>
      <c r="AE5" s="158" t="s">
        <v>1178</v>
      </c>
      <c r="AF5" s="160" t="s">
        <v>1176</v>
      </c>
      <c r="AG5" s="161">
        <f t="shared" si="6"/>
        <v>0</v>
      </c>
      <c r="AH5" s="160" t="s">
        <v>1176</v>
      </c>
      <c r="AI5" s="161">
        <f t="shared" si="7"/>
        <v>0</v>
      </c>
      <c r="AJ5" s="160" t="s">
        <v>1176</v>
      </c>
      <c r="AK5" s="160" t="s">
        <v>671</v>
      </c>
      <c r="AL5" s="161">
        <f t="shared" si="8"/>
        <v>0</v>
      </c>
      <c r="AM5" s="162">
        <f t="shared" si="9"/>
        <v>0</v>
      </c>
      <c r="AN5" s="162">
        <f t="shared" si="10"/>
        <v>0</v>
      </c>
      <c r="AO5" s="156" t="s">
        <v>1174</v>
      </c>
      <c r="AP5" s="156" t="s">
        <v>1176</v>
      </c>
      <c r="AQ5" s="156" t="s">
        <v>1174</v>
      </c>
      <c r="AR5" s="156" t="s">
        <v>1174</v>
      </c>
      <c r="AS5" s="163">
        <v>41106</v>
      </c>
      <c r="AT5" s="163">
        <v>41156</v>
      </c>
      <c r="AU5" s="164">
        <f t="shared" si="11"/>
        <v>50</v>
      </c>
      <c r="AV5" s="165">
        <f t="shared" si="12"/>
        <v>7.1428571428571432</v>
      </c>
      <c r="AW5" s="164">
        <v>2</v>
      </c>
      <c r="AX5" s="166">
        <f t="shared" si="13"/>
        <v>0.04</v>
      </c>
      <c r="AY5" s="166">
        <f t="shared" si="14"/>
        <v>0.27999999999999997</v>
      </c>
      <c r="AZ5" s="167">
        <f t="shared" si="0"/>
        <v>0.25</v>
      </c>
      <c r="BA5" s="156" t="s">
        <v>1176</v>
      </c>
      <c r="BB5" s="156" t="s">
        <v>1176</v>
      </c>
      <c r="BC5" s="156" t="s">
        <v>1176</v>
      </c>
      <c r="BD5" s="156" t="s">
        <v>1176</v>
      </c>
      <c r="BE5" s="160" t="s">
        <v>1180</v>
      </c>
      <c r="BF5" s="161">
        <f t="shared" si="15"/>
        <v>0.5</v>
      </c>
      <c r="BG5" s="156" t="s">
        <v>1176</v>
      </c>
      <c r="BH5" s="156" t="s">
        <v>1176</v>
      </c>
      <c r="BJ5" s="169">
        <f t="shared" si="1"/>
        <v>0.75</v>
      </c>
      <c r="BK5" s="156" t="s">
        <v>1188</v>
      </c>
      <c r="BL5" s="156" t="s">
        <v>1174</v>
      </c>
      <c r="BM5" s="156" t="s">
        <v>1176</v>
      </c>
      <c r="BN5" s="161">
        <v>0</v>
      </c>
      <c r="BO5" s="170" t="s">
        <v>1174</v>
      </c>
      <c r="BP5" s="171">
        <f t="shared" si="16"/>
        <v>0.5</v>
      </c>
      <c r="BQ5" s="170" t="s">
        <v>1176</v>
      </c>
      <c r="BR5" s="171">
        <f t="shared" si="17"/>
        <v>0</v>
      </c>
      <c r="BS5" s="172">
        <f t="shared" si="18"/>
        <v>0.5</v>
      </c>
      <c r="BT5" s="173">
        <f t="shared" si="2"/>
        <v>1.25</v>
      </c>
      <c r="BU5" s="174">
        <f t="shared" si="19"/>
        <v>1.6666666666666665</v>
      </c>
    </row>
    <row r="6" spans="1:73" ht="84">
      <c r="A6" s="156" t="s">
        <v>1171</v>
      </c>
      <c r="B6" s="156" t="s">
        <v>82</v>
      </c>
      <c r="C6" s="157">
        <v>5</v>
      </c>
      <c r="D6" s="156" t="s">
        <v>74</v>
      </c>
      <c r="E6" s="158" t="s">
        <v>1189</v>
      </c>
      <c r="F6" s="158" t="s">
        <v>1173</v>
      </c>
      <c r="G6" s="156" t="s">
        <v>1174</v>
      </c>
      <c r="H6" s="159">
        <v>41106</v>
      </c>
      <c r="I6" s="156" t="s">
        <v>1190</v>
      </c>
      <c r="J6" s="156" t="s">
        <v>1174</v>
      </c>
      <c r="K6" s="160" t="s">
        <v>1174</v>
      </c>
      <c r="L6" s="161">
        <f t="shared" si="3"/>
        <v>0.25</v>
      </c>
      <c r="M6" s="160" t="s">
        <v>1174</v>
      </c>
      <c r="N6" s="161">
        <f t="shared" si="4"/>
        <v>0.25</v>
      </c>
      <c r="O6" s="162">
        <f t="shared" si="5"/>
        <v>0.5</v>
      </c>
      <c r="P6" s="156" t="s">
        <v>1176</v>
      </c>
      <c r="Q6" s="156" t="s">
        <v>1176</v>
      </c>
      <c r="R6" s="156" t="s">
        <v>1176</v>
      </c>
      <c r="S6" s="156" t="s">
        <v>671</v>
      </c>
      <c r="T6" s="156" t="s">
        <v>1176</v>
      </c>
      <c r="U6" s="156" t="s">
        <v>1176</v>
      </c>
      <c r="V6" s="156" t="s">
        <v>1176</v>
      </c>
      <c r="W6" s="156" t="s">
        <v>1176</v>
      </c>
      <c r="X6" s="158" t="s">
        <v>1191</v>
      </c>
      <c r="Y6" s="158" t="s">
        <v>1179</v>
      </c>
      <c r="Z6" s="156" t="s">
        <v>1174</v>
      </c>
      <c r="AA6" s="156" t="s">
        <v>1174</v>
      </c>
      <c r="AB6" s="156" t="s">
        <v>1176</v>
      </c>
      <c r="AC6" s="156" t="s">
        <v>1176</v>
      </c>
      <c r="AD6" s="156" t="s">
        <v>1176</v>
      </c>
      <c r="AE6" s="158" t="s">
        <v>1192</v>
      </c>
      <c r="AF6" s="160" t="s">
        <v>1176</v>
      </c>
      <c r="AG6" s="161">
        <f t="shared" si="6"/>
        <v>0</v>
      </c>
      <c r="AH6" s="160" t="s">
        <v>1176</v>
      </c>
      <c r="AI6" s="161">
        <f t="shared" si="7"/>
        <v>0</v>
      </c>
      <c r="AJ6" s="160" t="s">
        <v>1176</v>
      </c>
      <c r="AK6" s="160" t="s">
        <v>671</v>
      </c>
      <c r="AL6" s="161">
        <f t="shared" si="8"/>
        <v>0</v>
      </c>
      <c r="AM6" s="162">
        <f t="shared" si="9"/>
        <v>0.5</v>
      </c>
      <c r="AN6" s="162">
        <f t="shared" si="10"/>
        <v>0.4</v>
      </c>
      <c r="AO6" s="156" t="s">
        <v>1174</v>
      </c>
      <c r="AP6" s="156" t="s">
        <v>1176</v>
      </c>
      <c r="AQ6" s="156" t="s">
        <v>1174</v>
      </c>
      <c r="AR6" s="156" t="s">
        <v>1174</v>
      </c>
      <c r="AS6" s="163">
        <v>41106</v>
      </c>
      <c r="AT6" s="163">
        <v>41156</v>
      </c>
      <c r="AU6" s="164">
        <f t="shared" si="11"/>
        <v>50</v>
      </c>
      <c r="AV6" s="165">
        <f t="shared" si="12"/>
        <v>7.1428571428571432</v>
      </c>
      <c r="AW6" s="164">
        <v>5</v>
      </c>
      <c r="AX6" s="166">
        <f t="shared" si="13"/>
        <v>0.1</v>
      </c>
      <c r="AY6" s="166">
        <f t="shared" si="14"/>
        <v>0.7</v>
      </c>
      <c r="AZ6" s="167">
        <f t="shared" si="0"/>
        <v>0.75</v>
      </c>
      <c r="BA6" s="156" t="s">
        <v>1174</v>
      </c>
      <c r="BB6" s="156" t="s">
        <v>1176</v>
      </c>
      <c r="BC6" s="156" t="s">
        <v>1174</v>
      </c>
      <c r="BD6" s="156" t="s">
        <v>1174</v>
      </c>
      <c r="BE6" s="160" t="s">
        <v>1180</v>
      </c>
      <c r="BF6" s="161">
        <f t="shared" si="15"/>
        <v>0.5</v>
      </c>
      <c r="BG6" s="156" t="s">
        <v>1174</v>
      </c>
      <c r="BH6" s="156" t="s">
        <v>1174</v>
      </c>
      <c r="BI6" s="156" t="s">
        <v>1193</v>
      </c>
      <c r="BJ6" s="169">
        <f t="shared" si="1"/>
        <v>1.25</v>
      </c>
      <c r="BK6" s="156" t="s">
        <v>1194</v>
      </c>
      <c r="BL6" s="156" t="s">
        <v>1174</v>
      </c>
      <c r="BM6" s="156" t="s">
        <v>1176</v>
      </c>
      <c r="BN6" s="161">
        <v>0.25</v>
      </c>
      <c r="BO6" s="170" t="s">
        <v>1176</v>
      </c>
      <c r="BP6" s="171">
        <f t="shared" si="16"/>
        <v>0</v>
      </c>
      <c r="BQ6" s="170" t="s">
        <v>1176</v>
      </c>
      <c r="BR6" s="171">
        <f t="shared" si="17"/>
        <v>0</v>
      </c>
      <c r="BS6" s="172">
        <f t="shared" si="18"/>
        <v>0.25</v>
      </c>
      <c r="BT6" s="173">
        <f t="shared" si="2"/>
        <v>1.9</v>
      </c>
      <c r="BU6" s="174">
        <f t="shared" si="19"/>
        <v>2.5333333333333332</v>
      </c>
    </row>
    <row r="7" spans="1:73" ht="28">
      <c r="A7" s="156" t="s">
        <v>1171</v>
      </c>
      <c r="B7" s="156" t="s">
        <v>87</v>
      </c>
      <c r="C7" s="157">
        <v>6</v>
      </c>
      <c r="D7" s="156" t="s">
        <v>413</v>
      </c>
      <c r="E7" s="158" t="s">
        <v>88</v>
      </c>
      <c r="F7" s="158" t="s">
        <v>1173</v>
      </c>
      <c r="G7" s="156" t="s">
        <v>1174</v>
      </c>
      <c r="H7" s="159">
        <v>41106</v>
      </c>
      <c r="I7" s="156" t="s">
        <v>1185</v>
      </c>
      <c r="J7" s="156" t="s">
        <v>1174</v>
      </c>
      <c r="K7" s="160" t="s">
        <v>1176</v>
      </c>
      <c r="L7" s="161">
        <f t="shared" si="3"/>
        <v>0</v>
      </c>
      <c r="M7" s="160" t="s">
        <v>1176</v>
      </c>
      <c r="N7" s="161">
        <f t="shared" si="4"/>
        <v>0</v>
      </c>
      <c r="O7" s="162">
        <f t="shared" si="5"/>
        <v>0</v>
      </c>
      <c r="P7" s="156" t="s">
        <v>1174</v>
      </c>
      <c r="Q7" s="156" t="s">
        <v>1176</v>
      </c>
      <c r="R7" s="156" t="s">
        <v>1176</v>
      </c>
      <c r="S7" s="156" t="s">
        <v>671</v>
      </c>
      <c r="T7" s="156" t="s">
        <v>1176</v>
      </c>
      <c r="U7" s="156" t="s">
        <v>1176</v>
      </c>
      <c r="V7" s="156" t="s">
        <v>1176</v>
      </c>
      <c r="W7" s="156" t="s">
        <v>1176</v>
      </c>
      <c r="Y7" s="158" t="s">
        <v>1179</v>
      </c>
      <c r="Z7" s="156" t="s">
        <v>1174</v>
      </c>
      <c r="AA7" s="156" t="s">
        <v>1176</v>
      </c>
      <c r="AB7" s="156" t="s">
        <v>1174</v>
      </c>
      <c r="AC7" s="156" t="s">
        <v>1176</v>
      </c>
      <c r="AD7" s="156" t="s">
        <v>1176</v>
      </c>
      <c r="AE7" s="158" t="s">
        <v>1178</v>
      </c>
      <c r="AF7" s="160" t="s">
        <v>1176</v>
      </c>
      <c r="AG7" s="161">
        <f t="shared" si="6"/>
        <v>0</v>
      </c>
      <c r="AH7" s="160" t="s">
        <v>1176</v>
      </c>
      <c r="AI7" s="161">
        <f t="shared" si="7"/>
        <v>0</v>
      </c>
      <c r="AJ7" s="160" t="s">
        <v>1176</v>
      </c>
      <c r="AK7" s="160" t="s">
        <v>671</v>
      </c>
      <c r="AL7" s="161">
        <f t="shared" si="8"/>
        <v>0</v>
      </c>
      <c r="AM7" s="162">
        <f t="shared" si="9"/>
        <v>0</v>
      </c>
      <c r="AN7" s="162">
        <f t="shared" si="10"/>
        <v>0</v>
      </c>
      <c r="AS7" s="163">
        <v>41106</v>
      </c>
      <c r="AT7" s="163">
        <v>41156</v>
      </c>
      <c r="AU7" s="164">
        <f t="shared" si="11"/>
        <v>50</v>
      </c>
      <c r="AV7" s="165">
        <f t="shared" si="12"/>
        <v>7.1428571428571432</v>
      </c>
      <c r="AW7" s="164">
        <v>0</v>
      </c>
      <c r="AX7" s="166">
        <f t="shared" si="13"/>
        <v>0</v>
      </c>
      <c r="AY7" s="166">
        <f t="shared" si="14"/>
        <v>0</v>
      </c>
      <c r="AZ7" s="167">
        <f t="shared" si="0"/>
        <v>0</v>
      </c>
      <c r="BE7" s="160" t="s">
        <v>414</v>
      </c>
      <c r="BF7" s="161">
        <f t="shared" si="15"/>
        <v>0</v>
      </c>
      <c r="BJ7" s="169">
        <f t="shared" si="1"/>
        <v>0</v>
      </c>
      <c r="BN7" s="176"/>
      <c r="BO7" s="170" t="s">
        <v>1176</v>
      </c>
      <c r="BP7" s="171">
        <f t="shared" si="16"/>
        <v>0</v>
      </c>
      <c r="BQ7" s="170" t="s">
        <v>1176</v>
      </c>
      <c r="BR7" s="171">
        <f t="shared" si="17"/>
        <v>0</v>
      </c>
      <c r="BS7" s="172">
        <f t="shared" si="18"/>
        <v>0</v>
      </c>
      <c r="BT7" s="173">
        <f t="shared" si="2"/>
        <v>0</v>
      </c>
      <c r="BU7" s="174">
        <f t="shared" si="19"/>
        <v>0</v>
      </c>
    </row>
    <row r="8" spans="1:73" ht="28">
      <c r="A8" s="156" t="s">
        <v>1171</v>
      </c>
      <c r="B8" s="156" t="s">
        <v>90</v>
      </c>
      <c r="C8" s="157">
        <v>7</v>
      </c>
      <c r="D8" s="156" t="s">
        <v>413</v>
      </c>
      <c r="E8" s="158" t="s">
        <v>1195</v>
      </c>
      <c r="F8" s="158" t="s">
        <v>1173</v>
      </c>
      <c r="G8" s="156" t="s">
        <v>1174</v>
      </c>
      <c r="H8" s="159">
        <v>41106</v>
      </c>
      <c r="I8" s="156" t="s">
        <v>1175</v>
      </c>
      <c r="J8" s="156" t="s">
        <v>1174</v>
      </c>
      <c r="K8" s="160" t="s">
        <v>1174</v>
      </c>
      <c r="L8" s="161">
        <f t="shared" si="3"/>
        <v>0.25</v>
      </c>
      <c r="M8" s="160" t="s">
        <v>1174</v>
      </c>
      <c r="N8" s="161">
        <f t="shared" si="4"/>
        <v>0.25</v>
      </c>
      <c r="O8" s="162">
        <f t="shared" si="5"/>
        <v>0.5</v>
      </c>
      <c r="P8" s="156" t="s">
        <v>1176</v>
      </c>
      <c r="Q8" s="156" t="s">
        <v>1176</v>
      </c>
      <c r="R8" s="156" t="s">
        <v>1174</v>
      </c>
      <c r="S8" s="156" t="s">
        <v>1196</v>
      </c>
      <c r="T8" s="156" t="s">
        <v>1176</v>
      </c>
      <c r="U8" s="156" t="s">
        <v>1176</v>
      </c>
      <c r="V8" s="156" t="s">
        <v>1176</v>
      </c>
      <c r="W8" s="156" t="s">
        <v>1176</v>
      </c>
      <c r="X8" s="158" t="s">
        <v>1178</v>
      </c>
      <c r="Y8" s="158" t="s">
        <v>1179</v>
      </c>
      <c r="Z8" s="156" t="s">
        <v>1174</v>
      </c>
      <c r="AA8" s="156" t="s">
        <v>1174</v>
      </c>
      <c r="AB8" s="156" t="s">
        <v>1174</v>
      </c>
      <c r="AC8" s="156" t="s">
        <v>1176</v>
      </c>
      <c r="AD8" s="156" t="s">
        <v>1176</v>
      </c>
      <c r="AE8" s="158" t="s">
        <v>1178</v>
      </c>
      <c r="AF8" s="160" t="s">
        <v>1176</v>
      </c>
      <c r="AG8" s="161">
        <f t="shared" si="6"/>
        <v>0</v>
      </c>
      <c r="AH8" s="160" t="s">
        <v>1176</v>
      </c>
      <c r="AI8" s="161">
        <f t="shared" si="7"/>
        <v>0</v>
      </c>
      <c r="AJ8" s="160" t="s">
        <v>1174</v>
      </c>
      <c r="AK8" s="160" t="s">
        <v>1197</v>
      </c>
      <c r="AL8" s="161">
        <f t="shared" si="8"/>
        <v>0.25</v>
      </c>
      <c r="AM8" s="162">
        <f t="shared" si="9"/>
        <v>0.75</v>
      </c>
      <c r="AN8" s="162">
        <f t="shared" si="10"/>
        <v>0.6</v>
      </c>
      <c r="AS8" s="163">
        <v>41106</v>
      </c>
      <c r="AT8" s="163">
        <v>41156</v>
      </c>
      <c r="AU8" s="164">
        <f t="shared" si="11"/>
        <v>50</v>
      </c>
      <c r="AV8" s="165">
        <f t="shared" si="12"/>
        <v>7.1428571428571432</v>
      </c>
      <c r="AW8" s="164">
        <v>2</v>
      </c>
      <c r="AX8" s="166">
        <f t="shared" si="13"/>
        <v>0.04</v>
      </c>
      <c r="AY8" s="166">
        <f t="shared" si="14"/>
        <v>0.27999999999999997</v>
      </c>
      <c r="AZ8" s="167">
        <f t="shared" si="0"/>
        <v>0.25</v>
      </c>
      <c r="BE8" s="160" t="s">
        <v>1180</v>
      </c>
      <c r="BF8" s="161">
        <f t="shared" si="15"/>
        <v>0.5</v>
      </c>
      <c r="BJ8" s="169">
        <f t="shared" si="1"/>
        <v>0.75</v>
      </c>
      <c r="BN8" s="176"/>
      <c r="BO8" s="170" t="s">
        <v>1174</v>
      </c>
      <c r="BP8" s="171">
        <f t="shared" si="16"/>
        <v>0.5</v>
      </c>
      <c r="BQ8" s="170" t="s">
        <v>1176</v>
      </c>
      <c r="BR8" s="171">
        <f t="shared" si="17"/>
        <v>0</v>
      </c>
      <c r="BS8" s="172">
        <f t="shared" si="18"/>
        <v>0.5</v>
      </c>
      <c r="BT8" s="173">
        <f t="shared" si="2"/>
        <v>1.85</v>
      </c>
      <c r="BU8" s="174">
        <f t="shared" si="19"/>
        <v>2.4666666666666668</v>
      </c>
    </row>
    <row r="9" spans="1:73" ht="56">
      <c r="A9" s="156" t="s">
        <v>1171</v>
      </c>
      <c r="B9" s="156" t="s">
        <v>93</v>
      </c>
      <c r="C9" s="157">
        <v>8</v>
      </c>
      <c r="D9" s="156" t="s">
        <v>74</v>
      </c>
      <c r="E9" s="158" t="s">
        <v>1198</v>
      </c>
      <c r="G9" s="156" t="s">
        <v>1176</v>
      </c>
      <c r="K9" s="177" t="s">
        <v>1176</v>
      </c>
      <c r="L9" s="161">
        <f t="shared" si="3"/>
        <v>0</v>
      </c>
      <c r="M9" s="177" t="s">
        <v>1176</v>
      </c>
      <c r="N9" s="161">
        <f t="shared" si="4"/>
        <v>0</v>
      </c>
      <c r="O9" s="162">
        <f t="shared" si="5"/>
        <v>0</v>
      </c>
      <c r="X9" s="158" t="s">
        <v>1199</v>
      </c>
      <c r="Y9" s="158" t="s">
        <v>1179</v>
      </c>
      <c r="Z9" s="156" t="s">
        <v>1174</v>
      </c>
      <c r="AA9" s="156" t="s">
        <v>1174</v>
      </c>
      <c r="AB9" s="156" t="s">
        <v>1174</v>
      </c>
      <c r="AC9" s="156" t="s">
        <v>1176</v>
      </c>
      <c r="AD9" s="156" t="s">
        <v>1176</v>
      </c>
      <c r="AE9" s="158" t="s">
        <v>1200</v>
      </c>
      <c r="AF9" s="177" t="s">
        <v>1176</v>
      </c>
      <c r="AG9" s="161">
        <f t="shared" si="6"/>
        <v>0</v>
      </c>
      <c r="AH9" s="177" t="s">
        <v>1176</v>
      </c>
      <c r="AI9" s="161">
        <f t="shared" si="7"/>
        <v>0</v>
      </c>
      <c r="AJ9" s="177" t="s">
        <v>1176</v>
      </c>
      <c r="AK9" s="177" t="s">
        <v>671</v>
      </c>
      <c r="AL9" s="161">
        <f t="shared" si="8"/>
        <v>0</v>
      </c>
      <c r="AM9" s="162">
        <f t="shared" si="9"/>
        <v>0</v>
      </c>
      <c r="AN9" s="162">
        <f t="shared" si="10"/>
        <v>0</v>
      </c>
      <c r="AO9" s="156" t="s">
        <v>1174</v>
      </c>
      <c r="AP9" s="156" t="s">
        <v>1174</v>
      </c>
      <c r="AQ9" s="156" t="s">
        <v>1174</v>
      </c>
      <c r="AR9" s="156" t="s">
        <v>1174</v>
      </c>
      <c r="AS9" s="163">
        <v>41106</v>
      </c>
      <c r="AT9" s="163">
        <v>41156</v>
      </c>
      <c r="AU9" s="164">
        <f t="shared" si="11"/>
        <v>50</v>
      </c>
      <c r="AV9" s="165">
        <f t="shared" si="12"/>
        <v>7.1428571428571432</v>
      </c>
      <c r="AW9" s="164">
        <v>1</v>
      </c>
      <c r="AX9" s="166">
        <f t="shared" si="13"/>
        <v>0.02</v>
      </c>
      <c r="AY9" s="166">
        <f t="shared" si="14"/>
        <v>0.13999999999999999</v>
      </c>
      <c r="AZ9" s="167">
        <f t="shared" si="0"/>
        <v>0</v>
      </c>
      <c r="BA9" s="156" t="s">
        <v>1176</v>
      </c>
      <c r="BB9" s="156" t="s">
        <v>1176</v>
      </c>
      <c r="BC9" s="156" t="s">
        <v>1176</v>
      </c>
      <c r="BD9" s="156" t="s">
        <v>1176</v>
      </c>
      <c r="BE9" s="177" t="s">
        <v>1180</v>
      </c>
      <c r="BF9" s="161">
        <f t="shared" si="15"/>
        <v>0.5</v>
      </c>
      <c r="BG9" s="156" t="s">
        <v>1174</v>
      </c>
      <c r="BH9" s="156" t="s">
        <v>1174</v>
      </c>
      <c r="BI9" s="156" t="s">
        <v>1201</v>
      </c>
      <c r="BJ9" s="169">
        <f t="shared" si="1"/>
        <v>0.5</v>
      </c>
      <c r="BL9" s="156" t="s">
        <v>1174</v>
      </c>
      <c r="BM9" s="156" t="s">
        <v>1176</v>
      </c>
      <c r="BN9" s="161">
        <v>0.25</v>
      </c>
      <c r="BO9" s="170" t="s">
        <v>1176</v>
      </c>
      <c r="BP9" s="171">
        <f t="shared" si="16"/>
        <v>0</v>
      </c>
      <c r="BQ9" s="170" t="s">
        <v>1176</v>
      </c>
      <c r="BR9" s="171">
        <f t="shared" si="17"/>
        <v>0</v>
      </c>
      <c r="BS9" s="172">
        <f t="shared" si="18"/>
        <v>0.25</v>
      </c>
      <c r="BT9" s="173">
        <f t="shared" si="2"/>
        <v>0.75</v>
      </c>
      <c r="BU9" s="174">
        <f t="shared" si="19"/>
        <v>1</v>
      </c>
    </row>
    <row r="10" spans="1:73" ht="56">
      <c r="A10" s="156" t="s">
        <v>1171</v>
      </c>
      <c r="B10" s="156" t="s">
        <v>96</v>
      </c>
      <c r="C10" s="157">
        <v>9</v>
      </c>
      <c r="D10" s="156" t="s">
        <v>413</v>
      </c>
      <c r="E10" s="158" t="s">
        <v>1202</v>
      </c>
      <c r="F10" s="158" t="s">
        <v>1173</v>
      </c>
      <c r="G10" s="156" t="s">
        <v>1174</v>
      </c>
      <c r="H10" s="159">
        <v>41106</v>
      </c>
      <c r="I10" s="156" t="s">
        <v>1190</v>
      </c>
      <c r="J10" s="156" t="s">
        <v>1174</v>
      </c>
      <c r="K10" s="160" t="s">
        <v>1174</v>
      </c>
      <c r="L10" s="161">
        <f t="shared" si="3"/>
        <v>0.25</v>
      </c>
      <c r="M10" s="160" t="s">
        <v>1174</v>
      </c>
      <c r="N10" s="161">
        <f t="shared" si="4"/>
        <v>0.25</v>
      </c>
      <c r="O10" s="162">
        <f t="shared" si="5"/>
        <v>0.5</v>
      </c>
      <c r="P10" s="156" t="s">
        <v>1176</v>
      </c>
      <c r="Q10" s="156" t="s">
        <v>1176</v>
      </c>
      <c r="R10" s="156" t="s">
        <v>1176</v>
      </c>
      <c r="S10" s="156" t="s">
        <v>671</v>
      </c>
      <c r="T10" s="156" t="s">
        <v>1176</v>
      </c>
      <c r="U10" s="156" t="s">
        <v>1176</v>
      </c>
      <c r="V10" s="156" t="s">
        <v>1176</v>
      </c>
      <c r="W10" s="156" t="s">
        <v>1176</v>
      </c>
      <c r="X10" s="158" t="s">
        <v>1203</v>
      </c>
      <c r="Y10" s="158" t="s">
        <v>1179</v>
      </c>
      <c r="Z10" s="156" t="s">
        <v>1174</v>
      </c>
      <c r="AA10" s="156" t="s">
        <v>1176</v>
      </c>
      <c r="AB10" s="156" t="s">
        <v>1176</v>
      </c>
      <c r="AC10" s="156" t="s">
        <v>1176</v>
      </c>
      <c r="AD10" s="156" t="s">
        <v>1176</v>
      </c>
      <c r="AF10" s="160" t="s">
        <v>1176</v>
      </c>
      <c r="AG10" s="161">
        <f t="shared" si="6"/>
        <v>0</v>
      </c>
      <c r="AH10" s="160" t="s">
        <v>1176</v>
      </c>
      <c r="AI10" s="161">
        <f t="shared" si="7"/>
        <v>0</v>
      </c>
      <c r="AJ10" s="160" t="s">
        <v>1176</v>
      </c>
      <c r="AK10" s="160" t="s">
        <v>671</v>
      </c>
      <c r="AL10" s="161">
        <f t="shared" si="8"/>
        <v>0</v>
      </c>
      <c r="AM10" s="162">
        <f t="shared" si="9"/>
        <v>0.5</v>
      </c>
      <c r="AN10" s="162">
        <f t="shared" si="10"/>
        <v>0.4</v>
      </c>
      <c r="AS10" s="163">
        <v>41106</v>
      </c>
      <c r="AT10" s="163">
        <v>41156</v>
      </c>
      <c r="AU10" s="164">
        <f t="shared" si="11"/>
        <v>50</v>
      </c>
      <c r="AV10" s="165">
        <f t="shared" si="12"/>
        <v>7.1428571428571432</v>
      </c>
      <c r="AW10" s="164">
        <v>27</v>
      </c>
      <c r="AX10" s="166">
        <f t="shared" si="13"/>
        <v>0.54</v>
      </c>
      <c r="AY10" s="166">
        <f t="shared" si="14"/>
        <v>3.78</v>
      </c>
      <c r="AZ10" s="167">
        <v>0.25</v>
      </c>
      <c r="BE10" s="160" t="s">
        <v>1180</v>
      </c>
      <c r="BF10" s="161">
        <f t="shared" si="15"/>
        <v>0.5</v>
      </c>
      <c r="BJ10" s="169">
        <f t="shared" si="1"/>
        <v>0.75</v>
      </c>
      <c r="BN10" s="176"/>
      <c r="BO10" s="170" t="s">
        <v>1176</v>
      </c>
      <c r="BP10" s="171">
        <f t="shared" si="16"/>
        <v>0</v>
      </c>
      <c r="BQ10" s="170" t="s">
        <v>1176</v>
      </c>
      <c r="BR10" s="171">
        <f t="shared" si="17"/>
        <v>0</v>
      </c>
      <c r="BS10" s="172">
        <f t="shared" si="18"/>
        <v>0</v>
      </c>
      <c r="BT10" s="173">
        <f t="shared" si="2"/>
        <v>1.1499999999999999</v>
      </c>
      <c r="BU10" s="174">
        <f t="shared" si="19"/>
        <v>1.5333333333333332</v>
      </c>
    </row>
    <row r="11" spans="1:73" ht="84">
      <c r="A11" s="156" t="s">
        <v>1171</v>
      </c>
      <c r="B11" s="156" t="s">
        <v>100</v>
      </c>
      <c r="C11" s="157">
        <v>10</v>
      </c>
      <c r="D11" s="156" t="s">
        <v>413</v>
      </c>
      <c r="E11" s="158" t="s">
        <v>1204</v>
      </c>
      <c r="F11" s="158" t="s">
        <v>1173</v>
      </c>
      <c r="G11" s="156" t="s">
        <v>1174</v>
      </c>
      <c r="H11" s="159">
        <v>41106</v>
      </c>
      <c r="I11" s="156" t="s">
        <v>1185</v>
      </c>
      <c r="J11" s="156" t="s">
        <v>1176</v>
      </c>
      <c r="K11" s="160" t="s">
        <v>1176</v>
      </c>
      <c r="L11" s="161">
        <f t="shared" si="3"/>
        <v>0</v>
      </c>
      <c r="M11" s="160" t="s">
        <v>1176</v>
      </c>
      <c r="N11" s="161">
        <f t="shared" si="4"/>
        <v>0</v>
      </c>
      <c r="O11" s="162">
        <f t="shared" si="5"/>
        <v>0</v>
      </c>
      <c r="P11" s="156" t="s">
        <v>1174</v>
      </c>
      <c r="Q11" s="156" t="s">
        <v>1176</v>
      </c>
      <c r="R11" s="156" t="s">
        <v>1176</v>
      </c>
      <c r="S11" s="156" t="s">
        <v>671</v>
      </c>
      <c r="T11" s="156" t="s">
        <v>1176</v>
      </c>
      <c r="U11" s="156" t="s">
        <v>1176</v>
      </c>
      <c r="V11" s="156" t="s">
        <v>1174</v>
      </c>
      <c r="W11" s="156" t="s">
        <v>1176</v>
      </c>
      <c r="X11" s="158" t="s">
        <v>1205</v>
      </c>
      <c r="Y11" s="158" t="s">
        <v>1179</v>
      </c>
      <c r="Z11" s="156" t="s">
        <v>1174</v>
      </c>
      <c r="AA11" s="156" t="s">
        <v>1176</v>
      </c>
      <c r="AB11" s="156" t="s">
        <v>1176</v>
      </c>
      <c r="AC11" s="156" t="s">
        <v>1176</v>
      </c>
      <c r="AD11" s="156" t="s">
        <v>1174</v>
      </c>
      <c r="AE11" s="158" t="s">
        <v>1206</v>
      </c>
      <c r="AF11" s="160" t="s">
        <v>1176</v>
      </c>
      <c r="AG11" s="161">
        <f t="shared" si="6"/>
        <v>0</v>
      </c>
      <c r="AH11" s="160" t="s">
        <v>1176</v>
      </c>
      <c r="AI11" s="161">
        <f t="shared" si="7"/>
        <v>0</v>
      </c>
      <c r="AJ11" s="160" t="s">
        <v>1176</v>
      </c>
      <c r="AK11" s="160" t="s">
        <v>671</v>
      </c>
      <c r="AL11" s="161">
        <f t="shared" si="8"/>
        <v>0</v>
      </c>
      <c r="AM11" s="162">
        <f t="shared" si="9"/>
        <v>0</v>
      </c>
      <c r="AN11" s="162">
        <f t="shared" si="10"/>
        <v>0</v>
      </c>
      <c r="AS11" s="163">
        <v>41106</v>
      </c>
      <c r="AT11" s="163">
        <v>41156</v>
      </c>
      <c r="AU11" s="164">
        <f t="shared" si="11"/>
        <v>50</v>
      </c>
      <c r="AV11" s="165">
        <f t="shared" si="12"/>
        <v>7.1428571428571432</v>
      </c>
      <c r="AW11" s="164">
        <v>0</v>
      </c>
      <c r="AX11" s="166">
        <f t="shared" si="13"/>
        <v>0</v>
      </c>
      <c r="AY11" s="166">
        <f t="shared" si="14"/>
        <v>0</v>
      </c>
      <c r="AZ11" s="167">
        <f t="shared" si="0"/>
        <v>0</v>
      </c>
      <c r="BE11" s="160" t="s">
        <v>414</v>
      </c>
      <c r="BF11" s="161">
        <f t="shared" si="15"/>
        <v>0</v>
      </c>
      <c r="BJ11" s="169">
        <f t="shared" si="1"/>
        <v>0</v>
      </c>
      <c r="BN11" s="176"/>
      <c r="BO11" s="170" t="s">
        <v>1176</v>
      </c>
      <c r="BP11" s="171">
        <f t="shared" si="16"/>
        <v>0</v>
      </c>
      <c r="BQ11" s="170" t="s">
        <v>1176</v>
      </c>
      <c r="BR11" s="171">
        <f t="shared" si="17"/>
        <v>0</v>
      </c>
      <c r="BS11" s="172">
        <f t="shared" si="18"/>
        <v>0</v>
      </c>
      <c r="BT11" s="173">
        <f t="shared" si="2"/>
        <v>0</v>
      </c>
      <c r="BU11" s="174">
        <f t="shared" si="19"/>
        <v>0</v>
      </c>
    </row>
    <row r="12" spans="1:73" ht="70">
      <c r="A12" s="156" t="s">
        <v>1171</v>
      </c>
      <c r="B12" s="156" t="s">
        <v>102</v>
      </c>
      <c r="C12" s="157">
        <v>11</v>
      </c>
      <c r="D12" s="156" t="s">
        <v>413</v>
      </c>
      <c r="E12" s="158" t="s">
        <v>1207</v>
      </c>
      <c r="F12" s="158" t="s">
        <v>1173</v>
      </c>
      <c r="G12" s="156" t="s">
        <v>1174</v>
      </c>
      <c r="H12" s="159">
        <v>41106</v>
      </c>
      <c r="I12" s="156" t="s">
        <v>1185</v>
      </c>
      <c r="J12" s="156" t="s">
        <v>1176</v>
      </c>
      <c r="K12" s="160" t="s">
        <v>1174</v>
      </c>
      <c r="L12" s="161">
        <f t="shared" si="3"/>
        <v>0.25</v>
      </c>
      <c r="M12" s="160" t="s">
        <v>1174</v>
      </c>
      <c r="N12" s="161">
        <f t="shared" si="4"/>
        <v>0.25</v>
      </c>
      <c r="O12" s="162">
        <f t="shared" si="5"/>
        <v>0.5</v>
      </c>
      <c r="P12" s="156" t="s">
        <v>1174</v>
      </c>
      <c r="Q12" s="156" t="s">
        <v>1176</v>
      </c>
      <c r="R12" s="156" t="s">
        <v>1174</v>
      </c>
      <c r="S12" s="156" t="s">
        <v>1208</v>
      </c>
      <c r="T12" s="156" t="s">
        <v>1176</v>
      </c>
      <c r="U12" s="156" t="s">
        <v>1176</v>
      </c>
      <c r="V12" s="156" t="s">
        <v>1176</v>
      </c>
      <c r="W12" s="156" t="s">
        <v>1176</v>
      </c>
      <c r="Y12" s="158" t="s">
        <v>1179</v>
      </c>
      <c r="Z12" s="156" t="s">
        <v>1174</v>
      </c>
      <c r="AA12" s="156" t="s">
        <v>1176</v>
      </c>
      <c r="AB12" s="156" t="s">
        <v>1176</v>
      </c>
      <c r="AC12" s="156" t="s">
        <v>1176</v>
      </c>
      <c r="AD12" s="156" t="s">
        <v>1176</v>
      </c>
      <c r="AE12" s="158" t="s">
        <v>1209</v>
      </c>
      <c r="AF12" s="160" t="s">
        <v>1176</v>
      </c>
      <c r="AG12" s="161">
        <f t="shared" si="6"/>
        <v>0</v>
      </c>
      <c r="AH12" s="160" t="s">
        <v>1176</v>
      </c>
      <c r="AI12" s="161">
        <f t="shared" si="7"/>
        <v>0</v>
      </c>
      <c r="AJ12" s="160" t="s">
        <v>1176</v>
      </c>
      <c r="AK12" s="160" t="s">
        <v>671</v>
      </c>
      <c r="AL12" s="161">
        <f t="shared" si="8"/>
        <v>0</v>
      </c>
      <c r="AM12" s="162">
        <f t="shared" si="9"/>
        <v>0.5</v>
      </c>
      <c r="AN12" s="162">
        <f t="shared" si="10"/>
        <v>0.4</v>
      </c>
      <c r="AS12" s="163">
        <v>41106</v>
      </c>
      <c r="AT12" s="163">
        <v>41156</v>
      </c>
      <c r="AU12" s="164">
        <f t="shared" si="11"/>
        <v>50</v>
      </c>
      <c r="AV12" s="165">
        <f t="shared" si="12"/>
        <v>7.1428571428571432</v>
      </c>
      <c r="AW12" s="164">
        <v>16</v>
      </c>
      <c r="AX12" s="166">
        <f t="shared" si="13"/>
        <v>0.32</v>
      </c>
      <c r="AY12" s="166">
        <f t="shared" si="14"/>
        <v>2.2399999999999998</v>
      </c>
      <c r="AZ12" s="167">
        <f t="shared" si="0"/>
        <v>0.5</v>
      </c>
      <c r="BE12" s="160" t="s">
        <v>1180</v>
      </c>
      <c r="BF12" s="161">
        <f t="shared" si="15"/>
        <v>0.5</v>
      </c>
      <c r="BJ12" s="169">
        <f t="shared" si="1"/>
        <v>1</v>
      </c>
      <c r="BN12" s="176"/>
      <c r="BO12" s="170" t="s">
        <v>1176</v>
      </c>
      <c r="BP12" s="171">
        <f t="shared" si="16"/>
        <v>0</v>
      </c>
      <c r="BQ12" s="170" t="s">
        <v>1176</v>
      </c>
      <c r="BR12" s="171">
        <f t="shared" si="17"/>
        <v>0</v>
      </c>
      <c r="BS12" s="172">
        <f t="shared" si="18"/>
        <v>0</v>
      </c>
      <c r="BT12" s="173">
        <f t="shared" si="2"/>
        <v>1.4</v>
      </c>
      <c r="BU12" s="174">
        <f t="shared" si="19"/>
        <v>1.8666666666666665</v>
      </c>
    </row>
    <row r="13" spans="1:73" ht="70">
      <c r="A13" s="156" t="s">
        <v>1171</v>
      </c>
      <c r="B13" s="156" t="s">
        <v>104</v>
      </c>
      <c r="C13" s="157">
        <v>12</v>
      </c>
      <c r="D13" s="156" t="s">
        <v>413</v>
      </c>
      <c r="E13" s="158" t="s">
        <v>1210</v>
      </c>
      <c r="F13" s="158" t="s">
        <v>1173</v>
      </c>
      <c r="G13" s="156" t="s">
        <v>1174</v>
      </c>
      <c r="H13" s="159">
        <v>41106</v>
      </c>
      <c r="I13" s="156" t="s">
        <v>1185</v>
      </c>
      <c r="J13" s="156" t="s">
        <v>1176</v>
      </c>
      <c r="K13" s="160" t="s">
        <v>1176</v>
      </c>
      <c r="L13" s="161">
        <f t="shared" si="3"/>
        <v>0</v>
      </c>
      <c r="M13" s="160" t="s">
        <v>1176</v>
      </c>
      <c r="N13" s="161">
        <f t="shared" si="4"/>
        <v>0</v>
      </c>
      <c r="O13" s="162">
        <f t="shared" si="5"/>
        <v>0</v>
      </c>
      <c r="P13" s="156" t="s">
        <v>1176</v>
      </c>
      <c r="Q13" s="156" t="s">
        <v>1174</v>
      </c>
      <c r="R13" s="156" t="s">
        <v>1176</v>
      </c>
      <c r="S13" s="156" t="s">
        <v>671</v>
      </c>
      <c r="T13" s="156" t="s">
        <v>1176</v>
      </c>
      <c r="U13" s="156" t="s">
        <v>1176</v>
      </c>
      <c r="V13" s="156" t="s">
        <v>1176</v>
      </c>
      <c r="W13" s="156" t="s">
        <v>1176</v>
      </c>
      <c r="X13" s="158" t="s">
        <v>1211</v>
      </c>
      <c r="Z13" s="156" t="s">
        <v>1176</v>
      </c>
      <c r="AE13" s="158" t="s">
        <v>1212</v>
      </c>
      <c r="AF13" s="160" t="s">
        <v>1176</v>
      </c>
      <c r="AG13" s="161">
        <f t="shared" si="6"/>
        <v>0</v>
      </c>
      <c r="AH13" s="160" t="s">
        <v>1176</v>
      </c>
      <c r="AI13" s="161">
        <f t="shared" si="7"/>
        <v>0</v>
      </c>
      <c r="AJ13" s="160" t="s">
        <v>1174</v>
      </c>
      <c r="AK13" s="160" t="s">
        <v>1213</v>
      </c>
      <c r="AL13" s="161">
        <f t="shared" si="8"/>
        <v>0.25</v>
      </c>
      <c r="AM13" s="162">
        <f t="shared" si="9"/>
        <v>0.25</v>
      </c>
      <c r="AN13" s="162">
        <f t="shared" si="10"/>
        <v>0.2</v>
      </c>
      <c r="AS13" s="163">
        <v>41106</v>
      </c>
      <c r="AT13" s="163">
        <v>41156</v>
      </c>
      <c r="AU13" s="164">
        <f t="shared" si="11"/>
        <v>50</v>
      </c>
      <c r="AV13" s="165">
        <f t="shared" si="12"/>
        <v>7.1428571428571432</v>
      </c>
      <c r="AW13" s="164">
        <v>3</v>
      </c>
      <c r="AX13" s="166">
        <f t="shared" si="13"/>
        <v>0.06</v>
      </c>
      <c r="AY13" s="166">
        <f t="shared" si="14"/>
        <v>0.42</v>
      </c>
      <c r="AZ13" s="167">
        <f t="shared" si="0"/>
        <v>0.5</v>
      </c>
      <c r="BE13" s="160" t="s">
        <v>1180</v>
      </c>
      <c r="BF13" s="161">
        <f t="shared" si="15"/>
        <v>0.5</v>
      </c>
      <c r="BJ13" s="169">
        <f t="shared" si="1"/>
        <v>1</v>
      </c>
      <c r="BN13" s="176"/>
      <c r="BO13" s="170" t="s">
        <v>1176</v>
      </c>
      <c r="BP13" s="171">
        <f t="shared" si="16"/>
        <v>0</v>
      </c>
      <c r="BQ13" s="170" t="s">
        <v>1176</v>
      </c>
      <c r="BR13" s="171">
        <f t="shared" si="17"/>
        <v>0</v>
      </c>
      <c r="BS13" s="172">
        <f t="shared" si="18"/>
        <v>0</v>
      </c>
      <c r="BT13" s="173">
        <f t="shared" si="2"/>
        <v>1.2</v>
      </c>
      <c r="BU13" s="174">
        <f t="shared" si="19"/>
        <v>1.5999999999999999</v>
      </c>
    </row>
    <row r="14" spans="1:73" ht="56">
      <c r="A14" s="156" t="s">
        <v>1171</v>
      </c>
      <c r="B14" s="156" t="s">
        <v>106</v>
      </c>
      <c r="C14" s="157">
        <v>13</v>
      </c>
      <c r="D14" s="156" t="s">
        <v>74</v>
      </c>
      <c r="E14" s="158" t="s">
        <v>1214</v>
      </c>
      <c r="F14" s="158" t="s">
        <v>1173</v>
      </c>
      <c r="G14" s="156" t="s">
        <v>1174</v>
      </c>
      <c r="H14" s="159">
        <v>41122</v>
      </c>
      <c r="I14" s="156" t="s">
        <v>1185</v>
      </c>
      <c r="J14" s="156" t="s">
        <v>1176</v>
      </c>
      <c r="K14" s="160" t="s">
        <v>1176</v>
      </c>
      <c r="L14" s="161">
        <f t="shared" si="3"/>
        <v>0</v>
      </c>
      <c r="M14" s="160" t="s">
        <v>1176</v>
      </c>
      <c r="N14" s="161">
        <f t="shared" si="4"/>
        <v>0</v>
      </c>
      <c r="O14" s="162">
        <f t="shared" si="5"/>
        <v>0</v>
      </c>
      <c r="P14" s="156" t="s">
        <v>1176</v>
      </c>
      <c r="Q14" s="156" t="s">
        <v>1176</v>
      </c>
      <c r="R14" s="156" t="s">
        <v>1174</v>
      </c>
      <c r="S14" s="156" t="s">
        <v>1215</v>
      </c>
      <c r="T14" s="156" t="s">
        <v>1176</v>
      </c>
      <c r="U14" s="156" t="s">
        <v>1176</v>
      </c>
      <c r="V14" s="156" t="s">
        <v>1176</v>
      </c>
      <c r="W14" s="156" t="s">
        <v>1176</v>
      </c>
      <c r="X14" s="158" t="s">
        <v>1216</v>
      </c>
      <c r="Z14" s="156" t="s">
        <v>1176</v>
      </c>
      <c r="AE14" s="158" t="s">
        <v>1217</v>
      </c>
      <c r="AF14" s="160" t="s">
        <v>1176</v>
      </c>
      <c r="AG14" s="161">
        <f t="shared" si="6"/>
        <v>0</v>
      </c>
      <c r="AH14" s="160" t="s">
        <v>1176</v>
      </c>
      <c r="AI14" s="161">
        <f t="shared" si="7"/>
        <v>0</v>
      </c>
      <c r="AJ14" s="160" t="s">
        <v>1174</v>
      </c>
      <c r="AK14" s="160" t="s">
        <v>1218</v>
      </c>
      <c r="AL14" s="161">
        <f t="shared" si="8"/>
        <v>0.25</v>
      </c>
      <c r="AM14" s="162">
        <f t="shared" si="9"/>
        <v>0.25</v>
      </c>
      <c r="AN14" s="162">
        <f t="shared" si="10"/>
        <v>0.2</v>
      </c>
      <c r="AO14" s="156" t="s">
        <v>1176</v>
      </c>
      <c r="AP14" s="156" t="s">
        <v>1176</v>
      </c>
      <c r="AQ14" s="156" t="s">
        <v>1176</v>
      </c>
      <c r="AR14" s="156" t="s">
        <v>1176</v>
      </c>
      <c r="AS14" s="163">
        <v>41122</v>
      </c>
      <c r="AT14" s="163">
        <v>41156</v>
      </c>
      <c r="AU14" s="164">
        <f t="shared" si="11"/>
        <v>34</v>
      </c>
      <c r="AV14" s="165">
        <f t="shared" si="12"/>
        <v>4.8571428571428568</v>
      </c>
      <c r="AW14" s="164">
        <v>0</v>
      </c>
      <c r="AX14" s="166">
        <f t="shared" si="13"/>
        <v>0</v>
      </c>
      <c r="AY14" s="166">
        <f t="shared" si="14"/>
        <v>0</v>
      </c>
      <c r="AZ14" s="167">
        <f t="shared" si="0"/>
        <v>0</v>
      </c>
      <c r="BA14" s="156" t="s">
        <v>1176</v>
      </c>
      <c r="BB14" s="156" t="s">
        <v>1176</v>
      </c>
      <c r="BC14" s="156" t="s">
        <v>1176</v>
      </c>
      <c r="BD14" s="156" t="s">
        <v>1176</v>
      </c>
      <c r="BE14" s="160" t="s">
        <v>414</v>
      </c>
      <c r="BF14" s="161">
        <f t="shared" si="15"/>
        <v>0</v>
      </c>
      <c r="BG14" s="156" t="s">
        <v>1176</v>
      </c>
      <c r="BH14" s="156" t="s">
        <v>1176</v>
      </c>
      <c r="BI14" s="156" t="s">
        <v>1219</v>
      </c>
      <c r="BJ14" s="169">
        <f t="shared" si="1"/>
        <v>0</v>
      </c>
      <c r="BK14" s="156" t="s">
        <v>1219</v>
      </c>
      <c r="BL14" s="156" t="s">
        <v>1176</v>
      </c>
      <c r="BM14" s="156" t="s">
        <v>1176</v>
      </c>
      <c r="BN14" s="161">
        <v>0</v>
      </c>
      <c r="BO14" s="170" t="s">
        <v>1176</v>
      </c>
      <c r="BP14" s="171">
        <f t="shared" si="16"/>
        <v>0</v>
      </c>
      <c r="BQ14" s="170" t="s">
        <v>1176</v>
      </c>
      <c r="BR14" s="171">
        <f t="shared" si="17"/>
        <v>0</v>
      </c>
      <c r="BS14" s="172">
        <f t="shared" si="18"/>
        <v>0</v>
      </c>
      <c r="BT14" s="173">
        <f t="shared" si="2"/>
        <v>0.2</v>
      </c>
      <c r="BU14" s="174">
        <f t="shared" si="19"/>
        <v>0.26666666666666666</v>
      </c>
    </row>
    <row r="15" spans="1:73" ht="28">
      <c r="A15" s="156" t="s">
        <v>1171</v>
      </c>
      <c r="B15" s="156" t="s">
        <v>109</v>
      </c>
      <c r="C15" s="157">
        <v>14</v>
      </c>
      <c r="D15" s="156" t="s">
        <v>74</v>
      </c>
      <c r="E15" s="158" t="s">
        <v>1220</v>
      </c>
      <c r="G15" s="156" t="s">
        <v>1176</v>
      </c>
      <c r="H15" s="159"/>
      <c r="K15" s="177" t="s">
        <v>1176</v>
      </c>
      <c r="L15" s="161">
        <f t="shared" si="3"/>
        <v>0</v>
      </c>
      <c r="M15" s="177" t="s">
        <v>1174</v>
      </c>
      <c r="N15" s="161">
        <f t="shared" si="4"/>
        <v>0.25</v>
      </c>
      <c r="O15" s="162">
        <f t="shared" si="5"/>
        <v>0.25</v>
      </c>
      <c r="X15" s="158" t="s">
        <v>1221</v>
      </c>
      <c r="Y15" s="158" t="s">
        <v>1179</v>
      </c>
      <c r="Z15" s="156" t="s">
        <v>1174</v>
      </c>
      <c r="AA15" s="156" t="s">
        <v>1174</v>
      </c>
      <c r="AB15" s="156" t="s">
        <v>1174</v>
      </c>
      <c r="AC15" s="156" t="s">
        <v>1176</v>
      </c>
      <c r="AD15" s="156" t="s">
        <v>1176</v>
      </c>
      <c r="AF15" s="177" t="s">
        <v>1176</v>
      </c>
      <c r="AG15" s="161">
        <f t="shared" si="6"/>
        <v>0</v>
      </c>
      <c r="AH15" s="177" t="s">
        <v>1176</v>
      </c>
      <c r="AI15" s="161">
        <f t="shared" si="7"/>
        <v>0</v>
      </c>
      <c r="AJ15" s="177" t="s">
        <v>1176</v>
      </c>
      <c r="AK15" s="177" t="s">
        <v>671</v>
      </c>
      <c r="AL15" s="161">
        <f t="shared" si="8"/>
        <v>0</v>
      </c>
      <c r="AM15" s="162">
        <f t="shared" si="9"/>
        <v>0.25</v>
      </c>
      <c r="AN15" s="162">
        <f t="shared" si="10"/>
        <v>0.2</v>
      </c>
      <c r="AO15" s="156" t="s">
        <v>1174</v>
      </c>
      <c r="AP15" s="156" t="s">
        <v>1174</v>
      </c>
      <c r="AQ15" s="156" t="s">
        <v>1174</v>
      </c>
      <c r="AR15" s="156" t="s">
        <v>1174</v>
      </c>
      <c r="AS15" s="163">
        <v>41113</v>
      </c>
      <c r="AT15" s="163">
        <v>41156</v>
      </c>
      <c r="AU15" s="164">
        <f t="shared" si="11"/>
        <v>43</v>
      </c>
      <c r="AV15" s="165">
        <f t="shared" si="12"/>
        <v>6.1428571428571432</v>
      </c>
      <c r="AW15" s="164">
        <v>1</v>
      </c>
      <c r="AX15" s="166">
        <f t="shared" si="13"/>
        <v>2.3255813953488372E-2</v>
      </c>
      <c r="AY15" s="166">
        <f t="shared" si="14"/>
        <v>0.16279069767441859</v>
      </c>
      <c r="AZ15" s="167">
        <f t="shared" si="0"/>
        <v>0</v>
      </c>
      <c r="BA15" s="156" t="s">
        <v>1176</v>
      </c>
      <c r="BB15" s="156" t="s">
        <v>1174</v>
      </c>
      <c r="BC15" s="156" t="s">
        <v>1174</v>
      </c>
      <c r="BD15" s="156" t="s">
        <v>1176</v>
      </c>
      <c r="BE15" s="177" t="s">
        <v>1222</v>
      </c>
      <c r="BF15" s="161">
        <f t="shared" si="15"/>
        <v>0.25</v>
      </c>
      <c r="BG15" s="156" t="s">
        <v>1174</v>
      </c>
      <c r="BH15" s="156" t="s">
        <v>1174</v>
      </c>
      <c r="BI15" s="156" t="s">
        <v>1223</v>
      </c>
      <c r="BJ15" s="169">
        <f t="shared" si="1"/>
        <v>0.25</v>
      </c>
      <c r="BL15" s="156" t="s">
        <v>1174</v>
      </c>
      <c r="BM15" s="156" t="s">
        <v>1176</v>
      </c>
      <c r="BN15" s="161">
        <v>0.25</v>
      </c>
      <c r="BO15" s="170" t="s">
        <v>1176</v>
      </c>
      <c r="BP15" s="171">
        <f t="shared" si="16"/>
        <v>0</v>
      </c>
      <c r="BQ15" s="170" t="s">
        <v>1176</v>
      </c>
      <c r="BR15" s="171">
        <f t="shared" si="17"/>
        <v>0</v>
      </c>
      <c r="BS15" s="172">
        <f t="shared" si="18"/>
        <v>0.25</v>
      </c>
      <c r="BT15" s="173">
        <f t="shared" si="2"/>
        <v>0.7</v>
      </c>
      <c r="BU15" s="174">
        <f t="shared" si="19"/>
        <v>0.93333333333333324</v>
      </c>
    </row>
    <row r="16" spans="1:73" ht="70">
      <c r="A16" s="156" t="s">
        <v>1171</v>
      </c>
      <c r="B16" s="156" t="s">
        <v>111</v>
      </c>
      <c r="C16" s="157">
        <v>15</v>
      </c>
      <c r="D16" s="156" t="s">
        <v>413</v>
      </c>
      <c r="E16" s="158" t="s">
        <v>1224</v>
      </c>
      <c r="F16" s="158" t="s">
        <v>1173</v>
      </c>
      <c r="G16" s="156" t="s">
        <v>1174</v>
      </c>
      <c r="H16" s="159">
        <v>41106</v>
      </c>
      <c r="I16" s="156" t="s">
        <v>1190</v>
      </c>
      <c r="J16" s="156" t="s">
        <v>1176</v>
      </c>
      <c r="K16" s="160" t="s">
        <v>1176</v>
      </c>
      <c r="L16" s="161">
        <f t="shared" si="3"/>
        <v>0</v>
      </c>
      <c r="M16" s="160" t="s">
        <v>1174</v>
      </c>
      <c r="N16" s="161">
        <f t="shared" si="4"/>
        <v>0.25</v>
      </c>
      <c r="O16" s="162">
        <f t="shared" si="5"/>
        <v>0.25</v>
      </c>
      <c r="P16" s="156" t="s">
        <v>1176</v>
      </c>
      <c r="Q16" s="156" t="s">
        <v>1176</v>
      </c>
      <c r="R16" s="156" t="s">
        <v>1176</v>
      </c>
      <c r="S16" s="156" t="s">
        <v>671</v>
      </c>
      <c r="T16" s="156" t="s">
        <v>1176</v>
      </c>
      <c r="U16" s="156" t="s">
        <v>1176</v>
      </c>
      <c r="V16" s="156" t="s">
        <v>1176</v>
      </c>
      <c r="W16" s="156" t="s">
        <v>1176</v>
      </c>
      <c r="X16" s="158" t="s">
        <v>1225</v>
      </c>
      <c r="Y16" s="158" t="s">
        <v>1179</v>
      </c>
      <c r="Z16" s="156" t="s">
        <v>1174</v>
      </c>
      <c r="AA16" s="156" t="s">
        <v>1174</v>
      </c>
      <c r="AB16" s="156" t="s">
        <v>1174</v>
      </c>
      <c r="AC16" s="156" t="s">
        <v>1176</v>
      </c>
      <c r="AD16" s="156" t="s">
        <v>1176</v>
      </c>
      <c r="AE16" s="158" t="s">
        <v>1226</v>
      </c>
      <c r="AF16" s="160" t="s">
        <v>1176</v>
      </c>
      <c r="AG16" s="161">
        <f t="shared" si="6"/>
        <v>0</v>
      </c>
      <c r="AH16" s="160" t="s">
        <v>1176</v>
      </c>
      <c r="AI16" s="161">
        <f t="shared" si="7"/>
        <v>0</v>
      </c>
      <c r="AJ16" s="160" t="s">
        <v>1176</v>
      </c>
      <c r="AK16" s="160" t="s">
        <v>671</v>
      </c>
      <c r="AL16" s="161">
        <f t="shared" si="8"/>
        <v>0</v>
      </c>
      <c r="AM16" s="162">
        <f t="shared" si="9"/>
        <v>0.25</v>
      </c>
      <c r="AN16" s="162">
        <f t="shared" si="10"/>
        <v>0.2</v>
      </c>
      <c r="AS16" s="163">
        <v>41106</v>
      </c>
      <c r="AT16" s="163">
        <v>41156</v>
      </c>
      <c r="AU16" s="164">
        <f t="shared" si="11"/>
        <v>50</v>
      </c>
      <c r="AV16" s="165">
        <f t="shared" si="12"/>
        <v>7.1428571428571432</v>
      </c>
      <c r="AW16" s="164">
        <v>2</v>
      </c>
      <c r="AX16" s="166">
        <f t="shared" si="13"/>
        <v>0.04</v>
      </c>
      <c r="AY16" s="166">
        <f t="shared" si="14"/>
        <v>0.27999999999999997</v>
      </c>
      <c r="AZ16" s="167">
        <f t="shared" si="0"/>
        <v>0.25</v>
      </c>
      <c r="BE16" s="160" t="s">
        <v>1180</v>
      </c>
      <c r="BF16" s="161">
        <f t="shared" si="15"/>
        <v>0.5</v>
      </c>
      <c r="BJ16" s="169">
        <f t="shared" si="1"/>
        <v>0.75</v>
      </c>
      <c r="BN16" s="176"/>
      <c r="BO16" s="170" t="s">
        <v>1176</v>
      </c>
      <c r="BP16" s="171">
        <f t="shared" si="16"/>
        <v>0</v>
      </c>
      <c r="BQ16" s="170" t="s">
        <v>1176</v>
      </c>
      <c r="BR16" s="171">
        <f t="shared" si="17"/>
        <v>0</v>
      </c>
      <c r="BS16" s="172">
        <f t="shared" si="18"/>
        <v>0</v>
      </c>
      <c r="BT16" s="173">
        <f t="shared" si="2"/>
        <v>0.95</v>
      </c>
      <c r="BU16" s="174">
        <f t="shared" si="19"/>
        <v>1.2666666666666666</v>
      </c>
    </row>
    <row r="17" spans="1:73" ht="70">
      <c r="A17" s="156" t="s">
        <v>1171</v>
      </c>
      <c r="B17" s="156" t="s">
        <v>114</v>
      </c>
      <c r="C17" s="157">
        <v>16</v>
      </c>
      <c r="D17" s="156" t="s">
        <v>413</v>
      </c>
      <c r="E17" s="158" t="s">
        <v>1227</v>
      </c>
      <c r="F17" s="158" t="s">
        <v>1173</v>
      </c>
      <c r="G17" s="156" t="s">
        <v>1174</v>
      </c>
      <c r="H17" s="159">
        <v>41107</v>
      </c>
      <c r="I17" s="156" t="s">
        <v>1185</v>
      </c>
      <c r="J17" s="156" t="s">
        <v>1174</v>
      </c>
      <c r="K17" s="160" t="s">
        <v>1176</v>
      </c>
      <c r="L17" s="161">
        <f t="shared" si="3"/>
        <v>0</v>
      </c>
      <c r="M17" s="160" t="s">
        <v>1176</v>
      </c>
      <c r="N17" s="161">
        <f t="shared" si="4"/>
        <v>0</v>
      </c>
      <c r="O17" s="162">
        <f t="shared" si="5"/>
        <v>0</v>
      </c>
      <c r="P17" s="156" t="s">
        <v>1176</v>
      </c>
      <c r="Q17" s="156" t="s">
        <v>1176</v>
      </c>
      <c r="R17" s="156" t="s">
        <v>1176</v>
      </c>
      <c r="S17" s="156" t="s">
        <v>671</v>
      </c>
      <c r="T17" s="156" t="s">
        <v>1176</v>
      </c>
      <c r="U17" s="156" t="s">
        <v>1176</v>
      </c>
      <c r="V17" s="156" t="s">
        <v>1176</v>
      </c>
      <c r="W17" s="156" t="s">
        <v>1176</v>
      </c>
      <c r="X17" s="158" t="s">
        <v>1228</v>
      </c>
      <c r="Y17" s="158" t="s">
        <v>1179</v>
      </c>
      <c r="Z17" s="156" t="s">
        <v>1174</v>
      </c>
      <c r="AA17" s="156" t="s">
        <v>1174</v>
      </c>
      <c r="AB17" s="156" t="s">
        <v>1176</v>
      </c>
      <c r="AC17" s="156" t="s">
        <v>1176</v>
      </c>
      <c r="AD17" s="156" t="s">
        <v>1176</v>
      </c>
      <c r="AE17" s="158" t="s">
        <v>1229</v>
      </c>
      <c r="AF17" s="160" t="s">
        <v>1176</v>
      </c>
      <c r="AG17" s="161">
        <f t="shared" si="6"/>
        <v>0</v>
      </c>
      <c r="AH17" s="160" t="s">
        <v>1176</v>
      </c>
      <c r="AI17" s="161">
        <f t="shared" si="7"/>
        <v>0</v>
      </c>
      <c r="AJ17" s="160" t="s">
        <v>1176</v>
      </c>
      <c r="AK17" s="160" t="s">
        <v>671</v>
      </c>
      <c r="AL17" s="161">
        <f t="shared" si="8"/>
        <v>0</v>
      </c>
      <c r="AM17" s="162">
        <f t="shared" si="9"/>
        <v>0</v>
      </c>
      <c r="AN17" s="162">
        <f t="shared" si="10"/>
        <v>0</v>
      </c>
      <c r="AS17" s="163">
        <v>41107</v>
      </c>
      <c r="AT17" s="163">
        <v>41156</v>
      </c>
      <c r="AU17" s="164">
        <f t="shared" si="11"/>
        <v>49</v>
      </c>
      <c r="AV17" s="165">
        <f t="shared" si="12"/>
        <v>7</v>
      </c>
      <c r="AW17" s="164">
        <v>21</v>
      </c>
      <c r="AX17" s="166">
        <f t="shared" si="13"/>
        <v>0.42857142857142855</v>
      </c>
      <c r="AY17" s="166">
        <f t="shared" si="14"/>
        <v>3</v>
      </c>
      <c r="AZ17" s="167">
        <f t="shared" si="0"/>
        <v>0.25</v>
      </c>
      <c r="BE17" s="160" t="s">
        <v>1180</v>
      </c>
      <c r="BF17" s="161">
        <f t="shared" si="15"/>
        <v>0.5</v>
      </c>
      <c r="BJ17" s="169">
        <f t="shared" si="1"/>
        <v>0.75</v>
      </c>
      <c r="BN17" s="176"/>
      <c r="BO17" s="170" t="s">
        <v>1176</v>
      </c>
      <c r="BP17" s="171">
        <f t="shared" si="16"/>
        <v>0</v>
      </c>
      <c r="BQ17" s="170" t="s">
        <v>1176</v>
      </c>
      <c r="BR17" s="171">
        <f t="shared" si="17"/>
        <v>0</v>
      </c>
      <c r="BS17" s="172">
        <f t="shared" si="18"/>
        <v>0</v>
      </c>
      <c r="BT17" s="173">
        <f t="shared" si="2"/>
        <v>0.75</v>
      </c>
      <c r="BU17" s="174">
        <f t="shared" si="19"/>
        <v>1</v>
      </c>
    </row>
    <row r="18" spans="1:73" ht="98">
      <c r="A18" s="156" t="s">
        <v>1171</v>
      </c>
      <c r="B18" s="156" t="s">
        <v>117</v>
      </c>
      <c r="C18" s="157">
        <v>17</v>
      </c>
      <c r="D18" s="156" t="s">
        <v>413</v>
      </c>
      <c r="E18" s="158" t="s">
        <v>1230</v>
      </c>
      <c r="F18" s="158" t="s">
        <v>1173</v>
      </c>
      <c r="G18" s="156" t="s">
        <v>1174</v>
      </c>
      <c r="H18" s="159">
        <v>41107</v>
      </c>
      <c r="I18" s="156" t="s">
        <v>1175</v>
      </c>
      <c r="J18" s="156" t="s">
        <v>1174</v>
      </c>
      <c r="K18" s="160" t="s">
        <v>1174</v>
      </c>
      <c r="L18" s="161">
        <f t="shared" si="3"/>
        <v>0.25</v>
      </c>
      <c r="M18" s="160" t="s">
        <v>1174</v>
      </c>
      <c r="N18" s="161">
        <f t="shared" si="4"/>
        <v>0.25</v>
      </c>
      <c r="O18" s="162">
        <f t="shared" si="5"/>
        <v>0.5</v>
      </c>
      <c r="P18" s="156" t="s">
        <v>1174</v>
      </c>
      <c r="Q18" s="156" t="s">
        <v>1176</v>
      </c>
      <c r="R18" s="156" t="s">
        <v>1174</v>
      </c>
      <c r="S18" s="156" t="s">
        <v>1231</v>
      </c>
      <c r="T18" s="156" t="s">
        <v>1176</v>
      </c>
      <c r="U18" s="156" t="s">
        <v>1176</v>
      </c>
      <c r="V18" s="156" t="s">
        <v>1176</v>
      </c>
      <c r="W18" s="156" t="s">
        <v>1176</v>
      </c>
      <c r="X18" s="158" t="s">
        <v>1232</v>
      </c>
      <c r="Y18" s="158" t="s">
        <v>1179</v>
      </c>
      <c r="Z18" s="156" t="s">
        <v>1174</v>
      </c>
      <c r="AA18" s="156" t="s">
        <v>1174</v>
      </c>
      <c r="AB18" s="156" t="s">
        <v>1174</v>
      </c>
      <c r="AC18" s="156" t="s">
        <v>1176</v>
      </c>
      <c r="AD18" s="156" t="s">
        <v>1176</v>
      </c>
      <c r="AE18" s="158" t="s">
        <v>1233</v>
      </c>
      <c r="AF18" s="160" t="s">
        <v>1176</v>
      </c>
      <c r="AG18" s="161">
        <f t="shared" si="6"/>
        <v>0</v>
      </c>
      <c r="AH18" s="160" t="s">
        <v>1174</v>
      </c>
      <c r="AI18" s="161">
        <f t="shared" si="7"/>
        <v>0.25</v>
      </c>
      <c r="AJ18" s="160" t="s">
        <v>1174</v>
      </c>
      <c r="AK18" s="160" t="s">
        <v>1234</v>
      </c>
      <c r="AL18" s="161">
        <f t="shared" si="8"/>
        <v>0.25</v>
      </c>
      <c r="AM18" s="162">
        <f t="shared" si="9"/>
        <v>1</v>
      </c>
      <c r="AN18" s="162">
        <f t="shared" si="10"/>
        <v>0.8</v>
      </c>
      <c r="AS18" s="163">
        <v>41107</v>
      </c>
      <c r="AT18" s="163">
        <v>41156</v>
      </c>
      <c r="AU18" s="164">
        <f t="shared" si="11"/>
        <v>49</v>
      </c>
      <c r="AV18" s="165">
        <f t="shared" si="12"/>
        <v>7</v>
      </c>
      <c r="AW18" s="164">
        <v>16</v>
      </c>
      <c r="AX18" s="166">
        <f t="shared" si="13"/>
        <v>0.32653061224489793</v>
      </c>
      <c r="AY18" s="166">
        <f t="shared" si="14"/>
        <v>2.2857142857142856</v>
      </c>
      <c r="AZ18" s="167">
        <f t="shared" si="0"/>
        <v>0.5</v>
      </c>
      <c r="BE18" s="160" t="s">
        <v>1180</v>
      </c>
      <c r="BF18" s="161">
        <f t="shared" si="15"/>
        <v>0.5</v>
      </c>
      <c r="BJ18" s="169">
        <f t="shared" si="1"/>
        <v>1</v>
      </c>
      <c r="BN18" s="176"/>
      <c r="BO18" s="170" t="s">
        <v>1176</v>
      </c>
      <c r="BP18" s="171">
        <f t="shared" si="16"/>
        <v>0</v>
      </c>
      <c r="BQ18" s="170" t="s">
        <v>1176</v>
      </c>
      <c r="BR18" s="171">
        <f t="shared" si="17"/>
        <v>0</v>
      </c>
      <c r="BS18" s="172">
        <f t="shared" si="18"/>
        <v>0</v>
      </c>
      <c r="BT18" s="173">
        <f t="shared" si="2"/>
        <v>1.8</v>
      </c>
      <c r="BU18" s="174">
        <f t="shared" si="19"/>
        <v>2.4</v>
      </c>
    </row>
    <row r="19" spans="1:73" ht="84">
      <c r="A19" s="156" t="s">
        <v>1171</v>
      </c>
      <c r="B19" s="156" t="s">
        <v>120</v>
      </c>
      <c r="C19" s="157">
        <v>18</v>
      </c>
      <c r="D19" s="156" t="s">
        <v>413</v>
      </c>
      <c r="E19" s="158" t="s">
        <v>1235</v>
      </c>
      <c r="G19" s="156" t="s">
        <v>1176</v>
      </c>
      <c r="J19" s="156" t="s">
        <v>1176</v>
      </c>
      <c r="K19" s="160" t="s">
        <v>1176</v>
      </c>
      <c r="L19" s="161">
        <f t="shared" si="3"/>
        <v>0</v>
      </c>
      <c r="M19" s="160" t="s">
        <v>1176</v>
      </c>
      <c r="N19" s="161">
        <f t="shared" si="4"/>
        <v>0</v>
      </c>
      <c r="O19" s="162">
        <f t="shared" si="5"/>
        <v>0</v>
      </c>
      <c r="X19" s="158" t="s">
        <v>1236</v>
      </c>
      <c r="Y19" s="158" t="s">
        <v>1179</v>
      </c>
      <c r="Z19" s="156" t="s">
        <v>1174</v>
      </c>
      <c r="AA19" s="156" t="s">
        <v>1174</v>
      </c>
      <c r="AB19" s="156" t="s">
        <v>1174</v>
      </c>
      <c r="AC19" s="156" t="s">
        <v>1176</v>
      </c>
      <c r="AD19" s="156" t="s">
        <v>1176</v>
      </c>
      <c r="AE19" s="158" t="s">
        <v>1237</v>
      </c>
      <c r="AF19" s="160" t="s">
        <v>1176</v>
      </c>
      <c r="AG19" s="161">
        <f t="shared" si="6"/>
        <v>0</v>
      </c>
      <c r="AH19" s="160" t="s">
        <v>1176</v>
      </c>
      <c r="AI19" s="161">
        <f t="shared" si="7"/>
        <v>0</v>
      </c>
      <c r="AJ19" s="160" t="s">
        <v>1176</v>
      </c>
      <c r="AK19" s="160" t="s">
        <v>671</v>
      </c>
      <c r="AL19" s="161">
        <f t="shared" si="8"/>
        <v>0</v>
      </c>
      <c r="AM19" s="162">
        <f t="shared" si="9"/>
        <v>0</v>
      </c>
      <c r="AN19" s="162">
        <f t="shared" si="10"/>
        <v>0</v>
      </c>
      <c r="AS19" s="163">
        <v>41108</v>
      </c>
      <c r="AT19" s="163">
        <v>41156</v>
      </c>
      <c r="AU19" s="164">
        <f t="shared" si="11"/>
        <v>48</v>
      </c>
      <c r="AV19" s="165">
        <f t="shared" si="12"/>
        <v>6.8571428571428568</v>
      </c>
      <c r="AW19" s="164">
        <v>4</v>
      </c>
      <c r="AX19" s="166">
        <f t="shared" si="13"/>
        <v>8.3333333333333329E-2</v>
      </c>
      <c r="AY19" s="166">
        <f t="shared" si="14"/>
        <v>0.58333333333333337</v>
      </c>
      <c r="AZ19" s="167">
        <f t="shared" si="0"/>
        <v>0.75</v>
      </c>
      <c r="BE19" s="160" t="s">
        <v>1180</v>
      </c>
      <c r="BF19" s="161">
        <f t="shared" si="15"/>
        <v>0.5</v>
      </c>
      <c r="BJ19" s="169">
        <f t="shared" si="1"/>
        <v>1.25</v>
      </c>
      <c r="BN19" s="176"/>
      <c r="BO19" s="170" t="s">
        <v>1176</v>
      </c>
      <c r="BP19" s="171">
        <f t="shared" si="16"/>
        <v>0</v>
      </c>
      <c r="BQ19" s="170" t="s">
        <v>1176</v>
      </c>
      <c r="BR19" s="171">
        <f t="shared" si="17"/>
        <v>0</v>
      </c>
      <c r="BS19" s="172">
        <f t="shared" si="18"/>
        <v>0</v>
      </c>
      <c r="BT19" s="173">
        <f t="shared" si="2"/>
        <v>1.25</v>
      </c>
      <c r="BU19" s="174">
        <f t="shared" si="19"/>
        <v>1.6666666666666665</v>
      </c>
    </row>
    <row r="20" spans="1:73" ht="28">
      <c r="A20" s="156" t="s">
        <v>1171</v>
      </c>
      <c r="B20" s="156" t="s">
        <v>123</v>
      </c>
      <c r="C20" s="157">
        <v>19</v>
      </c>
      <c r="D20" s="156" t="s">
        <v>413</v>
      </c>
      <c r="E20" s="158" t="s">
        <v>124</v>
      </c>
      <c r="F20" s="158" t="s">
        <v>1173</v>
      </c>
      <c r="G20" s="156" t="s">
        <v>1174</v>
      </c>
      <c r="H20" s="159">
        <v>41107</v>
      </c>
      <c r="I20" s="156" t="s">
        <v>1190</v>
      </c>
      <c r="J20" s="156" t="s">
        <v>1174</v>
      </c>
      <c r="K20" s="160" t="s">
        <v>1174</v>
      </c>
      <c r="L20" s="161">
        <f t="shared" si="3"/>
        <v>0.25</v>
      </c>
      <c r="M20" s="160" t="s">
        <v>1174</v>
      </c>
      <c r="N20" s="161">
        <f t="shared" si="4"/>
        <v>0.25</v>
      </c>
      <c r="O20" s="162">
        <f t="shared" si="5"/>
        <v>0.5</v>
      </c>
      <c r="P20" s="156" t="s">
        <v>1176</v>
      </c>
      <c r="Q20" s="156" t="s">
        <v>1176</v>
      </c>
      <c r="R20" s="156" t="s">
        <v>1176</v>
      </c>
      <c r="S20" s="156" t="s">
        <v>671</v>
      </c>
      <c r="T20" s="156" t="s">
        <v>1176</v>
      </c>
      <c r="U20" s="156" t="s">
        <v>1176</v>
      </c>
      <c r="V20" s="156" t="s">
        <v>1176</v>
      </c>
      <c r="W20" s="156" t="s">
        <v>1176</v>
      </c>
      <c r="X20" s="158" t="s">
        <v>1238</v>
      </c>
      <c r="Y20" s="158" t="s">
        <v>1179</v>
      </c>
      <c r="Z20" s="156" t="s">
        <v>1174</v>
      </c>
      <c r="AA20" s="156" t="s">
        <v>1174</v>
      </c>
      <c r="AB20" s="156" t="s">
        <v>1176</v>
      </c>
      <c r="AC20" s="156" t="s">
        <v>1176</v>
      </c>
      <c r="AD20" s="156" t="s">
        <v>1176</v>
      </c>
      <c r="AE20" s="158" t="s">
        <v>1178</v>
      </c>
      <c r="AF20" s="160" t="s">
        <v>1176</v>
      </c>
      <c r="AG20" s="161">
        <f t="shared" si="6"/>
        <v>0</v>
      </c>
      <c r="AH20" s="160" t="s">
        <v>1176</v>
      </c>
      <c r="AI20" s="161">
        <f t="shared" si="7"/>
        <v>0</v>
      </c>
      <c r="AJ20" s="160" t="s">
        <v>1174</v>
      </c>
      <c r="AK20" s="160" t="s">
        <v>1239</v>
      </c>
      <c r="AL20" s="161">
        <f t="shared" si="8"/>
        <v>0.25</v>
      </c>
      <c r="AM20" s="162">
        <f t="shared" si="9"/>
        <v>0.75</v>
      </c>
      <c r="AN20" s="162">
        <f t="shared" si="10"/>
        <v>0.6</v>
      </c>
      <c r="AS20" s="163">
        <v>41107</v>
      </c>
      <c r="AT20" s="163">
        <v>41156</v>
      </c>
      <c r="AU20" s="164">
        <f t="shared" si="11"/>
        <v>49</v>
      </c>
      <c r="AV20" s="165">
        <f t="shared" si="12"/>
        <v>7</v>
      </c>
      <c r="AW20" s="164">
        <v>25</v>
      </c>
      <c r="AX20" s="166">
        <f t="shared" si="13"/>
        <v>0.51020408163265307</v>
      </c>
      <c r="AY20" s="166">
        <f t="shared" si="14"/>
        <v>3.5714285714285716</v>
      </c>
      <c r="AZ20" s="167">
        <v>0.25</v>
      </c>
      <c r="BE20" s="160" t="s">
        <v>1180</v>
      </c>
      <c r="BF20" s="161">
        <f t="shared" si="15"/>
        <v>0.5</v>
      </c>
      <c r="BJ20" s="169">
        <f t="shared" si="1"/>
        <v>0.75</v>
      </c>
      <c r="BN20" s="176"/>
      <c r="BO20" s="170" t="s">
        <v>1176</v>
      </c>
      <c r="BP20" s="171">
        <f t="shared" si="16"/>
        <v>0</v>
      </c>
      <c r="BQ20" s="170" t="s">
        <v>1176</v>
      </c>
      <c r="BR20" s="171">
        <f t="shared" si="17"/>
        <v>0</v>
      </c>
      <c r="BS20" s="172">
        <f t="shared" si="18"/>
        <v>0</v>
      </c>
      <c r="BT20" s="173">
        <f t="shared" si="2"/>
        <v>1.35</v>
      </c>
      <c r="BU20" s="174">
        <f t="shared" si="19"/>
        <v>1.8</v>
      </c>
    </row>
    <row r="21" spans="1:73" ht="70">
      <c r="A21" s="156" t="s">
        <v>1171</v>
      </c>
      <c r="B21" s="156" t="s">
        <v>125</v>
      </c>
      <c r="C21" s="157">
        <v>20</v>
      </c>
      <c r="D21" s="156" t="s">
        <v>74</v>
      </c>
      <c r="E21" s="158" t="s">
        <v>1240</v>
      </c>
      <c r="F21" s="158" t="s">
        <v>1173</v>
      </c>
      <c r="G21" s="156" t="s">
        <v>1174</v>
      </c>
      <c r="H21" s="159">
        <v>41107</v>
      </c>
      <c r="I21" s="156" t="s">
        <v>1190</v>
      </c>
      <c r="J21" s="156" t="s">
        <v>1176</v>
      </c>
      <c r="K21" s="160" t="s">
        <v>1174</v>
      </c>
      <c r="L21" s="161">
        <f t="shared" si="3"/>
        <v>0.25</v>
      </c>
      <c r="M21" s="160" t="s">
        <v>1174</v>
      </c>
      <c r="N21" s="161">
        <f t="shared" si="4"/>
        <v>0.25</v>
      </c>
      <c r="O21" s="162">
        <f t="shared" si="5"/>
        <v>0.5</v>
      </c>
      <c r="P21" s="156" t="s">
        <v>1176</v>
      </c>
      <c r="Q21" s="156" t="s">
        <v>1176</v>
      </c>
      <c r="R21" s="156" t="s">
        <v>1176</v>
      </c>
      <c r="S21" s="156" t="s">
        <v>671</v>
      </c>
      <c r="T21" s="156" t="s">
        <v>1176</v>
      </c>
      <c r="U21" s="156" t="s">
        <v>1176</v>
      </c>
      <c r="V21" s="156" t="s">
        <v>1176</v>
      </c>
      <c r="W21" s="156" t="s">
        <v>1176</v>
      </c>
      <c r="X21" s="158" t="s">
        <v>1241</v>
      </c>
      <c r="Y21" s="158" t="s">
        <v>1179</v>
      </c>
      <c r="Z21" s="156" t="s">
        <v>1174</v>
      </c>
      <c r="AA21" s="156" t="s">
        <v>1176</v>
      </c>
      <c r="AB21" s="156" t="s">
        <v>1176</v>
      </c>
      <c r="AC21" s="156" t="s">
        <v>1176</v>
      </c>
      <c r="AD21" s="156" t="s">
        <v>1176</v>
      </c>
      <c r="AE21" s="158" t="s">
        <v>1242</v>
      </c>
      <c r="AF21" s="160" t="s">
        <v>1176</v>
      </c>
      <c r="AG21" s="161">
        <f t="shared" si="6"/>
        <v>0</v>
      </c>
      <c r="AH21" s="160" t="s">
        <v>1176</v>
      </c>
      <c r="AI21" s="161">
        <f t="shared" si="7"/>
        <v>0</v>
      </c>
      <c r="AJ21" s="160" t="s">
        <v>1176</v>
      </c>
      <c r="AK21" s="160" t="s">
        <v>671</v>
      </c>
      <c r="AL21" s="161">
        <f t="shared" si="8"/>
        <v>0</v>
      </c>
      <c r="AM21" s="162">
        <f t="shared" si="9"/>
        <v>0.5</v>
      </c>
      <c r="AN21" s="162">
        <f t="shared" si="10"/>
        <v>0.4</v>
      </c>
      <c r="AO21" s="156" t="s">
        <v>1174</v>
      </c>
      <c r="AP21" s="156" t="s">
        <v>1174</v>
      </c>
      <c r="AQ21" s="156" t="s">
        <v>1174</v>
      </c>
      <c r="AR21" s="156" t="s">
        <v>1174</v>
      </c>
      <c r="AS21" s="163">
        <v>41107</v>
      </c>
      <c r="AT21" s="163">
        <v>41156</v>
      </c>
      <c r="AU21" s="164">
        <f t="shared" si="11"/>
        <v>49</v>
      </c>
      <c r="AV21" s="165">
        <f t="shared" si="12"/>
        <v>7</v>
      </c>
      <c r="AW21" s="164">
        <v>7</v>
      </c>
      <c r="AX21" s="166">
        <f t="shared" si="13"/>
        <v>0.14285714285714285</v>
      </c>
      <c r="AY21" s="166">
        <f t="shared" si="14"/>
        <v>1</v>
      </c>
      <c r="AZ21" s="167">
        <f t="shared" si="0"/>
        <v>1</v>
      </c>
      <c r="BA21" s="156" t="s">
        <v>1174</v>
      </c>
      <c r="BB21" s="156" t="s">
        <v>1176</v>
      </c>
      <c r="BC21" s="156" t="s">
        <v>1176</v>
      </c>
      <c r="BD21" s="156" t="s">
        <v>1174</v>
      </c>
      <c r="BE21" s="160" t="s">
        <v>1180</v>
      </c>
      <c r="BF21" s="161">
        <f t="shared" si="15"/>
        <v>0.5</v>
      </c>
      <c r="BG21" s="156" t="s">
        <v>1174</v>
      </c>
      <c r="BH21" s="156" t="s">
        <v>1174</v>
      </c>
      <c r="BI21" s="156" t="s">
        <v>1243</v>
      </c>
      <c r="BJ21" s="169">
        <f t="shared" si="1"/>
        <v>1.5</v>
      </c>
      <c r="BK21" s="156" t="s">
        <v>684</v>
      </c>
      <c r="BL21" s="156" t="s">
        <v>1174</v>
      </c>
      <c r="BM21" s="156" t="s">
        <v>1176</v>
      </c>
      <c r="BN21" s="161">
        <v>0</v>
      </c>
      <c r="BO21" s="170" t="s">
        <v>1176</v>
      </c>
      <c r="BP21" s="171">
        <f t="shared" si="16"/>
        <v>0</v>
      </c>
      <c r="BQ21" s="170" t="s">
        <v>1176</v>
      </c>
      <c r="BR21" s="171">
        <f t="shared" si="17"/>
        <v>0</v>
      </c>
      <c r="BS21" s="172">
        <f t="shared" si="18"/>
        <v>0</v>
      </c>
      <c r="BT21" s="173">
        <f t="shared" si="2"/>
        <v>1.9</v>
      </c>
      <c r="BU21" s="174">
        <f t="shared" si="19"/>
        <v>2.5333333333333332</v>
      </c>
    </row>
    <row r="22" spans="1:73" ht="84">
      <c r="A22" s="156" t="s">
        <v>1171</v>
      </c>
      <c r="B22" s="156" t="s">
        <v>127</v>
      </c>
      <c r="C22" s="157">
        <v>21</v>
      </c>
      <c r="D22" s="156" t="s">
        <v>74</v>
      </c>
      <c r="E22" s="158" t="s">
        <v>1244</v>
      </c>
      <c r="F22" s="158" t="s">
        <v>1173</v>
      </c>
      <c r="G22" s="156" t="s">
        <v>1174</v>
      </c>
      <c r="H22" s="159">
        <v>41107</v>
      </c>
      <c r="I22" s="156" t="s">
        <v>1190</v>
      </c>
      <c r="J22" s="156" t="s">
        <v>1174</v>
      </c>
      <c r="K22" s="160" t="s">
        <v>1176</v>
      </c>
      <c r="L22" s="161">
        <f t="shared" si="3"/>
        <v>0</v>
      </c>
      <c r="M22" s="160" t="s">
        <v>1174</v>
      </c>
      <c r="N22" s="161">
        <f t="shared" si="4"/>
        <v>0.25</v>
      </c>
      <c r="O22" s="162">
        <f t="shared" si="5"/>
        <v>0.25</v>
      </c>
      <c r="P22" s="156" t="s">
        <v>1174</v>
      </c>
      <c r="Q22" s="156" t="s">
        <v>1176</v>
      </c>
      <c r="R22" s="156" t="s">
        <v>1176</v>
      </c>
      <c r="S22" s="156" t="s">
        <v>671</v>
      </c>
      <c r="T22" s="156" t="s">
        <v>1176</v>
      </c>
      <c r="U22" s="156" t="s">
        <v>1176</v>
      </c>
      <c r="V22" s="156" t="s">
        <v>1176</v>
      </c>
      <c r="W22" s="156" t="s">
        <v>1176</v>
      </c>
      <c r="X22" s="158" t="s">
        <v>1245</v>
      </c>
      <c r="Y22" s="158" t="s">
        <v>1179</v>
      </c>
      <c r="Z22" s="156" t="s">
        <v>1174</v>
      </c>
      <c r="AA22" s="156" t="s">
        <v>1176</v>
      </c>
      <c r="AB22" s="156" t="s">
        <v>1176</v>
      </c>
      <c r="AC22" s="156" t="s">
        <v>1176</v>
      </c>
      <c r="AD22" s="156" t="s">
        <v>1176</v>
      </c>
      <c r="AE22" s="158" t="s">
        <v>1246</v>
      </c>
      <c r="AF22" s="160" t="s">
        <v>1176</v>
      </c>
      <c r="AG22" s="161">
        <f t="shared" si="6"/>
        <v>0</v>
      </c>
      <c r="AH22" s="160" t="s">
        <v>1176</v>
      </c>
      <c r="AI22" s="161">
        <f t="shared" si="7"/>
        <v>0</v>
      </c>
      <c r="AJ22" s="160" t="s">
        <v>1176</v>
      </c>
      <c r="AK22" s="160" t="s">
        <v>671</v>
      </c>
      <c r="AL22" s="161">
        <f t="shared" si="8"/>
        <v>0</v>
      </c>
      <c r="AM22" s="162">
        <f t="shared" si="9"/>
        <v>0.25</v>
      </c>
      <c r="AN22" s="162">
        <f t="shared" si="10"/>
        <v>0.2</v>
      </c>
      <c r="AO22" s="156" t="s">
        <v>1174</v>
      </c>
      <c r="AP22" s="156" t="s">
        <v>1174</v>
      </c>
      <c r="AQ22" s="156" t="s">
        <v>1174</v>
      </c>
      <c r="AR22" s="156" t="s">
        <v>1174</v>
      </c>
      <c r="AS22" s="163">
        <v>41107</v>
      </c>
      <c r="AT22" s="163">
        <v>41156</v>
      </c>
      <c r="AU22" s="164">
        <f t="shared" si="11"/>
        <v>49</v>
      </c>
      <c r="AV22" s="165">
        <f t="shared" si="12"/>
        <v>7</v>
      </c>
      <c r="AW22" s="164">
        <v>6</v>
      </c>
      <c r="AX22" s="166">
        <f t="shared" si="13"/>
        <v>0.12244897959183673</v>
      </c>
      <c r="AY22" s="166">
        <f t="shared" si="14"/>
        <v>0.8571428571428571</v>
      </c>
      <c r="AZ22" s="167">
        <f t="shared" si="0"/>
        <v>1</v>
      </c>
      <c r="BA22" s="156" t="s">
        <v>1176</v>
      </c>
      <c r="BB22" s="156" t="s">
        <v>1176</v>
      </c>
      <c r="BC22" s="156" t="s">
        <v>1176</v>
      </c>
      <c r="BD22" s="156" t="s">
        <v>1174</v>
      </c>
      <c r="BE22" s="160" t="s">
        <v>1180</v>
      </c>
      <c r="BF22" s="161">
        <f t="shared" si="15"/>
        <v>0.5</v>
      </c>
      <c r="BG22" s="156" t="s">
        <v>1174</v>
      </c>
      <c r="BH22" s="156" t="s">
        <v>1174</v>
      </c>
      <c r="BI22" s="156" t="s">
        <v>1247</v>
      </c>
      <c r="BJ22" s="169">
        <f t="shared" si="1"/>
        <v>1.5</v>
      </c>
      <c r="BL22" s="156" t="s">
        <v>1174</v>
      </c>
      <c r="BM22" s="156" t="s">
        <v>1176</v>
      </c>
      <c r="BN22" s="161">
        <v>0.25</v>
      </c>
      <c r="BO22" s="170" t="s">
        <v>1176</v>
      </c>
      <c r="BP22" s="171">
        <f t="shared" si="16"/>
        <v>0</v>
      </c>
      <c r="BQ22" s="170" t="s">
        <v>1176</v>
      </c>
      <c r="BR22" s="171">
        <f t="shared" si="17"/>
        <v>0</v>
      </c>
      <c r="BS22" s="172">
        <f t="shared" si="18"/>
        <v>0.25</v>
      </c>
      <c r="BT22" s="173">
        <f t="shared" si="2"/>
        <v>1.95</v>
      </c>
      <c r="BU22" s="174">
        <f t="shared" si="19"/>
        <v>2.5999999999999996</v>
      </c>
    </row>
    <row r="23" spans="1:73" ht="42">
      <c r="A23" s="156" t="s">
        <v>1171</v>
      </c>
      <c r="B23" s="156" t="s">
        <v>129</v>
      </c>
      <c r="C23" s="157">
        <v>22</v>
      </c>
      <c r="D23" s="156" t="s">
        <v>74</v>
      </c>
      <c r="E23" s="158" t="s">
        <v>1248</v>
      </c>
      <c r="F23" s="158" t="s">
        <v>1173</v>
      </c>
      <c r="G23" s="156" t="s">
        <v>1174</v>
      </c>
      <c r="H23" s="159">
        <v>41107</v>
      </c>
      <c r="I23" s="156" t="s">
        <v>1185</v>
      </c>
      <c r="J23" s="156" t="s">
        <v>1176</v>
      </c>
      <c r="K23" s="160" t="s">
        <v>1176</v>
      </c>
      <c r="L23" s="161">
        <f t="shared" si="3"/>
        <v>0</v>
      </c>
      <c r="M23" s="160" t="s">
        <v>1176</v>
      </c>
      <c r="N23" s="161">
        <f t="shared" si="4"/>
        <v>0</v>
      </c>
      <c r="O23" s="162">
        <f t="shared" si="5"/>
        <v>0</v>
      </c>
      <c r="P23" s="156" t="s">
        <v>1174</v>
      </c>
      <c r="Q23" s="156" t="s">
        <v>1176</v>
      </c>
      <c r="R23" s="156" t="s">
        <v>1176</v>
      </c>
      <c r="S23" s="156" t="s">
        <v>671</v>
      </c>
      <c r="T23" s="156" t="s">
        <v>1176</v>
      </c>
      <c r="U23" s="156" t="s">
        <v>1176</v>
      </c>
      <c r="V23" s="156" t="s">
        <v>1176</v>
      </c>
      <c r="W23" s="156" t="s">
        <v>1176</v>
      </c>
      <c r="Z23" s="156" t="s">
        <v>1176</v>
      </c>
      <c r="AE23" s="158" t="s">
        <v>1249</v>
      </c>
      <c r="AF23" s="160" t="s">
        <v>1176</v>
      </c>
      <c r="AG23" s="161">
        <f t="shared" si="6"/>
        <v>0</v>
      </c>
      <c r="AH23" s="160" t="s">
        <v>1176</v>
      </c>
      <c r="AI23" s="161">
        <f t="shared" si="7"/>
        <v>0</v>
      </c>
      <c r="AJ23" s="160" t="s">
        <v>1176</v>
      </c>
      <c r="AK23" s="160"/>
      <c r="AL23" s="161">
        <f t="shared" si="8"/>
        <v>0</v>
      </c>
      <c r="AM23" s="162">
        <f t="shared" si="9"/>
        <v>0</v>
      </c>
      <c r="AN23" s="162">
        <f t="shared" si="10"/>
        <v>0</v>
      </c>
      <c r="AO23" s="156" t="s">
        <v>1176</v>
      </c>
      <c r="AP23" s="156" t="s">
        <v>1176</v>
      </c>
      <c r="AQ23" s="156" t="s">
        <v>1176</v>
      </c>
      <c r="AR23" s="156" t="s">
        <v>1176</v>
      </c>
      <c r="AS23" s="163">
        <v>41107</v>
      </c>
      <c r="AT23" s="163">
        <v>41156</v>
      </c>
      <c r="AU23" s="164">
        <f t="shared" si="11"/>
        <v>49</v>
      </c>
      <c r="AV23" s="165">
        <f t="shared" si="12"/>
        <v>7</v>
      </c>
      <c r="AW23" s="164">
        <v>0</v>
      </c>
      <c r="AX23" s="166">
        <f t="shared" si="13"/>
        <v>0</v>
      </c>
      <c r="AY23" s="166">
        <f t="shared" si="14"/>
        <v>0</v>
      </c>
      <c r="AZ23" s="167">
        <f t="shared" si="0"/>
        <v>0</v>
      </c>
      <c r="BA23" s="156" t="s">
        <v>1176</v>
      </c>
      <c r="BB23" s="156" t="s">
        <v>1176</v>
      </c>
      <c r="BC23" s="156" t="s">
        <v>1176</v>
      </c>
      <c r="BD23" s="156" t="s">
        <v>1176</v>
      </c>
      <c r="BE23" s="160" t="s">
        <v>414</v>
      </c>
      <c r="BF23" s="161">
        <f t="shared" si="15"/>
        <v>0</v>
      </c>
      <c r="BG23" s="156" t="s">
        <v>1176</v>
      </c>
      <c r="BH23" s="156" t="s">
        <v>1176</v>
      </c>
      <c r="BI23" s="156" t="s">
        <v>684</v>
      </c>
      <c r="BJ23" s="169">
        <f t="shared" si="1"/>
        <v>0</v>
      </c>
      <c r="BK23" s="156" t="s">
        <v>684</v>
      </c>
      <c r="BL23" s="156" t="s">
        <v>1176</v>
      </c>
      <c r="BM23" s="156" t="s">
        <v>1176</v>
      </c>
      <c r="BN23" s="161">
        <v>0</v>
      </c>
      <c r="BO23" s="170" t="s">
        <v>1176</v>
      </c>
      <c r="BP23" s="171">
        <f t="shared" si="16"/>
        <v>0</v>
      </c>
      <c r="BQ23" s="170" t="s">
        <v>1176</v>
      </c>
      <c r="BR23" s="171">
        <f t="shared" si="17"/>
        <v>0</v>
      </c>
      <c r="BS23" s="172">
        <f t="shared" si="18"/>
        <v>0</v>
      </c>
      <c r="BT23" s="173">
        <f t="shared" si="2"/>
        <v>0</v>
      </c>
      <c r="BU23" s="174">
        <f t="shared" si="19"/>
        <v>0</v>
      </c>
    </row>
    <row r="24" spans="1:73" ht="42">
      <c r="A24" s="156" t="s">
        <v>1171</v>
      </c>
      <c r="B24" s="156" t="s">
        <v>134</v>
      </c>
      <c r="C24" s="157">
        <v>23</v>
      </c>
      <c r="D24" s="156" t="s">
        <v>74</v>
      </c>
      <c r="E24" s="158" t="s">
        <v>1250</v>
      </c>
      <c r="F24" s="158" t="s">
        <v>1173</v>
      </c>
      <c r="G24" s="156" t="s">
        <v>1174</v>
      </c>
      <c r="H24" s="159">
        <v>41107</v>
      </c>
      <c r="I24" s="156" t="s">
        <v>1175</v>
      </c>
      <c r="J24" s="156" t="s">
        <v>1174</v>
      </c>
      <c r="K24" s="160" t="s">
        <v>1174</v>
      </c>
      <c r="L24" s="161">
        <f t="shared" si="3"/>
        <v>0.25</v>
      </c>
      <c r="M24" s="160" t="s">
        <v>1174</v>
      </c>
      <c r="N24" s="161">
        <f t="shared" si="4"/>
        <v>0.25</v>
      </c>
      <c r="O24" s="162">
        <f t="shared" si="5"/>
        <v>0.5</v>
      </c>
      <c r="P24" s="156" t="s">
        <v>1174</v>
      </c>
      <c r="Q24" s="156" t="s">
        <v>1176</v>
      </c>
      <c r="R24" s="156" t="s">
        <v>1174</v>
      </c>
      <c r="S24" s="156" t="s">
        <v>1251</v>
      </c>
      <c r="T24" s="156" t="s">
        <v>1176</v>
      </c>
      <c r="U24" s="156" t="s">
        <v>1176</v>
      </c>
      <c r="V24" s="156" t="s">
        <v>1176</v>
      </c>
      <c r="W24" s="156" t="s">
        <v>1176</v>
      </c>
      <c r="Z24" s="156" t="s">
        <v>1176</v>
      </c>
      <c r="AE24" s="158" t="s">
        <v>1249</v>
      </c>
      <c r="AF24" s="160" t="s">
        <v>1176</v>
      </c>
      <c r="AG24" s="161">
        <f t="shared" si="6"/>
        <v>0</v>
      </c>
      <c r="AH24" s="160" t="s">
        <v>1176</v>
      </c>
      <c r="AI24" s="161">
        <f t="shared" si="7"/>
        <v>0</v>
      </c>
      <c r="AJ24" s="160" t="s">
        <v>1176</v>
      </c>
      <c r="AK24" s="160"/>
      <c r="AL24" s="161">
        <f t="shared" si="8"/>
        <v>0</v>
      </c>
      <c r="AM24" s="162">
        <f t="shared" si="9"/>
        <v>0.5</v>
      </c>
      <c r="AN24" s="162">
        <f t="shared" si="10"/>
        <v>0.4</v>
      </c>
      <c r="AO24" s="156" t="s">
        <v>1176</v>
      </c>
      <c r="AP24" s="156" t="s">
        <v>1176</v>
      </c>
      <c r="AQ24" s="156" t="s">
        <v>1174</v>
      </c>
      <c r="AR24" s="156" t="s">
        <v>1176</v>
      </c>
      <c r="AS24" s="163">
        <v>41107</v>
      </c>
      <c r="AT24" s="163">
        <v>41156</v>
      </c>
      <c r="AU24" s="164">
        <f t="shared" si="11"/>
        <v>49</v>
      </c>
      <c r="AV24" s="165">
        <f t="shared" si="12"/>
        <v>7</v>
      </c>
      <c r="AW24" s="164">
        <v>3</v>
      </c>
      <c r="AX24" s="166">
        <f t="shared" si="13"/>
        <v>6.1224489795918366E-2</v>
      </c>
      <c r="AY24" s="166">
        <f t="shared" si="14"/>
        <v>0.42857142857142855</v>
      </c>
      <c r="AZ24" s="167">
        <f t="shared" si="0"/>
        <v>0.5</v>
      </c>
      <c r="BA24" s="156" t="s">
        <v>1176</v>
      </c>
      <c r="BB24" s="156" t="s">
        <v>1176</v>
      </c>
      <c r="BC24" s="156" t="s">
        <v>1176</v>
      </c>
      <c r="BD24" s="156" t="s">
        <v>1176</v>
      </c>
      <c r="BE24" s="160" t="s">
        <v>1180</v>
      </c>
      <c r="BF24" s="161">
        <f t="shared" si="15"/>
        <v>0.5</v>
      </c>
      <c r="BG24" s="156" t="s">
        <v>1176</v>
      </c>
      <c r="BH24" s="156" t="s">
        <v>1176</v>
      </c>
      <c r="BI24" s="156" t="s">
        <v>1252</v>
      </c>
      <c r="BJ24" s="169">
        <f t="shared" si="1"/>
        <v>1</v>
      </c>
      <c r="BK24" s="156" t="s">
        <v>684</v>
      </c>
      <c r="BL24" s="156" t="s">
        <v>1174</v>
      </c>
      <c r="BM24" s="156" t="s">
        <v>1176</v>
      </c>
      <c r="BN24" s="161">
        <v>0</v>
      </c>
      <c r="BO24" s="170" t="s">
        <v>1176</v>
      </c>
      <c r="BP24" s="171">
        <f t="shared" si="16"/>
        <v>0</v>
      </c>
      <c r="BQ24" s="170" t="s">
        <v>1176</v>
      </c>
      <c r="BR24" s="171">
        <f t="shared" si="17"/>
        <v>0</v>
      </c>
      <c r="BS24" s="172">
        <f t="shared" si="18"/>
        <v>0</v>
      </c>
      <c r="BT24" s="173">
        <f t="shared" si="2"/>
        <v>1.4</v>
      </c>
      <c r="BU24" s="174">
        <f t="shared" si="19"/>
        <v>1.8666666666666665</v>
      </c>
    </row>
    <row r="25" spans="1:73" ht="56">
      <c r="A25" s="156" t="s">
        <v>1171</v>
      </c>
      <c r="B25" s="156" t="s">
        <v>136</v>
      </c>
      <c r="C25" s="157">
        <v>24</v>
      </c>
      <c r="D25" s="156" t="s">
        <v>74</v>
      </c>
      <c r="E25" s="158" t="s">
        <v>1253</v>
      </c>
      <c r="F25" s="158" t="s">
        <v>1173</v>
      </c>
      <c r="G25" s="156" t="s">
        <v>1174</v>
      </c>
      <c r="H25" s="159">
        <v>41107</v>
      </c>
      <c r="I25" s="156" t="s">
        <v>1190</v>
      </c>
      <c r="J25" s="156" t="s">
        <v>1174</v>
      </c>
      <c r="K25" s="160" t="s">
        <v>1174</v>
      </c>
      <c r="L25" s="161">
        <f t="shared" si="3"/>
        <v>0.25</v>
      </c>
      <c r="M25" s="160" t="s">
        <v>1174</v>
      </c>
      <c r="N25" s="161">
        <f t="shared" si="4"/>
        <v>0.25</v>
      </c>
      <c r="O25" s="162">
        <f t="shared" si="5"/>
        <v>0.5</v>
      </c>
      <c r="P25" s="156" t="s">
        <v>1176</v>
      </c>
      <c r="Q25" s="156" t="s">
        <v>1176</v>
      </c>
      <c r="R25" s="156" t="s">
        <v>1176</v>
      </c>
      <c r="S25" s="156" t="s">
        <v>671</v>
      </c>
      <c r="T25" s="156" t="s">
        <v>1176</v>
      </c>
      <c r="U25" s="156" t="s">
        <v>1176</v>
      </c>
      <c r="V25" s="156" t="s">
        <v>1176</v>
      </c>
      <c r="W25" s="156" t="s">
        <v>1176</v>
      </c>
      <c r="X25" s="158" t="s">
        <v>1241</v>
      </c>
      <c r="Y25" s="158" t="s">
        <v>1179</v>
      </c>
      <c r="Z25" s="156" t="s">
        <v>1174</v>
      </c>
      <c r="AA25" s="156" t="s">
        <v>1176</v>
      </c>
      <c r="AB25" s="156" t="s">
        <v>1176</v>
      </c>
      <c r="AC25" s="156" t="s">
        <v>1176</v>
      </c>
      <c r="AD25" s="156" t="s">
        <v>1176</v>
      </c>
      <c r="AE25" s="158" t="s">
        <v>1254</v>
      </c>
      <c r="AF25" s="160" t="s">
        <v>1176</v>
      </c>
      <c r="AG25" s="161">
        <f t="shared" si="6"/>
        <v>0</v>
      </c>
      <c r="AH25" s="160" t="s">
        <v>1176</v>
      </c>
      <c r="AI25" s="161">
        <f t="shared" si="7"/>
        <v>0</v>
      </c>
      <c r="AJ25" s="160" t="s">
        <v>1176</v>
      </c>
      <c r="AK25" s="160" t="s">
        <v>671</v>
      </c>
      <c r="AL25" s="161">
        <f t="shared" si="8"/>
        <v>0</v>
      </c>
      <c r="AM25" s="162">
        <f t="shared" si="9"/>
        <v>0.5</v>
      </c>
      <c r="AN25" s="162">
        <f t="shared" si="10"/>
        <v>0.4</v>
      </c>
      <c r="AO25" s="156" t="s">
        <v>1174</v>
      </c>
      <c r="AP25" s="156" t="s">
        <v>1176</v>
      </c>
      <c r="AQ25" s="156" t="s">
        <v>1174</v>
      </c>
      <c r="AR25" s="156" t="s">
        <v>1174</v>
      </c>
      <c r="AS25" s="163">
        <v>41107</v>
      </c>
      <c r="AT25" s="163">
        <v>41156</v>
      </c>
      <c r="AU25" s="164">
        <f t="shared" si="11"/>
        <v>49</v>
      </c>
      <c r="AV25" s="165">
        <f t="shared" si="12"/>
        <v>7</v>
      </c>
      <c r="AW25" s="164">
        <v>4</v>
      </c>
      <c r="AX25" s="166">
        <f t="shared" si="13"/>
        <v>8.1632653061224483E-2</v>
      </c>
      <c r="AY25" s="166">
        <f t="shared" si="14"/>
        <v>0.5714285714285714</v>
      </c>
      <c r="AZ25" s="167">
        <f t="shared" si="0"/>
        <v>0.75</v>
      </c>
      <c r="BA25" s="156" t="s">
        <v>1174</v>
      </c>
      <c r="BB25" s="156" t="s">
        <v>1176</v>
      </c>
      <c r="BC25" s="156" t="s">
        <v>1174</v>
      </c>
      <c r="BD25" s="156" t="s">
        <v>1174</v>
      </c>
      <c r="BE25" s="160" t="s">
        <v>1180</v>
      </c>
      <c r="BF25" s="161">
        <f t="shared" si="15"/>
        <v>0.5</v>
      </c>
      <c r="BG25" s="156" t="s">
        <v>1176</v>
      </c>
      <c r="BH25" s="156" t="s">
        <v>1176</v>
      </c>
      <c r="BI25" s="156" t="s">
        <v>1255</v>
      </c>
      <c r="BJ25" s="169">
        <f t="shared" si="1"/>
        <v>1.25</v>
      </c>
      <c r="BK25" s="156" t="s">
        <v>1256</v>
      </c>
      <c r="BL25" s="156" t="s">
        <v>1174</v>
      </c>
      <c r="BM25" s="156" t="s">
        <v>1176</v>
      </c>
      <c r="BN25" s="161">
        <v>0.25</v>
      </c>
      <c r="BO25" s="170" t="s">
        <v>1176</v>
      </c>
      <c r="BP25" s="171">
        <f t="shared" si="16"/>
        <v>0</v>
      </c>
      <c r="BQ25" s="170" t="s">
        <v>1176</v>
      </c>
      <c r="BR25" s="171">
        <f t="shared" si="17"/>
        <v>0</v>
      </c>
      <c r="BS25" s="172">
        <f t="shared" si="18"/>
        <v>0.25</v>
      </c>
      <c r="BT25" s="173">
        <f t="shared" si="2"/>
        <v>1.9</v>
      </c>
      <c r="BU25" s="174">
        <f t="shared" si="19"/>
        <v>2.5333333333333332</v>
      </c>
    </row>
    <row r="26" spans="1:73" ht="42">
      <c r="A26" s="156" t="s">
        <v>1171</v>
      </c>
      <c r="B26" s="156" t="s">
        <v>139</v>
      </c>
      <c r="C26" s="157">
        <v>25</v>
      </c>
      <c r="D26" s="156" t="s">
        <v>413</v>
      </c>
      <c r="E26" s="158" t="s">
        <v>140</v>
      </c>
      <c r="G26" s="156" t="s">
        <v>1176</v>
      </c>
      <c r="K26" s="177" t="s">
        <v>1176</v>
      </c>
      <c r="L26" s="161">
        <f t="shared" si="3"/>
        <v>0</v>
      </c>
      <c r="M26" s="177" t="s">
        <v>1176</v>
      </c>
      <c r="N26" s="161">
        <f t="shared" si="4"/>
        <v>0</v>
      </c>
      <c r="O26" s="162">
        <f t="shared" si="5"/>
        <v>0</v>
      </c>
      <c r="X26" s="158" t="s">
        <v>1257</v>
      </c>
      <c r="Z26" s="156" t="s">
        <v>1176</v>
      </c>
      <c r="AE26" s="158" t="s">
        <v>1258</v>
      </c>
      <c r="AF26" s="177" t="s">
        <v>1176</v>
      </c>
      <c r="AG26" s="161">
        <f t="shared" si="6"/>
        <v>0</v>
      </c>
      <c r="AH26" s="160" t="s">
        <v>1176</v>
      </c>
      <c r="AI26" s="161">
        <f t="shared" si="7"/>
        <v>0</v>
      </c>
      <c r="AJ26" s="177" t="s">
        <v>1176</v>
      </c>
      <c r="AK26" s="177"/>
      <c r="AL26" s="161">
        <f t="shared" si="8"/>
        <v>0</v>
      </c>
      <c r="AM26" s="162">
        <f t="shared" si="9"/>
        <v>0</v>
      </c>
      <c r="AN26" s="162">
        <f t="shared" si="10"/>
        <v>0</v>
      </c>
      <c r="AS26" s="175"/>
      <c r="AT26" s="163">
        <v>41156</v>
      </c>
      <c r="AU26" s="164">
        <v>0</v>
      </c>
      <c r="AV26" s="165">
        <v>0</v>
      </c>
      <c r="AW26" s="164">
        <v>0</v>
      </c>
      <c r="AX26" s="166">
        <v>0</v>
      </c>
      <c r="AY26" s="166">
        <v>0</v>
      </c>
      <c r="AZ26" s="167">
        <f t="shared" si="0"/>
        <v>0</v>
      </c>
      <c r="BE26" s="177" t="s">
        <v>414</v>
      </c>
      <c r="BF26" s="161">
        <f t="shared" si="15"/>
        <v>0</v>
      </c>
      <c r="BJ26" s="169">
        <f t="shared" si="1"/>
        <v>0</v>
      </c>
      <c r="BN26" s="176"/>
      <c r="BO26" s="170" t="s">
        <v>1176</v>
      </c>
      <c r="BP26" s="171">
        <f t="shared" si="16"/>
        <v>0</v>
      </c>
      <c r="BQ26" s="170" t="s">
        <v>1176</v>
      </c>
      <c r="BR26" s="171">
        <f t="shared" si="17"/>
        <v>0</v>
      </c>
      <c r="BS26" s="172">
        <f t="shared" si="18"/>
        <v>0</v>
      </c>
      <c r="BT26" s="173">
        <f t="shared" si="2"/>
        <v>0</v>
      </c>
      <c r="BU26" s="174">
        <f t="shared" si="19"/>
        <v>0</v>
      </c>
    </row>
    <row r="27" spans="1:73" ht="28">
      <c r="A27" s="156" t="s">
        <v>1171</v>
      </c>
      <c r="B27" s="156" t="s">
        <v>141</v>
      </c>
      <c r="C27" s="157">
        <v>26</v>
      </c>
      <c r="D27" s="156" t="s">
        <v>74</v>
      </c>
      <c r="E27" s="158" t="s">
        <v>1259</v>
      </c>
      <c r="F27" s="158" t="s">
        <v>1173</v>
      </c>
      <c r="G27" s="156" t="s">
        <v>1174</v>
      </c>
      <c r="H27" s="159">
        <v>41107</v>
      </c>
      <c r="I27" s="156" t="s">
        <v>1175</v>
      </c>
      <c r="J27" s="156" t="s">
        <v>1176</v>
      </c>
      <c r="K27" s="160" t="s">
        <v>1174</v>
      </c>
      <c r="L27" s="161">
        <f t="shared" si="3"/>
        <v>0.25</v>
      </c>
      <c r="M27" s="160" t="s">
        <v>1174</v>
      </c>
      <c r="N27" s="161">
        <f t="shared" si="4"/>
        <v>0.25</v>
      </c>
      <c r="O27" s="162">
        <f t="shared" si="5"/>
        <v>0.5</v>
      </c>
      <c r="P27" s="156" t="s">
        <v>1174</v>
      </c>
      <c r="Q27" s="156" t="s">
        <v>1176</v>
      </c>
      <c r="R27" s="156" t="s">
        <v>1176</v>
      </c>
      <c r="S27" s="156" t="s">
        <v>671</v>
      </c>
      <c r="T27" s="156" t="s">
        <v>1176</v>
      </c>
      <c r="U27" s="156" t="s">
        <v>1176</v>
      </c>
      <c r="V27" s="156" t="s">
        <v>1176</v>
      </c>
      <c r="W27" s="156" t="s">
        <v>1176</v>
      </c>
      <c r="Y27" s="158" t="s">
        <v>1179</v>
      </c>
      <c r="Z27" s="156" t="s">
        <v>1174</v>
      </c>
      <c r="AA27" s="156" t="s">
        <v>1174</v>
      </c>
      <c r="AB27" s="156" t="s">
        <v>1174</v>
      </c>
      <c r="AC27" s="156" t="s">
        <v>1176</v>
      </c>
      <c r="AD27" s="156" t="s">
        <v>1176</v>
      </c>
      <c r="AE27" s="158" t="s">
        <v>1178</v>
      </c>
      <c r="AF27" s="160" t="s">
        <v>1176</v>
      </c>
      <c r="AG27" s="161">
        <f t="shared" si="6"/>
        <v>0</v>
      </c>
      <c r="AH27" s="160" t="s">
        <v>1176</v>
      </c>
      <c r="AI27" s="161">
        <f t="shared" si="7"/>
        <v>0</v>
      </c>
      <c r="AJ27" s="160" t="s">
        <v>1176</v>
      </c>
      <c r="AK27" s="160" t="s">
        <v>671</v>
      </c>
      <c r="AL27" s="161">
        <f t="shared" si="8"/>
        <v>0</v>
      </c>
      <c r="AM27" s="162">
        <f t="shared" si="9"/>
        <v>0.5</v>
      </c>
      <c r="AN27" s="162">
        <f t="shared" si="10"/>
        <v>0.4</v>
      </c>
      <c r="AO27" s="156" t="s">
        <v>1176</v>
      </c>
      <c r="AP27" s="156" t="s">
        <v>1176</v>
      </c>
      <c r="AQ27" s="156" t="s">
        <v>1176</v>
      </c>
      <c r="AR27" s="156" t="s">
        <v>1176</v>
      </c>
      <c r="AS27" s="163">
        <v>41107</v>
      </c>
      <c r="AT27" s="163">
        <v>41156</v>
      </c>
      <c r="AU27" s="164">
        <f t="shared" si="11"/>
        <v>49</v>
      </c>
      <c r="AV27" s="165">
        <f t="shared" si="12"/>
        <v>7</v>
      </c>
      <c r="AW27" s="164">
        <v>6</v>
      </c>
      <c r="AX27" s="166">
        <f t="shared" si="13"/>
        <v>0.12244897959183673</v>
      </c>
      <c r="AY27" s="166">
        <f t="shared" si="14"/>
        <v>0.8571428571428571</v>
      </c>
      <c r="AZ27" s="167">
        <f t="shared" si="0"/>
        <v>1</v>
      </c>
      <c r="BA27" s="156" t="s">
        <v>1174</v>
      </c>
      <c r="BB27" s="156" t="s">
        <v>1176</v>
      </c>
      <c r="BC27" s="156" t="s">
        <v>1176</v>
      </c>
      <c r="BD27" s="156" t="s">
        <v>1174</v>
      </c>
      <c r="BE27" s="160" t="s">
        <v>1180</v>
      </c>
      <c r="BF27" s="161">
        <f t="shared" si="15"/>
        <v>0.5</v>
      </c>
      <c r="BG27" s="156" t="s">
        <v>1174</v>
      </c>
      <c r="BH27" s="156" t="s">
        <v>1174</v>
      </c>
      <c r="BI27" s="156" t="s">
        <v>1260</v>
      </c>
      <c r="BJ27" s="169">
        <f t="shared" si="1"/>
        <v>1.5</v>
      </c>
      <c r="BK27" s="156" t="s">
        <v>1261</v>
      </c>
      <c r="BL27" s="156" t="s">
        <v>1174</v>
      </c>
      <c r="BM27" s="156" t="s">
        <v>1176</v>
      </c>
      <c r="BN27" s="161">
        <v>0</v>
      </c>
      <c r="BO27" s="170" t="s">
        <v>1176</v>
      </c>
      <c r="BP27" s="171">
        <f t="shared" si="16"/>
        <v>0</v>
      </c>
      <c r="BQ27" s="170" t="s">
        <v>1176</v>
      </c>
      <c r="BR27" s="171">
        <f t="shared" si="17"/>
        <v>0</v>
      </c>
      <c r="BS27" s="172">
        <f t="shared" si="18"/>
        <v>0</v>
      </c>
      <c r="BT27" s="173">
        <f t="shared" si="2"/>
        <v>1.9</v>
      </c>
      <c r="BU27" s="174">
        <f t="shared" si="19"/>
        <v>2.5333333333333332</v>
      </c>
    </row>
    <row r="28" spans="1:73" ht="28">
      <c r="A28" s="156" t="s">
        <v>1171</v>
      </c>
      <c r="B28" s="156" t="s">
        <v>143</v>
      </c>
      <c r="C28" s="157">
        <v>27</v>
      </c>
      <c r="D28" s="156" t="s">
        <v>74</v>
      </c>
      <c r="E28" s="158" t="s">
        <v>1262</v>
      </c>
      <c r="F28" s="158" t="s">
        <v>1173</v>
      </c>
      <c r="G28" s="156" t="s">
        <v>1174</v>
      </c>
      <c r="H28" s="159">
        <v>41107</v>
      </c>
      <c r="I28" s="156" t="s">
        <v>1190</v>
      </c>
      <c r="J28" s="156" t="s">
        <v>1176</v>
      </c>
      <c r="K28" s="160" t="s">
        <v>1176</v>
      </c>
      <c r="L28" s="161">
        <f t="shared" si="3"/>
        <v>0</v>
      </c>
      <c r="M28" s="160" t="s">
        <v>1174</v>
      </c>
      <c r="N28" s="161">
        <f t="shared" si="4"/>
        <v>0.25</v>
      </c>
      <c r="O28" s="162">
        <f t="shared" si="5"/>
        <v>0.25</v>
      </c>
      <c r="P28" s="156" t="s">
        <v>1176</v>
      </c>
      <c r="Q28" s="156" t="s">
        <v>1176</v>
      </c>
      <c r="R28" s="156" t="s">
        <v>1176</v>
      </c>
      <c r="S28" s="156" t="s">
        <v>671</v>
      </c>
      <c r="T28" s="156" t="s">
        <v>1176</v>
      </c>
      <c r="U28" s="156" t="s">
        <v>1176</v>
      </c>
      <c r="V28" s="156" t="s">
        <v>1176</v>
      </c>
      <c r="W28" s="156" t="s">
        <v>1176</v>
      </c>
      <c r="X28" s="158" t="s">
        <v>1241</v>
      </c>
      <c r="Y28" s="158" t="s">
        <v>1179</v>
      </c>
      <c r="Z28" s="156" t="s">
        <v>1174</v>
      </c>
      <c r="AA28" s="156" t="s">
        <v>1174</v>
      </c>
      <c r="AB28" s="156" t="s">
        <v>1174</v>
      </c>
      <c r="AC28" s="156" t="s">
        <v>1176</v>
      </c>
      <c r="AD28" s="156" t="s">
        <v>1176</v>
      </c>
      <c r="AE28" s="158" t="s">
        <v>1178</v>
      </c>
      <c r="AF28" s="160" t="s">
        <v>1176</v>
      </c>
      <c r="AG28" s="161">
        <f t="shared" si="6"/>
        <v>0</v>
      </c>
      <c r="AH28" s="160" t="s">
        <v>1176</v>
      </c>
      <c r="AI28" s="161">
        <f t="shared" si="7"/>
        <v>0</v>
      </c>
      <c r="AJ28" s="160" t="s">
        <v>1174</v>
      </c>
      <c r="AK28" s="160" t="s">
        <v>1263</v>
      </c>
      <c r="AL28" s="161">
        <f t="shared" si="8"/>
        <v>0.25</v>
      </c>
      <c r="AM28" s="162">
        <f t="shared" si="9"/>
        <v>0.5</v>
      </c>
      <c r="AN28" s="162">
        <f t="shared" si="10"/>
        <v>0.4</v>
      </c>
      <c r="AO28" s="156" t="s">
        <v>1174</v>
      </c>
      <c r="AP28" s="156" t="s">
        <v>1176</v>
      </c>
      <c r="AQ28" s="156" t="s">
        <v>1174</v>
      </c>
      <c r="AR28" s="156" t="s">
        <v>1174</v>
      </c>
      <c r="AS28" s="163">
        <v>41107</v>
      </c>
      <c r="AT28" s="163">
        <v>41156</v>
      </c>
      <c r="AU28" s="164">
        <f t="shared" si="11"/>
        <v>49</v>
      </c>
      <c r="AV28" s="165">
        <f t="shared" si="12"/>
        <v>7</v>
      </c>
      <c r="AW28" s="164">
        <v>3</v>
      </c>
      <c r="AX28" s="166">
        <f t="shared" si="13"/>
        <v>6.1224489795918366E-2</v>
      </c>
      <c r="AY28" s="166">
        <f t="shared" si="14"/>
        <v>0.42857142857142855</v>
      </c>
      <c r="AZ28" s="167">
        <f t="shared" si="0"/>
        <v>0.5</v>
      </c>
      <c r="BA28" s="156" t="s">
        <v>1176</v>
      </c>
      <c r="BB28" s="156" t="s">
        <v>1176</v>
      </c>
      <c r="BC28" s="156" t="s">
        <v>1176</v>
      </c>
      <c r="BD28" s="156" t="s">
        <v>1176</v>
      </c>
      <c r="BE28" s="160" t="s">
        <v>1180</v>
      </c>
      <c r="BF28" s="161">
        <f t="shared" si="15"/>
        <v>0.5</v>
      </c>
      <c r="BG28" s="156" t="s">
        <v>1176</v>
      </c>
      <c r="BH28" s="156" t="s">
        <v>1176</v>
      </c>
      <c r="BI28" s="156" t="s">
        <v>1264</v>
      </c>
      <c r="BJ28" s="169">
        <f t="shared" si="1"/>
        <v>1</v>
      </c>
      <c r="BK28" s="156" t="s">
        <v>1265</v>
      </c>
      <c r="BL28" s="156" t="s">
        <v>1174</v>
      </c>
      <c r="BM28" s="156" t="s">
        <v>1176</v>
      </c>
      <c r="BN28" s="161">
        <v>0.5</v>
      </c>
      <c r="BO28" s="170" t="s">
        <v>1176</v>
      </c>
      <c r="BP28" s="171">
        <f t="shared" si="16"/>
        <v>0</v>
      </c>
      <c r="BQ28" s="170" t="s">
        <v>1176</v>
      </c>
      <c r="BR28" s="171">
        <f t="shared" si="17"/>
        <v>0</v>
      </c>
      <c r="BS28" s="172">
        <f t="shared" si="18"/>
        <v>0.5</v>
      </c>
      <c r="BT28" s="173">
        <f t="shared" si="2"/>
        <v>1.9</v>
      </c>
      <c r="BU28" s="174">
        <f t="shared" si="19"/>
        <v>2.5333333333333332</v>
      </c>
    </row>
    <row r="29" spans="1:73" ht="56">
      <c r="A29" s="156" t="s">
        <v>1171</v>
      </c>
      <c r="B29" s="156" t="s">
        <v>145</v>
      </c>
      <c r="C29" s="157">
        <v>28</v>
      </c>
      <c r="D29" s="156" t="s">
        <v>74</v>
      </c>
      <c r="E29" s="158" t="s">
        <v>1266</v>
      </c>
      <c r="F29" s="158" t="s">
        <v>1173</v>
      </c>
      <c r="G29" s="156" t="s">
        <v>1174</v>
      </c>
      <c r="H29" s="159">
        <v>41107</v>
      </c>
      <c r="I29" s="156" t="s">
        <v>1175</v>
      </c>
      <c r="J29" s="156" t="s">
        <v>1176</v>
      </c>
      <c r="K29" s="160" t="s">
        <v>1174</v>
      </c>
      <c r="L29" s="161">
        <f t="shared" si="3"/>
        <v>0.25</v>
      </c>
      <c r="M29" s="160" t="s">
        <v>1174</v>
      </c>
      <c r="N29" s="161">
        <f t="shared" si="4"/>
        <v>0.25</v>
      </c>
      <c r="O29" s="162">
        <f t="shared" si="5"/>
        <v>0.5</v>
      </c>
      <c r="P29" s="156" t="s">
        <v>1176</v>
      </c>
      <c r="Q29" s="156" t="s">
        <v>1176</v>
      </c>
      <c r="R29" s="156" t="s">
        <v>1174</v>
      </c>
      <c r="S29" s="156" t="s">
        <v>1267</v>
      </c>
      <c r="T29" s="156" t="s">
        <v>1176</v>
      </c>
      <c r="U29" s="156" t="s">
        <v>1174</v>
      </c>
      <c r="V29" s="156" t="s">
        <v>1176</v>
      </c>
      <c r="W29" s="156" t="s">
        <v>1176</v>
      </c>
      <c r="Y29" s="158" t="s">
        <v>1179</v>
      </c>
      <c r="Z29" s="156" t="s">
        <v>1174</v>
      </c>
      <c r="AA29" s="156" t="s">
        <v>1174</v>
      </c>
      <c r="AB29" s="156" t="s">
        <v>1176</v>
      </c>
      <c r="AC29" s="156" t="s">
        <v>1176</v>
      </c>
      <c r="AD29" s="156" t="s">
        <v>1176</v>
      </c>
      <c r="AE29" s="158" t="s">
        <v>1268</v>
      </c>
      <c r="AF29" s="160" t="s">
        <v>1176</v>
      </c>
      <c r="AG29" s="161">
        <f t="shared" si="6"/>
        <v>0</v>
      </c>
      <c r="AH29" s="160" t="s">
        <v>1176</v>
      </c>
      <c r="AI29" s="161">
        <f t="shared" si="7"/>
        <v>0</v>
      </c>
      <c r="AJ29" s="160" t="s">
        <v>1176</v>
      </c>
      <c r="AK29" s="160" t="s">
        <v>671</v>
      </c>
      <c r="AL29" s="161">
        <f t="shared" si="8"/>
        <v>0</v>
      </c>
      <c r="AM29" s="162">
        <f t="shared" si="9"/>
        <v>0.5</v>
      </c>
      <c r="AN29" s="162">
        <f t="shared" si="10"/>
        <v>0.4</v>
      </c>
      <c r="AO29" s="156" t="s">
        <v>1176</v>
      </c>
      <c r="AP29" s="156" t="s">
        <v>1176</v>
      </c>
      <c r="AQ29" s="156" t="s">
        <v>1176</v>
      </c>
      <c r="AR29" s="156" t="s">
        <v>1176</v>
      </c>
      <c r="AS29" s="163">
        <v>41107</v>
      </c>
      <c r="AT29" s="163">
        <v>41156</v>
      </c>
      <c r="AU29" s="164">
        <f t="shared" si="11"/>
        <v>49</v>
      </c>
      <c r="AV29" s="165">
        <f t="shared" si="12"/>
        <v>7</v>
      </c>
      <c r="AW29" s="164">
        <v>16</v>
      </c>
      <c r="AX29" s="166">
        <f t="shared" si="13"/>
        <v>0.32653061224489793</v>
      </c>
      <c r="AY29" s="166">
        <f t="shared" si="14"/>
        <v>2.2857142857142856</v>
      </c>
      <c r="AZ29" s="167">
        <f t="shared" si="0"/>
        <v>0.5</v>
      </c>
      <c r="BA29" s="156" t="s">
        <v>1174</v>
      </c>
      <c r="BB29" s="156" t="s">
        <v>1176</v>
      </c>
      <c r="BC29" s="156" t="s">
        <v>1174</v>
      </c>
      <c r="BD29" s="156" t="s">
        <v>1174</v>
      </c>
      <c r="BE29" s="160" t="s">
        <v>1180</v>
      </c>
      <c r="BF29" s="161">
        <f t="shared" si="15"/>
        <v>0.5</v>
      </c>
      <c r="BG29" s="156" t="s">
        <v>1174</v>
      </c>
      <c r="BH29" s="156" t="s">
        <v>1174</v>
      </c>
      <c r="BI29" s="156" t="s">
        <v>1269</v>
      </c>
      <c r="BJ29" s="169">
        <f t="shared" si="1"/>
        <v>1</v>
      </c>
      <c r="BL29" s="156" t="s">
        <v>1174</v>
      </c>
      <c r="BM29" s="156" t="s">
        <v>1176</v>
      </c>
      <c r="BN29" s="161">
        <v>0.5</v>
      </c>
      <c r="BO29" s="170" t="s">
        <v>1176</v>
      </c>
      <c r="BP29" s="171">
        <f t="shared" si="16"/>
        <v>0</v>
      </c>
      <c r="BQ29" s="170" t="s">
        <v>1176</v>
      </c>
      <c r="BR29" s="171">
        <f t="shared" si="17"/>
        <v>0</v>
      </c>
      <c r="BS29" s="172">
        <f t="shared" si="18"/>
        <v>0.5</v>
      </c>
      <c r="BT29" s="173">
        <f t="shared" si="2"/>
        <v>1.9</v>
      </c>
      <c r="BU29" s="174">
        <f t="shared" si="19"/>
        <v>2.5333333333333332</v>
      </c>
    </row>
    <row r="30" spans="1:73" ht="70">
      <c r="A30" s="156" t="s">
        <v>1171</v>
      </c>
      <c r="B30" s="156" t="s">
        <v>148</v>
      </c>
      <c r="C30" s="157">
        <v>29</v>
      </c>
      <c r="D30" s="156" t="s">
        <v>74</v>
      </c>
      <c r="E30" s="158" t="s">
        <v>1270</v>
      </c>
      <c r="F30" s="158" t="s">
        <v>1173</v>
      </c>
      <c r="G30" s="156" t="s">
        <v>1174</v>
      </c>
      <c r="H30" s="159">
        <v>41107</v>
      </c>
      <c r="I30" s="156" t="s">
        <v>1185</v>
      </c>
      <c r="J30" s="156" t="s">
        <v>1176</v>
      </c>
      <c r="K30" s="160" t="s">
        <v>1176</v>
      </c>
      <c r="L30" s="161">
        <f t="shared" si="3"/>
        <v>0</v>
      </c>
      <c r="M30" s="160" t="s">
        <v>1176</v>
      </c>
      <c r="N30" s="161">
        <f t="shared" si="4"/>
        <v>0</v>
      </c>
      <c r="O30" s="162">
        <f t="shared" si="5"/>
        <v>0</v>
      </c>
      <c r="P30" s="156" t="s">
        <v>1176</v>
      </c>
      <c r="Q30" s="156" t="s">
        <v>1176</v>
      </c>
      <c r="R30" s="156" t="s">
        <v>1176</v>
      </c>
      <c r="S30" s="156" t="s">
        <v>671</v>
      </c>
      <c r="T30" s="156" t="s">
        <v>1176</v>
      </c>
      <c r="U30" s="156" t="s">
        <v>1176</v>
      </c>
      <c r="V30" s="156" t="s">
        <v>1176</v>
      </c>
      <c r="W30" s="156" t="s">
        <v>1176</v>
      </c>
      <c r="Y30" s="158" t="s">
        <v>1179</v>
      </c>
      <c r="Z30" s="156" t="s">
        <v>1174</v>
      </c>
      <c r="AA30" s="156" t="s">
        <v>1174</v>
      </c>
      <c r="AB30" s="156" t="s">
        <v>1176</v>
      </c>
      <c r="AC30" s="156" t="s">
        <v>1176</v>
      </c>
      <c r="AD30" s="156" t="s">
        <v>1176</v>
      </c>
      <c r="AE30" s="158" t="s">
        <v>1271</v>
      </c>
      <c r="AF30" s="160" t="s">
        <v>1176</v>
      </c>
      <c r="AG30" s="161">
        <f t="shared" si="6"/>
        <v>0</v>
      </c>
      <c r="AH30" s="160" t="s">
        <v>1176</v>
      </c>
      <c r="AI30" s="161">
        <f t="shared" si="7"/>
        <v>0</v>
      </c>
      <c r="AJ30" s="160" t="s">
        <v>1174</v>
      </c>
      <c r="AK30" s="160" t="s">
        <v>1272</v>
      </c>
      <c r="AL30" s="161">
        <f t="shared" si="8"/>
        <v>0.25</v>
      </c>
      <c r="AM30" s="162">
        <f t="shared" si="9"/>
        <v>0.25</v>
      </c>
      <c r="AN30" s="162">
        <f t="shared" si="10"/>
        <v>0.2</v>
      </c>
      <c r="AO30" s="156" t="s">
        <v>1176</v>
      </c>
      <c r="AP30" s="156" t="s">
        <v>1176</v>
      </c>
      <c r="AQ30" s="156" t="s">
        <v>1176</v>
      </c>
      <c r="AR30" s="156" t="s">
        <v>1176</v>
      </c>
      <c r="AS30" s="163">
        <v>41107</v>
      </c>
      <c r="AT30" s="163">
        <v>41156</v>
      </c>
      <c r="AU30" s="164">
        <f t="shared" si="11"/>
        <v>49</v>
      </c>
      <c r="AV30" s="165">
        <f t="shared" si="12"/>
        <v>7</v>
      </c>
      <c r="AW30" s="164">
        <v>7</v>
      </c>
      <c r="AX30" s="166">
        <f t="shared" si="13"/>
        <v>0.14285714285714285</v>
      </c>
      <c r="AY30" s="166">
        <f t="shared" si="14"/>
        <v>1</v>
      </c>
      <c r="AZ30" s="167">
        <f t="shared" si="0"/>
        <v>1</v>
      </c>
      <c r="BA30" s="156" t="s">
        <v>1174</v>
      </c>
      <c r="BB30" s="156" t="s">
        <v>1176</v>
      </c>
      <c r="BC30" s="156" t="s">
        <v>1174</v>
      </c>
      <c r="BD30" s="156" t="s">
        <v>1174</v>
      </c>
      <c r="BE30" s="160" t="s">
        <v>1180</v>
      </c>
      <c r="BF30" s="161">
        <f t="shared" si="15"/>
        <v>0.5</v>
      </c>
      <c r="BG30" s="156" t="s">
        <v>1174</v>
      </c>
      <c r="BH30" s="156" t="s">
        <v>1174</v>
      </c>
      <c r="BI30" s="156" t="s">
        <v>1273</v>
      </c>
      <c r="BJ30" s="169">
        <f t="shared" si="1"/>
        <v>1.5</v>
      </c>
      <c r="BL30" s="156" t="s">
        <v>1174</v>
      </c>
      <c r="BM30" s="156" t="s">
        <v>1176</v>
      </c>
      <c r="BN30" s="161">
        <v>0</v>
      </c>
      <c r="BO30" s="170" t="s">
        <v>1176</v>
      </c>
      <c r="BP30" s="171">
        <f t="shared" si="16"/>
        <v>0</v>
      </c>
      <c r="BQ30" s="170" t="s">
        <v>1176</v>
      </c>
      <c r="BR30" s="171">
        <f t="shared" si="17"/>
        <v>0</v>
      </c>
      <c r="BS30" s="172">
        <f t="shared" si="18"/>
        <v>0</v>
      </c>
      <c r="BT30" s="173">
        <f t="shared" si="2"/>
        <v>1.7</v>
      </c>
      <c r="BU30" s="174">
        <f t="shared" si="19"/>
        <v>2.2666666666666666</v>
      </c>
    </row>
    <row r="31" spans="1:73" ht="56">
      <c r="A31" s="156" t="s">
        <v>1171</v>
      </c>
      <c r="B31" s="156" t="s">
        <v>150</v>
      </c>
      <c r="C31" s="157">
        <v>30</v>
      </c>
      <c r="D31" s="156" t="s">
        <v>413</v>
      </c>
      <c r="E31" s="158" t="s">
        <v>152</v>
      </c>
      <c r="F31" s="158" t="s">
        <v>1173</v>
      </c>
      <c r="G31" s="156" t="s">
        <v>1174</v>
      </c>
      <c r="H31" s="159">
        <v>41107</v>
      </c>
      <c r="I31" s="156" t="s">
        <v>1175</v>
      </c>
      <c r="J31" s="156" t="s">
        <v>1174</v>
      </c>
      <c r="K31" s="160" t="s">
        <v>1174</v>
      </c>
      <c r="L31" s="161">
        <f t="shared" si="3"/>
        <v>0.25</v>
      </c>
      <c r="M31" s="160" t="s">
        <v>1174</v>
      </c>
      <c r="N31" s="161">
        <f t="shared" si="4"/>
        <v>0.25</v>
      </c>
      <c r="O31" s="162">
        <f t="shared" si="5"/>
        <v>0.5</v>
      </c>
      <c r="P31" s="156" t="s">
        <v>1176</v>
      </c>
      <c r="Q31" s="156" t="s">
        <v>1176</v>
      </c>
      <c r="R31" s="156" t="s">
        <v>1176</v>
      </c>
      <c r="S31" s="156" t="s">
        <v>671</v>
      </c>
      <c r="T31" s="156" t="s">
        <v>1176</v>
      </c>
      <c r="U31" s="156" t="s">
        <v>1176</v>
      </c>
      <c r="V31" s="156" t="s">
        <v>1176</v>
      </c>
      <c r="W31" s="156" t="s">
        <v>1176</v>
      </c>
      <c r="X31" s="158" t="s">
        <v>1274</v>
      </c>
      <c r="Y31" s="158" t="s">
        <v>1179</v>
      </c>
      <c r="Z31" s="156" t="s">
        <v>1174</v>
      </c>
      <c r="AA31" s="156" t="s">
        <v>1174</v>
      </c>
      <c r="AB31" s="156" t="s">
        <v>1176</v>
      </c>
      <c r="AC31" s="156" t="s">
        <v>1176</v>
      </c>
      <c r="AD31" s="156" t="s">
        <v>1176</v>
      </c>
      <c r="AE31" s="158" t="s">
        <v>1275</v>
      </c>
      <c r="AF31" s="160" t="s">
        <v>1176</v>
      </c>
      <c r="AG31" s="161">
        <f t="shared" si="6"/>
        <v>0</v>
      </c>
      <c r="AH31" s="160" t="s">
        <v>1176</v>
      </c>
      <c r="AI31" s="161">
        <f t="shared" si="7"/>
        <v>0</v>
      </c>
      <c r="AJ31" s="160" t="s">
        <v>1174</v>
      </c>
      <c r="AK31" s="160" t="s">
        <v>1276</v>
      </c>
      <c r="AL31" s="161">
        <f t="shared" si="8"/>
        <v>0.25</v>
      </c>
      <c r="AM31" s="162">
        <f t="shared" si="9"/>
        <v>0.75</v>
      </c>
      <c r="AN31" s="162">
        <f t="shared" si="10"/>
        <v>0.6</v>
      </c>
      <c r="AS31" s="163">
        <v>41107</v>
      </c>
      <c r="AT31" s="163">
        <v>41156</v>
      </c>
      <c r="AU31" s="164">
        <f t="shared" si="11"/>
        <v>49</v>
      </c>
      <c r="AV31" s="165">
        <f t="shared" si="12"/>
        <v>7</v>
      </c>
      <c r="AW31" s="164">
        <v>7</v>
      </c>
      <c r="AX31" s="166">
        <f t="shared" si="13"/>
        <v>0.14285714285714285</v>
      </c>
      <c r="AY31" s="166">
        <f t="shared" si="14"/>
        <v>1</v>
      </c>
      <c r="AZ31" s="167">
        <f t="shared" si="0"/>
        <v>1</v>
      </c>
      <c r="BE31" s="160" t="s">
        <v>1180</v>
      </c>
      <c r="BF31" s="161">
        <f t="shared" si="15"/>
        <v>0.5</v>
      </c>
      <c r="BJ31" s="169">
        <f t="shared" si="1"/>
        <v>1.5</v>
      </c>
      <c r="BN31" s="176"/>
      <c r="BO31" s="170" t="s">
        <v>1174</v>
      </c>
      <c r="BP31" s="171">
        <f t="shared" si="16"/>
        <v>0.5</v>
      </c>
      <c r="BQ31" s="170" t="s">
        <v>1174</v>
      </c>
      <c r="BR31" s="171">
        <f t="shared" si="17"/>
        <v>0.25</v>
      </c>
      <c r="BS31" s="172">
        <f t="shared" si="18"/>
        <v>0.75</v>
      </c>
      <c r="BT31" s="173">
        <f t="shared" si="2"/>
        <v>2.85</v>
      </c>
      <c r="BU31" s="174">
        <f t="shared" si="19"/>
        <v>3.8</v>
      </c>
    </row>
    <row r="32" spans="1:73" ht="70">
      <c r="A32" s="156" t="s">
        <v>1171</v>
      </c>
      <c r="B32" s="156" t="s">
        <v>153</v>
      </c>
      <c r="C32" s="157">
        <v>31</v>
      </c>
      <c r="D32" s="156" t="s">
        <v>413</v>
      </c>
      <c r="E32" s="158" t="s">
        <v>1277</v>
      </c>
      <c r="F32" s="158" t="s">
        <v>1173</v>
      </c>
      <c r="G32" s="156" t="s">
        <v>1174</v>
      </c>
      <c r="H32" s="159">
        <v>41107</v>
      </c>
      <c r="I32" s="156" t="s">
        <v>1175</v>
      </c>
      <c r="J32" s="156" t="s">
        <v>1176</v>
      </c>
      <c r="K32" s="160" t="s">
        <v>1174</v>
      </c>
      <c r="L32" s="161">
        <f t="shared" si="3"/>
        <v>0.25</v>
      </c>
      <c r="M32" s="160" t="s">
        <v>1174</v>
      </c>
      <c r="N32" s="161">
        <f t="shared" si="4"/>
        <v>0.25</v>
      </c>
      <c r="O32" s="162">
        <f t="shared" si="5"/>
        <v>0.5</v>
      </c>
      <c r="P32" s="156" t="s">
        <v>1174</v>
      </c>
      <c r="Q32" s="156" t="s">
        <v>1176</v>
      </c>
      <c r="R32" s="156" t="s">
        <v>1176</v>
      </c>
      <c r="S32" s="156" t="s">
        <v>671</v>
      </c>
      <c r="T32" s="156" t="s">
        <v>1176</v>
      </c>
      <c r="U32" s="156" t="s">
        <v>1176</v>
      </c>
      <c r="V32" s="156" t="s">
        <v>1176</v>
      </c>
      <c r="W32" s="156" t="s">
        <v>1174</v>
      </c>
      <c r="X32" s="158" t="s">
        <v>1278</v>
      </c>
      <c r="Y32" s="158" t="s">
        <v>1179</v>
      </c>
      <c r="Z32" s="156" t="s">
        <v>1174</v>
      </c>
      <c r="AA32" s="156" t="s">
        <v>1174</v>
      </c>
      <c r="AB32" s="156" t="s">
        <v>1176</v>
      </c>
      <c r="AD32" s="156" t="s">
        <v>1176</v>
      </c>
      <c r="AE32" s="158" t="s">
        <v>1279</v>
      </c>
      <c r="AF32" s="160" t="s">
        <v>1176</v>
      </c>
      <c r="AG32" s="161">
        <f t="shared" si="6"/>
        <v>0</v>
      </c>
      <c r="AH32" s="160" t="s">
        <v>1176</v>
      </c>
      <c r="AI32" s="161">
        <f t="shared" si="7"/>
        <v>0</v>
      </c>
      <c r="AJ32" s="160" t="s">
        <v>1176</v>
      </c>
      <c r="AK32" s="160" t="s">
        <v>671</v>
      </c>
      <c r="AL32" s="161">
        <f t="shared" si="8"/>
        <v>0</v>
      </c>
      <c r="AM32" s="162">
        <f t="shared" si="9"/>
        <v>0.5</v>
      </c>
      <c r="AN32" s="162">
        <f t="shared" si="10"/>
        <v>0.4</v>
      </c>
      <c r="AS32" s="163">
        <v>41107</v>
      </c>
      <c r="AT32" s="163">
        <v>41156</v>
      </c>
      <c r="AU32" s="164">
        <f t="shared" si="11"/>
        <v>49</v>
      </c>
      <c r="AV32" s="165">
        <f t="shared" si="12"/>
        <v>7</v>
      </c>
      <c r="AW32" s="164">
        <v>13</v>
      </c>
      <c r="AX32" s="166">
        <f t="shared" si="13"/>
        <v>0.26530612244897961</v>
      </c>
      <c r="AY32" s="166">
        <f t="shared" si="14"/>
        <v>1.8571428571428572</v>
      </c>
      <c r="AZ32" s="167">
        <f t="shared" si="0"/>
        <v>0.75</v>
      </c>
      <c r="BE32" s="160" t="s">
        <v>1180</v>
      </c>
      <c r="BF32" s="161">
        <f t="shared" si="15"/>
        <v>0.5</v>
      </c>
      <c r="BJ32" s="169">
        <f t="shared" si="1"/>
        <v>1.25</v>
      </c>
      <c r="BN32" s="176">
        <v>0.5</v>
      </c>
      <c r="BO32" s="170" t="s">
        <v>1174</v>
      </c>
      <c r="BP32" s="171">
        <f t="shared" si="16"/>
        <v>0.5</v>
      </c>
      <c r="BQ32" s="170" t="s">
        <v>1176</v>
      </c>
      <c r="BR32" s="171">
        <f t="shared" si="17"/>
        <v>0</v>
      </c>
      <c r="BS32" s="172">
        <f t="shared" si="18"/>
        <v>1</v>
      </c>
      <c r="BT32" s="173">
        <f t="shared" si="2"/>
        <v>2.65</v>
      </c>
      <c r="BU32" s="174">
        <f t="shared" si="19"/>
        <v>3.5333333333333332</v>
      </c>
    </row>
    <row r="33" spans="1:73" ht="98">
      <c r="A33" s="156" t="s">
        <v>1171</v>
      </c>
      <c r="B33" s="156" t="s">
        <v>156</v>
      </c>
      <c r="C33" s="157">
        <v>32</v>
      </c>
      <c r="D33" s="156" t="s">
        <v>413</v>
      </c>
      <c r="F33" s="158" t="s">
        <v>1173</v>
      </c>
      <c r="G33" s="156" t="s">
        <v>1174</v>
      </c>
      <c r="H33" s="159">
        <v>41103</v>
      </c>
      <c r="I33" s="156" t="s">
        <v>1185</v>
      </c>
      <c r="J33" s="156" t="s">
        <v>1176</v>
      </c>
      <c r="K33" s="160" t="s">
        <v>1176</v>
      </c>
      <c r="L33" s="161">
        <f t="shared" si="3"/>
        <v>0</v>
      </c>
      <c r="M33" s="160" t="s">
        <v>1176</v>
      </c>
      <c r="N33" s="161">
        <f t="shared" si="4"/>
        <v>0</v>
      </c>
      <c r="O33" s="162">
        <f t="shared" si="5"/>
        <v>0</v>
      </c>
      <c r="P33" s="156" t="s">
        <v>1174</v>
      </c>
      <c r="Q33" s="156" t="s">
        <v>1176</v>
      </c>
      <c r="R33" s="156" t="s">
        <v>1174</v>
      </c>
      <c r="S33" s="156" t="s">
        <v>1280</v>
      </c>
      <c r="T33" s="156" t="s">
        <v>1176</v>
      </c>
      <c r="U33" s="156" t="s">
        <v>1176</v>
      </c>
      <c r="V33" s="156" t="s">
        <v>1176</v>
      </c>
      <c r="W33" s="156" t="s">
        <v>1176</v>
      </c>
      <c r="X33" s="158" t="s">
        <v>1281</v>
      </c>
      <c r="Y33" s="158" t="s">
        <v>1179</v>
      </c>
      <c r="Z33" s="156" t="s">
        <v>1174</v>
      </c>
      <c r="AA33" s="156" t="s">
        <v>1174</v>
      </c>
      <c r="AB33" s="156" t="s">
        <v>1176</v>
      </c>
      <c r="AC33" s="156" t="s">
        <v>1176</v>
      </c>
      <c r="AD33" s="156" t="s">
        <v>1176</v>
      </c>
      <c r="AE33" s="158" t="s">
        <v>1282</v>
      </c>
      <c r="AF33" s="160" t="s">
        <v>1176</v>
      </c>
      <c r="AG33" s="161">
        <f t="shared" si="6"/>
        <v>0</v>
      </c>
      <c r="AH33" s="160" t="s">
        <v>1176</v>
      </c>
      <c r="AI33" s="161">
        <f t="shared" si="7"/>
        <v>0</v>
      </c>
      <c r="AJ33" s="160" t="s">
        <v>1176</v>
      </c>
      <c r="AK33" s="160" t="s">
        <v>671</v>
      </c>
      <c r="AL33" s="161">
        <f t="shared" si="8"/>
        <v>0</v>
      </c>
      <c r="AM33" s="162">
        <f t="shared" si="9"/>
        <v>0</v>
      </c>
      <c r="AN33" s="162">
        <f t="shared" si="10"/>
        <v>0</v>
      </c>
      <c r="AO33" s="156" t="s">
        <v>1174</v>
      </c>
      <c r="AP33" s="156" t="s">
        <v>1176</v>
      </c>
      <c r="AQ33" s="156" t="s">
        <v>1174</v>
      </c>
      <c r="AR33" s="156" t="s">
        <v>1174</v>
      </c>
      <c r="AS33" s="163">
        <v>41103</v>
      </c>
      <c r="AT33" s="163">
        <v>41156</v>
      </c>
      <c r="AU33" s="164">
        <f t="shared" si="11"/>
        <v>53</v>
      </c>
      <c r="AV33" s="165">
        <f t="shared" si="12"/>
        <v>7.5714285714285712</v>
      </c>
      <c r="AW33" s="164">
        <v>12</v>
      </c>
      <c r="AX33" s="166">
        <f t="shared" si="13"/>
        <v>0.22641509433962265</v>
      </c>
      <c r="AY33" s="166">
        <f t="shared" si="14"/>
        <v>1.5849056603773586</v>
      </c>
      <c r="AZ33" s="167">
        <f t="shared" si="0"/>
        <v>0.75</v>
      </c>
      <c r="BA33" s="156" t="s">
        <v>1174</v>
      </c>
      <c r="BB33" s="156" t="s">
        <v>1174</v>
      </c>
      <c r="BC33" s="156" t="s">
        <v>1174</v>
      </c>
      <c r="BD33" s="156" t="s">
        <v>1174</v>
      </c>
      <c r="BE33" s="160" t="s">
        <v>1180</v>
      </c>
      <c r="BF33" s="161">
        <f t="shared" si="15"/>
        <v>0.5</v>
      </c>
      <c r="BG33" s="156" t="s">
        <v>1174</v>
      </c>
      <c r="BH33" s="156" t="s">
        <v>1174</v>
      </c>
      <c r="BI33" s="156" t="s">
        <v>1283</v>
      </c>
      <c r="BJ33" s="169">
        <f t="shared" si="1"/>
        <v>1.25</v>
      </c>
      <c r="BK33" s="156" t="s">
        <v>1284</v>
      </c>
      <c r="BL33" s="156" t="s">
        <v>1174</v>
      </c>
      <c r="BM33" s="156" t="s">
        <v>1176</v>
      </c>
      <c r="BN33" s="161">
        <v>0.5</v>
      </c>
      <c r="BO33" s="170" t="s">
        <v>1176</v>
      </c>
      <c r="BP33" s="171">
        <f t="shared" si="16"/>
        <v>0</v>
      </c>
      <c r="BQ33" s="170" t="s">
        <v>1176</v>
      </c>
      <c r="BR33" s="171">
        <f t="shared" si="17"/>
        <v>0</v>
      </c>
      <c r="BS33" s="172">
        <f t="shared" si="18"/>
        <v>0.5</v>
      </c>
      <c r="BT33" s="173">
        <f t="shared" si="2"/>
        <v>1.75</v>
      </c>
      <c r="BU33" s="174">
        <f t="shared" si="19"/>
        <v>2.333333333333333</v>
      </c>
    </row>
    <row r="34" spans="1:73" ht="70">
      <c r="A34" s="156" t="s">
        <v>1171</v>
      </c>
      <c r="B34" s="156" t="s">
        <v>158</v>
      </c>
      <c r="C34" s="157">
        <v>33</v>
      </c>
      <c r="D34" s="156" t="s">
        <v>413</v>
      </c>
      <c r="E34" s="158" t="s">
        <v>160</v>
      </c>
      <c r="F34" s="158" t="s">
        <v>1173</v>
      </c>
      <c r="G34" s="156" t="s">
        <v>1174</v>
      </c>
      <c r="H34" s="159">
        <v>41103</v>
      </c>
      <c r="I34" s="156" t="s">
        <v>1185</v>
      </c>
      <c r="J34" s="156" t="s">
        <v>1176</v>
      </c>
      <c r="K34" s="160" t="s">
        <v>1176</v>
      </c>
      <c r="L34" s="161">
        <f t="shared" si="3"/>
        <v>0</v>
      </c>
      <c r="M34" s="160" t="s">
        <v>1176</v>
      </c>
      <c r="N34" s="161">
        <f t="shared" si="4"/>
        <v>0</v>
      </c>
      <c r="O34" s="162">
        <f t="shared" si="5"/>
        <v>0</v>
      </c>
      <c r="P34" s="156" t="s">
        <v>1174</v>
      </c>
      <c r="Q34" s="156" t="s">
        <v>1176</v>
      </c>
      <c r="R34" s="156" t="s">
        <v>1176</v>
      </c>
      <c r="S34" s="156" t="s">
        <v>671</v>
      </c>
      <c r="T34" s="156" t="s">
        <v>1176</v>
      </c>
      <c r="U34" s="156" t="s">
        <v>1176</v>
      </c>
      <c r="V34" s="156" t="s">
        <v>1176</v>
      </c>
      <c r="W34" s="156" t="s">
        <v>1176</v>
      </c>
      <c r="X34" s="158" t="s">
        <v>1285</v>
      </c>
      <c r="Z34" s="156" t="s">
        <v>1176</v>
      </c>
      <c r="AE34" s="158" t="s">
        <v>1286</v>
      </c>
      <c r="AF34" s="160" t="s">
        <v>1176</v>
      </c>
      <c r="AG34" s="161">
        <f t="shared" si="6"/>
        <v>0</v>
      </c>
      <c r="AH34" s="160" t="s">
        <v>1176</v>
      </c>
      <c r="AI34" s="161">
        <f t="shared" si="7"/>
        <v>0</v>
      </c>
      <c r="AJ34" s="160" t="s">
        <v>1176</v>
      </c>
      <c r="AK34" s="160"/>
      <c r="AL34" s="161">
        <f t="shared" si="8"/>
        <v>0</v>
      </c>
      <c r="AM34" s="162">
        <f t="shared" si="9"/>
        <v>0</v>
      </c>
      <c r="AN34" s="162">
        <f t="shared" si="10"/>
        <v>0</v>
      </c>
      <c r="AO34" s="156" t="s">
        <v>1174</v>
      </c>
      <c r="AP34" s="156" t="s">
        <v>1176</v>
      </c>
      <c r="AQ34" s="156" t="s">
        <v>1174</v>
      </c>
      <c r="AR34" s="156" t="s">
        <v>1176</v>
      </c>
      <c r="AS34" s="163">
        <v>41103</v>
      </c>
      <c r="AT34" s="163">
        <v>41156</v>
      </c>
      <c r="AU34" s="164">
        <f t="shared" si="11"/>
        <v>53</v>
      </c>
      <c r="AV34" s="165">
        <f t="shared" si="12"/>
        <v>7.5714285714285712</v>
      </c>
      <c r="AW34" s="164">
        <v>0</v>
      </c>
      <c r="AX34" s="166">
        <f t="shared" si="13"/>
        <v>0</v>
      </c>
      <c r="AY34" s="166">
        <f t="shared" si="14"/>
        <v>0</v>
      </c>
      <c r="AZ34" s="167">
        <f t="shared" si="0"/>
        <v>0</v>
      </c>
      <c r="BA34" s="156" t="s">
        <v>1176</v>
      </c>
      <c r="BB34" s="156" t="s">
        <v>1176</v>
      </c>
      <c r="BC34" s="156" t="s">
        <v>1176</v>
      </c>
      <c r="BD34" s="156" t="s">
        <v>1176</v>
      </c>
      <c r="BE34" s="160" t="s">
        <v>414</v>
      </c>
      <c r="BF34" s="161">
        <f t="shared" si="15"/>
        <v>0</v>
      </c>
      <c r="BG34" s="156" t="s">
        <v>1176</v>
      </c>
      <c r="BH34" s="156" t="s">
        <v>1176</v>
      </c>
      <c r="BJ34" s="169">
        <f t="shared" si="1"/>
        <v>0</v>
      </c>
      <c r="BK34" s="156" t="s">
        <v>1287</v>
      </c>
      <c r="BL34" s="156" t="s">
        <v>1176</v>
      </c>
      <c r="BM34" s="156" t="s">
        <v>1176</v>
      </c>
      <c r="BN34" s="161">
        <v>0</v>
      </c>
      <c r="BO34" s="170" t="s">
        <v>1176</v>
      </c>
      <c r="BP34" s="171">
        <f t="shared" si="16"/>
        <v>0</v>
      </c>
      <c r="BQ34" s="170" t="s">
        <v>1176</v>
      </c>
      <c r="BR34" s="171">
        <f t="shared" si="17"/>
        <v>0</v>
      </c>
      <c r="BS34" s="172">
        <f t="shared" si="18"/>
        <v>0</v>
      </c>
      <c r="BT34" s="173">
        <f t="shared" si="2"/>
        <v>0</v>
      </c>
      <c r="BU34" s="174">
        <f t="shared" si="19"/>
        <v>0</v>
      </c>
    </row>
    <row r="35" spans="1:73" ht="70">
      <c r="A35" s="156" t="s">
        <v>1171</v>
      </c>
      <c r="B35" s="156" t="s">
        <v>161</v>
      </c>
      <c r="C35" s="157">
        <v>34</v>
      </c>
      <c r="D35" s="156" t="s">
        <v>413</v>
      </c>
      <c r="E35" s="158" t="s">
        <v>162</v>
      </c>
      <c r="F35" s="158" t="s">
        <v>1173</v>
      </c>
      <c r="G35" s="156" t="s">
        <v>1174</v>
      </c>
      <c r="H35" s="159">
        <v>41103</v>
      </c>
      <c r="I35" s="156" t="s">
        <v>1175</v>
      </c>
      <c r="J35" s="156" t="s">
        <v>1176</v>
      </c>
      <c r="K35" s="160" t="s">
        <v>1174</v>
      </c>
      <c r="L35" s="161">
        <f t="shared" si="3"/>
        <v>0.25</v>
      </c>
      <c r="M35" s="160" t="s">
        <v>1174</v>
      </c>
      <c r="N35" s="161">
        <f t="shared" si="4"/>
        <v>0.25</v>
      </c>
      <c r="O35" s="162">
        <f t="shared" si="5"/>
        <v>0.5</v>
      </c>
      <c r="P35" s="156" t="s">
        <v>1174</v>
      </c>
      <c r="Q35" s="156" t="s">
        <v>1176</v>
      </c>
      <c r="R35" s="156" t="s">
        <v>1176</v>
      </c>
      <c r="S35" s="156" t="s">
        <v>671</v>
      </c>
      <c r="T35" s="156" t="s">
        <v>1176</v>
      </c>
      <c r="U35" s="156" t="s">
        <v>1176</v>
      </c>
      <c r="V35" s="156" t="s">
        <v>1176</v>
      </c>
      <c r="W35" s="156" t="s">
        <v>1176</v>
      </c>
      <c r="X35" s="158" t="s">
        <v>1288</v>
      </c>
      <c r="Y35" s="158" t="s">
        <v>1179</v>
      </c>
      <c r="Z35" s="156" t="s">
        <v>1174</v>
      </c>
      <c r="AA35" s="156" t="s">
        <v>1174</v>
      </c>
      <c r="AB35" s="156" t="s">
        <v>1176</v>
      </c>
      <c r="AC35" s="156" t="s">
        <v>1176</v>
      </c>
      <c r="AD35" s="156" t="s">
        <v>1176</v>
      </c>
      <c r="AE35" s="158" t="s">
        <v>1289</v>
      </c>
      <c r="AF35" s="160" t="s">
        <v>1176</v>
      </c>
      <c r="AG35" s="161">
        <f t="shared" si="6"/>
        <v>0</v>
      </c>
      <c r="AH35" s="160" t="s">
        <v>1176</v>
      </c>
      <c r="AI35" s="161">
        <f t="shared" si="7"/>
        <v>0</v>
      </c>
      <c r="AJ35" s="160" t="s">
        <v>1176</v>
      </c>
      <c r="AK35" s="160" t="s">
        <v>1290</v>
      </c>
      <c r="AL35" s="161">
        <f t="shared" si="8"/>
        <v>0</v>
      </c>
      <c r="AM35" s="162">
        <f t="shared" si="9"/>
        <v>0.5</v>
      </c>
      <c r="AN35" s="162">
        <f t="shared" si="10"/>
        <v>0.4</v>
      </c>
      <c r="AS35" s="163">
        <v>41103</v>
      </c>
      <c r="AT35" s="163">
        <v>41156</v>
      </c>
      <c r="AU35" s="164">
        <f t="shared" si="11"/>
        <v>53</v>
      </c>
      <c r="AV35" s="165">
        <f t="shared" si="12"/>
        <v>7.5714285714285712</v>
      </c>
      <c r="AW35" s="164">
        <v>5</v>
      </c>
      <c r="AX35" s="166">
        <f t="shared" si="13"/>
        <v>9.4339622641509441E-2</v>
      </c>
      <c r="AY35" s="166">
        <f t="shared" si="14"/>
        <v>0.66037735849056611</v>
      </c>
      <c r="AZ35" s="167">
        <f t="shared" si="0"/>
        <v>0.75</v>
      </c>
      <c r="BE35" s="160" t="s">
        <v>1180</v>
      </c>
      <c r="BF35" s="161">
        <f t="shared" si="15"/>
        <v>0.5</v>
      </c>
      <c r="BJ35" s="169">
        <f t="shared" si="1"/>
        <v>1.25</v>
      </c>
      <c r="BN35" s="176"/>
      <c r="BO35" s="170" t="s">
        <v>1174</v>
      </c>
      <c r="BP35" s="171">
        <f t="shared" si="16"/>
        <v>0.5</v>
      </c>
      <c r="BQ35" s="170" t="s">
        <v>1176</v>
      </c>
      <c r="BR35" s="171">
        <f t="shared" si="17"/>
        <v>0</v>
      </c>
      <c r="BS35" s="172">
        <f t="shared" si="18"/>
        <v>0.5</v>
      </c>
      <c r="BT35" s="173">
        <f t="shared" si="2"/>
        <v>2.15</v>
      </c>
      <c r="BU35" s="174">
        <f t="shared" si="19"/>
        <v>2.8666666666666663</v>
      </c>
    </row>
    <row r="36" spans="1:73" ht="84">
      <c r="A36" s="156" t="s">
        <v>1171</v>
      </c>
      <c r="B36" s="156" t="s">
        <v>163</v>
      </c>
      <c r="C36" s="157">
        <v>35</v>
      </c>
      <c r="D36" s="156" t="s">
        <v>74</v>
      </c>
      <c r="E36" s="158" t="s">
        <v>1291</v>
      </c>
      <c r="F36" s="158" t="s">
        <v>1173</v>
      </c>
      <c r="G36" s="156" t="s">
        <v>1174</v>
      </c>
      <c r="H36" s="159">
        <v>41103</v>
      </c>
      <c r="I36" s="156" t="s">
        <v>1190</v>
      </c>
      <c r="J36" s="156" t="s">
        <v>1176</v>
      </c>
      <c r="K36" s="160" t="s">
        <v>1176</v>
      </c>
      <c r="L36" s="161">
        <f t="shared" si="3"/>
        <v>0</v>
      </c>
      <c r="M36" s="160" t="s">
        <v>1174</v>
      </c>
      <c r="N36" s="161">
        <f t="shared" si="4"/>
        <v>0.25</v>
      </c>
      <c r="O36" s="162">
        <f t="shared" si="5"/>
        <v>0.25</v>
      </c>
      <c r="P36" s="156" t="s">
        <v>1174</v>
      </c>
      <c r="Q36" s="156" t="s">
        <v>1176</v>
      </c>
      <c r="R36" s="156" t="s">
        <v>1176</v>
      </c>
      <c r="S36" s="156" t="s">
        <v>671</v>
      </c>
      <c r="T36" s="156" t="s">
        <v>1176</v>
      </c>
      <c r="U36" s="156" t="s">
        <v>1176</v>
      </c>
      <c r="V36" s="156" t="s">
        <v>1174</v>
      </c>
      <c r="W36" s="156" t="s">
        <v>1176</v>
      </c>
      <c r="X36" s="158" t="s">
        <v>1292</v>
      </c>
      <c r="Y36" s="158" t="s">
        <v>1179</v>
      </c>
      <c r="Z36" s="156" t="s">
        <v>1174</v>
      </c>
      <c r="AA36" s="156" t="s">
        <v>1174</v>
      </c>
      <c r="AB36" s="156" t="s">
        <v>1174</v>
      </c>
      <c r="AC36" s="156" t="s">
        <v>1176</v>
      </c>
      <c r="AD36" s="156" t="s">
        <v>1176</v>
      </c>
      <c r="AE36" s="158" t="s">
        <v>1293</v>
      </c>
      <c r="AF36" s="160" t="s">
        <v>1176</v>
      </c>
      <c r="AG36" s="161">
        <f t="shared" si="6"/>
        <v>0</v>
      </c>
      <c r="AH36" s="160" t="s">
        <v>1176</v>
      </c>
      <c r="AI36" s="161">
        <f t="shared" si="7"/>
        <v>0</v>
      </c>
      <c r="AJ36" s="160" t="s">
        <v>1176</v>
      </c>
      <c r="AK36" s="160" t="s">
        <v>671</v>
      </c>
      <c r="AL36" s="161">
        <f t="shared" si="8"/>
        <v>0</v>
      </c>
      <c r="AM36" s="162">
        <f t="shared" si="9"/>
        <v>0.25</v>
      </c>
      <c r="AN36" s="162">
        <f t="shared" si="10"/>
        <v>0.2</v>
      </c>
      <c r="AO36" s="156" t="s">
        <v>1174</v>
      </c>
      <c r="AP36" s="156" t="s">
        <v>1176</v>
      </c>
      <c r="AQ36" s="156" t="s">
        <v>1174</v>
      </c>
      <c r="AR36" s="156" t="s">
        <v>1174</v>
      </c>
      <c r="AS36" s="163">
        <v>41103</v>
      </c>
      <c r="AT36" s="163">
        <v>41156</v>
      </c>
      <c r="AU36" s="164">
        <f t="shared" si="11"/>
        <v>53</v>
      </c>
      <c r="AV36" s="165">
        <f t="shared" si="12"/>
        <v>7.5714285714285712</v>
      </c>
      <c r="AW36" s="164">
        <v>3</v>
      </c>
      <c r="AX36" s="166">
        <f t="shared" si="13"/>
        <v>5.6603773584905662E-2</v>
      </c>
      <c r="AY36" s="166">
        <f t="shared" si="14"/>
        <v>0.39622641509433965</v>
      </c>
      <c r="AZ36" s="167">
        <f t="shared" si="0"/>
        <v>0.5</v>
      </c>
      <c r="BA36" s="156" t="s">
        <v>1176</v>
      </c>
      <c r="BB36" s="156" t="s">
        <v>1176</v>
      </c>
      <c r="BC36" s="156" t="s">
        <v>1176</v>
      </c>
      <c r="BD36" s="156" t="s">
        <v>1176</v>
      </c>
      <c r="BE36" s="160" t="s">
        <v>1180</v>
      </c>
      <c r="BF36" s="161">
        <f t="shared" si="15"/>
        <v>0.5</v>
      </c>
      <c r="BG36" s="156" t="s">
        <v>1176</v>
      </c>
      <c r="BH36" s="156" t="s">
        <v>1176</v>
      </c>
      <c r="BI36" s="156" t="s">
        <v>1294</v>
      </c>
      <c r="BJ36" s="169">
        <f t="shared" si="1"/>
        <v>1</v>
      </c>
      <c r="BK36" s="156" t="s">
        <v>684</v>
      </c>
      <c r="BL36" s="156" t="s">
        <v>1174</v>
      </c>
      <c r="BM36" s="156" t="s">
        <v>1176</v>
      </c>
      <c r="BN36" s="161">
        <v>0.5</v>
      </c>
      <c r="BO36" s="170" t="s">
        <v>1176</v>
      </c>
      <c r="BP36" s="171">
        <f t="shared" si="16"/>
        <v>0</v>
      </c>
      <c r="BQ36" s="170" t="s">
        <v>1176</v>
      </c>
      <c r="BR36" s="171">
        <f t="shared" si="17"/>
        <v>0</v>
      </c>
      <c r="BS36" s="172">
        <f t="shared" si="18"/>
        <v>0.5</v>
      </c>
      <c r="BT36" s="173">
        <f t="shared" si="2"/>
        <v>1.7</v>
      </c>
      <c r="BU36" s="174">
        <f t="shared" si="19"/>
        <v>2.2666666666666666</v>
      </c>
    </row>
    <row r="37" spans="1:73" ht="70">
      <c r="A37" s="156" t="s">
        <v>1171</v>
      </c>
      <c r="B37" s="156" t="s">
        <v>165</v>
      </c>
      <c r="C37" s="157">
        <v>36</v>
      </c>
      <c r="D37" s="156" t="s">
        <v>74</v>
      </c>
      <c r="E37" s="158" t="s">
        <v>1295</v>
      </c>
      <c r="F37" s="158" t="s">
        <v>1173</v>
      </c>
      <c r="G37" s="156" t="s">
        <v>1174</v>
      </c>
      <c r="H37" s="159">
        <v>41103</v>
      </c>
      <c r="I37" s="156" t="s">
        <v>1185</v>
      </c>
      <c r="J37" s="156" t="s">
        <v>1176</v>
      </c>
      <c r="K37" s="160" t="s">
        <v>1176</v>
      </c>
      <c r="L37" s="161">
        <f t="shared" si="3"/>
        <v>0</v>
      </c>
      <c r="M37" s="160" t="s">
        <v>1176</v>
      </c>
      <c r="N37" s="161">
        <f t="shared" si="4"/>
        <v>0</v>
      </c>
      <c r="O37" s="162">
        <f t="shared" si="5"/>
        <v>0</v>
      </c>
      <c r="P37" s="156" t="s">
        <v>1174</v>
      </c>
      <c r="Q37" s="156" t="s">
        <v>1176</v>
      </c>
      <c r="R37" s="156" t="s">
        <v>1176</v>
      </c>
      <c r="S37" s="156" t="s">
        <v>671</v>
      </c>
      <c r="T37" s="156" t="s">
        <v>1176</v>
      </c>
      <c r="U37" s="156" t="s">
        <v>1176</v>
      </c>
      <c r="V37" s="156" t="s">
        <v>1176</v>
      </c>
      <c r="W37" s="156" t="s">
        <v>1176</v>
      </c>
      <c r="X37" s="158" t="s">
        <v>1296</v>
      </c>
      <c r="Y37" s="158" t="s">
        <v>1179</v>
      </c>
      <c r="Z37" s="156" t="s">
        <v>1174</v>
      </c>
      <c r="AA37" s="156" t="s">
        <v>1174</v>
      </c>
      <c r="AB37" s="156" t="s">
        <v>1174</v>
      </c>
      <c r="AC37" s="156" t="s">
        <v>1176</v>
      </c>
      <c r="AD37" s="156" t="s">
        <v>1176</v>
      </c>
      <c r="AE37" s="158" t="s">
        <v>1297</v>
      </c>
      <c r="AF37" s="160" t="s">
        <v>1176</v>
      </c>
      <c r="AG37" s="161">
        <f t="shared" si="6"/>
        <v>0</v>
      </c>
      <c r="AH37" s="160" t="s">
        <v>1176</v>
      </c>
      <c r="AI37" s="161">
        <f t="shared" si="7"/>
        <v>0</v>
      </c>
      <c r="AJ37" s="160" t="s">
        <v>1176</v>
      </c>
      <c r="AK37" s="160" t="s">
        <v>671</v>
      </c>
      <c r="AL37" s="161">
        <f t="shared" si="8"/>
        <v>0</v>
      </c>
      <c r="AM37" s="162">
        <f t="shared" si="9"/>
        <v>0</v>
      </c>
      <c r="AN37" s="162">
        <f t="shared" si="10"/>
        <v>0</v>
      </c>
      <c r="AO37" s="156" t="s">
        <v>1174</v>
      </c>
      <c r="AQ37" s="156" t="s">
        <v>1174</v>
      </c>
      <c r="AR37" s="156" t="s">
        <v>1174</v>
      </c>
      <c r="AS37" s="163">
        <v>41103</v>
      </c>
      <c r="AT37" s="163">
        <v>41156</v>
      </c>
      <c r="AU37" s="164">
        <f t="shared" si="11"/>
        <v>53</v>
      </c>
      <c r="AV37" s="165">
        <f t="shared" si="12"/>
        <v>7.5714285714285712</v>
      </c>
      <c r="AW37" s="164">
        <v>0</v>
      </c>
      <c r="AX37" s="166">
        <f t="shared" si="13"/>
        <v>0</v>
      </c>
      <c r="AY37" s="166">
        <f t="shared" si="14"/>
        <v>0</v>
      </c>
      <c r="AZ37" s="167">
        <f t="shared" si="0"/>
        <v>0</v>
      </c>
      <c r="BA37" s="156" t="s">
        <v>1176</v>
      </c>
      <c r="BB37" s="156" t="s">
        <v>1176</v>
      </c>
      <c r="BC37" s="156" t="s">
        <v>1176</v>
      </c>
      <c r="BD37" s="156" t="s">
        <v>1176</v>
      </c>
      <c r="BE37" s="160" t="s">
        <v>414</v>
      </c>
      <c r="BF37" s="161">
        <f t="shared" si="15"/>
        <v>0</v>
      </c>
      <c r="BG37" s="156" t="s">
        <v>1176</v>
      </c>
      <c r="BH37" s="156" t="s">
        <v>1176</v>
      </c>
      <c r="BI37" s="156" t="s">
        <v>684</v>
      </c>
      <c r="BJ37" s="169">
        <f t="shared" si="1"/>
        <v>0</v>
      </c>
      <c r="BK37" s="156" t="s">
        <v>684</v>
      </c>
      <c r="BL37" s="156" t="s">
        <v>1174</v>
      </c>
      <c r="BM37" s="156" t="s">
        <v>1176</v>
      </c>
      <c r="BN37" s="161">
        <v>0</v>
      </c>
      <c r="BO37" s="170" t="s">
        <v>1176</v>
      </c>
      <c r="BP37" s="171">
        <f t="shared" si="16"/>
        <v>0</v>
      </c>
      <c r="BQ37" s="170" t="s">
        <v>1176</v>
      </c>
      <c r="BR37" s="171">
        <f t="shared" si="17"/>
        <v>0</v>
      </c>
      <c r="BS37" s="172">
        <f t="shared" si="18"/>
        <v>0</v>
      </c>
      <c r="BT37" s="173">
        <f t="shared" si="2"/>
        <v>0</v>
      </c>
      <c r="BU37" s="174">
        <f t="shared" si="19"/>
        <v>0</v>
      </c>
    </row>
    <row r="38" spans="1:73">
      <c r="A38" s="156" t="s">
        <v>1171</v>
      </c>
      <c r="B38" s="156" t="s">
        <v>167</v>
      </c>
      <c r="C38" s="157">
        <v>37</v>
      </c>
      <c r="D38" s="156" t="s">
        <v>413</v>
      </c>
      <c r="E38" s="158" t="s">
        <v>168</v>
      </c>
      <c r="G38" s="156" t="s">
        <v>1176</v>
      </c>
      <c r="K38" s="177" t="s">
        <v>1176</v>
      </c>
      <c r="L38" s="161">
        <f t="shared" si="3"/>
        <v>0</v>
      </c>
      <c r="M38" s="177" t="s">
        <v>1176</v>
      </c>
      <c r="N38" s="161">
        <f t="shared" si="4"/>
        <v>0</v>
      </c>
      <c r="O38" s="162">
        <f t="shared" si="5"/>
        <v>0</v>
      </c>
      <c r="Z38" s="156" t="s">
        <v>1176</v>
      </c>
      <c r="AF38" s="177" t="s">
        <v>1176</v>
      </c>
      <c r="AG38" s="161">
        <f t="shared" si="6"/>
        <v>0</v>
      </c>
      <c r="AH38" s="160" t="s">
        <v>1176</v>
      </c>
      <c r="AI38" s="161">
        <f t="shared" si="7"/>
        <v>0</v>
      </c>
      <c r="AJ38" s="177" t="s">
        <v>1176</v>
      </c>
      <c r="AK38" s="177"/>
      <c r="AL38" s="161">
        <f t="shared" si="8"/>
        <v>0</v>
      </c>
      <c r="AM38" s="162">
        <f t="shared" si="9"/>
        <v>0</v>
      </c>
      <c r="AN38" s="162">
        <f t="shared" si="10"/>
        <v>0</v>
      </c>
      <c r="AS38" s="175"/>
      <c r="AT38" s="163">
        <v>41156</v>
      </c>
      <c r="AU38" s="164">
        <v>0</v>
      </c>
      <c r="AV38" s="165">
        <v>0</v>
      </c>
      <c r="AW38" s="164">
        <v>0</v>
      </c>
      <c r="AX38" s="166">
        <v>0</v>
      </c>
      <c r="AY38" s="166">
        <v>0</v>
      </c>
      <c r="AZ38" s="167">
        <f t="shared" si="0"/>
        <v>0</v>
      </c>
      <c r="BE38" s="177" t="s">
        <v>414</v>
      </c>
      <c r="BF38" s="161">
        <f t="shared" si="15"/>
        <v>0</v>
      </c>
      <c r="BJ38" s="169">
        <f t="shared" si="1"/>
        <v>0</v>
      </c>
      <c r="BN38" s="176"/>
      <c r="BO38" s="170" t="s">
        <v>1176</v>
      </c>
      <c r="BP38" s="171">
        <f t="shared" si="16"/>
        <v>0</v>
      </c>
      <c r="BQ38" s="170" t="s">
        <v>1176</v>
      </c>
      <c r="BR38" s="171">
        <f t="shared" si="17"/>
        <v>0</v>
      </c>
      <c r="BS38" s="172">
        <f t="shared" si="18"/>
        <v>0</v>
      </c>
      <c r="BT38" s="173">
        <f t="shared" si="2"/>
        <v>0</v>
      </c>
      <c r="BU38" s="174">
        <f t="shared" si="19"/>
        <v>0</v>
      </c>
    </row>
    <row r="39" spans="1:73" ht="84">
      <c r="A39" s="156" t="s">
        <v>1171</v>
      </c>
      <c r="B39" s="156" t="s">
        <v>169</v>
      </c>
      <c r="C39" s="157">
        <v>38</v>
      </c>
      <c r="D39" s="156" t="s">
        <v>413</v>
      </c>
      <c r="E39" s="158" t="s">
        <v>170</v>
      </c>
      <c r="F39" s="158" t="s">
        <v>1173</v>
      </c>
      <c r="G39" s="156" t="s">
        <v>1174</v>
      </c>
      <c r="H39" s="159">
        <v>41103</v>
      </c>
      <c r="I39" s="156" t="s">
        <v>1175</v>
      </c>
      <c r="J39" s="156" t="s">
        <v>1176</v>
      </c>
      <c r="K39" s="160" t="s">
        <v>1176</v>
      </c>
      <c r="L39" s="161">
        <f t="shared" si="3"/>
        <v>0</v>
      </c>
      <c r="M39" s="160" t="s">
        <v>1174</v>
      </c>
      <c r="N39" s="161">
        <f t="shared" si="4"/>
        <v>0.25</v>
      </c>
      <c r="O39" s="162">
        <f t="shared" si="5"/>
        <v>0.25</v>
      </c>
      <c r="P39" s="156" t="s">
        <v>1174</v>
      </c>
      <c r="Q39" s="156" t="s">
        <v>1176</v>
      </c>
      <c r="R39" s="156" t="s">
        <v>1176</v>
      </c>
      <c r="S39" s="156" t="s">
        <v>671</v>
      </c>
      <c r="T39" s="156" t="s">
        <v>1176</v>
      </c>
      <c r="U39" s="156" t="s">
        <v>1176</v>
      </c>
      <c r="V39" s="156" t="s">
        <v>1176</v>
      </c>
      <c r="W39" s="156" t="s">
        <v>1176</v>
      </c>
      <c r="X39" s="158" t="s">
        <v>1298</v>
      </c>
      <c r="Y39" s="158" t="s">
        <v>1179</v>
      </c>
      <c r="Z39" s="156" t="s">
        <v>1174</v>
      </c>
      <c r="AA39" s="156" t="s">
        <v>1174</v>
      </c>
      <c r="AB39" s="156" t="s">
        <v>1176</v>
      </c>
      <c r="AC39" s="156" t="s">
        <v>1176</v>
      </c>
      <c r="AD39" s="156" t="s">
        <v>1176</v>
      </c>
      <c r="AE39" s="158" t="s">
        <v>1299</v>
      </c>
      <c r="AF39" s="160" t="s">
        <v>1176</v>
      </c>
      <c r="AG39" s="161">
        <f t="shared" si="6"/>
        <v>0</v>
      </c>
      <c r="AH39" s="160" t="s">
        <v>1176</v>
      </c>
      <c r="AI39" s="161">
        <f t="shared" si="7"/>
        <v>0</v>
      </c>
      <c r="AJ39" s="160" t="s">
        <v>1176</v>
      </c>
      <c r="AK39" s="160" t="s">
        <v>671</v>
      </c>
      <c r="AL39" s="161">
        <f t="shared" si="8"/>
        <v>0</v>
      </c>
      <c r="AM39" s="162">
        <f t="shared" si="9"/>
        <v>0.25</v>
      </c>
      <c r="AN39" s="162">
        <f t="shared" si="10"/>
        <v>0.2</v>
      </c>
      <c r="AS39" s="163">
        <v>41103</v>
      </c>
      <c r="AT39" s="163">
        <v>41156</v>
      </c>
      <c r="AU39" s="164">
        <f t="shared" si="11"/>
        <v>53</v>
      </c>
      <c r="AV39" s="165">
        <f t="shared" si="12"/>
        <v>7.5714285714285712</v>
      </c>
      <c r="AW39" s="164">
        <v>8</v>
      </c>
      <c r="AX39" s="166">
        <f t="shared" si="13"/>
        <v>0.15094339622641509</v>
      </c>
      <c r="AY39" s="166">
        <f t="shared" si="14"/>
        <v>1.0566037735849056</v>
      </c>
      <c r="AZ39" s="167">
        <f t="shared" si="0"/>
        <v>1</v>
      </c>
      <c r="BE39" s="160" t="s">
        <v>1180</v>
      </c>
      <c r="BF39" s="161">
        <f t="shared" si="15"/>
        <v>0.5</v>
      </c>
      <c r="BJ39" s="169">
        <f t="shared" si="1"/>
        <v>1.5</v>
      </c>
      <c r="BN39" s="176"/>
      <c r="BO39" s="170" t="s">
        <v>1176</v>
      </c>
      <c r="BP39" s="171">
        <f t="shared" si="16"/>
        <v>0</v>
      </c>
      <c r="BQ39" s="170" t="s">
        <v>1176</v>
      </c>
      <c r="BR39" s="171">
        <f t="shared" si="17"/>
        <v>0</v>
      </c>
      <c r="BS39" s="172">
        <f t="shared" si="18"/>
        <v>0</v>
      </c>
      <c r="BT39" s="173">
        <f t="shared" si="2"/>
        <v>1.7</v>
      </c>
      <c r="BU39" s="174">
        <f t="shared" si="19"/>
        <v>2.2666666666666666</v>
      </c>
    </row>
    <row r="40" spans="1:73" ht="56">
      <c r="A40" s="156" t="s">
        <v>1171</v>
      </c>
      <c r="B40" s="156" t="s">
        <v>171</v>
      </c>
      <c r="C40" s="157">
        <v>39</v>
      </c>
      <c r="D40" s="156" t="s">
        <v>74</v>
      </c>
      <c r="E40" s="158" t="s">
        <v>1300</v>
      </c>
      <c r="G40" s="156" t="s">
        <v>1176</v>
      </c>
      <c r="K40" s="177" t="s">
        <v>1176</v>
      </c>
      <c r="L40" s="161">
        <f t="shared" si="3"/>
        <v>0</v>
      </c>
      <c r="M40" s="177" t="s">
        <v>1176</v>
      </c>
      <c r="N40" s="161">
        <f t="shared" si="4"/>
        <v>0</v>
      </c>
      <c r="O40" s="162">
        <f t="shared" si="5"/>
        <v>0</v>
      </c>
      <c r="X40" s="158" t="s">
        <v>1301</v>
      </c>
      <c r="Y40" s="158" t="s">
        <v>1179</v>
      </c>
      <c r="Z40" s="156" t="s">
        <v>1174</v>
      </c>
      <c r="AA40" s="156" t="s">
        <v>1174</v>
      </c>
      <c r="AB40" s="156" t="s">
        <v>1174</v>
      </c>
      <c r="AC40" s="156" t="s">
        <v>1176</v>
      </c>
      <c r="AD40" s="156" t="s">
        <v>1174</v>
      </c>
      <c r="AE40" s="158" t="s">
        <v>1302</v>
      </c>
      <c r="AF40" s="177" t="s">
        <v>1174</v>
      </c>
      <c r="AG40" s="161">
        <f t="shared" si="6"/>
        <v>0.25</v>
      </c>
      <c r="AH40" s="177" t="s">
        <v>1176</v>
      </c>
      <c r="AI40" s="161">
        <f t="shared" si="7"/>
        <v>0</v>
      </c>
      <c r="AJ40" s="177" t="s">
        <v>1174</v>
      </c>
      <c r="AK40" s="177" t="s">
        <v>1303</v>
      </c>
      <c r="AL40" s="161">
        <f t="shared" si="8"/>
        <v>0.25</v>
      </c>
      <c r="AM40" s="162">
        <f t="shared" si="9"/>
        <v>0.5</v>
      </c>
      <c r="AN40" s="162">
        <f t="shared" si="10"/>
        <v>0.4</v>
      </c>
      <c r="AO40" s="156" t="s">
        <v>1174</v>
      </c>
      <c r="AP40" s="156" t="s">
        <v>1174</v>
      </c>
      <c r="AQ40" s="156" t="s">
        <v>1176</v>
      </c>
      <c r="AR40" s="156" t="s">
        <v>1174</v>
      </c>
      <c r="AS40" s="163">
        <v>41106</v>
      </c>
      <c r="AT40" s="163">
        <v>41156</v>
      </c>
      <c r="AU40" s="164">
        <v>0</v>
      </c>
      <c r="AV40" s="165">
        <v>0</v>
      </c>
      <c r="AW40" s="164">
        <v>0</v>
      </c>
      <c r="AX40" s="166">
        <v>0</v>
      </c>
      <c r="AY40" s="166">
        <v>0</v>
      </c>
      <c r="AZ40" s="167">
        <f t="shared" si="0"/>
        <v>0</v>
      </c>
      <c r="BA40" s="156" t="s">
        <v>1176</v>
      </c>
      <c r="BB40" s="156" t="s">
        <v>1176</v>
      </c>
      <c r="BC40" s="156" t="s">
        <v>1176</v>
      </c>
      <c r="BD40" s="156" t="s">
        <v>1176</v>
      </c>
      <c r="BE40" s="177" t="s">
        <v>414</v>
      </c>
      <c r="BF40" s="161">
        <f t="shared" si="15"/>
        <v>0</v>
      </c>
      <c r="BG40" s="156" t="s">
        <v>1176</v>
      </c>
      <c r="BH40" s="156" t="s">
        <v>1176</v>
      </c>
      <c r="BI40" s="156" t="s">
        <v>684</v>
      </c>
      <c r="BJ40" s="169">
        <f t="shared" si="1"/>
        <v>0</v>
      </c>
      <c r="BK40" s="156" t="s">
        <v>684</v>
      </c>
      <c r="BL40" s="156" t="s">
        <v>1174</v>
      </c>
      <c r="BM40" s="156" t="s">
        <v>1176</v>
      </c>
      <c r="BN40" s="161">
        <v>0</v>
      </c>
      <c r="BO40" s="170" t="s">
        <v>1176</v>
      </c>
      <c r="BP40" s="171">
        <f t="shared" si="16"/>
        <v>0</v>
      </c>
      <c r="BQ40" s="170" t="s">
        <v>1176</v>
      </c>
      <c r="BR40" s="171">
        <f t="shared" si="17"/>
        <v>0</v>
      </c>
      <c r="BS40" s="172">
        <f t="shared" si="18"/>
        <v>0</v>
      </c>
      <c r="BT40" s="173">
        <f t="shared" si="2"/>
        <v>0.4</v>
      </c>
      <c r="BU40" s="174">
        <f t="shared" si="19"/>
        <v>0.53333333333333333</v>
      </c>
    </row>
    <row r="41" spans="1:73" ht="70">
      <c r="A41" s="156" t="s">
        <v>1171</v>
      </c>
      <c r="B41" s="156" t="s">
        <v>174</v>
      </c>
      <c r="C41" s="157">
        <v>40</v>
      </c>
      <c r="D41" s="156" t="s">
        <v>74</v>
      </c>
      <c r="E41" s="158" t="s">
        <v>176</v>
      </c>
      <c r="F41" s="158" t="s">
        <v>1173</v>
      </c>
      <c r="G41" s="156" t="s">
        <v>1174</v>
      </c>
      <c r="H41" s="159">
        <v>41103</v>
      </c>
      <c r="I41" s="156" t="s">
        <v>1185</v>
      </c>
      <c r="J41" s="156" t="s">
        <v>1176</v>
      </c>
      <c r="K41" s="160" t="s">
        <v>1176</v>
      </c>
      <c r="L41" s="161">
        <f t="shared" si="3"/>
        <v>0</v>
      </c>
      <c r="M41" s="160" t="s">
        <v>1176</v>
      </c>
      <c r="N41" s="161">
        <f t="shared" si="4"/>
        <v>0</v>
      </c>
      <c r="O41" s="162">
        <f t="shared" si="5"/>
        <v>0</v>
      </c>
      <c r="P41" s="156" t="s">
        <v>1174</v>
      </c>
      <c r="Q41" s="156" t="s">
        <v>1176</v>
      </c>
      <c r="R41" s="156" t="s">
        <v>1176</v>
      </c>
      <c r="S41" s="156" t="s">
        <v>671</v>
      </c>
      <c r="T41" s="156" t="s">
        <v>1176</v>
      </c>
      <c r="U41" s="156" t="s">
        <v>1176</v>
      </c>
      <c r="V41" s="156" t="s">
        <v>1176</v>
      </c>
      <c r="W41" s="156" t="s">
        <v>1176</v>
      </c>
      <c r="X41" s="158" t="s">
        <v>1304</v>
      </c>
      <c r="Y41" s="158" t="s">
        <v>1179</v>
      </c>
      <c r="Z41" s="156" t="s">
        <v>1174</v>
      </c>
      <c r="AA41" s="156" t="s">
        <v>1176</v>
      </c>
      <c r="AB41" s="156" t="s">
        <v>1174</v>
      </c>
      <c r="AC41" s="156" t="s">
        <v>1176</v>
      </c>
      <c r="AD41" s="156" t="s">
        <v>1176</v>
      </c>
      <c r="AE41" s="158" t="s">
        <v>1305</v>
      </c>
      <c r="AF41" s="160" t="s">
        <v>1176</v>
      </c>
      <c r="AG41" s="161">
        <f t="shared" si="6"/>
        <v>0</v>
      </c>
      <c r="AH41" s="160" t="s">
        <v>1176</v>
      </c>
      <c r="AI41" s="161">
        <f t="shared" si="7"/>
        <v>0</v>
      </c>
      <c r="AJ41" s="160" t="s">
        <v>1176</v>
      </c>
      <c r="AK41" s="160" t="s">
        <v>671</v>
      </c>
      <c r="AL41" s="161">
        <f t="shared" si="8"/>
        <v>0</v>
      </c>
      <c r="AM41" s="162">
        <f t="shared" si="9"/>
        <v>0</v>
      </c>
      <c r="AN41" s="162">
        <f t="shared" si="10"/>
        <v>0</v>
      </c>
      <c r="AO41" s="156" t="s">
        <v>1174</v>
      </c>
      <c r="AP41" s="156" t="s">
        <v>1176</v>
      </c>
      <c r="AQ41" s="156" t="s">
        <v>1174</v>
      </c>
      <c r="AR41" s="156" t="s">
        <v>1174</v>
      </c>
      <c r="AS41" s="163">
        <v>41103</v>
      </c>
      <c r="AT41" s="163">
        <v>41156</v>
      </c>
      <c r="AU41" s="164">
        <f t="shared" si="11"/>
        <v>53</v>
      </c>
      <c r="AV41" s="165">
        <f t="shared" si="12"/>
        <v>7.5714285714285712</v>
      </c>
      <c r="AW41" s="164">
        <v>25</v>
      </c>
      <c r="AX41" s="166">
        <f t="shared" si="13"/>
        <v>0.47169811320754718</v>
      </c>
      <c r="AY41" s="166">
        <f t="shared" si="14"/>
        <v>3.3018867924528301</v>
      </c>
      <c r="AZ41" s="167">
        <v>0.25</v>
      </c>
      <c r="BA41" s="156" t="s">
        <v>1174</v>
      </c>
      <c r="BB41" s="156" t="s">
        <v>1174</v>
      </c>
      <c r="BC41" s="156" t="s">
        <v>1176</v>
      </c>
      <c r="BD41" s="156" t="s">
        <v>1174</v>
      </c>
      <c r="BE41" s="160" t="s">
        <v>1180</v>
      </c>
      <c r="BF41" s="161">
        <f t="shared" si="15"/>
        <v>0.5</v>
      </c>
      <c r="BG41" s="156" t="s">
        <v>1174</v>
      </c>
      <c r="BH41" s="156" t="s">
        <v>1174</v>
      </c>
      <c r="BI41" s="156" t="s">
        <v>1306</v>
      </c>
      <c r="BJ41" s="169">
        <f t="shared" si="1"/>
        <v>0.75</v>
      </c>
      <c r="BK41" s="156" t="s">
        <v>1307</v>
      </c>
      <c r="BL41" s="156" t="s">
        <v>1174</v>
      </c>
      <c r="BM41" s="156" t="s">
        <v>1176</v>
      </c>
      <c r="BN41" s="161">
        <v>0.25</v>
      </c>
      <c r="BO41" s="170" t="s">
        <v>1176</v>
      </c>
      <c r="BP41" s="171">
        <f t="shared" si="16"/>
        <v>0</v>
      </c>
      <c r="BQ41" s="170" t="s">
        <v>1176</v>
      </c>
      <c r="BR41" s="171">
        <f t="shared" si="17"/>
        <v>0</v>
      </c>
      <c r="BS41" s="172">
        <f t="shared" si="18"/>
        <v>0.25</v>
      </c>
      <c r="BT41" s="173">
        <f t="shared" si="2"/>
        <v>1</v>
      </c>
      <c r="BU41" s="174">
        <f t="shared" si="19"/>
        <v>1.3333333333333333</v>
      </c>
    </row>
    <row r="42" spans="1:73" ht="28">
      <c r="A42" s="156" t="s">
        <v>1171</v>
      </c>
      <c r="B42" s="156" t="s">
        <v>177</v>
      </c>
      <c r="C42" s="157">
        <v>41</v>
      </c>
      <c r="D42" s="156" t="s">
        <v>74</v>
      </c>
      <c r="E42" s="158" t="s">
        <v>1308</v>
      </c>
      <c r="G42" s="156" t="s">
        <v>1176</v>
      </c>
      <c r="K42" s="177" t="s">
        <v>1176</v>
      </c>
      <c r="L42" s="161">
        <f t="shared" si="3"/>
        <v>0</v>
      </c>
      <c r="M42" s="177" t="s">
        <v>1176</v>
      </c>
      <c r="N42" s="161">
        <f t="shared" si="4"/>
        <v>0</v>
      </c>
      <c r="O42" s="162">
        <f t="shared" si="5"/>
        <v>0</v>
      </c>
      <c r="X42" s="158" t="s">
        <v>1257</v>
      </c>
      <c r="Z42" s="156" t="s">
        <v>1176</v>
      </c>
      <c r="AE42" s="158" t="s">
        <v>1309</v>
      </c>
      <c r="AF42" s="177" t="s">
        <v>1176</v>
      </c>
      <c r="AG42" s="161">
        <f t="shared" si="6"/>
        <v>0</v>
      </c>
      <c r="AH42" s="160" t="s">
        <v>1176</v>
      </c>
      <c r="AI42" s="161">
        <f t="shared" si="7"/>
        <v>0</v>
      </c>
      <c r="AJ42" s="177" t="s">
        <v>1176</v>
      </c>
      <c r="AK42" s="177"/>
      <c r="AL42" s="161">
        <f t="shared" si="8"/>
        <v>0</v>
      </c>
      <c r="AM42" s="162">
        <f t="shared" si="9"/>
        <v>0</v>
      </c>
      <c r="AN42" s="162">
        <f t="shared" si="10"/>
        <v>0</v>
      </c>
      <c r="AS42" s="175"/>
      <c r="AT42" s="163">
        <v>41156</v>
      </c>
      <c r="AU42" s="164">
        <v>0</v>
      </c>
      <c r="AV42" s="165">
        <v>0</v>
      </c>
      <c r="AW42" s="164">
        <v>0</v>
      </c>
      <c r="AX42" s="166">
        <v>0</v>
      </c>
      <c r="AY42" s="166">
        <v>0</v>
      </c>
      <c r="AZ42" s="167">
        <f t="shared" si="0"/>
        <v>0</v>
      </c>
      <c r="BE42" s="177" t="s">
        <v>414</v>
      </c>
      <c r="BF42" s="161">
        <f t="shared" si="15"/>
        <v>0</v>
      </c>
      <c r="BJ42" s="169">
        <f t="shared" si="1"/>
        <v>0</v>
      </c>
      <c r="BK42" s="156" t="s">
        <v>1310</v>
      </c>
      <c r="BN42" s="176"/>
      <c r="BO42" s="170" t="s">
        <v>1176</v>
      </c>
      <c r="BP42" s="171">
        <f t="shared" si="16"/>
        <v>0</v>
      </c>
      <c r="BQ42" s="170" t="s">
        <v>1176</v>
      </c>
      <c r="BR42" s="171">
        <f t="shared" si="17"/>
        <v>0</v>
      </c>
      <c r="BS42" s="172">
        <f t="shared" si="18"/>
        <v>0</v>
      </c>
      <c r="BT42" s="173">
        <f t="shared" si="2"/>
        <v>0</v>
      </c>
      <c r="BU42" s="174">
        <f t="shared" si="19"/>
        <v>0</v>
      </c>
    </row>
    <row r="43" spans="1:73" ht="28">
      <c r="A43" s="156" t="s">
        <v>1171</v>
      </c>
      <c r="B43" s="156" t="s">
        <v>180</v>
      </c>
      <c r="C43" s="157">
        <v>42</v>
      </c>
      <c r="D43" s="156" t="s">
        <v>413</v>
      </c>
      <c r="E43" s="158" t="s">
        <v>181</v>
      </c>
      <c r="F43" s="158" t="s">
        <v>1173</v>
      </c>
      <c r="G43" s="156" t="s">
        <v>1174</v>
      </c>
      <c r="H43" s="159">
        <v>41103</v>
      </c>
      <c r="I43" s="156" t="s">
        <v>1185</v>
      </c>
      <c r="J43" s="156" t="s">
        <v>1174</v>
      </c>
      <c r="K43" s="160" t="s">
        <v>1176</v>
      </c>
      <c r="L43" s="161">
        <f t="shared" si="3"/>
        <v>0</v>
      </c>
      <c r="M43" s="160" t="s">
        <v>1176</v>
      </c>
      <c r="N43" s="161">
        <f t="shared" si="4"/>
        <v>0</v>
      </c>
      <c r="O43" s="162">
        <f t="shared" si="5"/>
        <v>0</v>
      </c>
      <c r="P43" s="156" t="s">
        <v>1174</v>
      </c>
      <c r="Q43" s="156" t="s">
        <v>1176</v>
      </c>
      <c r="R43" s="156" t="s">
        <v>1174</v>
      </c>
      <c r="S43" s="156" t="s">
        <v>1311</v>
      </c>
      <c r="T43" s="156" t="s">
        <v>1176</v>
      </c>
      <c r="U43" s="156" t="s">
        <v>1176</v>
      </c>
      <c r="V43" s="156" t="s">
        <v>1176</v>
      </c>
      <c r="W43" s="156" t="s">
        <v>1176</v>
      </c>
      <c r="X43" s="158" t="s">
        <v>1312</v>
      </c>
      <c r="Y43" s="158" t="s">
        <v>1179</v>
      </c>
      <c r="Z43" s="156" t="s">
        <v>1174</v>
      </c>
      <c r="AB43" s="156" t="s">
        <v>1174</v>
      </c>
      <c r="AC43" s="156" t="s">
        <v>1176</v>
      </c>
      <c r="AD43" s="156" t="s">
        <v>1176</v>
      </c>
      <c r="AE43" s="158" t="s">
        <v>1313</v>
      </c>
      <c r="AF43" s="160" t="s">
        <v>1176</v>
      </c>
      <c r="AG43" s="161">
        <f t="shared" si="6"/>
        <v>0</v>
      </c>
      <c r="AH43" s="160" t="s">
        <v>1176</v>
      </c>
      <c r="AI43" s="161">
        <f t="shared" si="7"/>
        <v>0</v>
      </c>
      <c r="AJ43" s="160" t="s">
        <v>1176</v>
      </c>
      <c r="AK43" s="160" t="s">
        <v>671</v>
      </c>
      <c r="AL43" s="161">
        <f t="shared" si="8"/>
        <v>0</v>
      </c>
      <c r="AM43" s="162">
        <f t="shared" si="9"/>
        <v>0</v>
      </c>
      <c r="AN43" s="162">
        <f t="shared" si="10"/>
        <v>0</v>
      </c>
      <c r="AS43" s="163">
        <v>41103</v>
      </c>
      <c r="AT43" s="163">
        <v>41156</v>
      </c>
      <c r="AU43" s="164">
        <f t="shared" si="11"/>
        <v>53</v>
      </c>
      <c r="AV43" s="165">
        <f t="shared" si="12"/>
        <v>7.5714285714285712</v>
      </c>
      <c r="AW43" s="164">
        <v>6</v>
      </c>
      <c r="AX43" s="166">
        <f t="shared" si="13"/>
        <v>0.11320754716981132</v>
      </c>
      <c r="AY43" s="166">
        <f t="shared" si="14"/>
        <v>0.79245283018867929</v>
      </c>
      <c r="AZ43" s="167">
        <f t="shared" si="0"/>
        <v>1</v>
      </c>
      <c r="BE43" s="160" t="s">
        <v>1180</v>
      </c>
      <c r="BF43" s="161">
        <f t="shared" si="15"/>
        <v>0.5</v>
      </c>
      <c r="BJ43" s="169">
        <f t="shared" si="1"/>
        <v>1.5</v>
      </c>
      <c r="BN43" s="176"/>
      <c r="BO43" s="170" t="s">
        <v>1176</v>
      </c>
      <c r="BP43" s="171">
        <f t="shared" si="16"/>
        <v>0</v>
      </c>
      <c r="BQ43" s="170" t="s">
        <v>1176</v>
      </c>
      <c r="BR43" s="171">
        <f t="shared" si="17"/>
        <v>0</v>
      </c>
      <c r="BS43" s="172">
        <f t="shared" si="18"/>
        <v>0</v>
      </c>
      <c r="BT43" s="173">
        <f t="shared" si="2"/>
        <v>1.5</v>
      </c>
      <c r="BU43" s="174">
        <f t="shared" si="19"/>
        <v>2</v>
      </c>
    </row>
    <row r="44" spans="1:73" ht="28">
      <c r="A44" s="156" t="s">
        <v>1171</v>
      </c>
      <c r="B44" s="156" t="s">
        <v>182</v>
      </c>
      <c r="C44" s="157">
        <v>43</v>
      </c>
      <c r="D44" s="156" t="s">
        <v>413</v>
      </c>
      <c r="E44" s="158" t="s">
        <v>184</v>
      </c>
      <c r="F44" s="158" t="s">
        <v>1173</v>
      </c>
      <c r="G44" s="156" t="s">
        <v>1174</v>
      </c>
      <c r="H44" s="159">
        <v>41103</v>
      </c>
      <c r="I44" s="156" t="s">
        <v>1185</v>
      </c>
      <c r="J44" s="156" t="s">
        <v>1176</v>
      </c>
      <c r="K44" s="160" t="s">
        <v>1174</v>
      </c>
      <c r="L44" s="161">
        <f t="shared" si="3"/>
        <v>0.25</v>
      </c>
      <c r="M44" s="160" t="s">
        <v>1174</v>
      </c>
      <c r="N44" s="161">
        <f t="shared" si="4"/>
        <v>0.25</v>
      </c>
      <c r="O44" s="162">
        <f t="shared" si="5"/>
        <v>0.5</v>
      </c>
      <c r="P44" s="156" t="s">
        <v>1174</v>
      </c>
      <c r="Q44" s="156" t="s">
        <v>1176</v>
      </c>
      <c r="S44" s="156" t="s">
        <v>671</v>
      </c>
      <c r="T44" s="156" t="s">
        <v>1176</v>
      </c>
      <c r="U44" s="156" t="s">
        <v>1176</v>
      </c>
      <c r="V44" s="156" t="s">
        <v>1176</v>
      </c>
      <c r="W44" s="156" t="s">
        <v>1176</v>
      </c>
      <c r="X44" s="158" t="s">
        <v>1314</v>
      </c>
      <c r="Y44" s="158" t="s">
        <v>1179</v>
      </c>
      <c r="Z44" s="156" t="s">
        <v>1174</v>
      </c>
      <c r="AA44" s="156" t="s">
        <v>1174</v>
      </c>
      <c r="AB44" s="156" t="s">
        <v>1176</v>
      </c>
      <c r="AC44" s="156" t="s">
        <v>1176</v>
      </c>
      <c r="AD44" s="156" t="s">
        <v>1176</v>
      </c>
      <c r="AE44" s="158" t="s">
        <v>1315</v>
      </c>
      <c r="AF44" s="160" t="s">
        <v>1176</v>
      </c>
      <c r="AG44" s="161">
        <f t="shared" si="6"/>
        <v>0</v>
      </c>
      <c r="AH44" s="160" t="s">
        <v>1176</v>
      </c>
      <c r="AI44" s="161">
        <f t="shared" si="7"/>
        <v>0</v>
      </c>
      <c r="AJ44" s="160" t="s">
        <v>1176</v>
      </c>
      <c r="AK44" s="160" t="s">
        <v>671</v>
      </c>
      <c r="AL44" s="161">
        <f t="shared" si="8"/>
        <v>0</v>
      </c>
      <c r="AM44" s="162">
        <f t="shared" si="9"/>
        <v>0.5</v>
      </c>
      <c r="AN44" s="162">
        <f t="shared" si="10"/>
        <v>0.4</v>
      </c>
      <c r="AS44" s="163">
        <v>41103</v>
      </c>
      <c r="AT44" s="163">
        <v>41156</v>
      </c>
      <c r="AU44" s="164">
        <f t="shared" si="11"/>
        <v>53</v>
      </c>
      <c r="AV44" s="165">
        <f t="shared" si="12"/>
        <v>7.5714285714285712</v>
      </c>
      <c r="AW44" s="164">
        <v>10</v>
      </c>
      <c r="AX44" s="166">
        <f t="shared" si="13"/>
        <v>0.18867924528301888</v>
      </c>
      <c r="AY44" s="166">
        <f t="shared" si="14"/>
        <v>1.3207547169811322</v>
      </c>
      <c r="AZ44" s="167">
        <f t="shared" si="0"/>
        <v>1</v>
      </c>
      <c r="BE44" s="160" t="s">
        <v>1180</v>
      </c>
      <c r="BF44" s="161">
        <f t="shared" si="15"/>
        <v>0.5</v>
      </c>
      <c r="BJ44" s="169">
        <f t="shared" si="1"/>
        <v>1.5</v>
      </c>
      <c r="BN44" s="176">
        <v>0.25</v>
      </c>
      <c r="BO44" s="170" t="s">
        <v>1176</v>
      </c>
      <c r="BP44" s="171">
        <f t="shared" si="16"/>
        <v>0</v>
      </c>
      <c r="BQ44" s="170" t="s">
        <v>1176</v>
      </c>
      <c r="BR44" s="171">
        <f t="shared" si="17"/>
        <v>0</v>
      </c>
      <c r="BS44" s="172">
        <f t="shared" si="18"/>
        <v>0.25</v>
      </c>
      <c r="BT44" s="173">
        <f t="shared" si="2"/>
        <v>2.15</v>
      </c>
      <c r="BU44" s="174">
        <f t="shared" si="19"/>
        <v>2.8666666666666663</v>
      </c>
    </row>
    <row r="45" spans="1:73" ht="28">
      <c r="A45" s="156" t="s">
        <v>1171</v>
      </c>
      <c r="B45" s="156" t="s">
        <v>185</v>
      </c>
      <c r="C45" s="157">
        <v>44</v>
      </c>
      <c r="D45" s="156" t="s">
        <v>413</v>
      </c>
      <c r="E45" s="158" t="s">
        <v>186</v>
      </c>
      <c r="F45" s="158" t="s">
        <v>1173</v>
      </c>
      <c r="G45" s="156" t="s">
        <v>1174</v>
      </c>
      <c r="H45" s="159">
        <v>41103</v>
      </c>
      <c r="I45" s="156" t="s">
        <v>1185</v>
      </c>
      <c r="J45" s="156" t="s">
        <v>1174</v>
      </c>
      <c r="K45" s="160" t="s">
        <v>1176</v>
      </c>
      <c r="L45" s="161">
        <f t="shared" si="3"/>
        <v>0</v>
      </c>
      <c r="M45" s="160" t="s">
        <v>1176</v>
      </c>
      <c r="N45" s="161">
        <f t="shared" si="4"/>
        <v>0</v>
      </c>
      <c r="O45" s="162">
        <f t="shared" si="5"/>
        <v>0</v>
      </c>
      <c r="P45" s="156" t="s">
        <v>1174</v>
      </c>
      <c r="Q45" s="156" t="s">
        <v>1176</v>
      </c>
      <c r="R45" s="156" t="s">
        <v>1174</v>
      </c>
      <c r="S45" s="156" t="s">
        <v>1316</v>
      </c>
      <c r="T45" s="156" t="s">
        <v>1176</v>
      </c>
      <c r="U45" s="156" t="s">
        <v>1176</v>
      </c>
      <c r="V45" s="156" t="s">
        <v>1176</v>
      </c>
      <c r="W45" s="156" t="s">
        <v>1176</v>
      </c>
      <c r="X45" s="158" t="s">
        <v>1317</v>
      </c>
      <c r="Y45" s="158" t="s">
        <v>1179</v>
      </c>
      <c r="Z45" s="156" t="s">
        <v>1174</v>
      </c>
      <c r="AA45" s="156" t="s">
        <v>1176</v>
      </c>
      <c r="AB45" s="156" t="s">
        <v>1176</v>
      </c>
      <c r="AC45" s="156" t="s">
        <v>1176</v>
      </c>
      <c r="AD45" s="156" t="s">
        <v>1176</v>
      </c>
      <c r="AE45" s="158" t="s">
        <v>1317</v>
      </c>
      <c r="AF45" s="160" t="s">
        <v>1176</v>
      </c>
      <c r="AG45" s="161">
        <f t="shared" si="6"/>
        <v>0</v>
      </c>
      <c r="AH45" s="160" t="s">
        <v>1176</v>
      </c>
      <c r="AI45" s="161">
        <f t="shared" si="7"/>
        <v>0</v>
      </c>
      <c r="AJ45" s="160" t="s">
        <v>1176</v>
      </c>
      <c r="AK45" s="160" t="s">
        <v>671</v>
      </c>
      <c r="AL45" s="161">
        <f t="shared" si="8"/>
        <v>0</v>
      </c>
      <c r="AM45" s="162">
        <f t="shared" si="9"/>
        <v>0</v>
      </c>
      <c r="AN45" s="162">
        <f t="shared" si="10"/>
        <v>0</v>
      </c>
      <c r="AS45" s="163">
        <v>41103</v>
      </c>
      <c r="AT45" s="163">
        <v>41156</v>
      </c>
      <c r="AU45" s="164">
        <f t="shared" si="11"/>
        <v>53</v>
      </c>
      <c r="AV45" s="165">
        <f t="shared" si="12"/>
        <v>7.5714285714285712</v>
      </c>
      <c r="AW45" s="164">
        <v>0</v>
      </c>
      <c r="AX45" s="166">
        <f t="shared" si="13"/>
        <v>0</v>
      </c>
      <c r="AY45" s="166">
        <f t="shared" si="14"/>
        <v>0</v>
      </c>
      <c r="AZ45" s="167">
        <f t="shared" si="0"/>
        <v>0</v>
      </c>
      <c r="BE45" s="160" t="s">
        <v>1180</v>
      </c>
      <c r="BF45" s="161">
        <f t="shared" si="15"/>
        <v>0.5</v>
      </c>
      <c r="BJ45" s="169">
        <f t="shared" si="1"/>
        <v>0.5</v>
      </c>
      <c r="BN45" s="176"/>
      <c r="BO45" s="170" t="s">
        <v>1174</v>
      </c>
      <c r="BP45" s="171">
        <f t="shared" si="16"/>
        <v>0.5</v>
      </c>
      <c r="BQ45" s="170" t="s">
        <v>1176</v>
      </c>
      <c r="BR45" s="171">
        <f t="shared" si="17"/>
        <v>0</v>
      </c>
      <c r="BS45" s="172">
        <f t="shared" si="18"/>
        <v>0.5</v>
      </c>
      <c r="BT45" s="173">
        <f t="shared" si="2"/>
        <v>1</v>
      </c>
      <c r="BU45" s="174">
        <f t="shared" si="19"/>
        <v>1.3333333333333333</v>
      </c>
    </row>
    <row r="46" spans="1:73" ht="56">
      <c r="A46" s="156" t="s">
        <v>1171</v>
      </c>
      <c r="B46" s="156" t="s">
        <v>187</v>
      </c>
      <c r="C46" s="157">
        <v>45</v>
      </c>
      <c r="D46" s="156" t="s">
        <v>74</v>
      </c>
      <c r="E46" s="158" t="s">
        <v>1318</v>
      </c>
      <c r="F46" s="158" t="s">
        <v>1173</v>
      </c>
      <c r="G46" s="156" t="s">
        <v>1174</v>
      </c>
      <c r="H46" s="159">
        <v>41103</v>
      </c>
      <c r="I46" s="156" t="s">
        <v>1175</v>
      </c>
      <c r="J46" s="156" t="s">
        <v>1176</v>
      </c>
      <c r="K46" s="160" t="s">
        <v>1176</v>
      </c>
      <c r="L46" s="161">
        <f t="shared" si="3"/>
        <v>0</v>
      </c>
      <c r="M46" s="160" t="s">
        <v>1174</v>
      </c>
      <c r="N46" s="161">
        <f t="shared" si="4"/>
        <v>0.25</v>
      </c>
      <c r="O46" s="162">
        <f t="shared" si="5"/>
        <v>0.25</v>
      </c>
      <c r="P46" s="156" t="s">
        <v>1174</v>
      </c>
      <c r="Q46" s="156" t="s">
        <v>1176</v>
      </c>
      <c r="R46" s="156" t="s">
        <v>1176</v>
      </c>
      <c r="S46" s="156" t="s">
        <v>671</v>
      </c>
      <c r="T46" s="156" t="s">
        <v>1176</v>
      </c>
      <c r="U46" s="156" t="s">
        <v>1176</v>
      </c>
      <c r="V46" s="156" t="s">
        <v>1176</v>
      </c>
      <c r="W46" s="156" t="s">
        <v>1176</v>
      </c>
      <c r="X46" s="158" t="s">
        <v>1319</v>
      </c>
      <c r="Y46" s="158" t="s">
        <v>1179</v>
      </c>
      <c r="Z46" s="156" t="s">
        <v>1174</v>
      </c>
      <c r="AA46" s="156" t="s">
        <v>1176</v>
      </c>
      <c r="AB46" s="156" t="s">
        <v>1176</v>
      </c>
      <c r="AC46" s="156" t="s">
        <v>1176</v>
      </c>
      <c r="AD46" s="156" t="s">
        <v>1176</v>
      </c>
      <c r="AE46" s="158" t="s">
        <v>1320</v>
      </c>
      <c r="AF46" s="160" t="s">
        <v>1176</v>
      </c>
      <c r="AG46" s="161">
        <f t="shared" si="6"/>
        <v>0</v>
      </c>
      <c r="AH46" s="160" t="s">
        <v>1176</v>
      </c>
      <c r="AI46" s="161">
        <f t="shared" si="7"/>
        <v>0</v>
      </c>
      <c r="AJ46" s="160" t="s">
        <v>1176</v>
      </c>
      <c r="AK46" s="160" t="s">
        <v>671</v>
      </c>
      <c r="AL46" s="161">
        <f t="shared" si="8"/>
        <v>0</v>
      </c>
      <c r="AM46" s="162">
        <f t="shared" si="9"/>
        <v>0.25</v>
      </c>
      <c r="AN46" s="162">
        <f t="shared" si="10"/>
        <v>0.2</v>
      </c>
      <c r="AO46" s="156" t="s">
        <v>1176</v>
      </c>
      <c r="AP46" s="156" t="s">
        <v>1176</v>
      </c>
      <c r="AQ46" s="156" t="s">
        <v>1176</v>
      </c>
      <c r="AR46" s="156" t="s">
        <v>1176</v>
      </c>
      <c r="AS46" s="163">
        <v>41103</v>
      </c>
      <c r="AT46" s="163">
        <v>41156</v>
      </c>
      <c r="AU46" s="164">
        <f t="shared" si="11"/>
        <v>53</v>
      </c>
      <c r="AV46" s="165">
        <f t="shared" si="12"/>
        <v>7.5714285714285712</v>
      </c>
      <c r="AW46" s="164">
        <v>1</v>
      </c>
      <c r="AX46" s="166">
        <f t="shared" si="13"/>
        <v>1.8867924528301886E-2</v>
      </c>
      <c r="AY46" s="166">
        <f t="shared" si="14"/>
        <v>0.13207547169811321</v>
      </c>
      <c r="AZ46" s="167">
        <f t="shared" si="0"/>
        <v>0</v>
      </c>
      <c r="BA46" s="156" t="s">
        <v>1176</v>
      </c>
      <c r="BB46" s="156" t="s">
        <v>1174</v>
      </c>
      <c r="BC46" s="156" t="s">
        <v>1176</v>
      </c>
      <c r="BD46" s="156" t="s">
        <v>1176</v>
      </c>
      <c r="BE46" s="160" t="s">
        <v>1176</v>
      </c>
      <c r="BF46" s="161">
        <f t="shared" si="15"/>
        <v>0</v>
      </c>
      <c r="BG46" s="156" t="s">
        <v>1174</v>
      </c>
      <c r="BH46" s="156" t="s">
        <v>1174</v>
      </c>
      <c r="BI46" s="156" t="s">
        <v>1321</v>
      </c>
      <c r="BJ46" s="169">
        <f t="shared" si="1"/>
        <v>0</v>
      </c>
      <c r="BK46" s="156" t="s">
        <v>684</v>
      </c>
      <c r="BL46" s="156" t="s">
        <v>1174</v>
      </c>
      <c r="BM46" s="156" t="s">
        <v>1176</v>
      </c>
      <c r="BN46" s="161">
        <v>0</v>
      </c>
      <c r="BO46" s="170" t="s">
        <v>1176</v>
      </c>
      <c r="BP46" s="171">
        <f t="shared" si="16"/>
        <v>0</v>
      </c>
      <c r="BQ46" s="170" t="s">
        <v>1176</v>
      </c>
      <c r="BR46" s="171">
        <f t="shared" si="17"/>
        <v>0</v>
      </c>
      <c r="BS46" s="172">
        <f t="shared" si="18"/>
        <v>0</v>
      </c>
      <c r="BT46" s="173">
        <f t="shared" si="2"/>
        <v>0.2</v>
      </c>
      <c r="BU46" s="174">
        <f t="shared" si="19"/>
        <v>0.26666666666666666</v>
      </c>
    </row>
    <row r="47" spans="1:73" ht="56">
      <c r="A47" s="156" t="s">
        <v>1171</v>
      </c>
      <c r="B47" s="156" t="s">
        <v>190</v>
      </c>
      <c r="C47" s="157">
        <v>46</v>
      </c>
      <c r="D47" s="156" t="s">
        <v>413</v>
      </c>
      <c r="E47" s="158" t="s">
        <v>1322</v>
      </c>
      <c r="F47" s="158" t="s">
        <v>1173</v>
      </c>
      <c r="G47" s="156" t="s">
        <v>1174</v>
      </c>
      <c r="H47" s="159">
        <v>41103</v>
      </c>
      <c r="I47" s="156" t="s">
        <v>1190</v>
      </c>
      <c r="J47" s="156" t="s">
        <v>1176</v>
      </c>
      <c r="K47" s="160" t="s">
        <v>1176</v>
      </c>
      <c r="L47" s="161">
        <f t="shared" si="3"/>
        <v>0</v>
      </c>
      <c r="M47" s="160" t="s">
        <v>1174</v>
      </c>
      <c r="N47" s="161">
        <f t="shared" si="4"/>
        <v>0.25</v>
      </c>
      <c r="O47" s="162">
        <f t="shared" si="5"/>
        <v>0.25</v>
      </c>
      <c r="P47" s="156" t="s">
        <v>1176</v>
      </c>
      <c r="Q47" s="156" t="s">
        <v>1176</v>
      </c>
      <c r="R47" s="156" t="s">
        <v>1176</v>
      </c>
      <c r="S47" s="156" t="s">
        <v>671</v>
      </c>
      <c r="T47" s="156" t="s">
        <v>1176</v>
      </c>
      <c r="U47" s="156" t="s">
        <v>1176</v>
      </c>
      <c r="V47" s="156" t="s">
        <v>1176</v>
      </c>
      <c r="W47" s="156" t="s">
        <v>1176</v>
      </c>
      <c r="X47" s="158" t="s">
        <v>1323</v>
      </c>
      <c r="Y47" s="158" t="s">
        <v>1179</v>
      </c>
      <c r="Z47" s="156" t="s">
        <v>1174</v>
      </c>
      <c r="AA47" s="156" t="s">
        <v>1174</v>
      </c>
      <c r="AB47" s="156" t="s">
        <v>1174</v>
      </c>
      <c r="AC47" s="156" t="s">
        <v>1176</v>
      </c>
      <c r="AD47" s="156" t="s">
        <v>1176</v>
      </c>
      <c r="AE47" s="158" t="s">
        <v>1324</v>
      </c>
      <c r="AF47" s="160" t="s">
        <v>1174</v>
      </c>
      <c r="AG47" s="161">
        <f t="shared" si="6"/>
        <v>0.25</v>
      </c>
      <c r="AH47" s="160" t="s">
        <v>1176</v>
      </c>
      <c r="AI47" s="161">
        <f t="shared" si="7"/>
        <v>0</v>
      </c>
      <c r="AJ47" s="160" t="s">
        <v>1176</v>
      </c>
      <c r="AK47" s="160" t="s">
        <v>671</v>
      </c>
      <c r="AL47" s="161">
        <f t="shared" si="8"/>
        <v>0</v>
      </c>
      <c r="AM47" s="162">
        <f t="shared" si="9"/>
        <v>0.5</v>
      </c>
      <c r="AN47" s="162">
        <f t="shared" si="10"/>
        <v>0.4</v>
      </c>
      <c r="AS47" s="163">
        <v>41103</v>
      </c>
      <c r="AT47" s="163">
        <v>41156</v>
      </c>
      <c r="AU47" s="164">
        <f t="shared" si="11"/>
        <v>53</v>
      </c>
      <c r="AV47" s="165">
        <f t="shared" si="12"/>
        <v>7.5714285714285712</v>
      </c>
      <c r="AW47" s="164">
        <v>19</v>
      </c>
      <c r="AX47" s="166">
        <f t="shared" si="13"/>
        <v>0.35849056603773582</v>
      </c>
      <c r="AY47" s="166">
        <f t="shared" si="14"/>
        <v>2.5094339622641511</v>
      </c>
      <c r="AZ47" s="167">
        <f t="shared" si="0"/>
        <v>0.5</v>
      </c>
      <c r="BE47" s="160" t="s">
        <v>1180</v>
      </c>
      <c r="BF47" s="161">
        <f t="shared" si="15"/>
        <v>0.5</v>
      </c>
      <c r="BJ47" s="169">
        <f t="shared" si="1"/>
        <v>1</v>
      </c>
      <c r="BN47" s="176"/>
      <c r="BO47" s="170" t="s">
        <v>1176</v>
      </c>
      <c r="BP47" s="171">
        <f t="shared" si="16"/>
        <v>0</v>
      </c>
      <c r="BQ47" s="170" t="s">
        <v>1176</v>
      </c>
      <c r="BR47" s="171">
        <f t="shared" si="17"/>
        <v>0</v>
      </c>
      <c r="BS47" s="172">
        <f t="shared" si="18"/>
        <v>0</v>
      </c>
      <c r="BT47" s="173">
        <f t="shared" si="2"/>
        <v>1.4</v>
      </c>
      <c r="BU47" s="174">
        <f t="shared" si="19"/>
        <v>1.8666666666666665</v>
      </c>
    </row>
    <row r="48" spans="1:73" ht="42">
      <c r="A48" s="156" t="s">
        <v>1171</v>
      </c>
      <c r="B48" s="156" t="s">
        <v>193</v>
      </c>
      <c r="C48" s="157">
        <v>47</v>
      </c>
      <c r="D48" s="156" t="s">
        <v>413</v>
      </c>
      <c r="E48" s="158" t="s">
        <v>195</v>
      </c>
      <c r="F48" s="158" t="s">
        <v>1173</v>
      </c>
      <c r="G48" s="156" t="s">
        <v>1174</v>
      </c>
      <c r="H48" s="159">
        <v>41103</v>
      </c>
      <c r="I48" s="156" t="s">
        <v>1185</v>
      </c>
      <c r="J48" s="156" t="s">
        <v>1176</v>
      </c>
      <c r="K48" s="160" t="s">
        <v>1176</v>
      </c>
      <c r="L48" s="161">
        <f t="shared" si="3"/>
        <v>0</v>
      </c>
      <c r="M48" s="160" t="s">
        <v>1176</v>
      </c>
      <c r="N48" s="161">
        <f t="shared" si="4"/>
        <v>0</v>
      </c>
      <c r="O48" s="162">
        <f t="shared" si="5"/>
        <v>0</v>
      </c>
      <c r="P48" s="156" t="s">
        <v>1174</v>
      </c>
      <c r="Q48" s="156" t="s">
        <v>1176</v>
      </c>
      <c r="R48" s="156" t="s">
        <v>1176</v>
      </c>
      <c r="S48" s="156" t="s">
        <v>671</v>
      </c>
      <c r="T48" s="156" t="s">
        <v>1176</v>
      </c>
      <c r="U48" s="156" t="s">
        <v>1176</v>
      </c>
      <c r="V48" s="156" t="s">
        <v>1176</v>
      </c>
      <c r="W48" s="156" t="s">
        <v>1176</v>
      </c>
      <c r="X48" s="158" t="s">
        <v>1325</v>
      </c>
      <c r="Y48" s="158" t="s">
        <v>1179</v>
      </c>
      <c r="Z48" s="156" t="s">
        <v>1174</v>
      </c>
      <c r="AA48" s="156" t="s">
        <v>1176</v>
      </c>
      <c r="AB48" s="156" t="s">
        <v>1176</v>
      </c>
      <c r="AC48" s="156" t="s">
        <v>1176</v>
      </c>
      <c r="AD48" s="156" t="s">
        <v>1176</v>
      </c>
      <c r="AE48" s="158" t="s">
        <v>1326</v>
      </c>
      <c r="AF48" s="160" t="s">
        <v>1176</v>
      </c>
      <c r="AG48" s="161">
        <f t="shared" si="6"/>
        <v>0</v>
      </c>
      <c r="AH48" s="160" t="s">
        <v>1176</v>
      </c>
      <c r="AI48" s="161">
        <f t="shared" si="7"/>
        <v>0</v>
      </c>
      <c r="AJ48" s="160" t="s">
        <v>1176</v>
      </c>
      <c r="AK48" s="160" t="s">
        <v>671</v>
      </c>
      <c r="AL48" s="161">
        <f t="shared" si="8"/>
        <v>0</v>
      </c>
      <c r="AM48" s="162">
        <f t="shared" si="9"/>
        <v>0</v>
      </c>
      <c r="AN48" s="162">
        <f t="shared" si="10"/>
        <v>0</v>
      </c>
      <c r="AO48" s="156" t="s">
        <v>1174</v>
      </c>
      <c r="AP48" s="156" t="s">
        <v>1174</v>
      </c>
      <c r="AQ48" s="156" t="s">
        <v>1174</v>
      </c>
      <c r="AR48" s="156" t="s">
        <v>1174</v>
      </c>
      <c r="AS48" s="163">
        <v>41103</v>
      </c>
      <c r="AT48" s="163">
        <v>41156</v>
      </c>
      <c r="AU48" s="164">
        <f t="shared" si="11"/>
        <v>53</v>
      </c>
      <c r="AV48" s="165">
        <f t="shared" si="12"/>
        <v>7.5714285714285712</v>
      </c>
      <c r="AW48" s="164">
        <v>8</v>
      </c>
      <c r="AX48" s="166">
        <f t="shared" si="13"/>
        <v>0.15094339622641509</v>
      </c>
      <c r="AY48" s="166">
        <f t="shared" si="14"/>
        <v>1.0566037735849056</v>
      </c>
      <c r="AZ48" s="167">
        <f t="shared" si="0"/>
        <v>1</v>
      </c>
      <c r="BA48" s="156" t="s">
        <v>1176</v>
      </c>
      <c r="BB48" s="156" t="s">
        <v>1176</v>
      </c>
      <c r="BC48" s="156" t="s">
        <v>1176</v>
      </c>
      <c r="BD48" s="156" t="s">
        <v>1174</v>
      </c>
      <c r="BE48" s="160" t="s">
        <v>1180</v>
      </c>
      <c r="BF48" s="161">
        <f t="shared" si="15"/>
        <v>0.5</v>
      </c>
      <c r="BG48" s="156" t="s">
        <v>1176</v>
      </c>
      <c r="BH48" s="156" t="s">
        <v>1176</v>
      </c>
      <c r="BI48" s="156" t="s">
        <v>1327</v>
      </c>
      <c r="BJ48" s="169">
        <f t="shared" si="1"/>
        <v>1.5</v>
      </c>
      <c r="BK48" s="156" t="s">
        <v>1328</v>
      </c>
      <c r="BL48" s="156" t="s">
        <v>1174</v>
      </c>
      <c r="BM48" s="156" t="s">
        <v>1176</v>
      </c>
      <c r="BN48" s="161">
        <v>0</v>
      </c>
      <c r="BO48" s="170" t="s">
        <v>1176</v>
      </c>
      <c r="BP48" s="171">
        <f t="shared" si="16"/>
        <v>0</v>
      </c>
      <c r="BQ48" s="170" t="s">
        <v>1176</v>
      </c>
      <c r="BR48" s="171">
        <f t="shared" si="17"/>
        <v>0</v>
      </c>
      <c r="BS48" s="172">
        <f t="shared" si="18"/>
        <v>0</v>
      </c>
      <c r="BT48" s="173">
        <f t="shared" si="2"/>
        <v>1.5</v>
      </c>
      <c r="BU48" s="174">
        <f t="shared" si="19"/>
        <v>2</v>
      </c>
    </row>
    <row r="49" spans="1:73" ht="56">
      <c r="A49" s="156" t="s">
        <v>1171</v>
      </c>
      <c r="B49" s="156" t="s">
        <v>196</v>
      </c>
      <c r="C49" s="157">
        <v>48</v>
      </c>
      <c r="D49" s="156" t="s">
        <v>74</v>
      </c>
      <c r="E49" s="158" t="s">
        <v>1329</v>
      </c>
      <c r="F49" s="158" t="s">
        <v>1173</v>
      </c>
      <c r="G49" s="156" t="s">
        <v>1174</v>
      </c>
      <c r="H49" s="159">
        <v>41106</v>
      </c>
      <c r="I49" s="156" t="s">
        <v>1185</v>
      </c>
      <c r="J49" s="156" t="s">
        <v>1174</v>
      </c>
      <c r="K49" s="160" t="s">
        <v>1176</v>
      </c>
      <c r="L49" s="161">
        <f t="shared" si="3"/>
        <v>0</v>
      </c>
      <c r="M49" s="160" t="s">
        <v>1176</v>
      </c>
      <c r="N49" s="161">
        <f t="shared" si="4"/>
        <v>0</v>
      </c>
      <c r="O49" s="162">
        <f t="shared" si="5"/>
        <v>0</v>
      </c>
      <c r="P49" s="156" t="s">
        <v>1176</v>
      </c>
      <c r="Q49" s="156" t="s">
        <v>1176</v>
      </c>
      <c r="R49" s="156" t="s">
        <v>1176</v>
      </c>
      <c r="S49" s="156" t="s">
        <v>671</v>
      </c>
      <c r="T49" s="156" t="s">
        <v>1176</v>
      </c>
      <c r="U49" s="156" t="s">
        <v>1176</v>
      </c>
      <c r="V49" s="156" t="s">
        <v>1176</v>
      </c>
      <c r="W49" s="156" t="s">
        <v>1176</v>
      </c>
      <c r="X49" s="158" t="s">
        <v>1330</v>
      </c>
      <c r="Y49" s="158" t="s">
        <v>1179</v>
      </c>
      <c r="Z49" s="156" t="s">
        <v>1174</v>
      </c>
      <c r="AA49" s="156" t="s">
        <v>1174</v>
      </c>
      <c r="AB49" s="156" t="s">
        <v>1174</v>
      </c>
      <c r="AC49" s="156" t="s">
        <v>1176</v>
      </c>
      <c r="AD49" s="156" t="s">
        <v>1176</v>
      </c>
      <c r="AE49" s="158" t="s">
        <v>1331</v>
      </c>
      <c r="AF49" s="160" t="s">
        <v>1176</v>
      </c>
      <c r="AG49" s="161">
        <f t="shared" si="6"/>
        <v>0</v>
      </c>
      <c r="AH49" s="160" t="s">
        <v>1176</v>
      </c>
      <c r="AI49" s="161">
        <f t="shared" si="7"/>
        <v>0</v>
      </c>
      <c r="AJ49" s="160" t="s">
        <v>1176</v>
      </c>
      <c r="AK49" s="160" t="s">
        <v>671</v>
      </c>
      <c r="AL49" s="161">
        <f t="shared" si="8"/>
        <v>0</v>
      </c>
      <c r="AM49" s="162">
        <f t="shared" si="9"/>
        <v>0</v>
      </c>
      <c r="AN49" s="162">
        <f t="shared" si="10"/>
        <v>0</v>
      </c>
      <c r="AO49" s="156" t="s">
        <v>1174</v>
      </c>
      <c r="AP49" s="156" t="s">
        <v>1176</v>
      </c>
      <c r="AQ49" s="156" t="s">
        <v>1176</v>
      </c>
      <c r="AR49" s="156" t="s">
        <v>1174</v>
      </c>
      <c r="AS49" s="163">
        <v>41106</v>
      </c>
      <c r="AT49" s="163">
        <v>41156</v>
      </c>
      <c r="AU49" s="164">
        <f t="shared" si="11"/>
        <v>50</v>
      </c>
      <c r="AV49" s="165">
        <f t="shared" si="12"/>
        <v>7.1428571428571432</v>
      </c>
      <c r="AW49" s="164">
        <v>0</v>
      </c>
      <c r="AX49" s="166">
        <f t="shared" si="13"/>
        <v>0</v>
      </c>
      <c r="AY49" s="166">
        <f t="shared" si="14"/>
        <v>0</v>
      </c>
      <c r="AZ49" s="167">
        <f t="shared" si="0"/>
        <v>0</v>
      </c>
      <c r="BA49" s="156" t="s">
        <v>1176</v>
      </c>
      <c r="BB49" s="156" t="s">
        <v>1176</v>
      </c>
      <c r="BC49" s="156" t="s">
        <v>1176</v>
      </c>
      <c r="BD49" s="156" t="s">
        <v>1176</v>
      </c>
      <c r="BE49" s="160" t="s">
        <v>414</v>
      </c>
      <c r="BF49" s="161">
        <f t="shared" si="15"/>
        <v>0</v>
      </c>
      <c r="BG49" s="156" t="s">
        <v>1176</v>
      </c>
      <c r="BH49" s="156" t="s">
        <v>1176</v>
      </c>
      <c r="BJ49" s="169">
        <f t="shared" si="1"/>
        <v>0</v>
      </c>
      <c r="BK49" s="156" t="s">
        <v>684</v>
      </c>
      <c r="BL49" s="156" t="s">
        <v>1174</v>
      </c>
      <c r="BM49" s="156" t="s">
        <v>1176</v>
      </c>
      <c r="BN49" s="161">
        <v>0</v>
      </c>
      <c r="BO49" s="170" t="s">
        <v>1176</v>
      </c>
      <c r="BP49" s="171">
        <f t="shared" si="16"/>
        <v>0</v>
      </c>
      <c r="BQ49" s="170" t="s">
        <v>1176</v>
      </c>
      <c r="BR49" s="171">
        <f t="shared" si="17"/>
        <v>0</v>
      </c>
      <c r="BS49" s="172">
        <f t="shared" si="18"/>
        <v>0</v>
      </c>
      <c r="BT49" s="173">
        <f t="shared" si="2"/>
        <v>0</v>
      </c>
      <c r="BU49" s="174">
        <f t="shared" si="19"/>
        <v>0</v>
      </c>
    </row>
    <row r="50" spans="1:73" ht="56">
      <c r="A50" s="156" t="s">
        <v>1171</v>
      </c>
      <c r="B50" s="156" t="s">
        <v>199</v>
      </c>
      <c r="C50" s="157">
        <v>49</v>
      </c>
      <c r="D50" s="156" t="s">
        <v>74</v>
      </c>
      <c r="E50" s="158" t="s">
        <v>1332</v>
      </c>
      <c r="G50" s="156" t="s">
        <v>1176</v>
      </c>
      <c r="H50" s="159">
        <v>41106</v>
      </c>
      <c r="K50" s="177" t="s">
        <v>1174</v>
      </c>
      <c r="L50" s="161">
        <f t="shared" si="3"/>
        <v>0.25</v>
      </c>
      <c r="M50" s="177" t="s">
        <v>1174</v>
      </c>
      <c r="N50" s="161">
        <f t="shared" si="4"/>
        <v>0.25</v>
      </c>
      <c r="O50" s="162">
        <f t="shared" si="5"/>
        <v>0.5</v>
      </c>
      <c r="X50" s="158" t="s">
        <v>1333</v>
      </c>
      <c r="Y50" s="158" t="s">
        <v>1179</v>
      </c>
      <c r="Z50" s="156" t="s">
        <v>1174</v>
      </c>
      <c r="AA50" s="156" t="s">
        <v>1174</v>
      </c>
      <c r="AB50" s="156" t="s">
        <v>1174</v>
      </c>
      <c r="AC50" s="156" t="s">
        <v>1176</v>
      </c>
      <c r="AD50" s="156" t="s">
        <v>1176</v>
      </c>
      <c r="AE50" s="158" t="s">
        <v>1334</v>
      </c>
      <c r="AF50" s="177" t="s">
        <v>1176</v>
      </c>
      <c r="AG50" s="161">
        <f t="shared" si="6"/>
        <v>0</v>
      </c>
      <c r="AH50" s="177" t="s">
        <v>1176</v>
      </c>
      <c r="AI50" s="161">
        <f t="shared" si="7"/>
        <v>0</v>
      </c>
      <c r="AJ50" s="177" t="s">
        <v>1176</v>
      </c>
      <c r="AK50" s="177" t="s">
        <v>671</v>
      </c>
      <c r="AL50" s="161">
        <f t="shared" si="8"/>
        <v>0</v>
      </c>
      <c r="AM50" s="162">
        <f t="shared" si="9"/>
        <v>0.5</v>
      </c>
      <c r="AN50" s="162">
        <f t="shared" si="10"/>
        <v>0.4</v>
      </c>
      <c r="AO50" s="156" t="s">
        <v>1174</v>
      </c>
      <c r="AP50" s="156" t="s">
        <v>1174</v>
      </c>
      <c r="AQ50" s="156" t="s">
        <v>1174</v>
      </c>
      <c r="AR50" s="156" t="s">
        <v>1174</v>
      </c>
      <c r="AS50" s="163">
        <v>41106</v>
      </c>
      <c r="AT50" s="163">
        <v>41156</v>
      </c>
      <c r="AU50" s="164">
        <f t="shared" si="11"/>
        <v>50</v>
      </c>
      <c r="AV50" s="165">
        <f t="shared" si="12"/>
        <v>7.1428571428571432</v>
      </c>
      <c r="AW50" s="164">
        <v>5</v>
      </c>
      <c r="AX50" s="166">
        <f t="shared" si="13"/>
        <v>0.1</v>
      </c>
      <c r="AY50" s="166">
        <f t="shared" si="14"/>
        <v>0.7</v>
      </c>
      <c r="AZ50" s="167">
        <f t="shared" si="0"/>
        <v>0.75</v>
      </c>
      <c r="BA50" s="156" t="s">
        <v>1174</v>
      </c>
      <c r="BB50" s="156" t="s">
        <v>1176</v>
      </c>
      <c r="BC50" s="156" t="s">
        <v>1176</v>
      </c>
      <c r="BD50" s="156" t="s">
        <v>1174</v>
      </c>
      <c r="BE50" s="177" t="s">
        <v>1180</v>
      </c>
      <c r="BF50" s="161">
        <f t="shared" si="15"/>
        <v>0.5</v>
      </c>
      <c r="BG50" s="156" t="s">
        <v>1174</v>
      </c>
      <c r="BH50" s="156" t="s">
        <v>1174</v>
      </c>
      <c r="BI50" s="156" t="s">
        <v>1335</v>
      </c>
      <c r="BJ50" s="169">
        <f t="shared" si="1"/>
        <v>1.25</v>
      </c>
      <c r="BL50" s="156" t="s">
        <v>1174</v>
      </c>
      <c r="BM50" s="156" t="s">
        <v>1176</v>
      </c>
      <c r="BN50" s="161">
        <v>0</v>
      </c>
      <c r="BO50" s="170" t="s">
        <v>1176</v>
      </c>
      <c r="BP50" s="171">
        <f t="shared" si="16"/>
        <v>0</v>
      </c>
      <c r="BQ50" s="170" t="s">
        <v>1176</v>
      </c>
      <c r="BR50" s="171">
        <f t="shared" si="17"/>
        <v>0</v>
      </c>
      <c r="BS50" s="172">
        <f t="shared" si="18"/>
        <v>0</v>
      </c>
      <c r="BT50" s="173">
        <f t="shared" si="2"/>
        <v>1.65</v>
      </c>
      <c r="BU50" s="174">
        <f t="shared" si="19"/>
        <v>2.1999999999999997</v>
      </c>
    </row>
    <row r="51" spans="1:73" ht="56">
      <c r="A51" s="156" t="s">
        <v>1171</v>
      </c>
      <c r="B51" s="156" t="s">
        <v>201</v>
      </c>
      <c r="C51" s="157">
        <v>50</v>
      </c>
      <c r="D51" s="156" t="s">
        <v>74</v>
      </c>
      <c r="E51" s="158" t="s">
        <v>1336</v>
      </c>
      <c r="F51" s="158" t="s">
        <v>1173</v>
      </c>
      <c r="G51" s="156" t="s">
        <v>1174</v>
      </c>
      <c r="H51" s="159">
        <v>41106</v>
      </c>
      <c r="I51" s="156" t="s">
        <v>1175</v>
      </c>
      <c r="J51" s="156" t="s">
        <v>1176</v>
      </c>
      <c r="K51" s="160" t="s">
        <v>1174</v>
      </c>
      <c r="L51" s="161">
        <f t="shared" si="3"/>
        <v>0.25</v>
      </c>
      <c r="M51" s="160" t="s">
        <v>1174</v>
      </c>
      <c r="N51" s="161">
        <f t="shared" si="4"/>
        <v>0.25</v>
      </c>
      <c r="O51" s="162">
        <f t="shared" si="5"/>
        <v>0.5</v>
      </c>
      <c r="P51" s="156" t="s">
        <v>1174</v>
      </c>
      <c r="Q51" s="156" t="s">
        <v>1176</v>
      </c>
      <c r="R51" s="156" t="s">
        <v>1176</v>
      </c>
      <c r="S51" s="156" t="s">
        <v>671</v>
      </c>
      <c r="T51" s="156" t="s">
        <v>1176</v>
      </c>
      <c r="U51" s="156" t="s">
        <v>1176</v>
      </c>
      <c r="V51" s="156" t="s">
        <v>1176</v>
      </c>
      <c r="W51" s="156" t="s">
        <v>1176</v>
      </c>
      <c r="X51" s="158" t="s">
        <v>1337</v>
      </c>
      <c r="Y51" s="158" t="s">
        <v>1179</v>
      </c>
      <c r="Z51" s="156" t="s">
        <v>1174</v>
      </c>
      <c r="AA51" s="156" t="s">
        <v>1174</v>
      </c>
      <c r="AB51" s="156" t="s">
        <v>1176</v>
      </c>
      <c r="AC51" s="156" t="s">
        <v>1176</v>
      </c>
      <c r="AD51" s="156" t="s">
        <v>1176</v>
      </c>
      <c r="AE51" s="158" t="s">
        <v>1338</v>
      </c>
      <c r="AF51" s="160" t="s">
        <v>1176</v>
      </c>
      <c r="AG51" s="161">
        <f t="shared" si="6"/>
        <v>0</v>
      </c>
      <c r="AH51" s="160" t="s">
        <v>1176</v>
      </c>
      <c r="AI51" s="161">
        <f t="shared" si="7"/>
        <v>0</v>
      </c>
      <c r="AJ51" s="160" t="s">
        <v>1174</v>
      </c>
      <c r="AK51" s="160" t="s">
        <v>1339</v>
      </c>
      <c r="AL51" s="161">
        <f t="shared" si="8"/>
        <v>0.25</v>
      </c>
      <c r="AM51" s="162">
        <f t="shared" si="9"/>
        <v>0.75</v>
      </c>
      <c r="AN51" s="162">
        <f t="shared" si="10"/>
        <v>0.6</v>
      </c>
      <c r="AO51" s="156" t="s">
        <v>1174</v>
      </c>
      <c r="AP51" s="156" t="s">
        <v>1174</v>
      </c>
      <c r="AQ51" s="156" t="s">
        <v>1174</v>
      </c>
      <c r="AR51" s="156" t="s">
        <v>1174</v>
      </c>
      <c r="AS51" s="163">
        <v>41106</v>
      </c>
      <c r="AT51" s="163">
        <v>41156</v>
      </c>
      <c r="AU51" s="164">
        <f t="shared" si="11"/>
        <v>50</v>
      </c>
      <c r="AV51" s="165">
        <f t="shared" si="12"/>
        <v>7.1428571428571432</v>
      </c>
      <c r="AW51" s="164">
        <v>0</v>
      </c>
      <c r="AX51" s="166">
        <f t="shared" si="13"/>
        <v>0</v>
      </c>
      <c r="AY51" s="166">
        <f t="shared" si="14"/>
        <v>0</v>
      </c>
      <c r="AZ51" s="167">
        <f t="shared" si="0"/>
        <v>0</v>
      </c>
      <c r="BA51" s="156" t="s">
        <v>1176</v>
      </c>
      <c r="BB51" s="156" t="s">
        <v>1176</v>
      </c>
      <c r="BC51" s="156" t="s">
        <v>1176</v>
      </c>
      <c r="BD51" s="156" t="s">
        <v>1176</v>
      </c>
      <c r="BE51" s="160" t="s">
        <v>414</v>
      </c>
      <c r="BF51" s="161">
        <f t="shared" si="15"/>
        <v>0</v>
      </c>
      <c r="BG51" s="156" t="s">
        <v>1174</v>
      </c>
      <c r="BH51" s="156" t="s">
        <v>1174</v>
      </c>
      <c r="BI51" s="156" t="s">
        <v>684</v>
      </c>
      <c r="BJ51" s="169">
        <f t="shared" si="1"/>
        <v>0</v>
      </c>
      <c r="BK51" s="156" t="s">
        <v>684</v>
      </c>
      <c r="BL51" s="156" t="s">
        <v>1174</v>
      </c>
      <c r="BM51" s="156" t="s">
        <v>1176</v>
      </c>
      <c r="BN51" s="161">
        <v>0</v>
      </c>
      <c r="BO51" s="170" t="s">
        <v>1174</v>
      </c>
      <c r="BP51" s="171">
        <f t="shared" si="16"/>
        <v>0.5</v>
      </c>
      <c r="BQ51" s="170" t="s">
        <v>1176</v>
      </c>
      <c r="BR51" s="171">
        <f t="shared" si="17"/>
        <v>0</v>
      </c>
      <c r="BS51" s="172">
        <f t="shared" si="18"/>
        <v>0.5</v>
      </c>
      <c r="BT51" s="173">
        <f t="shared" si="2"/>
        <v>1.1000000000000001</v>
      </c>
      <c r="BU51" s="174">
        <f t="shared" si="19"/>
        <v>1.4666666666666668</v>
      </c>
    </row>
    <row r="52" spans="1:73" ht="42">
      <c r="A52" s="156" t="s">
        <v>1171</v>
      </c>
      <c r="B52" s="156" t="s">
        <v>203</v>
      </c>
      <c r="C52" s="157">
        <v>51</v>
      </c>
      <c r="D52" s="156" t="s">
        <v>74</v>
      </c>
      <c r="E52" s="158" t="s">
        <v>1340</v>
      </c>
      <c r="F52" s="158" t="s">
        <v>1341</v>
      </c>
      <c r="G52" s="156" t="s">
        <v>1174</v>
      </c>
      <c r="H52" s="159">
        <v>41106</v>
      </c>
      <c r="I52" s="156" t="s">
        <v>1185</v>
      </c>
      <c r="J52" s="156" t="s">
        <v>1176</v>
      </c>
      <c r="K52" s="160" t="s">
        <v>1176</v>
      </c>
      <c r="L52" s="161">
        <f t="shared" si="3"/>
        <v>0</v>
      </c>
      <c r="M52" s="160" t="s">
        <v>1176</v>
      </c>
      <c r="N52" s="161">
        <f t="shared" si="4"/>
        <v>0</v>
      </c>
      <c r="O52" s="162">
        <f t="shared" si="5"/>
        <v>0</v>
      </c>
      <c r="P52" s="156" t="s">
        <v>1176</v>
      </c>
      <c r="Q52" s="156" t="s">
        <v>1174</v>
      </c>
      <c r="R52" s="156" t="s">
        <v>1176</v>
      </c>
      <c r="S52" s="156" t="s">
        <v>1342</v>
      </c>
      <c r="T52" s="156" t="s">
        <v>1176</v>
      </c>
      <c r="U52" s="156" t="s">
        <v>1176</v>
      </c>
      <c r="V52" s="156" t="s">
        <v>1176</v>
      </c>
      <c r="W52" s="156" t="s">
        <v>1176</v>
      </c>
      <c r="Z52" s="156" t="s">
        <v>1176</v>
      </c>
      <c r="AF52" s="160" t="s">
        <v>1176</v>
      </c>
      <c r="AG52" s="161">
        <f t="shared" si="6"/>
        <v>0</v>
      </c>
      <c r="AH52" s="160" t="s">
        <v>1176</v>
      </c>
      <c r="AI52" s="161">
        <f t="shared" si="7"/>
        <v>0</v>
      </c>
      <c r="AJ52" s="160" t="s">
        <v>1176</v>
      </c>
      <c r="AK52" s="160"/>
      <c r="AL52" s="161">
        <f t="shared" si="8"/>
        <v>0</v>
      </c>
      <c r="AM52" s="162">
        <f t="shared" si="9"/>
        <v>0</v>
      </c>
      <c r="AN52" s="162">
        <f t="shared" si="10"/>
        <v>0</v>
      </c>
      <c r="AO52" s="156" t="s">
        <v>1174</v>
      </c>
      <c r="AP52" s="156" t="s">
        <v>1176</v>
      </c>
      <c r="AQ52" s="156" t="s">
        <v>1176</v>
      </c>
      <c r="AR52" s="156" t="s">
        <v>1174</v>
      </c>
      <c r="AS52" s="163">
        <v>41106</v>
      </c>
      <c r="AT52" s="163">
        <v>41156</v>
      </c>
      <c r="AU52" s="164">
        <f t="shared" si="11"/>
        <v>50</v>
      </c>
      <c r="AV52" s="165">
        <f t="shared" si="12"/>
        <v>7.1428571428571432</v>
      </c>
      <c r="AW52" s="164">
        <v>15</v>
      </c>
      <c r="AX52" s="166">
        <f t="shared" si="13"/>
        <v>0.3</v>
      </c>
      <c r="AY52" s="166">
        <f t="shared" si="14"/>
        <v>2.1</v>
      </c>
      <c r="AZ52" s="167">
        <f t="shared" si="0"/>
        <v>0.5</v>
      </c>
      <c r="BA52" s="156" t="s">
        <v>1176</v>
      </c>
      <c r="BB52" s="156" t="s">
        <v>1176</v>
      </c>
      <c r="BC52" s="156" t="s">
        <v>1176</v>
      </c>
      <c r="BD52" s="156" t="s">
        <v>1174</v>
      </c>
      <c r="BE52" s="160" t="s">
        <v>1180</v>
      </c>
      <c r="BF52" s="161">
        <f t="shared" si="15"/>
        <v>0.5</v>
      </c>
      <c r="BG52" s="156" t="s">
        <v>1174</v>
      </c>
      <c r="BH52" s="156" t="s">
        <v>1174</v>
      </c>
      <c r="BI52" s="156" t="s">
        <v>1343</v>
      </c>
      <c r="BJ52" s="169">
        <f t="shared" si="1"/>
        <v>1</v>
      </c>
      <c r="BK52" s="156" t="s">
        <v>1344</v>
      </c>
      <c r="BL52" s="156" t="s">
        <v>1174</v>
      </c>
      <c r="BM52" s="156" t="s">
        <v>1176</v>
      </c>
      <c r="BN52" s="161">
        <v>0</v>
      </c>
      <c r="BO52" s="170" t="s">
        <v>1176</v>
      </c>
      <c r="BP52" s="171">
        <f t="shared" si="16"/>
        <v>0</v>
      </c>
      <c r="BQ52" s="170" t="s">
        <v>1176</v>
      </c>
      <c r="BR52" s="171">
        <f t="shared" si="17"/>
        <v>0</v>
      </c>
      <c r="BS52" s="172">
        <f t="shared" si="18"/>
        <v>0</v>
      </c>
      <c r="BT52" s="173">
        <f t="shared" si="2"/>
        <v>1</v>
      </c>
      <c r="BU52" s="174">
        <f t="shared" si="19"/>
        <v>1.3333333333333333</v>
      </c>
    </row>
    <row r="53" spans="1:73" ht="84">
      <c r="A53" s="156" t="s">
        <v>1171</v>
      </c>
      <c r="B53" s="156" t="s">
        <v>206</v>
      </c>
      <c r="C53" s="157">
        <v>52</v>
      </c>
      <c r="D53" s="156" t="s">
        <v>74</v>
      </c>
      <c r="E53" s="158" t="s">
        <v>1345</v>
      </c>
      <c r="F53" s="158" t="s">
        <v>1173</v>
      </c>
      <c r="G53" s="156" t="s">
        <v>1174</v>
      </c>
      <c r="H53" s="159">
        <v>41106</v>
      </c>
      <c r="I53" s="156" t="s">
        <v>1175</v>
      </c>
      <c r="J53" s="156" t="s">
        <v>1176</v>
      </c>
      <c r="K53" s="160" t="s">
        <v>1174</v>
      </c>
      <c r="L53" s="161">
        <f t="shared" si="3"/>
        <v>0.25</v>
      </c>
      <c r="M53" s="160" t="s">
        <v>1174</v>
      </c>
      <c r="N53" s="161">
        <f t="shared" si="4"/>
        <v>0.25</v>
      </c>
      <c r="O53" s="162">
        <f t="shared" si="5"/>
        <v>0.5</v>
      </c>
      <c r="P53" s="156" t="s">
        <v>1174</v>
      </c>
      <c r="Q53" s="156" t="s">
        <v>1176</v>
      </c>
      <c r="R53" s="156" t="s">
        <v>1174</v>
      </c>
      <c r="S53" s="156" t="s">
        <v>1346</v>
      </c>
      <c r="T53" s="156" t="s">
        <v>1174</v>
      </c>
      <c r="U53" s="156" t="s">
        <v>1176</v>
      </c>
      <c r="V53" s="156" t="s">
        <v>1176</v>
      </c>
      <c r="W53" s="156" t="s">
        <v>1176</v>
      </c>
      <c r="X53" s="158" t="s">
        <v>1347</v>
      </c>
      <c r="Y53" s="158" t="s">
        <v>1179</v>
      </c>
      <c r="Z53" s="156" t="s">
        <v>1174</v>
      </c>
      <c r="AA53" s="156" t="s">
        <v>1174</v>
      </c>
      <c r="AB53" s="156" t="s">
        <v>1174</v>
      </c>
      <c r="AC53" s="156" t="s">
        <v>1176</v>
      </c>
      <c r="AD53" s="156" t="s">
        <v>1176</v>
      </c>
      <c r="AE53" s="158" t="s">
        <v>1348</v>
      </c>
      <c r="AF53" s="160" t="s">
        <v>1174</v>
      </c>
      <c r="AG53" s="161">
        <f t="shared" si="6"/>
        <v>0.25</v>
      </c>
      <c r="AH53" s="160" t="s">
        <v>1176</v>
      </c>
      <c r="AI53" s="161">
        <f t="shared" si="7"/>
        <v>0</v>
      </c>
      <c r="AJ53" s="160" t="s">
        <v>1174</v>
      </c>
      <c r="AK53" s="160" t="s">
        <v>1349</v>
      </c>
      <c r="AL53" s="161">
        <f t="shared" si="8"/>
        <v>0.25</v>
      </c>
      <c r="AM53" s="162">
        <f t="shared" si="9"/>
        <v>1</v>
      </c>
      <c r="AN53" s="162">
        <f t="shared" si="10"/>
        <v>0.8</v>
      </c>
      <c r="AO53" s="156" t="s">
        <v>1174</v>
      </c>
      <c r="AP53" s="156" t="s">
        <v>1174</v>
      </c>
      <c r="AQ53" s="156" t="s">
        <v>1174</v>
      </c>
      <c r="AR53" s="156" t="s">
        <v>1174</v>
      </c>
      <c r="AS53" s="163">
        <v>41106</v>
      </c>
      <c r="AT53" s="163">
        <v>41156</v>
      </c>
      <c r="AU53" s="164">
        <f t="shared" si="11"/>
        <v>50</v>
      </c>
      <c r="AV53" s="165">
        <f t="shared" si="12"/>
        <v>7.1428571428571432</v>
      </c>
      <c r="AW53" s="164">
        <v>8</v>
      </c>
      <c r="AX53" s="166">
        <f t="shared" si="13"/>
        <v>0.16</v>
      </c>
      <c r="AY53" s="166">
        <f t="shared" si="14"/>
        <v>1.1199999999999999</v>
      </c>
      <c r="AZ53" s="167">
        <f t="shared" si="0"/>
        <v>1</v>
      </c>
      <c r="BA53" s="156" t="s">
        <v>1174</v>
      </c>
      <c r="BB53" s="156" t="s">
        <v>1176</v>
      </c>
      <c r="BC53" s="156" t="s">
        <v>1176</v>
      </c>
      <c r="BD53" s="156" t="s">
        <v>1174</v>
      </c>
      <c r="BE53" s="160" t="s">
        <v>1180</v>
      </c>
      <c r="BF53" s="161">
        <f t="shared" si="15"/>
        <v>0.5</v>
      </c>
      <c r="BG53" s="156" t="s">
        <v>1174</v>
      </c>
      <c r="BH53" s="156" t="s">
        <v>1174</v>
      </c>
      <c r="BJ53" s="169">
        <f t="shared" si="1"/>
        <v>1.5</v>
      </c>
      <c r="BK53" s="156" t="s">
        <v>1350</v>
      </c>
      <c r="BL53" s="156" t="s">
        <v>1174</v>
      </c>
      <c r="BM53" s="156" t="s">
        <v>1176</v>
      </c>
      <c r="BN53" s="161">
        <v>0.5</v>
      </c>
      <c r="BO53" s="170" t="s">
        <v>1176</v>
      </c>
      <c r="BP53" s="171">
        <f t="shared" si="16"/>
        <v>0</v>
      </c>
      <c r="BQ53" s="170" t="s">
        <v>1176</v>
      </c>
      <c r="BR53" s="171">
        <f t="shared" si="17"/>
        <v>0</v>
      </c>
      <c r="BS53" s="172">
        <f t="shared" si="18"/>
        <v>0.5</v>
      </c>
      <c r="BT53" s="173">
        <f t="shared" si="2"/>
        <v>2.8</v>
      </c>
      <c r="BU53" s="174">
        <f t="shared" si="19"/>
        <v>3.7333333333333329</v>
      </c>
    </row>
    <row r="54" spans="1:73" ht="56">
      <c r="A54" s="156" t="s">
        <v>1171</v>
      </c>
      <c r="B54" s="156" t="s">
        <v>209</v>
      </c>
      <c r="C54" s="157">
        <v>53</v>
      </c>
      <c r="D54" s="156" t="s">
        <v>413</v>
      </c>
      <c r="E54" s="158" t="s">
        <v>212</v>
      </c>
      <c r="F54" s="158" t="s">
        <v>1173</v>
      </c>
      <c r="G54" s="156" t="s">
        <v>1174</v>
      </c>
      <c r="H54" s="159">
        <v>41106</v>
      </c>
      <c r="I54" s="156" t="s">
        <v>1175</v>
      </c>
      <c r="J54" s="156" t="s">
        <v>1174</v>
      </c>
      <c r="K54" s="160" t="s">
        <v>1174</v>
      </c>
      <c r="L54" s="161">
        <f t="shared" si="3"/>
        <v>0.25</v>
      </c>
      <c r="M54" s="160" t="s">
        <v>1174</v>
      </c>
      <c r="N54" s="161">
        <f t="shared" si="4"/>
        <v>0.25</v>
      </c>
      <c r="O54" s="162">
        <f t="shared" si="5"/>
        <v>0.5</v>
      </c>
      <c r="P54" s="156" t="s">
        <v>1176</v>
      </c>
      <c r="Q54" s="156" t="s">
        <v>1176</v>
      </c>
      <c r="R54" s="156" t="s">
        <v>1176</v>
      </c>
      <c r="S54" s="156" t="s">
        <v>671</v>
      </c>
      <c r="T54" s="156" t="s">
        <v>1176</v>
      </c>
      <c r="U54" s="156" t="s">
        <v>1176</v>
      </c>
      <c r="V54" s="156" t="s">
        <v>1176</v>
      </c>
      <c r="W54" s="156" t="s">
        <v>1176</v>
      </c>
      <c r="X54" s="158" t="s">
        <v>1351</v>
      </c>
      <c r="Y54" s="158" t="s">
        <v>1179</v>
      </c>
      <c r="Z54" s="156" t="s">
        <v>1174</v>
      </c>
      <c r="AA54" s="156" t="s">
        <v>1174</v>
      </c>
      <c r="AB54" s="156" t="s">
        <v>1176</v>
      </c>
      <c r="AC54" s="156" t="s">
        <v>1176</v>
      </c>
      <c r="AD54" s="156" t="s">
        <v>1176</v>
      </c>
      <c r="AE54" s="158" t="s">
        <v>1352</v>
      </c>
      <c r="AF54" s="160" t="s">
        <v>1176</v>
      </c>
      <c r="AG54" s="161">
        <f t="shared" si="6"/>
        <v>0</v>
      </c>
      <c r="AH54" s="160" t="s">
        <v>1176</v>
      </c>
      <c r="AI54" s="161">
        <f t="shared" si="7"/>
        <v>0</v>
      </c>
      <c r="AJ54" s="160" t="s">
        <v>1176</v>
      </c>
      <c r="AK54" s="160" t="s">
        <v>671</v>
      </c>
      <c r="AL54" s="161">
        <f t="shared" si="8"/>
        <v>0</v>
      </c>
      <c r="AM54" s="162">
        <f t="shared" si="9"/>
        <v>0.5</v>
      </c>
      <c r="AN54" s="162">
        <f t="shared" si="10"/>
        <v>0.4</v>
      </c>
      <c r="AO54" s="156" t="s">
        <v>1176</v>
      </c>
      <c r="AP54" s="156" t="s">
        <v>1176</v>
      </c>
      <c r="AQ54" s="156" t="s">
        <v>1176</v>
      </c>
      <c r="AR54" s="156" t="s">
        <v>1176</v>
      </c>
      <c r="AS54" s="163">
        <v>41106</v>
      </c>
      <c r="AT54" s="163">
        <v>41156</v>
      </c>
      <c r="AU54" s="164">
        <f t="shared" si="11"/>
        <v>50</v>
      </c>
      <c r="AV54" s="165">
        <f t="shared" si="12"/>
        <v>7.1428571428571432</v>
      </c>
      <c r="AW54" s="164">
        <v>17</v>
      </c>
      <c r="AX54" s="166">
        <f t="shared" si="13"/>
        <v>0.34</v>
      </c>
      <c r="AY54" s="166">
        <f t="shared" si="14"/>
        <v>2.38</v>
      </c>
      <c r="AZ54" s="167">
        <f t="shared" si="0"/>
        <v>0.5</v>
      </c>
      <c r="BA54" s="156" t="s">
        <v>1174</v>
      </c>
      <c r="BB54" s="156" t="s">
        <v>1174</v>
      </c>
      <c r="BC54" s="156" t="s">
        <v>1176</v>
      </c>
      <c r="BD54" s="156" t="s">
        <v>1174</v>
      </c>
      <c r="BE54" s="160" t="s">
        <v>1180</v>
      </c>
      <c r="BF54" s="161">
        <f t="shared" si="15"/>
        <v>0.5</v>
      </c>
      <c r="BG54" s="156" t="s">
        <v>1174</v>
      </c>
      <c r="BH54" s="156" t="s">
        <v>1174</v>
      </c>
      <c r="BI54" s="156" t="s">
        <v>1353</v>
      </c>
      <c r="BJ54" s="169">
        <f t="shared" si="1"/>
        <v>1</v>
      </c>
      <c r="BK54" s="156" t="s">
        <v>1328</v>
      </c>
      <c r="BL54" s="156" t="s">
        <v>1174</v>
      </c>
      <c r="BM54" s="156" t="s">
        <v>1176</v>
      </c>
      <c r="BN54" s="161">
        <v>0</v>
      </c>
      <c r="BO54" s="170" t="s">
        <v>1176</v>
      </c>
      <c r="BP54" s="171">
        <f t="shared" si="16"/>
        <v>0</v>
      </c>
      <c r="BQ54" s="170" t="s">
        <v>1176</v>
      </c>
      <c r="BR54" s="171">
        <f t="shared" si="17"/>
        <v>0</v>
      </c>
      <c r="BS54" s="172">
        <f t="shared" si="18"/>
        <v>0</v>
      </c>
      <c r="BT54" s="173">
        <f t="shared" si="2"/>
        <v>1.4</v>
      </c>
      <c r="BU54" s="174">
        <f t="shared" si="19"/>
        <v>1.8666666666666665</v>
      </c>
    </row>
    <row r="55" spans="1:73" ht="70">
      <c r="A55" s="156" t="s">
        <v>1171</v>
      </c>
      <c r="B55" s="156" t="s">
        <v>213</v>
      </c>
      <c r="C55" s="157">
        <v>54</v>
      </c>
      <c r="D55" s="156" t="s">
        <v>74</v>
      </c>
      <c r="E55" s="158" t="s">
        <v>1354</v>
      </c>
      <c r="F55" s="158" t="s">
        <v>1173</v>
      </c>
      <c r="G55" s="156" t="s">
        <v>1174</v>
      </c>
      <c r="H55" s="159">
        <v>41106</v>
      </c>
      <c r="I55" s="156" t="s">
        <v>1185</v>
      </c>
      <c r="J55" s="156" t="s">
        <v>1176</v>
      </c>
      <c r="K55" s="160" t="s">
        <v>1176</v>
      </c>
      <c r="L55" s="161">
        <f t="shared" si="3"/>
        <v>0</v>
      </c>
      <c r="M55" s="160" t="s">
        <v>1176</v>
      </c>
      <c r="N55" s="161">
        <f t="shared" si="4"/>
        <v>0</v>
      </c>
      <c r="O55" s="162">
        <f t="shared" si="5"/>
        <v>0</v>
      </c>
      <c r="P55" s="156" t="s">
        <v>1174</v>
      </c>
      <c r="Q55" s="156" t="s">
        <v>1176</v>
      </c>
      <c r="R55" s="156" t="s">
        <v>1176</v>
      </c>
      <c r="S55" s="156" t="s">
        <v>671</v>
      </c>
      <c r="T55" s="156" t="s">
        <v>1176</v>
      </c>
      <c r="U55" s="156" t="s">
        <v>1176</v>
      </c>
      <c r="V55" s="156" t="s">
        <v>1176</v>
      </c>
      <c r="W55" s="156" t="s">
        <v>1176</v>
      </c>
      <c r="X55" s="158" t="s">
        <v>1355</v>
      </c>
      <c r="Y55" s="158" t="s">
        <v>1179</v>
      </c>
      <c r="Z55" s="156" t="s">
        <v>1174</v>
      </c>
      <c r="AA55" s="156" t="s">
        <v>1174</v>
      </c>
      <c r="AB55" s="156" t="s">
        <v>1176</v>
      </c>
      <c r="AC55" s="156" t="s">
        <v>1176</v>
      </c>
      <c r="AD55" s="156" t="s">
        <v>1176</v>
      </c>
      <c r="AE55" s="158" t="s">
        <v>1356</v>
      </c>
      <c r="AF55" s="160" t="s">
        <v>1174</v>
      </c>
      <c r="AG55" s="161">
        <f t="shared" si="6"/>
        <v>0.25</v>
      </c>
      <c r="AH55" s="160" t="s">
        <v>1176</v>
      </c>
      <c r="AI55" s="161">
        <f t="shared" si="7"/>
        <v>0</v>
      </c>
      <c r="AJ55" s="160" t="s">
        <v>1176</v>
      </c>
      <c r="AK55" s="160" t="s">
        <v>1357</v>
      </c>
      <c r="AL55" s="161">
        <f t="shared" si="8"/>
        <v>0</v>
      </c>
      <c r="AM55" s="162">
        <f t="shared" si="9"/>
        <v>0.25</v>
      </c>
      <c r="AN55" s="162">
        <f t="shared" si="10"/>
        <v>0.2</v>
      </c>
      <c r="AO55" s="156" t="s">
        <v>1176</v>
      </c>
      <c r="AP55" s="156" t="s">
        <v>1176</v>
      </c>
      <c r="AQ55" s="156" t="s">
        <v>1176</v>
      </c>
      <c r="AR55" s="156" t="s">
        <v>1176</v>
      </c>
      <c r="AS55" s="163">
        <v>41106</v>
      </c>
      <c r="AT55" s="163">
        <v>41156</v>
      </c>
      <c r="AU55" s="164">
        <f t="shared" si="11"/>
        <v>50</v>
      </c>
      <c r="AV55" s="165">
        <f t="shared" si="12"/>
        <v>7.1428571428571432</v>
      </c>
      <c r="AW55" s="164">
        <v>0</v>
      </c>
      <c r="AX55" s="166">
        <f t="shared" si="13"/>
        <v>0</v>
      </c>
      <c r="AY55" s="166">
        <f t="shared" si="14"/>
        <v>0</v>
      </c>
      <c r="AZ55" s="167">
        <f t="shared" si="0"/>
        <v>0</v>
      </c>
      <c r="BA55" s="156" t="s">
        <v>1176</v>
      </c>
      <c r="BB55" s="156" t="s">
        <v>1176</v>
      </c>
      <c r="BC55" s="156" t="s">
        <v>1176</v>
      </c>
      <c r="BD55" s="156" t="s">
        <v>1176</v>
      </c>
      <c r="BE55" s="160" t="s">
        <v>414</v>
      </c>
      <c r="BF55" s="161">
        <f t="shared" si="15"/>
        <v>0</v>
      </c>
      <c r="BG55" s="156" t="s">
        <v>1176</v>
      </c>
      <c r="BH55" s="156" t="s">
        <v>1176</v>
      </c>
      <c r="BI55" s="156" t="s">
        <v>684</v>
      </c>
      <c r="BJ55" s="169">
        <f t="shared" si="1"/>
        <v>0</v>
      </c>
      <c r="BK55" s="156" t="s">
        <v>1358</v>
      </c>
      <c r="BL55" s="156" t="s">
        <v>1176</v>
      </c>
      <c r="BM55" s="156" t="s">
        <v>1176</v>
      </c>
      <c r="BN55" s="161">
        <v>0</v>
      </c>
      <c r="BO55" s="170" t="s">
        <v>1176</v>
      </c>
      <c r="BP55" s="171">
        <f t="shared" si="16"/>
        <v>0</v>
      </c>
      <c r="BQ55" s="170" t="s">
        <v>1176</v>
      </c>
      <c r="BR55" s="171">
        <f t="shared" si="17"/>
        <v>0</v>
      </c>
      <c r="BS55" s="172">
        <f t="shared" si="18"/>
        <v>0</v>
      </c>
      <c r="BT55" s="173">
        <f t="shared" si="2"/>
        <v>0.2</v>
      </c>
      <c r="BU55" s="174">
        <f t="shared" si="19"/>
        <v>0.26666666666666666</v>
      </c>
    </row>
    <row r="56" spans="1:73" ht="70">
      <c r="A56" s="156" t="s">
        <v>1171</v>
      </c>
      <c r="B56" s="156" t="s">
        <v>215</v>
      </c>
      <c r="C56" s="157">
        <v>55</v>
      </c>
      <c r="D56" s="156" t="s">
        <v>74</v>
      </c>
      <c r="E56" s="158" t="s">
        <v>1359</v>
      </c>
      <c r="F56" s="158" t="s">
        <v>1173</v>
      </c>
      <c r="G56" s="156" t="s">
        <v>1174</v>
      </c>
      <c r="H56" s="159">
        <v>41106</v>
      </c>
      <c r="I56" s="156" t="s">
        <v>1185</v>
      </c>
      <c r="J56" s="156" t="s">
        <v>1174</v>
      </c>
      <c r="K56" s="160" t="s">
        <v>1176</v>
      </c>
      <c r="L56" s="161">
        <f t="shared" si="3"/>
        <v>0</v>
      </c>
      <c r="M56" s="160" t="s">
        <v>1176</v>
      </c>
      <c r="N56" s="161">
        <f t="shared" si="4"/>
        <v>0</v>
      </c>
      <c r="O56" s="162">
        <f t="shared" si="5"/>
        <v>0</v>
      </c>
      <c r="P56" s="156" t="s">
        <v>1174</v>
      </c>
      <c r="Q56" s="156" t="s">
        <v>1176</v>
      </c>
      <c r="R56" s="156" t="s">
        <v>1176</v>
      </c>
      <c r="S56" s="156" t="s">
        <v>671</v>
      </c>
      <c r="T56" s="156" t="s">
        <v>1176</v>
      </c>
      <c r="U56" s="156" t="s">
        <v>1176</v>
      </c>
      <c r="V56" s="156" t="s">
        <v>1174</v>
      </c>
      <c r="W56" s="156" t="s">
        <v>1176</v>
      </c>
      <c r="X56" s="158" t="s">
        <v>1360</v>
      </c>
      <c r="Y56" s="158" t="s">
        <v>1179</v>
      </c>
      <c r="Z56" s="156" t="s">
        <v>1174</v>
      </c>
      <c r="AA56" s="156" t="s">
        <v>1174</v>
      </c>
      <c r="AB56" s="156" t="s">
        <v>1174</v>
      </c>
      <c r="AC56" s="156" t="s">
        <v>1176</v>
      </c>
      <c r="AD56" s="156" t="s">
        <v>1174</v>
      </c>
      <c r="AE56" s="158" t="s">
        <v>1361</v>
      </c>
      <c r="AF56" s="160" t="s">
        <v>1176</v>
      </c>
      <c r="AG56" s="161">
        <f t="shared" si="6"/>
        <v>0</v>
      </c>
      <c r="AH56" s="160" t="s">
        <v>1176</v>
      </c>
      <c r="AI56" s="161">
        <f t="shared" si="7"/>
        <v>0</v>
      </c>
      <c r="AJ56" s="160" t="s">
        <v>1176</v>
      </c>
      <c r="AK56" s="160" t="s">
        <v>671</v>
      </c>
      <c r="AL56" s="161">
        <f t="shared" si="8"/>
        <v>0</v>
      </c>
      <c r="AM56" s="162">
        <f t="shared" si="9"/>
        <v>0</v>
      </c>
      <c r="AN56" s="162">
        <f t="shared" si="10"/>
        <v>0</v>
      </c>
      <c r="AO56" s="156" t="s">
        <v>1174</v>
      </c>
      <c r="AP56" s="156" t="s">
        <v>1174</v>
      </c>
      <c r="AQ56" s="156" t="s">
        <v>1174</v>
      </c>
      <c r="AR56" s="156" t="s">
        <v>1174</v>
      </c>
      <c r="AS56" s="163">
        <v>41106</v>
      </c>
      <c r="AT56" s="163">
        <v>41156</v>
      </c>
      <c r="AU56" s="164">
        <f t="shared" si="11"/>
        <v>50</v>
      </c>
      <c r="AV56" s="165">
        <f t="shared" si="12"/>
        <v>7.1428571428571432</v>
      </c>
      <c r="AW56" s="164">
        <v>5</v>
      </c>
      <c r="AX56" s="166">
        <f t="shared" si="13"/>
        <v>0.1</v>
      </c>
      <c r="AY56" s="166">
        <f t="shared" si="14"/>
        <v>0.7</v>
      </c>
      <c r="AZ56" s="167">
        <f t="shared" si="0"/>
        <v>0.75</v>
      </c>
      <c r="BA56" s="156" t="s">
        <v>1174</v>
      </c>
      <c r="BB56" s="156" t="s">
        <v>1176</v>
      </c>
      <c r="BC56" s="156" t="s">
        <v>1176</v>
      </c>
      <c r="BD56" s="156" t="s">
        <v>1174</v>
      </c>
      <c r="BE56" s="160" t="s">
        <v>1176</v>
      </c>
      <c r="BF56" s="161">
        <f t="shared" si="15"/>
        <v>0</v>
      </c>
      <c r="BG56" s="156" t="s">
        <v>1176</v>
      </c>
      <c r="BH56" s="156" t="s">
        <v>1176</v>
      </c>
      <c r="BI56" s="156" t="s">
        <v>684</v>
      </c>
      <c r="BJ56" s="169">
        <f t="shared" si="1"/>
        <v>0.75</v>
      </c>
      <c r="BK56" s="156" t="s">
        <v>684</v>
      </c>
      <c r="BL56" s="156" t="s">
        <v>1174</v>
      </c>
      <c r="BM56" s="156" t="s">
        <v>1176</v>
      </c>
      <c r="BN56" s="161">
        <v>0</v>
      </c>
      <c r="BO56" s="170" t="s">
        <v>1176</v>
      </c>
      <c r="BP56" s="171">
        <f t="shared" si="16"/>
        <v>0</v>
      </c>
      <c r="BQ56" s="170" t="s">
        <v>1176</v>
      </c>
      <c r="BR56" s="171">
        <f t="shared" si="17"/>
        <v>0</v>
      </c>
      <c r="BS56" s="172">
        <f t="shared" si="18"/>
        <v>0</v>
      </c>
      <c r="BT56" s="173">
        <f t="shared" si="2"/>
        <v>0.75</v>
      </c>
      <c r="BU56" s="174">
        <f t="shared" si="19"/>
        <v>1</v>
      </c>
    </row>
    <row r="57" spans="1:73" ht="70">
      <c r="A57" s="156" t="s">
        <v>1171</v>
      </c>
      <c r="B57" s="156" t="s">
        <v>218</v>
      </c>
      <c r="C57" s="157">
        <v>56</v>
      </c>
      <c r="D57" s="156" t="s">
        <v>74</v>
      </c>
      <c r="E57" s="158" t="s">
        <v>1362</v>
      </c>
      <c r="F57" s="158" t="s">
        <v>1173</v>
      </c>
      <c r="G57" s="156" t="s">
        <v>1174</v>
      </c>
      <c r="H57" s="159">
        <v>41106</v>
      </c>
      <c r="I57" s="156" t="s">
        <v>1190</v>
      </c>
      <c r="J57" s="156" t="s">
        <v>1176</v>
      </c>
      <c r="K57" s="160" t="s">
        <v>1174</v>
      </c>
      <c r="L57" s="161">
        <f t="shared" si="3"/>
        <v>0.25</v>
      </c>
      <c r="M57" s="160" t="s">
        <v>1174</v>
      </c>
      <c r="N57" s="161">
        <f t="shared" si="4"/>
        <v>0.25</v>
      </c>
      <c r="O57" s="162">
        <f t="shared" si="5"/>
        <v>0.5</v>
      </c>
      <c r="P57" s="156" t="s">
        <v>1176</v>
      </c>
      <c r="Q57" s="156" t="s">
        <v>1176</v>
      </c>
      <c r="R57" s="156" t="s">
        <v>1176</v>
      </c>
      <c r="S57" s="156" t="s">
        <v>671</v>
      </c>
      <c r="T57" s="156" t="s">
        <v>1176</v>
      </c>
      <c r="U57" s="156" t="s">
        <v>1176</v>
      </c>
      <c r="V57" s="156" t="s">
        <v>1176</v>
      </c>
      <c r="W57" s="156" t="s">
        <v>1174</v>
      </c>
      <c r="X57" s="158" t="s">
        <v>1363</v>
      </c>
      <c r="Y57" s="158" t="s">
        <v>1179</v>
      </c>
      <c r="Z57" s="156" t="s">
        <v>1174</v>
      </c>
      <c r="AA57" s="156" t="s">
        <v>1176</v>
      </c>
      <c r="AB57" s="156" t="s">
        <v>1174</v>
      </c>
      <c r="AC57" s="156" t="s">
        <v>1176</v>
      </c>
      <c r="AD57" s="156" t="s">
        <v>1176</v>
      </c>
      <c r="AE57" s="158" t="s">
        <v>1364</v>
      </c>
      <c r="AF57" s="160" t="s">
        <v>1176</v>
      </c>
      <c r="AG57" s="161">
        <f t="shared" si="6"/>
        <v>0</v>
      </c>
      <c r="AH57" s="160" t="s">
        <v>1176</v>
      </c>
      <c r="AI57" s="161">
        <f t="shared" si="7"/>
        <v>0</v>
      </c>
      <c r="AJ57" s="160" t="s">
        <v>1176</v>
      </c>
      <c r="AK57" s="160" t="s">
        <v>671</v>
      </c>
      <c r="AL57" s="161">
        <f t="shared" si="8"/>
        <v>0</v>
      </c>
      <c r="AM57" s="162">
        <f t="shared" si="9"/>
        <v>0.5</v>
      </c>
      <c r="AN57" s="162">
        <f t="shared" si="10"/>
        <v>0.4</v>
      </c>
      <c r="AO57" s="156" t="s">
        <v>1174</v>
      </c>
      <c r="AP57" s="156" t="s">
        <v>1176</v>
      </c>
      <c r="AQ57" s="156" t="s">
        <v>1174</v>
      </c>
      <c r="AR57" s="156" t="s">
        <v>1174</v>
      </c>
      <c r="AS57" s="163">
        <v>41106</v>
      </c>
      <c r="AT57" s="163">
        <v>41156</v>
      </c>
      <c r="AU57" s="164">
        <f t="shared" si="11"/>
        <v>50</v>
      </c>
      <c r="AV57" s="165">
        <f t="shared" si="12"/>
        <v>7.1428571428571432</v>
      </c>
      <c r="AW57" s="164">
        <v>25</v>
      </c>
      <c r="AX57" s="166">
        <f t="shared" si="13"/>
        <v>0.5</v>
      </c>
      <c r="AY57" s="166">
        <f t="shared" si="14"/>
        <v>3.5</v>
      </c>
      <c r="AZ57" s="167">
        <v>0.25</v>
      </c>
      <c r="BA57" s="156" t="s">
        <v>1174</v>
      </c>
      <c r="BB57" s="156" t="s">
        <v>1176</v>
      </c>
      <c r="BC57" s="156" t="s">
        <v>1176</v>
      </c>
      <c r="BD57" s="156" t="s">
        <v>1174</v>
      </c>
      <c r="BE57" s="160" t="s">
        <v>1180</v>
      </c>
      <c r="BF57" s="161">
        <f t="shared" si="15"/>
        <v>0.5</v>
      </c>
      <c r="BG57" s="156" t="s">
        <v>1174</v>
      </c>
      <c r="BH57" s="156" t="s">
        <v>1174</v>
      </c>
      <c r="BI57" s="156" t="s">
        <v>684</v>
      </c>
      <c r="BJ57" s="169">
        <f t="shared" si="1"/>
        <v>0.75</v>
      </c>
      <c r="BK57" s="156" t="s">
        <v>1365</v>
      </c>
      <c r="BL57" s="156" t="s">
        <v>1174</v>
      </c>
      <c r="BM57" s="156" t="s">
        <v>1176</v>
      </c>
      <c r="BN57" s="161">
        <v>0.25</v>
      </c>
      <c r="BO57" s="170" t="s">
        <v>1176</v>
      </c>
      <c r="BP57" s="171">
        <f t="shared" si="16"/>
        <v>0</v>
      </c>
      <c r="BQ57" s="170" t="s">
        <v>1176</v>
      </c>
      <c r="BR57" s="171">
        <f t="shared" si="17"/>
        <v>0</v>
      </c>
      <c r="BS57" s="172">
        <f t="shared" si="18"/>
        <v>0.25</v>
      </c>
      <c r="BT57" s="173">
        <f t="shared" si="2"/>
        <v>1.4</v>
      </c>
      <c r="BU57" s="174">
        <f t="shared" si="19"/>
        <v>1.8666666666666665</v>
      </c>
    </row>
    <row r="58" spans="1:73" ht="70">
      <c r="A58" s="156" t="s">
        <v>1171</v>
      </c>
      <c r="B58" s="156" t="s">
        <v>220</v>
      </c>
      <c r="C58" s="157">
        <v>57</v>
      </c>
      <c r="D58" s="156" t="s">
        <v>74</v>
      </c>
      <c r="E58" s="158" t="s">
        <v>221</v>
      </c>
      <c r="F58" s="158" t="s">
        <v>1173</v>
      </c>
      <c r="G58" s="156" t="s">
        <v>1174</v>
      </c>
      <c r="H58" s="159">
        <v>41136</v>
      </c>
      <c r="I58" s="156" t="s">
        <v>1190</v>
      </c>
      <c r="J58" s="156" t="s">
        <v>1176</v>
      </c>
      <c r="K58" s="160" t="s">
        <v>1176</v>
      </c>
      <c r="L58" s="161">
        <f t="shared" si="3"/>
        <v>0</v>
      </c>
      <c r="M58" s="160" t="s">
        <v>1174</v>
      </c>
      <c r="N58" s="161">
        <f t="shared" si="4"/>
        <v>0.25</v>
      </c>
      <c r="O58" s="162">
        <f t="shared" si="5"/>
        <v>0.25</v>
      </c>
      <c r="P58" s="156" t="s">
        <v>1176</v>
      </c>
      <c r="Q58" s="156" t="s">
        <v>1176</v>
      </c>
      <c r="R58" s="156" t="s">
        <v>1176</v>
      </c>
      <c r="S58" s="156" t="s">
        <v>684</v>
      </c>
      <c r="T58" s="156" t="s">
        <v>1176</v>
      </c>
      <c r="U58" s="156" t="s">
        <v>1176</v>
      </c>
      <c r="V58" s="156" t="s">
        <v>1176</v>
      </c>
      <c r="W58" s="156" t="s">
        <v>1176</v>
      </c>
      <c r="X58" s="158" t="s">
        <v>1366</v>
      </c>
      <c r="Y58" s="158" t="s">
        <v>1179</v>
      </c>
      <c r="Z58" s="156" t="s">
        <v>1174</v>
      </c>
      <c r="AA58" s="156" t="s">
        <v>1174</v>
      </c>
      <c r="AB58" s="156" t="s">
        <v>1176</v>
      </c>
      <c r="AC58" s="156" t="s">
        <v>1176</v>
      </c>
      <c r="AD58" s="156" t="s">
        <v>1176</v>
      </c>
      <c r="AE58" s="158" t="s">
        <v>684</v>
      </c>
      <c r="AF58" s="160" t="s">
        <v>1176</v>
      </c>
      <c r="AG58" s="161">
        <f t="shared" si="6"/>
        <v>0</v>
      </c>
      <c r="AH58" s="160" t="s">
        <v>1176</v>
      </c>
      <c r="AI58" s="161">
        <f t="shared" si="7"/>
        <v>0</v>
      </c>
      <c r="AJ58" s="160" t="s">
        <v>1176</v>
      </c>
      <c r="AK58" s="160" t="s">
        <v>684</v>
      </c>
      <c r="AL58" s="161">
        <f t="shared" si="8"/>
        <v>0</v>
      </c>
      <c r="AM58" s="162">
        <f t="shared" si="9"/>
        <v>0.25</v>
      </c>
      <c r="AN58" s="162">
        <f t="shared" si="10"/>
        <v>0.2</v>
      </c>
      <c r="AO58" s="156" t="s">
        <v>1174</v>
      </c>
      <c r="AP58" s="156" t="s">
        <v>1174</v>
      </c>
      <c r="AQ58" s="156" t="s">
        <v>1174</v>
      </c>
      <c r="AR58" s="156" t="s">
        <v>1174</v>
      </c>
      <c r="AS58" s="163">
        <v>41131</v>
      </c>
      <c r="AT58" s="163">
        <v>41156</v>
      </c>
      <c r="AU58" s="164">
        <f t="shared" si="11"/>
        <v>25</v>
      </c>
      <c r="AV58" s="165">
        <f t="shared" si="12"/>
        <v>3.5714285714285716</v>
      </c>
      <c r="AW58" s="164">
        <v>11</v>
      </c>
      <c r="AX58" s="166">
        <f t="shared" si="13"/>
        <v>0.44</v>
      </c>
      <c r="AY58" s="166">
        <f t="shared" si="14"/>
        <v>3.0799999999999996</v>
      </c>
      <c r="AZ58" s="167">
        <f t="shared" si="0"/>
        <v>0.25</v>
      </c>
      <c r="BA58" s="156" t="s">
        <v>1174</v>
      </c>
      <c r="BB58" s="156" t="s">
        <v>1174</v>
      </c>
      <c r="BC58" s="156" t="s">
        <v>1176</v>
      </c>
      <c r="BD58" s="156" t="s">
        <v>1174</v>
      </c>
      <c r="BE58" s="160" t="s">
        <v>1180</v>
      </c>
      <c r="BF58" s="161">
        <f t="shared" si="15"/>
        <v>0.5</v>
      </c>
      <c r="BG58" s="156" t="s">
        <v>1174</v>
      </c>
      <c r="BH58" s="156" t="s">
        <v>1174</v>
      </c>
      <c r="BI58" s="156" t="s">
        <v>1367</v>
      </c>
      <c r="BJ58" s="169">
        <f t="shared" si="1"/>
        <v>0.75</v>
      </c>
      <c r="BK58" s="156" t="s">
        <v>1368</v>
      </c>
      <c r="BL58" s="156" t="s">
        <v>1174</v>
      </c>
      <c r="BM58" s="156" t="s">
        <v>1176</v>
      </c>
      <c r="BN58" s="161">
        <v>0.25</v>
      </c>
      <c r="BO58" s="170" t="s">
        <v>1176</v>
      </c>
      <c r="BP58" s="171">
        <f t="shared" si="16"/>
        <v>0</v>
      </c>
      <c r="BQ58" s="170" t="s">
        <v>1176</v>
      </c>
      <c r="BR58" s="171">
        <f t="shared" si="17"/>
        <v>0</v>
      </c>
      <c r="BS58" s="172">
        <f t="shared" si="18"/>
        <v>0.25</v>
      </c>
      <c r="BT58" s="173">
        <f t="shared" si="2"/>
        <v>1.2</v>
      </c>
      <c r="BU58" s="174">
        <f t="shared" si="19"/>
        <v>1.5999999999999999</v>
      </c>
    </row>
    <row r="59" spans="1:73" ht="56">
      <c r="A59" s="156" t="s">
        <v>1171</v>
      </c>
      <c r="B59" s="156" t="s">
        <v>222</v>
      </c>
      <c r="C59" s="157">
        <v>58</v>
      </c>
      <c r="D59" s="156" t="s">
        <v>74</v>
      </c>
      <c r="E59" s="158" t="s">
        <v>1369</v>
      </c>
      <c r="F59" s="158" t="s">
        <v>1173</v>
      </c>
      <c r="G59" s="156" t="s">
        <v>1174</v>
      </c>
      <c r="H59" s="159">
        <v>41106</v>
      </c>
      <c r="I59" s="156" t="s">
        <v>1190</v>
      </c>
      <c r="J59" s="156" t="s">
        <v>1174</v>
      </c>
      <c r="K59" s="160" t="s">
        <v>1174</v>
      </c>
      <c r="L59" s="161">
        <f t="shared" si="3"/>
        <v>0.25</v>
      </c>
      <c r="M59" s="160" t="s">
        <v>1174</v>
      </c>
      <c r="N59" s="161">
        <f t="shared" si="4"/>
        <v>0.25</v>
      </c>
      <c r="O59" s="162">
        <f t="shared" si="5"/>
        <v>0.5</v>
      </c>
      <c r="P59" s="156" t="s">
        <v>1176</v>
      </c>
      <c r="Q59" s="156" t="s">
        <v>1176</v>
      </c>
      <c r="R59" s="156" t="s">
        <v>1174</v>
      </c>
      <c r="S59" s="156" t="s">
        <v>1370</v>
      </c>
      <c r="T59" s="156" t="s">
        <v>1176</v>
      </c>
      <c r="U59" s="156" t="s">
        <v>1174</v>
      </c>
      <c r="V59" s="156" t="s">
        <v>1176</v>
      </c>
      <c r="W59" s="156" t="s">
        <v>1176</v>
      </c>
      <c r="X59" s="158" t="s">
        <v>1178</v>
      </c>
      <c r="Y59" s="158" t="s">
        <v>1179</v>
      </c>
      <c r="Z59" s="156" t="s">
        <v>1174</v>
      </c>
      <c r="AA59" s="156" t="s">
        <v>1174</v>
      </c>
      <c r="AB59" s="156" t="s">
        <v>1176</v>
      </c>
      <c r="AC59" s="156" t="s">
        <v>1176</v>
      </c>
      <c r="AD59" s="156" t="s">
        <v>1176</v>
      </c>
      <c r="AE59" s="158" t="s">
        <v>1371</v>
      </c>
      <c r="AF59" s="160" t="s">
        <v>1176</v>
      </c>
      <c r="AG59" s="161">
        <f t="shared" si="6"/>
        <v>0</v>
      </c>
      <c r="AH59" s="160" t="s">
        <v>1176</v>
      </c>
      <c r="AI59" s="161">
        <f t="shared" si="7"/>
        <v>0</v>
      </c>
      <c r="AJ59" s="160" t="s">
        <v>1174</v>
      </c>
      <c r="AK59" s="160" t="s">
        <v>1372</v>
      </c>
      <c r="AL59" s="161">
        <f t="shared" si="8"/>
        <v>0.25</v>
      </c>
      <c r="AM59" s="162">
        <f t="shared" si="9"/>
        <v>0.75</v>
      </c>
      <c r="AN59" s="162">
        <f t="shared" si="10"/>
        <v>0.6</v>
      </c>
      <c r="AO59" s="156" t="s">
        <v>1174</v>
      </c>
      <c r="AP59" s="156" t="s">
        <v>1176</v>
      </c>
      <c r="AQ59" s="156" t="s">
        <v>1174</v>
      </c>
      <c r="AR59" s="156" t="s">
        <v>1174</v>
      </c>
      <c r="AS59" s="163">
        <v>41106</v>
      </c>
      <c r="AT59" s="163">
        <v>41156</v>
      </c>
      <c r="AU59" s="164">
        <f t="shared" si="11"/>
        <v>50</v>
      </c>
      <c r="AV59" s="165">
        <f t="shared" si="12"/>
        <v>7.1428571428571432</v>
      </c>
      <c r="AW59" s="164">
        <v>7</v>
      </c>
      <c r="AX59" s="166">
        <f t="shared" si="13"/>
        <v>0.14000000000000001</v>
      </c>
      <c r="AY59" s="166">
        <f t="shared" si="14"/>
        <v>0.98</v>
      </c>
      <c r="AZ59" s="167">
        <f t="shared" si="0"/>
        <v>1</v>
      </c>
      <c r="BA59" s="156" t="s">
        <v>1174</v>
      </c>
      <c r="BB59" s="156" t="s">
        <v>1176</v>
      </c>
      <c r="BC59" s="156" t="s">
        <v>1176</v>
      </c>
      <c r="BD59" s="156" t="s">
        <v>1174</v>
      </c>
      <c r="BE59" s="160" t="s">
        <v>1180</v>
      </c>
      <c r="BF59" s="161">
        <f t="shared" si="15"/>
        <v>0.5</v>
      </c>
      <c r="BG59" s="156" t="s">
        <v>1174</v>
      </c>
      <c r="BH59" s="156" t="s">
        <v>1174</v>
      </c>
      <c r="BI59" s="156" t="s">
        <v>1373</v>
      </c>
      <c r="BJ59" s="169">
        <f t="shared" si="1"/>
        <v>1.5</v>
      </c>
      <c r="BK59" s="156" t="s">
        <v>1374</v>
      </c>
      <c r="BL59" s="156" t="s">
        <v>1174</v>
      </c>
      <c r="BM59" s="156" t="s">
        <v>1176</v>
      </c>
      <c r="BN59" s="161">
        <v>0.25</v>
      </c>
      <c r="BO59" s="170" t="s">
        <v>1176</v>
      </c>
      <c r="BP59" s="171">
        <f t="shared" si="16"/>
        <v>0</v>
      </c>
      <c r="BQ59" s="170" t="s">
        <v>1176</v>
      </c>
      <c r="BR59" s="171">
        <f t="shared" si="17"/>
        <v>0</v>
      </c>
      <c r="BS59" s="172">
        <f t="shared" si="18"/>
        <v>0.25</v>
      </c>
      <c r="BT59" s="173">
        <f t="shared" si="2"/>
        <v>2.35</v>
      </c>
      <c r="BU59" s="174">
        <f t="shared" si="19"/>
        <v>3.1333333333333333</v>
      </c>
    </row>
    <row r="60" spans="1:73" ht="84">
      <c r="A60" s="156" t="s">
        <v>1171</v>
      </c>
      <c r="B60" s="156" t="s">
        <v>225</v>
      </c>
      <c r="C60" s="157">
        <v>59</v>
      </c>
      <c r="D60" s="156" t="s">
        <v>413</v>
      </c>
      <c r="E60" s="158" t="s">
        <v>227</v>
      </c>
      <c r="F60" s="158" t="s">
        <v>1173</v>
      </c>
      <c r="G60" s="156" t="s">
        <v>1174</v>
      </c>
      <c r="H60" s="159">
        <v>41106</v>
      </c>
      <c r="I60" s="156" t="s">
        <v>1175</v>
      </c>
      <c r="J60" s="156" t="s">
        <v>1176</v>
      </c>
      <c r="K60" s="160" t="s">
        <v>1174</v>
      </c>
      <c r="L60" s="161">
        <f t="shared" si="3"/>
        <v>0.25</v>
      </c>
      <c r="M60" s="160" t="s">
        <v>1174</v>
      </c>
      <c r="N60" s="161">
        <f t="shared" si="4"/>
        <v>0.25</v>
      </c>
      <c r="O60" s="162">
        <f t="shared" si="5"/>
        <v>0.5</v>
      </c>
      <c r="P60" s="156" t="s">
        <v>1176</v>
      </c>
      <c r="Q60" s="156" t="s">
        <v>1174</v>
      </c>
      <c r="R60" s="156" t="s">
        <v>1176</v>
      </c>
      <c r="S60" s="156" t="s">
        <v>671</v>
      </c>
      <c r="T60" s="156" t="s">
        <v>1176</v>
      </c>
      <c r="U60" s="156" t="s">
        <v>1176</v>
      </c>
      <c r="V60" s="156" t="s">
        <v>1174</v>
      </c>
      <c r="W60" s="156" t="s">
        <v>1176</v>
      </c>
      <c r="X60" s="158" t="s">
        <v>1375</v>
      </c>
      <c r="Z60" s="156" t="s">
        <v>1176</v>
      </c>
      <c r="AE60" s="158" t="s">
        <v>1376</v>
      </c>
      <c r="AF60" s="160" t="s">
        <v>1176</v>
      </c>
      <c r="AG60" s="161">
        <f t="shared" si="6"/>
        <v>0</v>
      </c>
      <c r="AH60" s="160" t="s">
        <v>1176</v>
      </c>
      <c r="AI60" s="161">
        <f t="shared" si="7"/>
        <v>0</v>
      </c>
      <c r="AJ60" s="160" t="s">
        <v>1176</v>
      </c>
      <c r="AK60" s="160"/>
      <c r="AL60" s="161">
        <f t="shared" si="8"/>
        <v>0</v>
      </c>
      <c r="AM60" s="162">
        <f t="shared" si="9"/>
        <v>0.5</v>
      </c>
      <c r="AN60" s="162">
        <f t="shared" si="10"/>
        <v>0.4</v>
      </c>
      <c r="AO60" s="156" t="s">
        <v>1174</v>
      </c>
      <c r="AP60" s="156" t="s">
        <v>1176</v>
      </c>
      <c r="AQ60" s="156" t="s">
        <v>1174</v>
      </c>
      <c r="AR60" s="156" t="s">
        <v>1174</v>
      </c>
      <c r="AS60" s="163">
        <v>41106</v>
      </c>
      <c r="AT60" s="163">
        <v>41156</v>
      </c>
      <c r="AU60" s="164">
        <f t="shared" si="11"/>
        <v>50</v>
      </c>
      <c r="AV60" s="165">
        <f t="shared" si="12"/>
        <v>7.1428571428571432</v>
      </c>
      <c r="AW60" s="164">
        <v>2</v>
      </c>
      <c r="AX60" s="166">
        <f t="shared" si="13"/>
        <v>0.04</v>
      </c>
      <c r="AY60" s="166">
        <f t="shared" si="14"/>
        <v>0.27999999999999997</v>
      </c>
      <c r="AZ60" s="167">
        <f t="shared" si="0"/>
        <v>0.25</v>
      </c>
      <c r="BA60" s="156" t="s">
        <v>1174</v>
      </c>
      <c r="BB60" s="156" t="s">
        <v>1176</v>
      </c>
      <c r="BC60" s="156" t="s">
        <v>1176</v>
      </c>
      <c r="BD60" s="156" t="s">
        <v>1176</v>
      </c>
      <c r="BE60" s="160" t="s">
        <v>1180</v>
      </c>
      <c r="BF60" s="161">
        <f t="shared" si="15"/>
        <v>0.5</v>
      </c>
      <c r="BG60" s="156" t="s">
        <v>1174</v>
      </c>
      <c r="BH60" s="156" t="s">
        <v>1174</v>
      </c>
      <c r="BI60" s="156" t="s">
        <v>684</v>
      </c>
      <c r="BJ60" s="169">
        <f t="shared" si="1"/>
        <v>0.75</v>
      </c>
      <c r="BK60" s="156" t="s">
        <v>1377</v>
      </c>
      <c r="BL60" s="156" t="s">
        <v>1174</v>
      </c>
      <c r="BM60" s="156" t="s">
        <v>1176</v>
      </c>
      <c r="BN60" s="161">
        <v>0</v>
      </c>
      <c r="BO60" s="170" t="s">
        <v>1176</v>
      </c>
      <c r="BP60" s="171">
        <f t="shared" si="16"/>
        <v>0</v>
      </c>
      <c r="BQ60" s="170" t="s">
        <v>1176</v>
      </c>
      <c r="BR60" s="171">
        <f t="shared" si="17"/>
        <v>0</v>
      </c>
      <c r="BS60" s="172">
        <f t="shared" si="18"/>
        <v>0</v>
      </c>
      <c r="BT60" s="173">
        <f t="shared" si="2"/>
        <v>1.1499999999999999</v>
      </c>
      <c r="BU60" s="174">
        <f t="shared" si="19"/>
        <v>1.5333333333333332</v>
      </c>
    </row>
    <row r="61" spans="1:73" ht="70">
      <c r="A61" s="156" t="s">
        <v>1171</v>
      </c>
      <c r="B61" s="156" t="s">
        <v>228</v>
      </c>
      <c r="C61" s="157">
        <v>60</v>
      </c>
      <c r="D61" s="156" t="s">
        <v>413</v>
      </c>
      <c r="E61" s="158" t="s">
        <v>1378</v>
      </c>
      <c r="F61" s="158" t="s">
        <v>1173</v>
      </c>
      <c r="G61" s="156" t="s">
        <v>1174</v>
      </c>
      <c r="H61" s="159">
        <v>41106</v>
      </c>
      <c r="I61" s="156" t="s">
        <v>1185</v>
      </c>
      <c r="J61" s="156" t="s">
        <v>1176</v>
      </c>
      <c r="K61" s="160" t="s">
        <v>1176</v>
      </c>
      <c r="L61" s="161">
        <f t="shared" si="3"/>
        <v>0</v>
      </c>
      <c r="M61" s="160" t="s">
        <v>1176</v>
      </c>
      <c r="N61" s="161">
        <f t="shared" si="4"/>
        <v>0</v>
      </c>
      <c r="O61" s="162">
        <f t="shared" si="5"/>
        <v>0</v>
      </c>
      <c r="P61" s="156" t="s">
        <v>1174</v>
      </c>
      <c r="Q61" s="156" t="s">
        <v>1176</v>
      </c>
      <c r="R61" s="156" t="s">
        <v>1176</v>
      </c>
      <c r="S61" s="156" t="s">
        <v>671</v>
      </c>
      <c r="T61" s="156" t="s">
        <v>1176</v>
      </c>
      <c r="U61" s="156" t="s">
        <v>1176</v>
      </c>
      <c r="V61" s="156" t="s">
        <v>1176</v>
      </c>
      <c r="W61" s="156" t="s">
        <v>1176</v>
      </c>
      <c r="X61" s="158" t="s">
        <v>1379</v>
      </c>
      <c r="Y61" s="158" t="s">
        <v>1179</v>
      </c>
      <c r="Z61" s="156" t="s">
        <v>1174</v>
      </c>
      <c r="AA61" s="156" t="s">
        <v>1174</v>
      </c>
      <c r="AB61" s="156" t="s">
        <v>1174</v>
      </c>
      <c r="AD61" s="156" t="s">
        <v>1176</v>
      </c>
      <c r="AE61" s="158" t="s">
        <v>1380</v>
      </c>
      <c r="AF61" s="160" t="s">
        <v>1176</v>
      </c>
      <c r="AG61" s="161">
        <f t="shared" si="6"/>
        <v>0</v>
      </c>
      <c r="AH61" s="160" t="s">
        <v>1176</v>
      </c>
      <c r="AI61" s="161">
        <f t="shared" si="7"/>
        <v>0</v>
      </c>
      <c r="AJ61" s="160" t="s">
        <v>1176</v>
      </c>
      <c r="AK61" s="160" t="s">
        <v>671</v>
      </c>
      <c r="AL61" s="161">
        <f t="shared" si="8"/>
        <v>0</v>
      </c>
      <c r="AM61" s="162">
        <f t="shared" si="9"/>
        <v>0</v>
      </c>
      <c r="AN61" s="162">
        <f t="shared" si="10"/>
        <v>0</v>
      </c>
      <c r="AS61" s="163">
        <v>41106</v>
      </c>
      <c r="AT61" s="163">
        <v>41156</v>
      </c>
      <c r="AU61" s="164">
        <f t="shared" si="11"/>
        <v>50</v>
      </c>
      <c r="AV61" s="165">
        <f t="shared" si="12"/>
        <v>7.1428571428571432</v>
      </c>
      <c r="AW61" s="164">
        <v>2</v>
      </c>
      <c r="AX61" s="166">
        <f t="shared" si="13"/>
        <v>0.04</v>
      </c>
      <c r="AY61" s="166">
        <f t="shared" si="14"/>
        <v>0.27999999999999997</v>
      </c>
      <c r="AZ61" s="167">
        <f t="shared" si="0"/>
        <v>0.25</v>
      </c>
      <c r="BE61" s="160" t="s">
        <v>1180</v>
      </c>
      <c r="BF61" s="161">
        <f t="shared" si="15"/>
        <v>0.5</v>
      </c>
      <c r="BJ61" s="169">
        <f t="shared" si="1"/>
        <v>0.75</v>
      </c>
      <c r="BN61" s="176"/>
      <c r="BO61" s="170" t="s">
        <v>1176</v>
      </c>
      <c r="BP61" s="171">
        <f t="shared" si="16"/>
        <v>0</v>
      </c>
      <c r="BQ61" s="170" t="s">
        <v>1176</v>
      </c>
      <c r="BR61" s="171">
        <f t="shared" si="17"/>
        <v>0</v>
      </c>
      <c r="BS61" s="172">
        <f t="shared" si="18"/>
        <v>0</v>
      </c>
      <c r="BT61" s="173">
        <f t="shared" si="2"/>
        <v>0.75</v>
      </c>
      <c r="BU61" s="174">
        <f t="shared" si="19"/>
        <v>1</v>
      </c>
    </row>
    <row r="62" spans="1:73" ht="28">
      <c r="A62" s="156" t="s">
        <v>1171</v>
      </c>
      <c r="B62" s="156" t="s">
        <v>229</v>
      </c>
      <c r="C62" s="157">
        <v>61</v>
      </c>
      <c r="D62" s="156" t="s">
        <v>74</v>
      </c>
      <c r="E62" s="158" t="s">
        <v>1381</v>
      </c>
      <c r="F62" s="158" t="s">
        <v>1173</v>
      </c>
      <c r="G62" s="156" t="s">
        <v>1174</v>
      </c>
      <c r="H62" s="159">
        <v>41106</v>
      </c>
      <c r="I62" s="156" t="s">
        <v>1185</v>
      </c>
      <c r="J62" s="156" t="s">
        <v>1176</v>
      </c>
      <c r="K62" s="160" t="s">
        <v>1176</v>
      </c>
      <c r="L62" s="161">
        <f t="shared" si="3"/>
        <v>0</v>
      </c>
      <c r="M62" s="160" t="s">
        <v>1176</v>
      </c>
      <c r="N62" s="161">
        <f t="shared" si="4"/>
        <v>0</v>
      </c>
      <c r="O62" s="162">
        <f t="shared" si="5"/>
        <v>0</v>
      </c>
      <c r="P62" s="156" t="s">
        <v>1174</v>
      </c>
      <c r="Q62" s="156" t="s">
        <v>1176</v>
      </c>
      <c r="R62" s="156" t="s">
        <v>1174</v>
      </c>
      <c r="S62" s="156" t="s">
        <v>1382</v>
      </c>
      <c r="T62" s="156" t="s">
        <v>1176</v>
      </c>
      <c r="U62" s="156" t="s">
        <v>1176</v>
      </c>
      <c r="W62" s="156" t="s">
        <v>1176</v>
      </c>
      <c r="X62" s="158" t="s">
        <v>1241</v>
      </c>
      <c r="Y62" s="158" t="s">
        <v>1179</v>
      </c>
      <c r="Z62" s="156" t="s">
        <v>1174</v>
      </c>
      <c r="AA62" s="156" t="s">
        <v>1174</v>
      </c>
      <c r="AB62" s="156" t="s">
        <v>1174</v>
      </c>
      <c r="AC62" s="156" t="s">
        <v>1176</v>
      </c>
      <c r="AD62" s="156" t="s">
        <v>1176</v>
      </c>
      <c r="AE62" s="158" t="s">
        <v>1241</v>
      </c>
      <c r="AF62" s="160" t="s">
        <v>1176</v>
      </c>
      <c r="AG62" s="161">
        <f t="shared" si="6"/>
        <v>0</v>
      </c>
      <c r="AH62" s="160" t="s">
        <v>1176</v>
      </c>
      <c r="AI62" s="161">
        <f t="shared" si="7"/>
        <v>0</v>
      </c>
      <c r="AJ62" s="160" t="s">
        <v>1176</v>
      </c>
      <c r="AK62" s="160" t="s">
        <v>671</v>
      </c>
      <c r="AL62" s="161">
        <f t="shared" si="8"/>
        <v>0</v>
      </c>
      <c r="AM62" s="162">
        <f t="shared" si="9"/>
        <v>0</v>
      </c>
      <c r="AN62" s="162">
        <f t="shared" si="10"/>
        <v>0</v>
      </c>
      <c r="AO62" s="156" t="s">
        <v>1174</v>
      </c>
      <c r="AP62" s="156" t="s">
        <v>1174</v>
      </c>
      <c r="AQ62" s="156" t="s">
        <v>1174</v>
      </c>
      <c r="AR62" s="156" t="s">
        <v>1174</v>
      </c>
      <c r="AS62" s="163">
        <v>41106</v>
      </c>
      <c r="AT62" s="163">
        <v>41156</v>
      </c>
      <c r="AU62" s="164">
        <f t="shared" si="11"/>
        <v>50</v>
      </c>
      <c r="AV62" s="165">
        <f t="shared" si="12"/>
        <v>7.1428571428571432</v>
      </c>
      <c r="AW62" s="164">
        <v>0</v>
      </c>
      <c r="AX62" s="166">
        <f t="shared" si="13"/>
        <v>0</v>
      </c>
      <c r="AY62" s="166">
        <f t="shared" si="14"/>
        <v>0</v>
      </c>
      <c r="AZ62" s="167">
        <f t="shared" si="0"/>
        <v>0</v>
      </c>
      <c r="BA62" s="156" t="s">
        <v>1176</v>
      </c>
      <c r="BB62" s="156" t="s">
        <v>1176</v>
      </c>
      <c r="BC62" s="156" t="s">
        <v>1176</v>
      </c>
      <c r="BD62" s="156" t="s">
        <v>1176</v>
      </c>
      <c r="BE62" s="160" t="s">
        <v>414</v>
      </c>
      <c r="BF62" s="161">
        <f t="shared" si="15"/>
        <v>0</v>
      </c>
      <c r="BG62" s="156" t="s">
        <v>1174</v>
      </c>
      <c r="BH62" s="156" t="s">
        <v>1174</v>
      </c>
      <c r="BI62" s="156" t="s">
        <v>1383</v>
      </c>
      <c r="BJ62" s="169">
        <f t="shared" si="1"/>
        <v>0</v>
      </c>
      <c r="BK62" s="156" t="s">
        <v>684</v>
      </c>
      <c r="BL62" s="156" t="s">
        <v>1174</v>
      </c>
      <c r="BM62" s="156" t="s">
        <v>1176</v>
      </c>
      <c r="BN62" s="161">
        <v>0</v>
      </c>
      <c r="BO62" s="170" t="s">
        <v>1174</v>
      </c>
      <c r="BP62" s="171">
        <f t="shared" si="16"/>
        <v>0.5</v>
      </c>
      <c r="BQ62" s="170" t="s">
        <v>1176</v>
      </c>
      <c r="BR62" s="171">
        <f t="shared" si="17"/>
        <v>0</v>
      </c>
      <c r="BS62" s="172">
        <f t="shared" si="18"/>
        <v>0.5</v>
      </c>
      <c r="BT62" s="173">
        <f t="shared" si="2"/>
        <v>0.5</v>
      </c>
      <c r="BU62" s="174">
        <f t="shared" si="19"/>
        <v>0.66666666666666663</v>
      </c>
    </row>
    <row r="63" spans="1:73">
      <c r="A63" s="156" t="s">
        <v>1171</v>
      </c>
      <c r="B63" s="156" t="s">
        <v>231</v>
      </c>
      <c r="C63" s="157">
        <v>62</v>
      </c>
      <c r="D63" s="156" t="s">
        <v>413</v>
      </c>
      <c r="E63" s="158" t="s">
        <v>1384</v>
      </c>
      <c r="G63" s="156" t="s">
        <v>1176</v>
      </c>
      <c r="K63" s="177" t="s">
        <v>1176</v>
      </c>
      <c r="L63" s="161">
        <f t="shared" si="3"/>
        <v>0</v>
      </c>
      <c r="M63" s="177" t="s">
        <v>1176</v>
      </c>
      <c r="N63" s="161">
        <f t="shared" si="4"/>
        <v>0</v>
      </c>
      <c r="O63" s="162">
        <f t="shared" si="5"/>
        <v>0</v>
      </c>
      <c r="X63" s="158" t="s">
        <v>1257</v>
      </c>
      <c r="Z63" s="156" t="s">
        <v>1176</v>
      </c>
      <c r="AE63" s="158" t="s">
        <v>1309</v>
      </c>
      <c r="AF63" s="177" t="s">
        <v>1176</v>
      </c>
      <c r="AG63" s="161">
        <f t="shared" si="6"/>
        <v>0</v>
      </c>
      <c r="AH63" s="177" t="s">
        <v>1176</v>
      </c>
      <c r="AI63" s="161">
        <f t="shared" si="7"/>
        <v>0</v>
      </c>
      <c r="AJ63" s="177" t="s">
        <v>1176</v>
      </c>
      <c r="AK63" s="177"/>
      <c r="AL63" s="161">
        <f t="shared" si="8"/>
        <v>0</v>
      </c>
      <c r="AM63" s="162">
        <f t="shared" si="9"/>
        <v>0</v>
      </c>
      <c r="AN63" s="162">
        <f t="shared" si="10"/>
        <v>0</v>
      </c>
      <c r="AS63" s="175"/>
      <c r="AT63" s="163">
        <v>41156</v>
      </c>
      <c r="AU63" s="164">
        <v>0</v>
      </c>
      <c r="AV63" s="165">
        <v>0</v>
      </c>
      <c r="AW63" s="164">
        <v>0</v>
      </c>
      <c r="AX63" s="166">
        <v>0</v>
      </c>
      <c r="AY63" s="166">
        <v>0</v>
      </c>
      <c r="AZ63" s="167">
        <f t="shared" si="0"/>
        <v>0</v>
      </c>
      <c r="BE63" s="177" t="s">
        <v>414</v>
      </c>
      <c r="BF63" s="161">
        <f t="shared" si="15"/>
        <v>0</v>
      </c>
      <c r="BJ63" s="169">
        <f t="shared" si="1"/>
        <v>0</v>
      </c>
      <c r="BN63" s="176"/>
      <c r="BO63" s="170" t="s">
        <v>1176</v>
      </c>
      <c r="BP63" s="171">
        <f t="shared" si="16"/>
        <v>0</v>
      </c>
      <c r="BQ63" s="170" t="s">
        <v>1176</v>
      </c>
      <c r="BR63" s="171">
        <f t="shared" si="17"/>
        <v>0</v>
      </c>
      <c r="BS63" s="172">
        <f t="shared" si="18"/>
        <v>0</v>
      </c>
      <c r="BT63" s="173">
        <f t="shared" si="2"/>
        <v>0</v>
      </c>
      <c r="BU63" s="174">
        <f t="shared" si="19"/>
        <v>0</v>
      </c>
    </row>
    <row r="64" spans="1:73" ht="42">
      <c r="A64" s="156" t="s">
        <v>1171</v>
      </c>
      <c r="B64" s="156" t="s">
        <v>234</v>
      </c>
      <c r="C64" s="157">
        <v>63</v>
      </c>
      <c r="D64" s="156" t="s">
        <v>413</v>
      </c>
      <c r="E64" s="158" t="s">
        <v>235</v>
      </c>
      <c r="F64" s="158" t="s">
        <v>1173</v>
      </c>
      <c r="G64" s="156" t="s">
        <v>1174</v>
      </c>
      <c r="H64" s="159">
        <v>41106</v>
      </c>
      <c r="I64" s="156" t="s">
        <v>1185</v>
      </c>
      <c r="J64" s="156" t="s">
        <v>1174</v>
      </c>
      <c r="K64" s="160" t="s">
        <v>1176</v>
      </c>
      <c r="L64" s="161">
        <f t="shared" si="3"/>
        <v>0</v>
      </c>
      <c r="M64" s="160" t="s">
        <v>1176</v>
      </c>
      <c r="N64" s="161">
        <f t="shared" si="4"/>
        <v>0</v>
      </c>
      <c r="O64" s="162">
        <f t="shared" si="5"/>
        <v>0</v>
      </c>
      <c r="P64" s="156" t="s">
        <v>1176</v>
      </c>
      <c r="Q64" s="156" t="s">
        <v>1176</v>
      </c>
      <c r="R64" s="156" t="s">
        <v>1174</v>
      </c>
      <c r="S64" s="156" t="s">
        <v>1385</v>
      </c>
      <c r="T64" s="156" t="s">
        <v>1176</v>
      </c>
      <c r="U64" s="156" t="s">
        <v>1176</v>
      </c>
      <c r="V64" s="156" t="s">
        <v>1176</v>
      </c>
      <c r="W64" s="156" t="s">
        <v>1176</v>
      </c>
      <c r="X64" s="158" t="s">
        <v>1178</v>
      </c>
      <c r="Y64" s="158" t="s">
        <v>1179</v>
      </c>
      <c r="Z64" s="156" t="s">
        <v>1174</v>
      </c>
      <c r="AA64" s="156" t="s">
        <v>1174</v>
      </c>
      <c r="AB64" s="156" t="s">
        <v>1176</v>
      </c>
      <c r="AC64" s="156" t="s">
        <v>1176</v>
      </c>
      <c r="AD64" s="156" t="s">
        <v>1176</v>
      </c>
      <c r="AE64" s="158" t="s">
        <v>1386</v>
      </c>
      <c r="AF64" s="160" t="s">
        <v>1176</v>
      </c>
      <c r="AG64" s="161">
        <f t="shared" si="6"/>
        <v>0</v>
      </c>
      <c r="AH64" s="160" t="s">
        <v>1176</v>
      </c>
      <c r="AI64" s="161">
        <f t="shared" si="7"/>
        <v>0</v>
      </c>
      <c r="AJ64" s="160" t="s">
        <v>1176</v>
      </c>
      <c r="AK64" s="160" t="s">
        <v>671</v>
      </c>
      <c r="AL64" s="161">
        <f t="shared" si="8"/>
        <v>0</v>
      </c>
      <c r="AM64" s="162">
        <f t="shared" si="9"/>
        <v>0</v>
      </c>
      <c r="AN64" s="162">
        <f t="shared" si="10"/>
        <v>0</v>
      </c>
      <c r="AO64" s="156" t="s">
        <v>1174</v>
      </c>
      <c r="AP64" s="156" t="s">
        <v>1176</v>
      </c>
      <c r="AQ64" s="156" t="s">
        <v>1174</v>
      </c>
      <c r="AR64" s="156" t="s">
        <v>1174</v>
      </c>
      <c r="AS64" s="163">
        <v>41106</v>
      </c>
      <c r="AT64" s="163">
        <v>41156</v>
      </c>
      <c r="AU64" s="164">
        <f t="shared" si="11"/>
        <v>50</v>
      </c>
      <c r="AV64" s="165">
        <f t="shared" si="12"/>
        <v>7.1428571428571432</v>
      </c>
      <c r="AW64" s="164">
        <v>2</v>
      </c>
      <c r="AX64" s="166">
        <f t="shared" si="13"/>
        <v>0.04</v>
      </c>
      <c r="AY64" s="166">
        <f t="shared" si="14"/>
        <v>0.27999999999999997</v>
      </c>
      <c r="AZ64" s="167">
        <f t="shared" si="0"/>
        <v>0.25</v>
      </c>
      <c r="BA64" s="156" t="s">
        <v>1176</v>
      </c>
      <c r="BB64" s="156" t="s">
        <v>1174</v>
      </c>
      <c r="BC64" s="156" t="s">
        <v>1176</v>
      </c>
      <c r="BD64" s="156" t="s">
        <v>1174</v>
      </c>
      <c r="BE64" s="160" t="s">
        <v>1176</v>
      </c>
      <c r="BF64" s="161">
        <f t="shared" si="15"/>
        <v>0</v>
      </c>
      <c r="BG64" s="156" t="s">
        <v>1174</v>
      </c>
      <c r="BH64" s="156" t="s">
        <v>1174</v>
      </c>
      <c r="BJ64" s="169">
        <f t="shared" si="1"/>
        <v>0.25</v>
      </c>
      <c r="BK64" s="156" t="s">
        <v>1387</v>
      </c>
      <c r="BL64" s="156" t="s">
        <v>1174</v>
      </c>
      <c r="BM64" s="156" t="s">
        <v>1176</v>
      </c>
      <c r="BN64" s="161">
        <v>0</v>
      </c>
      <c r="BO64" s="170" t="s">
        <v>1176</v>
      </c>
      <c r="BP64" s="171">
        <f t="shared" si="16"/>
        <v>0</v>
      </c>
      <c r="BQ64" s="170" t="s">
        <v>1176</v>
      </c>
      <c r="BR64" s="171">
        <f t="shared" si="17"/>
        <v>0</v>
      </c>
      <c r="BS64" s="172">
        <f t="shared" si="18"/>
        <v>0</v>
      </c>
      <c r="BT64" s="173">
        <f t="shared" si="2"/>
        <v>0.25</v>
      </c>
      <c r="BU64" s="174">
        <f t="shared" si="19"/>
        <v>0.33333333333333331</v>
      </c>
    </row>
    <row r="65" spans="1:73" ht="28">
      <c r="A65" s="156" t="s">
        <v>1171</v>
      </c>
      <c r="B65" s="156" t="s">
        <v>236</v>
      </c>
      <c r="C65" s="157">
        <v>64</v>
      </c>
      <c r="D65" s="156" t="s">
        <v>74</v>
      </c>
      <c r="E65" s="178" t="s">
        <v>238</v>
      </c>
      <c r="F65" s="155" t="s">
        <v>1388</v>
      </c>
      <c r="G65" s="156" t="s">
        <v>1174</v>
      </c>
      <c r="H65" s="159">
        <v>41082</v>
      </c>
      <c r="I65" s="156" t="s">
        <v>1190</v>
      </c>
      <c r="J65" s="156" t="s">
        <v>1176</v>
      </c>
      <c r="K65" s="160" t="s">
        <v>1176</v>
      </c>
      <c r="L65" s="161">
        <f t="shared" si="3"/>
        <v>0</v>
      </c>
      <c r="M65" s="160" t="s">
        <v>1174</v>
      </c>
      <c r="N65" s="161">
        <f t="shared" si="4"/>
        <v>0.25</v>
      </c>
      <c r="O65" s="162">
        <f t="shared" si="5"/>
        <v>0.25</v>
      </c>
      <c r="P65" s="156" t="s">
        <v>1176</v>
      </c>
      <c r="Q65" s="156" t="s">
        <v>1176</v>
      </c>
      <c r="R65" s="156" t="s">
        <v>1176</v>
      </c>
      <c r="S65" s="156" t="s">
        <v>579</v>
      </c>
      <c r="T65" s="156" t="s">
        <v>1176</v>
      </c>
      <c r="U65" s="156" t="s">
        <v>1176</v>
      </c>
      <c r="V65" s="156" t="s">
        <v>1176</v>
      </c>
      <c r="W65" s="156" t="s">
        <v>1176</v>
      </c>
      <c r="X65" s="155" t="s">
        <v>1389</v>
      </c>
      <c r="Y65" s="155" t="s">
        <v>1390</v>
      </c>
      <c r="Z65" s="156" t="s">
        <v>1174</v>
      </c>
      <c r="AA65" s="156" t="s">
        <v>1174</v>
      </c>
      <c r="AB65" s="156" t="s">
        <v>1176</v>
      </c>
      <c r="AC65" s="156" t="s">
        <v>1176</v>
      </c>
      <c r="AD65" s="156" t="s">
        <v>1176</v>
      </c>
      <c r="AE65" s="155" t="s">
        <v>1315</v>
      </c>
      <c r="AF65" s="160" t="s">
        <v>1176</v>
      </c>
      <c r="AG65" s="161">
        <f t="shared" si="6"/>
        <v>0</v>
      </c>
      <c r="AH65" s="160" t="s">
        <v>1176</v>
      </c>
      <c r="AI65" s="161">
        <f t="shared" si="7"/>
        <v>0</v>
      </c>
      <c r="AJ65" s="160" t="s">
        <v>1176</v>
      </c>
      <c r="AK65" s="160" t="s">
        <v>579</v>
      </c>
      <c r="AL65" s="161">
        <f t="shared" si="8"/>
        <v>0</v>
      </c>
      <c r="AM65" s="162">
        <f t="shared" si="9"/>
        <v>0.25</v>
      </c>
      <c r="AN65" s="162">
        <f t="shared" si="10"/>
        <v>0.2</v>
      </c>
      <c r="AO65" s="168" t="s">
        <v>1176</v>
      </c>
      <c r="AP65" s="168" t="s">
        <v>1176</v>
      </c>
      <c r="AQ65" s="168" t="s">
        <v>1176</v>
      </c>
      <c r="AS65" s="163">
        <v>41082</v>
      </c>
      <c r="AT65" s="163">
        <v>41110</v>
      </c>
      <c r="AU65" s="175">
        <f t="shared" si="11"/>
        <v>28</v>
      </c>
      <c r="AV65" s="175">
        <f t="shared" si="12"/>
        <v>4</v>
      </c>
      <c r="AW65" s="175">
        <v>0</v>
      </c>
      <c r="AX65" s="179">
        <f t="shared" si="13"/>
        <v>0</v>
      </c>
      <c r="AY65" s="179">
        <f t="shared" si="14"/>
        <v>0</v>
      </c>
      <c r="AZ65" s="167">
        <f t="shared" si="0"/>
        <v>0</v>
      </c>
      <c r="BE65" s="160" t="s">
        <v>414</v>
      </c>
      <c r="BF65" s="161">
        <f t="shared" si="15"/>
        <v>0</v>
      </c>
      <c r="BJ65" s="169">
        <f t="shared" si="1"/>
        <v>0</v>
      </c>
      <c r="BN65" s="176"/>
      <c r="BO65" s="171" t="s">
        <v>1176</v>
      </c>
      <c r="BP65" s="171">
        <f t="shared" si="16"/>
        <v>0</v>
      </c>
      <c r="BQ65" s="171" t="s">
        <v>1176</v>
      </c>
      <c r="BR65" s="171">
        <f t="shared" si="17"/>
        <v>0</v>
      </c>
      <c r="BS65" s="172">
        <f t="shared" si="18"/>
        <v>0</v>
      </c>
      <c r="BT65" s="173">
        <f t="shared" si="2"/>
        <v>0.2</v>
      </c>
      <c r="BU65" s="174">
        <f t="shared" si="19"/>
        <v>0.26666666666666666</v>
      </c>
    </row>
    <row r="66" spans="1:73" s="180" customFormat="1">
      <c r="E66" s="181"/>
      <c r="F66" s="181"/>
      <c r="G66" s="182">
        <f>COUNTIF(G2:G65,"Yes")/64</f>
        <v>0.859375</v>
      </c>
      <c r="J66" s="182">
        <f>COUNTIF(J2:J65,"Yes")/64</f>
        <v>0.328125</v>
      </c>
      <c r="K66" s="183">
        <f>COUNTIF(K2:K65,"Yes")/64</f>
        <v>0.375</v>
      </c>
      <c r="M66" s="182">
        <f>COUNTIF(M2:M65,"Yes")/64</f>
        <v>0.53125</v>
      </c>
      <c r="P66" s="182">
        <f>COUNTIF(P2:P65,"Yes")/64</f>
        <v>0.46875</v>
      </c>
      <c r="Q66" s="182">
        <f>COUNTIF(Q2:Q65,"Yes")/64</f>
        <v>4.6875E-2</v>
      </c>
      <c r="R66" s="182">
        <f>COUNTIF(R2:R65,"Yes")/64</f>
        <v>0.21875</v>
      </c>
      <c r="T66" s="182">
        <f>COUNTIF(T2:T65,"Yes")/64</f>
        <v>1.5625E-2</v>
      </c>
      <c r="U66" s="182">
        <f>COUNTIF(U2:U65,"Yes")/64</f>
        <v>4.6875E-2</v>
      </c>
      <c r="V66" s="182">
        <f>COUNTIF(V2:V65,"Yes")/64</f>
        <v>6.25E-2</v>
      </c>
      <c r="W66" s="182">
        <f>COUNTIF(W2:W65,"Yes")/64</f>
        <v>3.125E-2</v>
      </c>
      <c r="X66" s="181"/>
      <c r="Y66" s="181"/>
      <c r="Z66" s="182">
        <f>COUNTIF(Z2:Z65,"Yes")/64</f>
        <v>0.8125</v>
      </c>
      <c r="AE66" s="181"/>
      <c r="AO66" s="182">
        <f>COUNTIF(AO2:AO65,"Yes")/64</f>
        <v>0.453125</v>
      </c>
      <c r="AP66" s="182">
        <f>COUNTIF(AP2:AP65,"Yes")/64</f>
        <v>0.21875</v>
      </c>
      <c r="AQ66" s="182">
        <f>COUNTIF(AQ2:AQ65,"Yes")/64</f>
        <v>0.421875</v>
      </c>
      <c r="AR66" s="182">
        <f>COUNTIF(AR2:AR65,"Yes")/64</f>
        <v>0.421875</v>
      </c>
      <c r="AX66" s="184" t="s">
        <v>1391</v>
      </c>
      <c r="AY66" s="184">
        <f>AVERAGE(AY2:AY65)</f>
        <v>0.88669693461522403</v>
      </c>
      <c r="AZ66" s="185"/>
      <c r="BA66" s="182">
        <f>COUNTIF(BA2:BA65,"Yes")/64</f>
        <v>0.25</v>
      </c>
      <c r="BB66" s="182">
        <f>COUNTIF(BB2:BB65,"Yes")/64</f>
        <v>0.109375</v>
      </c>
      <c r="BC66" s="182">
        <f>COUNTIF(BC2:BC65,"Yes")/64</f>
        <v>9.375E-2</v>
      </c>
      <c r="BD66" s="182">
        <f>COUNTIF(BD2:BD65,"Yes")/64</f>
        <v>0.296875</v>
      </c>
      <c r="BE66" s="183">
        <f>COUNTIF(BE2:BE65,"Yes")/64</f>
        <v>0</v>
      </c>
      <c r="BG66" s="182">
        <f>COUNTIF(BG2:BG65,"Yes")/64</f>
        <v>0.34375</v>
      </c>
      <c r="BH66" s="182"/>
      <c r="BO66" s="186">
        <f>COUNTIF(BO2:BO65,"Yes")/64</f>
        <v>0.140625</v>
      </c>
      <c r="BP66" s="187"/>
      <c r="BQ66" s="187"/>
      <c r="BR66" s="187"/>
      <c r="BS66" s="187"/>
    </row>
    <row r="67" spans="1:73">
      <c r="AX67" s="188" t="s">
        <v>1392</v>
      </c>
      <c r="AY67" s="189">
        <f>STDEV(AY2:AY65)</f>
        <v>1.0656153393878456</v>
      </c>
      <c r="AZ67" s="190"/>
    </row>
    <row r="68" spans="1:73">
      <c r="AX68" s="188" t="s">
        <v>1393</v>
      </c>
      <c r="AY68" s="188">
        <f>MIN(AY2:AY65)</f>
        <v>0</v>
      </c>
    </row>
    <row r="69" spans="1:73">
      <c r="AX69" s="188" t="s">
        <v>1394</v>
      </c>
      <c r="AY69" s="188">
        <f>MAX(AY2:AY65)</f>
        <v>3.78</v>
      </c>
    </row>
    <row r="70" spans="1:73">
      <c r="AX70" s="184" t="s">
        <v>1395</v>
      </c>
      <c r="AY70" s="192">
        <f>(AY66-AY68)/5</f>
        <v>0.1773393869230448</v>
      </c>
    </row>
    <row r="71" spans="1:73">
      <c r="AX71" s="193" t="s">
        <v>1396</v>
      </c>
      <c r="AY71" s="192">
        <f>(AY69-AY66)/5</f>
        <v>0.57866061307695515</v>
      </c>
    </row>
    <row r="72" spans="1:73">
      <c r="AX72" s="194" t="s">
        <v>1397</v>
      </c>
      <c r="AY72" s="184">
        <f>AY68+$AY$70</f>
        <v>0.1773393869230448</v>
      </c>
    </row>
    <row r="73" spans="1:73">
      <c r="AX73" s="194" t="s">
        <v>1398</v>
      </c>
      <c r="AY73" s="184">
        <f>AY72+AY70</f>
        <v>0.35467877384608959</v>
      </c>
    </row>
    <row r="74" spans="1:73">
      <c r="AX74" s="194" t="s">
        <v>1399</v>
      </c>
      <c r="AY74" s="184">
        <f>AY73+AY70</f>
        <v>0.53201816076913433</v>
      </c>
    </row>
    <row r="75" spans="1:73">
      <c r="AX75" s="194" t="s">
        <v>1400</v>
      </c>
      <c r="AY75" s="184">
        <f>AY74+AY70</f>
        <v>0.70935754769217918</v>
      </c>
    </row>
    <row r="76" spans="1:73">
      <c r="AX76" s="194" t="s">
        <v>1401</v>
      </c>
      <c r="AY76" s="193">
        <f>AY66+AY71</f>
        <v>1.4653575476921792</v>
      </c>
    </row>
    <row r="77" spans="1:73">
      <c r="AX77" s="194" t="s">
        <v>1402</v>
      </c>
      <c r="AY77" s="193">
        <f>AY76+AY71</f>
        <v>2.0440181607691343</v>
      </c>
    </row>
    <row r="78" spans="1:73">
      <c r="AX78" s="194" t="s">
        <v>1403</v>
      </c>
      <c r="AY78" s="193">
        <f>AY77+AY71</f>
        <v>2.6226787738460895</v>
      </c>
    </row>
    <row r="79" spans="1:73">
      <c r="AX79" s="194" t="s">
        <v>1404</v>
      </c>
      <c r="AY79" s="193">
        <f>AY78+AY71</f>
        <v>3.2013393869230446</v>
      </c>
    </row>
  </sheetData>
  <autoFilter ref="A1:BU79"/>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6"/>
  <sheetViews>
    <sheetView topLeftCell="B1" zoomScale="125" zoomScaleNormal="125" zoomScalePageLayoutView="125" workbookViewId="0">
      <pane ySplit="1" topLeftCell="A47" activePane="bottomLeft" state="frozen"/>
      <selection pane="bottomLeft" activeCell="L54" sqref="L54"/>
    </sheetView>
  </sheetViews>
  <sheetFormatPr baseColWidth="10" defaultRowHeight="14" x14ac:dyDescent="0"/>
  <cols>
    <col min="1" max="1" width="10.83203125" style="362"/>
    <col min="2" max="2" width="21.83203125" style="362" bestFit="1" customWidth="1"/>
    <col min="3" max="3" width="16.83203125" style="362" bestFit="1" customWidth="1"/>
    <col min="4" max="4" width="27.6640625" style="362" bestFit="1" customWidth="1"/>
    <col min="5" max="5" width="16.83203125" style="362" bestFit="1" customWidth="1"/>
    <col min="6" max="10" width="10.83203125" style="362"/>
    <col min="11" max="11" width="10.83203125" style="367"/>
    <col min="12" max="12" width="10.83203125" style="368"/>
    <col min="13" max="16384" width="10.83203125" style="362"/>
  </cols>
  <sheetData>
    <row r="1" spans="1:16" s="361" customFormat="1" ht="56">
      <c r="A1" s="358" t="s">
        <v>1100</v>
      </c>
      <c r="B1" s="358" t="s">
        <v>2599</v>
      </c>
      <c r="C1" s="358" t="s">
        <v>2600</v>
      </c>
      <c r="D1" s="358" t="s">
        <v>2601</v>
      </c>
      <c r="E1" s="358" t="s">
        <v>2602</v>
      </c>
      <c r="F1" s="358" t="s">
        <v>2603</v>
      </c>
      <c r="G1" s="358" t="s">
        <v>2604</v>
      </c>
      <c r="H1" s="358" t="s">
        <v>2605</v>
      </c>
      <c r="I1" s="358" t="s">
        <v>2606</v>
      </c>
      <c r="J1" s="358" t="s">
        <v>2607</v>
      </c>
      <c r="K1" s="359" t="s">
        <v>2608</v>
      </c>
      <c r="L1" s="360" t="s">
        <v>2609</v>
      </c>
      <c r="M1" s="358" t="s">
        <v>2610</v>
      </c>
      <c r="N1" s="358" t="s">
        <v>2611</v>
      </c>
      <c r="O1" s="358" t="s">
        <v>1099</v>
      </c>
      <c r="P1" s="358" t="s">
        <v>2612</v>
      </c>
    </row>
    <row r="2" spans="1:16">
      <c r="A2" s="362">
        <v>1</v>
      </c>
      <c r="B2" s="363" t="s">
        <v>1171</v>
      </c>
      <c r="C2" s="364" t="s">
        <v>63</v>
      </c>
      <c r="D2" s="365" t="s">
        <v>1747</v>
      </c>
      <c r="E2" s="366" t="s">
        <v>63</v>
      </c>
      <c r="F2" s="362">
        <v>190</v>
      </c>
      <c r="G2" s="362">
        <f>PERCENTRANK($F$2:$F$65,F2)*2</f>
        <v>1.522</v>
      </c>
      <c r="H2" s="362">
        <v>2557</v>
      </c>
      <c r="I2" s="362">
        <f>PERCENTRANK($H$2:$H$65,H2)*2</f>
        <v>1.3640000000000001</v>
      </c>
      <c r="J2" s="362" t="s">
        <v>2613</v>
      </c>
      <c r="K2" s="367">
        <v>0.38800000000000001</v>
      </c>
      <c r="L2" s="368">
        <v>11801</v>
      </c>
      <c r="M2" s="362">
        <f>PERCENTRANK($L$2:$L$65,L2)</f>
        <v>0.80900000000000005</v>
      </c>
      <c r="N2" s="362">
        <f>SUM(M2,I2,G2)</f>
        <v>3.6950000000000003</v>
      </c>
    </row>
    <row r="3" spans="1:16">
      <c r="A3" s="362">
        <v>2</v>
      </c>
      <c r="B3" s="363" t="s">
        <v>1171</v>
      </c>
      <c r="C3" s="364" t="s">
        <v>69</v>
      </c>
      <c r="D3" s="365" t="s">
        <v>1182</v>
      </c>
      <c r="E3" s="366" t="s">
        <v>69</v>
      </c>
      <c r="F3" s="362">
        <v>7</v>
      </c>
      <c r="G3" s="362">
        <f t="shared" ref="G3:G65" si="0">PERCENTRANK($F$2:$F$65,F3)*2</f>
        <v>9.4E-2</v>
      </c>
      <c r="H3" s="362">
        <v>240</v>
      </c>
      <c r="I3" s="362">
        <f t="shared" ref="I3:I65" si="1">PERCENTRANK($H$2:$H$65,H3)*2</f>
        <v>0.28399999999999997</v>
      </c>
      <c r="J3" s="362" t="s">
        <v>2614</v>
      </c>
      <c r="K3" s="367">
        <v>0.46100000000000002</v>
      </c>
      <c r="L3" s="368">
        <v>1219</v>
      </c>
      <c r="M3" s="362">
        <f t="shared" ref="M3:M65" si="2">PERCENTRANK($L$2:$L$65,L3)</f>
        <v>0.33300000000000002</v>
      </c>
      <c r="N3" s="362">
        <f t="shared" ref="N3:N65" si="3">SUM(M3,I3,G3)</f>
        <v>0.71099999999999997</v>
      </c>
    </row>
    <row r="4" spans="1:16">
      <c r="A4" s="362">
        <v>3</v>
      </c>
      <c r="B4" s="363" t="s">
        <v>1171</v>
      </c>
      <c r="C4" s="364" t="s">
        <v>72</v>
      </c>
      <c r="D4" s="365" t="s">
        <v>1184</v>
      </c>
      <c r="E4" s="366" t="s">
        <v>72</v>
      </c>
      <c r="F4" s="362">
        <v>10</v>
      </c>
      <c r="G4" s="362">
        <f t="shared" si="0"/>
        <v>0.252</v>
      </c>
      <c r="H4" s="362">
        <v>193</v>
      </c>
      <c r="I4" s="362">
        <f t="shared" si="1"/>
        <v>0.158</v>
      </c>
      <c r="J4" s="362" t="s">
        <v>2614</v>
      </c>
      <c r="K4" s="367">
        <v>0.57199999999999995</v>
      </c>
      <c r="L4" s="368">
        <v>1351</v>
      </c>
      <c r="M4" s="362">
        <f t="shared" si="2"/>
        <v>0.36499999999999999</v>
      </c>
      <c r="N4" s="362">
        <f t="shared" si="3"/>
        <v>0.77500000000000002</v>
      </c>
    </row>
    <row r="5" spans="1:16">
      <c r="A5" s="362">
        <v>4</v>
      </c>
      <c r="B5" s="363" t="s">
        <v>1171</v>
      </c>
      <c r="C5" s="364" t="s">
        <v>78</v>
      </c>
      <c r="D5" s="365" t="s">
        <v>1752</v>
      </c>
      <c r="E5" s="366" t="s">
        <v>78</v>
      </c>
      <c r="F5" s="362">
        <v>50</v>
      </c>
      <c r="G5" s="362">
        <f t="shared" si="0"/>
        <v>0.79200000000000004</v>
      </c>
      <c r="H5" s="362">
        <v>3616</v>
      </c>
      <c r="I5" s="362">
        <f t="shared" si="1"/>
        <v>1.46</v>
      </c>
      <c r="J5" s="362" t="s">
        <v>2613</v>
      </c>
      <c r="K5" s="367">
        <v>0.34499999999999997</v>
      </c>
      <c r="L5" s="368">
        <v>4883</v>
      </c>
      <c r="M5" s="362">
        <f t="shared" si="2"/>
        <v>0.66600000000000004</v>
      </c>
      <c r="N5" s="362">
        <f t="shared" si="3"/>
        <v>2.9180000000000001</v>
      </c>
    </row>
    <row r="6" spans="1:16">
      <c r="A6" s="362">
        <v>5</v>
      </c>
      <c r="B6" s="363" t="s">
        <v>1171</v>
      </c>
      <c r="C6" s="364" t="s">
        <v>82</v>
      </c>
      <c r="D6" s="365" t="s">
        <v>1758</v>
      </c>
      <c r="E6" s="366" t="s">
        <v>2615</v>
      </c>
      <c r="F6" s="362">
        <v>7</v>
      </c>
      <c r="G6" s="362">
        <f t="shared" si="0"/>
        <v>9.4E-2</v>
      </c>
      <c r="H6" s="362">
        <v>51</v>
      </c>
      <c r="I6" s="362">
        <f t="shared" si="1"/>
        <v>0.03</v>
      </c>
      <c r="J6" s="362" t="s">
        <v>2613</v>
      </c>
      <c r="K6" s="367">
        <v>0.36499999999999999</v>
      </c>
      <c r="L6" s="368">
        <v>109</v>
      </c>
      <c r="M6" s="362">
        <f t="shared" si="2"/>
        <v>4.7E-2</v>
      </c>
      <c r="N6" s="362">
        <f t="shared" si="3"/>
        <v>0.17099999999999999</v>
      </c>
    </row>
    <row r="7" spans="1:16">
      <c r="A7" s="362">
        <v>6</v>
      </c>
      <c r="B7" s="363" t="s">
        <v>1171</v>
      </c>
      <c r="C7" s="364" t="s">
        <v>87</v>
      </c>
      <c r="D7" s="365" t="s">
        <v>88</v>
      </c>
      <c r="E7" s="366" t="s">
        <v>87</v>
      </c>
      <c r="F7" s="362">
        <v>50</v>
      </c>
      <c r="G7" s="362">
        <f t="shared" si="0"/>
        <v>0.79200000000000004</v>
      </c>
      <c r="H7" s="362">
        <v>247</v>
      </c>
      <c r="I7" s="362">
        <f t="shared" si="1"/>
        <v>0.316</v>
      </c>
      <c r="J7" s="362" t="s">
        <v>2613</v>
      </c>
      <c r="K7" s="367">
        <v>0.377</v>
      </c>
      <c r="L7" s="368">
        <v>392</v>
      </c>
      <c r="M7" s="362">
        <f t="shared" si="2"/>
        <v>0.14199999999999999</v>
      </c>
      <c r="N7" s="362">
        <f t="shared" si="3"/>
        <v>1.25</v>
      </c>
    </row>
    <row r="8" spans="1:16">
      <c r="A8" s="362">
        <v>7</v>
      </c>
      <c r="B8" s="363" t="s">
        <v>1171</v>
      </c>
      <c r="C8" s="364" t="s">
        <v>90</v>
      </c>
      <c r="D8" s="365" t="s">
        <v>1195</v>
      </c>
      <c r="E8" s="366" t="s">
        <v>90</v>
      </c>
      <c r="F8" s="362">
        <v>10</v>
      </c>
      <c r="G8" s="362">
        <f t="shared" si="0"/>
        <v>0.252</v>
      </c>
      <c r="H8" s="362">
        <v>1792</v>
      </c>
      <c r="I8" s="362">
        <f t="shared" si="1"/>
        <v>1.0780000000000001</v>
      </c>
      <c r="J8" s="362" t="s">
        <v>2614</v>
      </c>
      <c r="K8" s="367">
        <v>0.42899999999999999</v>
      </c>
      <c r="L8" s="368">
        <v>1223</v>
      </c>
      <c r="M8" s="362">
        <f t="shared" si="2"/>
        <v>0.34899999999999998</v>
      </c>
      <c r="N8" s="362">
        <f t="shared" si="3"/>
        <v>1.679</v>
      </c>
    </row>
    <row r="9" spans="1:16">
      <c r="A9" s="362">
        <v>8</v>
      </c>
      <c r="B9" s="363" t="s">
        <v>1171</v>
      </c>
      <c r="C9" s="364" t="s">
        <v>93</v>
      </c>
      <c r="D9" s="365" t="s">
        <v>1761</v>
      </c>
      <c r="E9" s="366" t="s">
        <v>93</v>
      </c>
      <c r="F9" s="362">
        <v>620</v>
      </c>
      <c r="G9" s="362">
        <f t="shared" si="0"/>
        <v>1.8080000000000001</v>
      </c>
      <c r="H9" s="362">
        <v>11721</v>
      </c>
      <c r="I9" s="362">
        <f t="shared" si="1"/>
        <v>1.9039999999999999</v>
      </c>
      <c r="J9" s="362" t="s">
        <v>2613</v>
      </c>
      <c r="K9" s="367">
        <v>0.39100000000000001</v>
      </c>
      <c r="L9" s="368">
        <v>544034</v>
      </c>
      <c r="M9" s="362">
        <f t="shared" si="2"/>
        <v>0.92</v>
      </c>
      <c r="N9" s="362">
        <f t="shared" si="3"/>
        <v>4.6319999999999997</v>
      </c>
    </row>
    <row r="10" spans="1:16">
      <c r="A10" s="362">
        <v>9</v>
      </c>
      <c r="B10" s="363" t="s">
        <v>1171</v>
      </c>
      <c r="C10" s="364" t="s">
        <v>96</v>
      </c>
      <c r="D10" s="365" t="s">
        <v>1202</v>
      </c>
      <c r="E10" s="366" t="s">
        <v>96</v>
      </c>
      <c r="F10" s="362">
        <v>540</v>
      </c>
      <c r="G10" s="362">
        <f t="shared" si="0"/>
        <v>1.714</v>
      </c>
      <c r="H10" s="362">
        <v>3841</v>
      </c>
      <c r="I10" s="362">
        <f t="shared" si="1"/>
        <v>1.492</v>
      </c>
      <c r="J10" s="362" t="s">
        <v>2613</v>
      </c>
      <c r="K10" s="367">
        <v>0.45700000000000002</v>
      </c>
      <c r="L10" s="368">
        <v>5526</v>
      </c>
      <c r="M10" s="362">
        <f t="shared" si="2"/>
        <v>0.77700000000000002</v>
      </c>
      <c r="N10" s="362">
        <f t="shared" si="3"/>
        <v>3.9830000000000001</v>
      </c>
    </row>
    <row r="11" spans="1:16">
      <c r="A11" s="362">
        <v>10</v>
      </c>
      <c r="B11" s="363" t="s">
        <v>1171</v>
      </c>
      <c r="C11" s="364" t="s">
        <v>100</v>
      </c>
      <c r="D11" s="365" t="s">
        <v>1204</v>
      </c>
      <c r="E11" s="366" t="s">
        <v>100</v>
      </c>
      <c r="F11" s="362">
        <v>4</v>
      </c>
      <c r="G11" s="362">
        <f t="shared" si="0"/>
        <v>0</v>
      </c>
      <c r="H11" s="362">
        <v>48</v>
      </c>
      <c r="I11" s="362">
        <f t="shared" si="1"/>
        <v>0</v>
      </c>
      <c r="J11" s="362" t="s">
        <v>2614</v>
      </c>
      <c r="K11" s="367">
        <v>0.375</v>
      </c>
      <c r="L11" s="368">
        <v>149</v>
      </c>
      <c r="M11" s="362">
        <f t="shared" si="2"/>
        <v>6.3E-2</v>
      </c>
      <c r="N11" s="362">
        <f t="shared" si="3"/>
        <v>6.3E-2</v>
      </c>
    </row>
    <row r="12" spans="1:16">
      <c r="A12" s="362">
        <v>11</v>
      </c>
      <c r="B12" s="363" t="s">
        <v>1171</v>
      </c>
      <c r="C12" s="364" t="s">
        <v>102</v>
      </c>
      <c r="D12" s="365" t="s">
        <v>1207</v>
      </c>
      <c r="E12" s="366" t="s">
        <v>102</v>
      </c>
      <c r="F12" s="362">
        <v>1000</v>
      </c>
      <c r="G12" s="362">
        <f t="shared" si="0"/>
        <v>1.9359999999999999</v>
      </c>
      <c r="H12" s="362">
        <v>19157</v>
      </c>
      <c r="I12" s="362">
        <f t="shared" si="1"/>
        <v>2</v>
      </c>
      <c r="J12" s="362" t="s">
        <v>2613</v>
      </c>
      <c r="K12" s="367">
        <v>0.41899999999999998</v>
      </c>
      <c r="L12" s="368">
        <v>2849443</v>
      </c>
      <c r="M12" s="362">
        <f t="shared" si="2"/>
        <v>1</v>
      </c>
      <c r="N12" s="362">
        <f t="shared" si="3"/>
        <v>4.9359999999999999</v>
      </c>
    </row>
    <row r="13" spans="1:16">
      <c r="A13" s="362">
        <v>12</v>
      </c>
      <c r="B13" s="363" t="s">
        <v>1171</v>
      </c>
      <c r="C13" s="364" t="s">
        <v>104</v>
      </c>
      <c r="D13" s="365" t="s">
        <v>1210</v>
      </c>
      <c r="E13" s="366" t="s">
        <v>2616</v>
      </c>
      <c r="F13" s="362">
        <v>20</v>
      </c>
      <c r="G13" s="362">
        <f t="shared" si="0"/>
        <v>0.41199999999999998</v>
      </c>
      <c r="H13" s="362">
        <v>1951</v>
      </c>
      <c r="I13" s="362">
        <f t="shared" si="1"/>
        <v>1.206</v>
      </c>
      <c r="J13" s="362" t="s">
        <v>2617</v>
      </c>
      <c r="K13" s="367">
        <v>0.23599999999999999</v>
      </c>
      <c r="L13" s="368">
        <v>266</v>
      </c>
      <c r="M13" s="362">
        <f t="shared" si="2"/>
        <v>9.5000000000000001E-2</v>
      </c>
      <c r="N13" s="362">
        <f t="shared" si="3"/>
        <v>1.7129999999999999</v>
      </c>
    </row>
    <row r="14" spans="1:16">
      <c r="A14" s="362">
        <v>13</v>
      </c>
      <c r="B14" s="363" t="s">
        <v>1171</v>
      </c>
      <c r="C14" s="364" t="s">
        <v>106</v>
      </c>
      <c r="D14" s="365" t="s">
        <v>1770</v>
      </c>
      <c r="E14" s="366" t="s">
        <v>1494</v>
      </c>
      <c r="F14" s="362">
        <v>800</v>
      </c>
      <c r="G14" s="362">
        <f t="shared" si="0"/>
        <v>1.9039999999999999</v>
      </c>
      <c r="H14" s="362">
        <v>9756</v>
      </c>
      <c r="I14" s="362">
        <f t="shared" si="1"/>
        <v>1.84</v>
      </c>
      <c r="J14" s="362" t="s">
        <v>2613</v>
      </c>
      <c r="K14" s="367">
        <v>0.40400000000000003</v>
      </c>
      <c r="L14" s="368">
        <v>1700623</v>
      </c>
      <c r="M14" s="362">
        <f t="shared" si="2"/>
        <v>0.98399999999999999</v>
      </c>
      <c r="N14" s="362">
        <f t="shared" si="3"/>
        <v>4.7279999999999998</v>
      </c>
    </row>
    <row r="15" spans="1:16">
      <c r="A15" s="362">
        <v>14</v>
      </c>
      <c r="B15" s="363" t="s">
        <v>1171</v>
      </c>
      <c r="C15" s="364" t="s">
        <v>109</v>
      </c>
      <c r="D15" s="365" t="s">
        <v>1771</v>
      </c>
      <c r="E15" s="366" t="s">
        <v>2021</v>
      </c>
      <c r="F15" s="362">
        <v>590</v>
      </c>
      <c r="G15" s="362">
        <f t="shared" si="0"/>
        <v>1.746</v>
      </c>
      <c r="H15" s="362">
        <v>8469</v>
      </c>
      <c r="I15" s="362">
        <f t="shared" si="1"/>
        <v>1.8080000000000001</v>
      </c>
      <c r="J15" s="362" t="s">
        <v>2613</v>
      </c>
      <c r="K15" s="367">
        <v>0.312</v>
      </c>
      <c r="L15" s="368">
        <v>5091</v>
      </c>
      <c r="M15" s="362">
        <f t="shared" si="2"/>
        <v>0.73</v>
      </c>
      <c r="N15" s="362">
        <f t="shared" si="3"/>
        <v>4.2840000000000007</v>
      </c>
    </row>
    <row r="16" spans="1:16">
      <c r="A16" s="362">
        <v>15</v>
      </c>
      <c r="B16" s="363" t="s">
        <v>1171</v>
      </c>
      <c r="C16" s="364" t="s">
        <v>111</v>
      </c>
      <c r="D16" s="365" t="s">
        <v>1224</v>
      </c>
      <c r="E16" s="366" t="s">
        <v>2618</v>
      </c>
      <c r="F16" s="362">
        <v>240</v>
      </c>
      <c r="G16" s="362">
        <f t="shared" si="0"/>
        <v>1.5860000000000001</v>
      </c>
      <c r="H16" s="362">
        <v>1614</v>
      </c>
      <c r="I16" s="362">
        <f t="shared" si="1"/>
        <v>1.014</v>
      </c>
      <c r="J16" s="362" t="s">
        <v>2613</v>
      </c>
      <c r="K16" s="367">
        <v>0.374</v>
      </c>
      <c r="L16" s="368">
        <v>819</v>
      </c>
      <c r="M16" s="362">
        <f t="shared" si="2"/>
        <v>0.26900000000000002</v>
      </c>
      <c r="N16" s="362">
        <f t="shared" si="3"/>
        <v>2.8689999999999998</v>
      </c>
    </row>
    <row r="17" spans="1:14">
      <c r="A17" s="362">
        <v>16</v>
      </c>
      <c r="B17" s="363" t="s">
        <v>1171</v>
      </c>
      <c r="C17" s="364" t="s">
        <v>114</v>
      </c>
      <c r="D17" s="365" t="s">
        <v>1227</v>
      </c>
      <c r="E17" s="366" t="s">
        <v>114</v>
      </c>
      <c r="F17" s="362">
        <v>170</v>
      </c>
      <c r="G17" s="362">
        <f t="shared" si="0"/>
        <v>1.46</v>
      </c>
      <c r="H17" s="362">
        <v>613</v>
      </c>
      <c r="I17" s="362">
        <f t="shared" si="1"/>
        <v>0.56999999999999995</v>
      </c>
      <c r="J17" s="362" t="s">
        <v>2613</v>
      </c>
      <c r="K17" s="367">
        <v>0.39200000000000002</v>
      </c>
      <c r="L17" s="368">
        <v>2525</v>
      </c>
      <c r="M17" s="362">
        <f t="shared" si="2"/>
        <v>0.46</v>
      </c>
      <c r="N17" s="362">
        <f t="shared" si="3"/>
        <v>2.4900000000000002</v>
      </c>
    </row>
    <row r="18" spans="1:14">
      <c r="A18" s="362">
        <v>17</v>
      </c>
      <c r="B18" s="363" t="s">
        <v>1171</v>
      </c>
      <c r="C18" s="364" t="s">
        <v>117</v>
      </c>
      <c r="D18" s="365" t="s">
        <v>1230</v>
      </c>
      <c r="E18" s="366" t="s">
        <v>117</v>
      </c>
      <c r="F18" s="362">
        <v>20</v>
      </c>
      <c r="G18" s="362">
        <f t="shared" si="0"/>
        <v>0.41199999999999998</v>
      </c>
      <c r="H18" s="362">
        <v>699</v>
      </c>
      <c r="I18" s="362">
        <f t="shared" si="1"/>
        <v>0.66600000000000004</v>
      </c>
      <c r="J18" s="362" t="s">
        <v>2614</v>
      </c>
      <c r="K18" s="367">
        <v>0.44700000000000001</v>
      </c>
      <c r="L18" s="368">
        <v>1825</v>
      </c>
      <c r="M18" s="362">
        <f t="shared" si="2"/>
        <v>0.42799999999999999</v>
      </c>
      <c r="N18" s="362">
        <f t="shared" si="3"/>
        <v>1.506</v>
      </c>
    </row>
    <row r="19" spans="1:14">
      <c r="A19" s="362">
        <v>18</v>
      </c>
      <c r="B19" s="363" t="s">
        <v>1171</v>
      </c>
      <c r="C19" s="364" t="s">
        <v>120</v>
      </c>
      <c r="D19" s="365" t="s">
        <v>2619</v>
      </c>
      <c r="E19" s="366" t="s">
        <v>120</v>
      </c>
      <c r="F19" s="362">
        <v>180</v>
      </c>
      <c r="G19" s="362">
        <f t="shared" si="0"/>
        <v>1.492</v>
      </c>
      <c r="H19" s="362">
        <v>6003</v>
      </c>
      <c r="I19" s="362">
        <f t="shared" si="1"/>
        <v>1.6819999999999999</v>
      </c>
      <c r="J19" s="362" t="s">
        <v>2613</v>
      </c>
      <c r="K19" s="367">
        <v>0.34799999999999998</v>
      </c>
      <c r="L19" s="368">
        <v>5119</v>
      </c>
      <c r="M19" s="362">
        <f t="shared" si="2"/>
        <v>0.746</v>
      </c>
      <c r="N19" s="362">
        <f t="shared" si="3"/>
        <v>3.92</v>
      </c>
    </row>
    <row r="20" spans="1:14">
      <c r="A20" s="362">
        <v>19</v>
      </c>
      <c r="B20" s="363" t="s">
        <v>1171</v>
      </c>
      <c r="C20" s="364" t="s">
        <v>123</v>
      </c>
      <c r="D20" s="365" t="s">
        <v>2620</v>
      </c>
      <c r="E20" s="366" t="s">
        <v>2047</v>
      </c>
      <c r="F20" s="362">
        <v>20</v>
      </c>
      <c r="G20" s="362">
        <f t="shared" si="0"/>
        <v>0.41199999999999998</v>
      </c>
      <c r="H20" s="362">
        <v>1126</v>
      </c>
      <c r="I20" s="362">
        <f t="shared" si="1"/>
        <v>0.79200000000000004</v>
      </c>
      <c r="J20" s="362" t="s">
        <v>2614</v>
      </c>
      <c r="K20" s="367">
        <v>0.621</v>
      </c>
      <c r="L20" s="368">
        <v>1658</v>
      </c>
      <c r="M20" s="362">
        <f t="shared" si="2"/>
        <v>0.39600000000000002</v>
      </c>
      <c r="N20" s="362">
        <f t="shared" si="3"/>
        <v>1.6</v>
      </c>
    </row>
    <row r="21" spans="1:14">
      <c r="A21" s="362">
        <v>20</v>
      </c>
      <c r="B21" s="363" t="s">
        <v>1171</v>
      </c>
      <c r="C21" s="364" t="s">
        <v>125</v>
      </c>
      <c r="D21" s="365" t="s">
        <v>126</v>
      </c>
      <c r="E21" s="366" t="s">
        <v>125</v>
      </c>
      <c r="F21" s="362">
        <v>10</v>
      </c>
      <c r="G21" s="362">
        <f t="shared" si="0"/>
        <v>0.252</v>
      </c>
      <c r="H21" s="362">
        <v>632</v>
      </c>
      <c r="I21" s="362">
        <f t="shared" si="1"/>
        <v>0.63400000000000001</v>
      </c>
      <c r="J21" s="362" t="s">
        <v>2613</v>
      </c>
      <c r="K21" s="367">
        <v>0.35099999999999998</v>
      </c>
      <c r="L21" s="368">
        <v>857</v>
      </c>
      <c r="M21" s="362">
        <f t="shared" si="2"/>
        <v>0.28499999999999998</v>
      </c>
      <c r="N21" s="362">
        <f t="shared" si="3"/>
        <v>1.171</v>
      </c>
    </row>
    <row r="22" spans="1:14">
      <c r="A22" s="362">
        <v>21</v>
      </c>
      <c r="B22" s="363" t="s">
        <v>1171</v>
      </c>
      <c r="C22" s="364" t="s">
        <v>127</v>
      </c>
      <c r="D22" s="365" t="s">
        <v>128</v>
      </c>
      <c r="E22" s="366" t="s">
        <v>1521</v>
      </c>
      <c r="F22" s="362">
        <v>30</v>
      </c>
      <c r="G22" s="362">
        <f t="shared" si="0"/>
        <v>0.60199999999999998</v>
      </c>
      <c r="H22" s="362">
        <v>452</v>
      </c>
      <c r="I22" s="362">
        <f t="shared" si="1"/>
        <v>0.50600000000000001</v>
      </c>
      <c r="J22" s="362" t="s">
        <v>2613</v>
      </c>
      <c r="K22" s="367">
        <v>0.41499999999999998</v>
      </c>
      <c r="L22" s="368">
        <v>27443</v>
      </c>
      <c r="M22" s="362">
        <f t="shared" si="2"/>
        <v>0.84099999999999997</v>
      </c>
      <c r="N22" s="362">
        <f t="shared" si="3"/>
        <v>1.9489999999999998</v>
      </c>
    </row>
    <row r="23" spans="1:14">
      <c r="A23" s="362">
        <v>22</v>
      </c>
      <c r="B23" s="363" t="s">
        <v>1171</v>
      </c>
      <c r="C23" s="364" t="s">
        <v>129</v>
      </c>
      <c r="D23" s="365" t="s">
        <v>2621</v>
      </c>
      <c r="E23" s="366" t="s">
        <v>129</v>
      </c>
      <c r="F23" s="362">
        <v>20</v>
      </c>
      <c r="G23" s="362">
        <f t="shared" si="0"/>
        <v>0.41199999999999998</v>
      </c>
      <c r="H23" s="362">
        <v>1881</v>
      </c>
      <c r="I23" s="362">
        <f t="shared" si="1"/>
        <v>1.1419999999999999</v>
      </c>
      <c r="J23" s="362" t="s">
        <v>2614</v>
      </c>
      <c r="K23" s="367">
        <v>0.50800000000000001</v>
      </c>
      <c r="L23" s="368">
        <v>1709</v>
      </c>
      <c r="M23" s="362">
        <f t="shared" si="2"/>
        <v>0.41199999999999998</v>
      </c>
      <c r="N23" s="362">
        <f t="shared" si="3"/>
        <v>1.9659999999999997</v>
      </c>
    </row>
    <row r="24" spans="1:14">
      <c r="A24" s="362">
        <v>23</v>
      </c>
      <c r="B24" s="363" t="s">
        <v>1171</v>
      </c>
      <c r="C24" s="364" t="s">
        <v>134</v>
      </c>
      <c r="D24" s="365" t="s">
        <v>2622</v>
      </c>
      <c r="E24" s="366" t="s">
        <v>134</v>
      </c>
      <c r="F24" s="362">
        <v>70</v>
      </c>
      <c r="G24" s="362">
        <f t="shared" si="0"/>
        <v>1.238</v>
      </c>
      <c r="H24" s="362">
        <v>5112</v>
      </c>
      <c r="I24" s="362">
        <f t="shared" si="1"/>
        <v>1.554</v>
      </c>
      <c r="J24" s="362" t="s">
        <v>2623</v>
      </c>
      <c r="K24" s="367">
        <v>0.26800000000000002</v>
      </c>
      <c r="L24" s="368">
        <v>457</v>
      </c>
      <c r="M24" s="362">
        <f t="shared" si="2"/>
        <v>0.19</v>
      </c>
      <c r="N24" s="362">
        <f t="shared" si="3"/>
        <v>2.9820000000000002</v>
      </c>
    </row>
    <row r="25" spans="1:14">
      <c r="A25" s="362">
        <v>24</v>
      </c>
      <c r="B25" s="363" t="s">
        <v>1171</v>
      </c>
      <c r="C25" s="364" t="s">
        <v>136</v>
      </c>
      <c r="D25" s="365" t="s">
        <v>2624</v>
      </c>
      <c r="E25" s="366" t="s">
        <v>2374</v>
      </c>
      <c r="F25" s="362">
        <v>700</v>
      </c>
      <c r="G25" s="362">
        <f t="shared" si="0"/>
        <v>1.84</v>
      </c>
      <c r="H25" s="362">
        <v>7360</v>
      </c>
      <c r="I25" s="362">
        <f t="shared" si="1"/>
        <v>1.746</v>
      </c>
      <c r="J25" s="362" t="s">
        <v>2613</v>
      </c>
      <c r="K25" s="367">
        <v>0.38600000000000001</v>
      </c>
      <c r="L25" s="368">
        <v>1184257</v>
      </c>
      <c r="M25" s="362">
        <f t="shared" si="2"/>
        <v>0.95199999999999996</v>
      </c>
      <c r="N25" s="362">
        <f t="shared" si="3"/>
        <v>4.5380000000000003</v>
      </c>
    </row>
    <row r="26" spans="1:14">
      <c r="A26" s="362">
        <v>25</v>
      </c>
      <c r="B26" s="363" t="s">
        <v>1171</v>
      </c>
      <c r="C26" s="364" t="s">
        <v>139</v>
      </c>
      <c r="D26" s="365" t="s">
        <v>140</v>
      </c>
      <c r="E26" s="366" t="s">
        <v>139</v>
      </c>
      <c r="F26" s="362">
        <v>70</v>
      </c>
      <c r="G26" s="362">
        <f t="shared" si="0"/>
        <v>1.238</v>
      </c>
      <c r="H26" s="362">
        <v>3529</v>
      </c>
      <c r="I26" s="362">
        <f t="shared" si="1"/>
        <v>1.4279999999999999</v>
      </c>
      <c r="J26" s="362" t="s">
        <v>2614</v>
      </c>
      <c r="K26" s="367">
        <v>0.47299999999999998</v>
      </c>
      <c r="L26" s="368">
        <v>4837</v>
      </c>
      <c r="M26" s="362">
        <f t="shared" si="2"/>
        <v>0.65</v>
      </c>
      <c r="N26" s="362">
        <f t="shared" si="3"/>
        <v>3.3159999999999998</v>
      </c>
    </row>
    <row r="27" spans="1:14">
      <c r="A27" s="362">
        <v>26</v>
      </c>
      <c r="B27" s="363" t="s">
        <v>1171</v>
      </c>
      <c r="C27" s="364" t="s">
        <v>141</v>
      </c>
      <c r="D27" s="365" t="s">
        <v>142</v>
      </c>
      <c r="E27" s="366" t="s">
        <v>141</v>
      </c>
      <c r="F27" s="362">
        <v>1580</v>
      </c>
      <c r="G27" s="362">
        <f t="shared" si="0"/>
        <v>2</v>
      </c>
      <c r="H27" s="362">
        <v>16422</v>
      </c>
      <c r="I27" s="362">
        <f t="shared" si="1"/>
        <v>1.968</v>
      </c>
      <c r="J27" s="362" t="s">
        <v>2623</v>
      </c>
      <c r="K27" s="367">
        <v>0.33700000000000002</v>
      </c>
      <c r="L27" s="368">
        <v>1256657</v>
      </c>
      <c r="M27" s="362">
        <f t="shared" si="2"/>
        <v>0.96799999999999997</v>
      </c>
      <c r="N27" s="362">
        <f t="shared" si="3"/>
        <v>4.9359999999999999</v>
      </c>
    </row>
    <row r="28" spans="1:14">
      <c r="A28" s="362">
        <v>27</v>
      </c>
      <c r="B28" s="363" t="s">
        <v>1171</v>
      </c>
      <c r="C28" s="364" t="s">
        <v>143</v>
      </c>
      <c r="D28" s="365" t="s">
        <v>2625</v>
      </c>
      <c r="E28" s="366" t="s">
        <v>2626</v>
      </c>
      <c r="F28" s="362">
        <v>50</v>
      </c>
      <c r="G28" s="362">
        <f t="shared" si="0"/>
        <v>0.79200000000000004</v>
      </c>
      <c r="H28" s="362">
        <v>1289</v>
      </c>
      <c r="I28" s="362">
        <f t="shared" si="1"/>
        <v>0.92</v>
      </c>
      <c r="J28" s="362" t="s">
        <v>2614</v>
      </c>
      <c r="K28" s="367">
        <v>0.498</v>
      </c>
      <c r="L28" s="368">
        <v>365</v>
      </c>
      <c r="M28" s="362">
        <f t="shared" si="2"/>
        <v>0.126</v>
      </c>
      <c r="N28" s="362">
        <f t="shared" si="3"/>
        <v>1.8380000000000001</v>
      </c>
    </row>
    <row r="29" spans="1:14">
      <c r="A29" s="362">
        <v>28</v>
      </c>
      <c r="B29" s="363" t="s">
        <v>1171</v>
      </c>
      <c r="C29" s="364" t="s">
        <v>145</v>
      </c>
      <c r="D29" s="365" t="s">
        <v>147</v>
      </c>
      <c r="E29" s="366" t="s">
        <v>145</v>
      </c>
      <c r="F29" s="362">
        <v>230</v>
      </c>
      <c r="G29" s="362">
        <f t="shared" si="0"/>
        <v>1.554</v>
      </c>
      <c r="H29" s="362">
        <v>1110</v>
      </c>
      <c r="I29" s="362">
        <f t="shared" si="1"/>
        <v>0.76</v>
      </c>
      <c r="J29" s="362" t="s">
        <v>2613</v>
      </c>
      <c r="K29" s="367">
        <v>0.42899999999999999</v>
      </c>
      <c r="L29" s="368">
        <v>167012</v>
      </c>
      <c r="M29" s="362">
        <f t="shared" si="2"/>
        <v>0.873</v>
      </c>
      <c r="N29" s="362">
        <f t="shared" si="3"/>
        <v>3.1870000000000003</v>
      </c>
    </row>
    <row r="30" spans="1:14">
      <c r="A30" s="362">
        <v>29</v>
      </c>
      <c r="B30" s="363" t="s">
        <v>1171</v>
      </c>
      <c r="C30" s="364" t="s">
        <v>148</v>
      </c>
      <c r="D30" s="365" t="s">
        <v>2627</v>
      </c>
      <c r="E30" s="366" t="s">
        <v>148</v>
      </c>
      <c r="F30" s="362">
        <v>110</v>
      </c>
      <c r="G30" s="362">
        <f t="shared" si="0"/>
        <v>1.3640000000000001</v>
      </c>
      <c r="H30" s="362">
        <v>2139</v>
      </c>
      <c r="I30" s="362">
        <f t="shared" si="1"/>
        <v>1.268</v>
      </c>
      <c r="J30" s="362" t="s">
        <v>2613</v>
      </c>
      <c r="K30" s="367">
        <v>0.41899999999999998</v>
      </c>
      <c r="L30" s="368">
        <v>4947</v>
      </c>
      <c r="M30" s="362">
        <f t="shared" si="2"/>
        <v>0.68200000000000005</v>
      </c>
      <c r="N30" s="362">
        <f t="shared" si="3"/>
        <v>3.3140000000000001</v>
      </c>
    </row>
    <row r="31" spans="1:14">
      <c r="A31" s="362">
        <v>30</v>
      </c>
      <c r="B31" s="363" t="s">
        <v>1171</v>
      </c>
      <c r="C31" s="364" t="s">
        <v>150</v>
      </c>
      <c r="D31" s="365" t="s">
        <v>2628</v>
      </c>
      <c r="E31" s="366" t="s">
        <v>150</v>
      </c>
      <c r="F31" s="362">
        <v>70</v>
      </c>
      <c r="G31" s="362">
        <f t="shared" si="0"/>
        <v>1.238</v>
      </c>
      <c r="H31" s="362">
        <v>236</v>
      </c>
      <c r="I31" s="362">
        <f t="shared" si="1"/>
        <v>0.252</v>
      </c>
      <c r="J31" s="362" t="s">
        <v>2613</v>
      </c>
      <c r="K31" s="367">
        <v>0.10333333333333333</v>
      </c>
      <c r="L31" s="368">
        <v>574</v>
      </c>
      <c r="M31" s="362">
        <f t="shared" si="2"/>
        <v>0.222</v>
      </c>
      <c r="N31" s="362">
        <f t="shared" si="3"/>
        <v>1.712</v>
      </c>
    </row>
    <row r="32" spans="1:14">
      <c r="A32" s="362">
        <v>31</v>
      </c>
      <c r="B32" s="363" t="s">
        <v>1171</v>
      </c>
      <c r="C32" s="364" t="s">
        <v>153</v>
      </c>
      <c r="D32" s="365" t="s">
        <v>1277</v>
      </c>
      <c r="E32" s="366" t="s">
        <v>153</v>
      </c>
      <c r="F32" s="362">
        <v>60</v>
      </c>
      <c r="G32" s="362">
        <f t="shared" si="0"/>
        <v>1.046</v>
      </c>
      <c r="H32" s="362">
        <v>2248</v>
      </c>
      <c r="I32" s="362">
        <f t="shared" si="1"/>
        <v>1.3320000000000001</v>
      </c>
      <c r="J32" s="362" t="s">
        <v>2614</v>
      </c>
      <c r="K32" s="367">
        <v>0.46700000000000003</v>
      </c>
      <c r="L32" s="368">
        <v>4695</v>
      </c>
      <c r="M32" s="362">
        <f t="shared" si="2"/>
        <v>0.55500000000000005</v>
      </c>
      <c r="N32" s="362">
        <f t="shared" si="3"/>
        <v>2.9329999999999998</v>
      </c>
    </row>
    <row r="33" spans="1:14">
      <c r="A33" s="362">
        <v>32</v>
      </c>
      <c r="B33" s="363" t="s">
        <v>1171</v>
      </c>
      <c r="C33" s="364" t="s">
        <v>156</v>
      </c>
      <c r="D33" s="365" t="s">
        <v>2629</v>
      </c>
      <c r="E33" s="366" t="s">
        <v>156</v>
      </c>
      <c r="F33" s="362">
        <v>260</v>
      </c>
      <c r="G33" s="362">
        <f t="shared" si="0"/>
        <v>1.65</v>
      </c>
      <c r="H33" s="362">
        <v>5389</v>
      </c>
      <c r="I33" s="362">
        <f t="shared" si="1"/>
        <v>1.5860000000000001</v>
      </c>
      <c r="J33" s="362" t="s">
        <v>2613</v>
      </c>
      <c r="K33" s="367">
        <v>0.38900000000000001</v>
      </c>
      <c r="L33" s="368">
        <v>403900</v>
      </c>
      <c r="M33" s="362">
        <f t="shared" si="2"/>
        <v>0.88800000000000001</v>
      </c>
      <c r="N33" s="362">
        <f t="shared" si="3"/>
        <v>4.1240000000000006</v>
      </c>
    </row>
    <row r="34" spans="1:14">
      <c r="A34" s="362">
        <v>33</v>
      </c>
      <c r="B34" s="363" t="s">
        <v>1171</v>
      </c>
      <c r="C34" s="364" t="s">
        <v>158</v>
      </c>
      <c r="D34" s="365" t="s">
        <v>160</v>
      </c>
      <c r="E34" s="366" t="s">
        <v>158</v>
      </c>
      <c r="F34" s="362">
        <v>60</v>
      </c>
      <c r="G34" s="362">
        <f t="shared" si="0"/>
        <v>1.046</v>
      </c>
      <c r="H34" s="362">
        <v>568</v>
      </c>
      <c r="I34" s="362">
        <f t="shared" si="1"/>
        <v>0.53800000000000003</v>
      </c>
      <c r="J34" s="362" t="s">
        <v>2614</v>
      </c>
      <c r="K34" s="367">
        <v>0.57499999999999996</v>
      </c>
      <c r="L34" s="368">
        <v>1191</v>
      </c>
      <c r="M34" s="362">
        <f t="shared" si="2"/>
        <v>0.317</v>
      </c>
      <c r="N34" s="362">
        <f t="shared" si="3"/>
        <v>1.901</v>
      </c>
    </row>
    <row r="35" spans="1:14">
      <c r="A35" s="362">
        <v>34</v>
      </c>
      <c r="B35" s="363" t="s">
        <v>1171</v>
      </c>
      <c r="C35" s="364" t="s">
        <v>161</v>
      </c>
      <c r="D35" s="365" t="s">
        <v>2630</v>
      </c>
      <c r="E35" s="366" t="s">
        <v>161</v>
      </c>
      <c r="F35" s="362">
        <v>40</v>
      </c>
      <c r="G35" s="362">
        <f t="shared" si="0"/>
        <v>0.69799999999999995</v>
      </c>
      <c r="H35" s="362">
        <v>2186</v>
      </c>
      <c r="I35" s="362">
        <f t="shared" si="1"/>
        <v>1.3</v>
      </c>
      <c r="J35" s="362" t="s">
        <v>2613</v>
      </c>
      <c r="K35" s="367">
        <v>0.40799999999999997</v>
      </c>
      <c r="L35" s="368">
        <v>5147</v>
      </c>
      <c r="M35" s="362">
        <f t="shared" si="2"/>
        <v>0.76100000000000001</v>
      </c>
      <c r="N35" s="362">
        <f t="shared" si="3"/>
        <v>2.7589999999999999</v>
      </c>
    </row>
    <row r="36" spans="1:14">
      <c r="A36" s="362">
        <v>35</v>
      </c>
      <c r="B36" s="363" t="s">
        <v>1171</v>
      </c>
      <c r="C36" s="364" t="s">
        <v>163</v>
      </c>
      <c r="D36" s="365" t="s">
        <v>164</v>
      </c>
      <c r="E36" s="366" t="s">
        <v>163</v>
      </c>
      <c r="F36" s="362">
        <v>40</v>
      </c>
      <c r="G36" s="362">
        <f t="shared" si="0"/>
        <v>0.69799999999999995</v>
      </c>
      <c r="H36" s="362">
        <v>1445</v>
      </c>
      <c r="I36" s="362">
        <f t="shared" si="1"/>
        <v>0.98399999999999999</v>
      </c>
      <c r="J36" s="362" t="s">
        <v>2614</v>
      </c>
      <c r="K36" s="367">
        <v>0.48899999999999999</v>
      </c>
      <c r="L36" s="368">
        <v>3325</v>
      </c>
      <c r="M36" s="362">
        <f t="shared" si="2"/>
        <v>0.49199999999999999</v>
      </c>
      <c r="N36" s="362">
        <f t="shared" si="3"/>
        <v>2.1739999999999999</v>
      </c>
    </row>
    <row r="37" spans="1:14">
      <c r="A37" s="362">
        <v>36</v>
      </c>
      <c r="B37" s="363" t="s">
        <v>1171</v>
      </c>
      <c r="C37" s="364" t="s">
        <v>165</v>
      </c>
      <c r="D37" s="365" t="s">
        <v>166</v>
      </c>
      <c r="E37" s="366" t="s">
        <v>2631</v>
      </c>
      <c r="F37" s="362">
        <v>1090</v>
      </c>
      <c r="G37" s="362">
        <f t="shared" si="0"/>
        <v>1.968</v>
      </c>
      <c r="H37" s="362">
        <v>15845</v>
      </c>
      <c r="I37" s="362">
        <f t="shared" si="1"/>
        <v>1.9359999999999999</v>
      </c>
      <c r="J37" s="362" t="s">
        <v>2613</v>
      </c>
      <c r="K37" s="367">
        <v>0.376</v>
      </c>
      <c r="L37" s="368">
        <v>5592</v>
      </c>
      <c r="M37" s="362">
        <f t="shared" si="2"/>
        <v>0.79300000000000004</v>
      </c>
      <c r="N37" s="362">
        <f t="shared" si="3"/>
        <v>4.6970000000000001</v>
      </c>
    </row>
    <row r="38" spans="1:14">
      <c r="A38" s="362">
        <v>37</v>
      </c>
      <c r="B38" s="363" t="s">
        <v>1171</v>
      </c>
      <c r="C38" s="364" t="s">
        <v>167</v>
      </c>
      <c r="D38" s="365" t="s">
        <v>2632</v>
      </c>
      <c r="E38" s="366" t="s">
        <v>167</v>
      </c>
      <c r="F38" s="362">
        <v>20</v>
      </c>
      <c r="G38" s="362">
        <f t="shared" si="0"/>
        <v>0.41199999999999998</v>
      </c>
      <c r="H38" s="362">
        <v>390</v>
      </c>
      <c r="I38" s="362">
        <f t="shared" si="1"/>
        <v>0.41199999999999998</v>
      </c>
      <c r="J38" s="362" t="s">
        <v>2614</v>
      </c>
      <c r="K38" s="367">
        <v>0.434</v>
      </c>
      <c r="L38" s="368">
        <v>1021</v>
      </c>
      <c r="M38" s="362">
        <f t="shared" si="2"/>
        <v>0.30099999999999999</v>
      </c>
      <c r="N38" s="362">
        <f t="shared" si="3"/>
        <v>1.125</v>
      </c>
    </row>
    <row r="39" spans="1:14">
      <c r="A39" s="362">
        <v>38</v>
      </c>
      <c r="B39" s="363" t="s">
        <v>1171</v>
      </c>
      <c r="C39" s="364" t="s">
        <v>169</v>
      </c>
      <c r="D39" s="365" t="s">
        <v>2633</v>
      </c>
      <c r="E39" s="366" t="s">
        <v>169</v>
      </c>
      <c r="F39" s="362">
        <v>240</v>
      </c>
      <c r="G39" s="362">
        <f t="shared" si="0"/>
        <v>1.5860000000000001</v>
      </c>
      <c r="H39" s="362">
        <v>7729</v>
      </c>
      <c r="I39" s="362">
        <f t="shared" si="1"/>
        <v>1.776</v>
      </c>
      <c r="J39" s="362" t="s">
        <v>2613</v>
      </c>
      <c r="K39" s="367">
        <v>0.35499999999999998</v>
      </c>
      <c r="L39" s="368">
        <v>4819</v>
      </c>
      <c r="M39" s="362">
        <f t="shared" si="2"/>
        <v>0.60299999999999998</v>
      </c>
      <c r="N39" s="362">
        <f t="shared" si="3"/>
        <v>3.9649999999999999</v>
      </c>
    </row>
    <row r="40" spans="1:14">
      <c r="A40" s="362">
        <v>39</v>
      </c>
      <c r="B40" s="363" t="s">
        <v>1171</v>
      </c>
      <c r="C40" s="364" t="s">
        <v>171</v>
      </c>
      <c r="D40" s="365" t="s">
        <v>173</v>
      </c>
      <c r="E40" s="366" t="s">
        <v>171</v>
      </c>
      <c r="F40" s="362">
        <v>50</v>
      </c>
      <c r="G40" s="362">
        <f t="shared" si="0"/>
        <v>0.79200000000000004</v>
      </c>
      <c r="H40" s="362">
        <v>1321</v>
      </c>
      <c r="I40" s="362">
        <f t="shared" si="1"/>
        <v>0.95199999999999996</v>
      </c>
      <c r="J40" s="362" t="s">
        <v>2614</v>
      </c>
      <c r="K40" s="367">
        <v>0.48499999999999999</v>
      </c>
      <c r="L40" s="368">
        <v>403</v>
      </c>
      <c r="M40" s="362">
        <f t="shared" si="2"/>
        <v>0.158</v>
      </c>
      <c r="N40" s="362">
        <f t="shared" si="3"/>
        <v>1.9019999999999999</v>
      </c>
    </row>
    <row r="41" spans="1:14">
      <c r="A41" s="362">
        <v>40</v>
      </c>
      <c r="B41" s="363" t="s">
        <v>1171</v>
      </c>
      <c r="C41" s="364" t="s">
        <v>174</v>
      </c>
      <c r="D41" s="365" t="s">
        <v>2634</v>
      </c>
      <c r="E41" s="366" t="s">
        <v>174</v>
      </c>
      <c r="F41" s="362">
        <v>120</v>
      </c>
      <c r="G41" s="362">
        <f t="shared" si="0"/>
        <v>1.3959999999999999</v>
      </c>
      <c r="H41" s="362">
        <v>5834</v>
      </c>
      <c r="I41" s="362">
        <f t="shared" si="1"/>
        <v>1.6180000000000001</v>
      </c>
      <c r="J41" s="362" t="s">
        <v>2613</v>
      </c>
      <c r="K41" s="367">
        <v>0.38800000000000001</v>
      </c>
      <c r="L41" s="368">
        <v>4830</v>
      </c>
      <c r="M41" s="362">
        <f t="shared" si="2"/>
        <v>0.61899999999999999</v>
      </c>
      <c r="N41" s="362">
        <f t="shared" si="3"/>
        <v>3.633</v>
      </c>
    </row>
    <row r="42" spans="1:14">
      <c r="A42" s="362">
        <v>41</v>
      </c>
      <c r="B42" s="363" t="s">
        <v>1171</v>
      </c>
      <c r="C42" s="364" t="s">
        <v>177</v>
      </c>
      <c r="D42" s="365" t="s">
        <v>2635</v>
      </c>
      <c r="E42" s="366" t="s">
        <v>177</v>
      </c>
      <c r="F42" s="362">
        <v>30</v>
      </c>
      <c r="G42" s="362">
        <f t="shared" si="0"/>
        <v>0.60199999999999998</v>
      </c>
      <c r="H42" s="362">
        <v>1203</v>
      </c>
      <c r="I42" s="362">
        <f t="shared" si="1"/>
        <v>0.82399999999999995</v>
      </c>
      <c r="J42" s="362" t="s">
        <v>2614</v>
      </c>
      <c r="K42" s="367">
        <v>4.4219999999999997</v>
      </c>
      <c r="L42" s="368">
        <v>33604</v>
      </c>
      <c r="M42" s="362">
        <f t="shared" si="2"/>
        <v>0.85699999999999998</v>
      </c>
      <c r="N42" s="362">
        <f t="shared" si="3"/>
        <v>2.2829999999999999</v>
      </c>
    </row>
    <row r="43" spans="1:14">
      <c r="A43" s="362">
        <v>42</v>
      </c>
      <c r="B43" s="363" t="s">
        <v>1171</v>
      </c>
      <c r="C43" s="364" t="s">
        <v>180</v>
      </c>
      <c r="D43" s="365" t="s">
        <v>181</v>
      </c>
      <c r="E43" s="366" t="s">
        <v>2636</v>
      </c>
      <c r="F43" s="362">
        <v>50</v>
      </c>
      <c r="G43" s="362">
        <f t="shared" si="0"/>
        <v>0.79200000000000004</v>
      </c>
      <c r="H43" s="362">
        <v>1251</v>
      </c>
      <c r="I43" s="362">
        <f t="shared" si="1"/>
        <v>0.88800000000000001</v>
      </c>
      <c r="J43" s="362" t="s">
        <v>2614</v>
      </c>
      <c r="K43" s="367">
        <v>0.61299999999999999</v>
      </c>
      <c r="L43" s="368">
        <v>422</v>
      </c>
      <c r="M43" s="362">
        <f t="shared" si="2"/>
        <v>0.17399999999999999</v>
      </c>
      <c r="N43" s="362">
        <f t="shared" si="3"/>
        <v>1.8540000000000001</v>
      </c>
    </row>
    <row r="44" spans="1:14">
      <c r="A44" s="362">
        <v>43</v>
      </c>
      <c r="B44" s="363" t="s">
        <v>1171</v>
      </c>
      <c r="C44" s="364" t="s">
        <v>182</v>
      </c>
      <c r="D44" s="365" t="s">
        <v>2637</v>
      </c>
      <c r="E44" s="366" t="s">
        <v>182</v>
      </c>
      <c r="F44" s="362">
        <v>50</v>
      </c>
      <c r="G44" s="362">
        <f t="shared" si="0"/>
        <v>0.79200000000000004</v>
      </c>
      <c r="H44" s="362">
        <v>812</v>
      </c>
      <c r="I44" s="362">
        <f t="shared" si="1"/>
        <v>0.69799999999999995</v>
      </c>
      <c r="J44" s="362" t="s">
        <v>2614</v>
      </c>
      <c r="K44" s="367">
        <v>0.55800000000000005</v>
      </c>
      <c r="L44" s="368">
        <v>3657</v>
      </c>
      <c r="M44" s="362">
        <f t="shared" si="2"/>
        <v>0.52300000000000002</v>
      </c>
      <c r="N44" s="362">
        <f t="shared" si="3"/>
        <v>2.0129999999999999</v>
      </c>
    </row>
    <row r="45" spans="1:14">
      <c r="A45" s="362">
        <v>44</v>
      </c>
      <c r="B45" s="363" t="s">
        <v>1171</v>
      </c>
      <c r="C45" s="364" t="s">
        <v>185</v>
      </c>
      <c r="D45" s="365" t="s">
        <v>2638</v>
      </c>
      <c r="E45" s="366" t="s">
        <v>2639</v>
      </c>
      <c r="F45" s="362">
        <v>6</v>
      </c>
      <c r="G45" s="362">
        <f t="shared" si="0"/>
        <v>6.2E-2</v>
      </c>
      <c r="H45" s="362">
        <v>225</v>
      </c>
      <c r="I45" s="362">
        <f t="shared" si="1"/>
        <v>0.222</v>
      </c>
      <c r="J45" s="362" t="s">
        <v>2614</v>
      </c>
      <c r="K45" s="367">
        <v>0.4</v>
      </c>
      <c r="L45" s="368">
        <v>15</v>
      </c>
      <c r="M45" s="362">
        <f t="shared" si="2"/>
        <v>0</v>
      </c>
      <c r="N45" s="362">
        <f t="shared" si="3"/>
        <v>0.28400000000000003</v>
      </c>
    </row>
    <row r="46" spans="1:14">
      <c r="A46" s="362">
        <v>45</v>
      </c>
      <c r="B46" s="363" t="s">
        <v>1171</v>
      </c>
      <c r="C46" s="364" t="s">
        <v>187</v>
      </c>
      <c r="D46" s="365" t="s">
        <v>189</v>
      </c>
      <c r="E46" s="366" t="s">
        <v>187</v>
      </c>
      <c r="F46" s="362">
        <v>790</v>
      </c>
      <c r="G46" s="362">
        <f t="shared" si="0"/>
        <v>1.8720000000000001</v>
      </c>
      <c r="H46" s="362">
        <v>10258</v>
      </c>
      <c r="I46" s="362">
        <f t="shared" si="1"/>
        <v>1.8720000000000001</v>
      </c>
      <c r="J46" s="362" t="s">
        <v>2613</v>
      </c>
      <c r="K46" s="367">
        <v>0.34899999999999998</v>
      </c>
      <c r="L46" s="368">
        <v>1141670</v>
      </c>
      <c r="M46" s="362">
        <f t="shared" si="2"/>
        <v>0.93600000000000005</v>
      </c>
      <c r="N46" s="362">
        <f t="shared" si="3"/>
        <v>4.6800000000000006</v>
      </c>
    </row>
    <row r="47" spans="1:14">
      <c r="A47" s="362">
        <v>46</v>
      </c>
      <c r="B47" s="363" t="s">
        <v>1171</v>
      </c>
      <c r="C47" s="364" t="s">
        <v>190</v>
      </c>
      <c r="D47" s="365" t="s">
        <v>1322</v>
      </c>
      <c r="E47" s="366" t="s">
        <v>190</v>
      </c>
      <c r="F47" s="362">
        <v>610</v>
      </c>
      <c r="G47" s="362">
        <f t="shared" si="0"/>
        <v>1.776</v>
      </c>
      <c r="H47" s="362">
        <v>6304</v>
      </c>
      <c r="I47" s="362">
        <f t="shared" si="1"/>
        <v>1.714</v>
      </c>
      <c r="J47" s="362" t="s">
        <v>2613</v>
      </c>
      <c r="K47" s="367">
        <v>0.34</v>
      </c>
      <c r="L47" s="368">
        <v>14913</v>
      </c>
      <c r="M47" s="362">
        <f t="shared" si="2"/>
        <v>0.82499999999999996</v>
      </c>
      <c r="N47" s="362">
        <f t="shared" si="3"/>
        <v>4.3149999999999995</v>
      </c>
    </row>
    <row r="48" spans="1:14">
      <c r="A48" s="362">
        <v>47</v>
      </c>
      <c r="B48" s="363" t="s">
        <v>1171</v>
      </c>
      <c r="C48" s="364" t="s">
        <v>193</v>
      </c>
      <c r="D48" s="365" t="s">
        <v>195</v>
      </c>
      <c r="E48" s="366" t="s">
        <v>193</v>
      </c>
      <c r="F48" s="362">
        <v>30</v>
      </c>
      <c r="G48" s="362">
        <f t="shared" si="0"/>
        <v>0.60199999999999998</v>
      </c>
      <c r="H48" s="362">
        <v>1928</v>
      </c>
      <c r="I48" s="362">
        <f t="shared" si="1"/>
        <v>1.1739999999999999</v>
      </c>
      <c r="J48" s="362" t="s">
        <v>2614</v>
      </c>
      <c r="K48" s="367">
        <v>0.45200000000000001</v>
      </c>
      <c r="L48" s="368">
        <v>5007</v>
      </c>
      <c r="M48" s="362">
        <f t="shared" si="2"/>
        <v>0.71399999999999997</v>
      </c>
      <c r="N48" s="362">
        <f t="shared" si="3"/>
        <v>2.4899999999999998</v>
      </c>
    </row>
    <row r="49" spans="1:14">
      <c r="A49" s="362">
        <v>48</v>
      </c>
      <c r="B49" s="363" t="s">
        <v>1171</v>
      </c>
      <c r="C49" s="364" t="s">
        <v>196</v>
      </c>
      <c r="D49" s="365" t="s">
        <v>198</v>
      </c>
      <c r="E49" s="366" t="s">
        <v>2640</v>
      </c>
      <c r="F49" s="362">
        <v>60</v>
      </c>
      <c r="G49" s="362">
        <f t="shared" si="0"/>
        <v>1.046</v>
      </c>
      <c r="H49" s="362">
        <v>2692</v>
      </c>
      <c r="I49" s="362">
        <f t="shared" si="1"/>
        <v>1.3959999999999999</v>
      </c>
      <c r="J49" s="362" t="s">
        <v>2613</v>
      </c>
      <c r="K49" s="367">
        <v>0.35</v>
      </c>
      <c r="L49" s="368">
        <v>4953</v>
      </c>
      <c r="M49" s="362">
        <f t="shared" si="2"/>
        <v>0.69799999999999995</v>
      </c>
      <c r="N49" s="362">
        <f t="shared" si="3"/>
        <v>3.1399999999999997</v>
      </c>
    </row>
    <row r="50" spans="1:14">
      <c r="A50" s="362">
        <v>49</v>
      </c>
      <c r="B50" s="363" t="s">
        <v>1171</v>
      </c>
      <c r="C50" s="364" t="s">
        <v>199</v>
      </c>
      <c r="D50" s="365" t="s">
        <v>2641</v>
      </c>
      <c r="E50" s="366" t="s">
        <v>199</v>
      </c>
      <c r="F50" s="362">
        <v>10</v>
      </c>
      <c r="G50" s="362">
        <f t="shared" si="0"/>
        <v>0.252</v>
      </c>
      <c r="H50" s="362">
        <v>864</v>
      </c>
      <c r="I50" s="362">
        <f t="shared" si="1"/>
        <v>0.73</v>
      </c>
      <c r="J50" s="362" t="s">
        <v>2614</v>
      </c>
      <c r="K50" s="367">
        <v>0.61499999999999999</v>
      </c>
      <c r="L50" s="368">
        <v>616</v>
      </c>
      <c r="M50" s="362">
        <f t="shared" si="2"/>
        <v>0.23799999999999999</v>
      </c>
      <c r="N50" s="362">
        <f t="shared" si="3"/>
        <v>1.22</v>
      </c>
    </row>
    <row r="51" spans="1:14">
      <c r="A51" s="362">
        <v>50</v>
      </c>
      <c r="B51" s="363" t="s">
        <v>1171</v>
      </c>
      <c r="C51" s="364" t="s">
        <v>201</v>
      </c>
      <c r="D51" s="365" t="s">
        <v>2642</v>
      </c>
      <c r="E51" s="366" t="s">
        <v>201</v>
      </c>
      <c r="F51" s="362">
        <v>60</v>
      </c>
      <c r="G51" s="362">
        <f t="shared" si="0"/>
        <v>1.046</v>
      </c>
      <c r="H51" s="362">
        <v>1755</v>
      </c>
      <c r="I51" s="362">
        <f t="shared" si="1"/>
        <v>1.046</v>
      </c>
      <c r="J51" s="362" t="s">
        <v>2613</v>
      </c>
      <c r="K51" s="367">
        <v>0.4</v>
      </c>
      <c r="L51" s="368">
        <v>4836</v>
      </c>
      <c r="M51" s="362">
        <f t="shared" si="2"/>
        <v>0.63400000000000001</v>
      </c>
      <c r="N51" s="362">
        <f t="shared" si="3"/>
        <v>2.726</v>
      </c>
    </row>
    <row r="52" spans="1:14">
      <c r="A52" s="362">
        <v>51</v>
      </c>
      <c r="B52" s="363" t="s">
        <v>1171</v>
      </c>
      <c r="C52" s="364" t="s">
        <v>203</v>
      </c>
      <c r="D52" s="365" t="s">
        <v>1827</v>
      </c>
      <c r="E52" s="366" t="s">
        <v>203</v>
      </c>
      <c r="F52" s="362">
        <v>4</v>
      </c>
      <c r="G52" s="362">
        <f t="shared" si="0"/>
        <v>0</v>
      </c>
      <c r="H52" s="362">
        <v>220</v>
      </c>
      <c r="I52" s="362">
        <f t="shared" si="1"/>
        <v>0.19</v>
      </c>
      <c r="J52" s="362" t="s">
        <v>2614</v>
      </c>
      <c r="K52" s="367">
        <v>0.53700000000000003</v>
      </c>
      <c r="L52" s="368">
        <v>2238</v>
      </c>
      <c r="M52" s="362">
        <f t="shared" si="2"/>
        <v>0.44400000000000001</v>
      </c>
      <c r="N52" s="362">
        <f t="shared" si="3"/>
        <v>0.63400000000000001</v>
      </c>
    </row>
    <row r="53" spans="1:14">
      <c r="A53" s="362">
        <v>52</v>
      </c>
      <c r="B53" s="363" t="s">
        <v>1171</v>
      </c>
      <c r="C53" s="364" t="s">
        <v>206</v>
      </c>
      <c r="D53" s="365" t="s">
        <v>208</v>
      </c>
      <c r="E53" s="366" t="s">
        <v>206</v>
      </c>
      <c r="F53" s="362">
        <v>50</v>
      </c>
      <c r="G53" s="362">
        <f t="shared" si="0"/>
        <v>0.79200000000000004</v>
      </c>
      <c r="H53" s="362">
        <v>410</v>
      </c>
      <c r="I53" s="362">
        <f t="shared" si="1"/>
        <v>0.44400000000000001</v>
      </c>
      <c r="J53" s="362" t="s">
        <v>2643</v>
      </c>
      <c r="K53" s="367">
        <v>0.71299999999999997</v>
      </c>
      <c r="L53" s="368">
        <v>2730</v>
      </c>
      <c r="M53" s="362">
        <f t="shared" si="2"/>
        <v>0.47599999999999998</v>
      </c>
      <c r="N53" s="362">
        <f t="shared" si="3"/>
        <v>1.712</v>
      </c>
    </row>
    <row r="54" spans="1:14">
      <c r="A54" s="362">
        <v>53</v>
      </c>
      <c r="B54" s="363" t="s">
        <v>1171</v>
      </c>
      <c r="C54" s="364" t="s">
        <v>209</v>
      </c>
      <c r="D54" s="365" t="s">
        <v>212</v>
      </c>
      <c r="E54" s="366" t="s">
        <v>2644</v>
      </c>
      <c r="F54" s="362">
        <v>8</v>
      </c>
      <c r="G54" s="362">
        <f t="shared" si="0"/>
        <v>0.158</v>
      </c>
      <c r="H54" s="362">
        <v>189</v>
      </c>
      <c r="I54" s="362">
        <f t="shared" si="1"/>
        <v>0.126</v>
      </c>
      <c r="J54" s="362" t="s">
        <v>2613</v>
      </c>
      <c r="K54" s="367">
        <v>0.21199999999999999</v>
      </c>
      <c r="L54" s="368">
        <v>563</v>
      </c>
      <c r="M54" s="362">
        <f t="shared" si="2"/>
        <v>0.20599999999999999</v>
      </c>
      <c r="N54" s="362">
        <f t="shared" si="3"/>
        <v>0.49</v>
      </c>
    </row>
    <row r="55" spans="1:14">
      <c r="A55" s="362">
        <v>54</v>
      </c>
      <c r="B55" s="363" t="s">
        <v>1171</v>
      </c>
      <c r="C55" s="364" t="s">
        <v>213</v>
      </c>
      <c r="D55" s="365" t="s">
        <v>2645</v>
      </c>
      <c r="E55" s="366" t="s">
        <v>213</v>
      </c>
      <c r="F55" s="362">
        <v>60</v>
      </c>
      <c r="G55" s="362">
        <f t="shared" si="0"/>
        <v>1.046</v>
      </c>
      <c r="H55" s="362">
        <v>613</v>
      </c>
      <c r="I55" s="362">
        <f t="shared" si="1"/>
        <v>0.56999999999999995</v>
      </c>
      <c r="J55" s="362" t="s">
        <v>2614</v>
      </c>
      <c r="K55" s="367">
        <v>0.48</v>
      </c>
      <c r="L55" s="368">
        <v>230</v>
      </c>
      <c r="M55" s="362">
        <f t="shared" si="2"/>
        <v>7.9000000000000001E-2</v>
      </c>
      <c r="N55" s="362">
        <f t="shared" si="3"/>
        <v>1.6949999999999998</v>
      </c>
    </row>
    <row r="56" spans="1:14">
      <c r="A56" s="362">
        <v>55</v>
      </c>
      <c r="B56" s="363" t="s">
        <v>1171</v>
      </c>
      <c r="C56" s="364" t="s">
        <v>215</v>
      </c>
      <c r="D56" s="365" t="s">
        <v>2646</v>
      </c>
      <c r="E56" s="366" t="s">
        <v>2647</v>
      </c>
      <c r="F56" s="362">
        <v>10</v>
      </c>
      <c r="G56" s="362">
        <f t="shared" si="0"/>
        <v>0.252</v>
      </c>
      <c r="H56" s="362">
        <v>108</v>
      </c>
      <c r="I56" s="362">
        <f t="shared" si="1"/>
        <v>6.2E-2</v>
      </c>
      <c r="J56" s="362" t="s">
        <v>2613</v>
      </c>
      <c r="K56" s="367">
        <v>0.46100000000000002</v>
      </c>
      <c r="L56" s="368">
        <v>28</v>
      </c>
      <c r="M56" s="362">
        <f t="shared" si="2"/>
        <v>1.4999999999999999E-2</v>
      </c>
      <c r="N56" s="362">
        <f t="shared" si="3"/>
        <v>0.32900000000000001</v>
      </c>
    </row>
    <row r="57" spans="1:14">
      <c r="A57" s="362">
        <v>56</v>
      </c>
      <c r="B57" s="363" t="s">
        <v>1171</v>
      </c>
      <c r="C57" s="364" t="s">
        <v>218</v>
      </c>
      <c r="D57" s="365" t="s">
        <v>2648</v>
      </c>
      <c r="E57" s="366" t="s">
        <v>218</v>
      </c>
      <c r="F57" s="362">
        <v>160</v>
      </c>
      <c r="G57" s="362">
        <f t="shared" si="0"/>
        <v>1.4279999999999999</v>
      </c>
      <c r="H57" s="362">
        <v>1208</v>
      </c>
      <c r="I57" s="362">
        <f t="shared" si="1"/>
        <v>0.85599999999999998</v>
      </c>
      <c r="J57" s="362" t="s">
        <v>2613</v>
      </c>
      <c r="K57" s="367">
        <v>0.41</v>
      </c>
      <c r="L57" s="368">
        <v>4743</v>
      </c>
      <c r="M57" s="362">
        <f t="shared" si="2"/>
        <v>0.58699999999999997</v>
      </c>
      <c r="N57" s="362">
        <f t="shared" si="3"/>
        <v>2.871</v>
      </c>
    </row>
    <row r="58" spans="1:14">
      <c r="A58" s="362">
        <v>57</v>
      </c>
      <c r="B58" s="363" t="s">
        <v>1171</v>
      </c>
      <c r="C58" s="364" t="s">
        <v>220</v>
      </c>
      <c r="D58" s="365" t="s">
        <v>221</v>
      </c>
      <c r="E58" s="366" t="s">
        <v>220</v>
      </c>
      <c r="F58" s="362">
        <v>50</v>
      </c>
      <c r="G58" s="362">
        <f t="shared" si="0"/>
        <v>0.79200000000000004</v>
      </c>
      <c r="H58" s="362">
        <v>5999</v>
      </c>
      <c r="I58" s="362">
        <f t="shared" si="1"/>
        <v>1.65</v>
      </c>
      <c r="J58" s="362" t="s">
        <v>2613</v>
      </c>
      <c r="K58" s="367">
        <v>0.377</v>
      </c>
      <c r="L58" s="368">
        <v>3627</v>
      </c>
      <c r="M58" s="362">
        <f t="shared" si="2"/>
        <v>0.50700000000000001</v>
      </c>
      <c r="N58" s="362">
        <f t="shared" si="3"/>
        <v>2.9489999999999998</v>
      </c>
    </row>
    <row r="59" spans="1:14">
      <c r="A59" s="362">
        <v>58</v>
      </c>
      <c r="B59" s="363" t="s">
        <v>1171</v>
      </c>
      <c r="C59" s="364" t="s">
        <v>222</v>
      </c>
      <c r="D59" s="365" t="s">
        <v>224</v>
      </c>
      <c r="E59" s="366" t="s">
        <v>2649</v>
      </c>
      <c r="F59" s="362">
        <v>9</v>
      </c>
      <c r="G59" s="362">
        <f t="shared" si="0"/>
        <v>0.222</v>
      </c>
      <c r="H59" s="362">
        <v>450</v>
      </c>
      <c r="I59" s="362">
        <f t="shared" si="1"/>
        <v>0.47599999999999998</v>
      </c>
      <c r="J59" s="362" t="s">
        <v>2614</v>
      </c>
      <c r="K59" s="367">
        <v>0.58899999999999997</v>
      </c>
      <c r="L59" s="368">
        <v>103</v>
      </c>
      <c r="M59" s="362">
        <f t="shared" si="2"/>
        <v>3.1E-2</v>
      </c>
      <c r="N59" s="362">
        <f t="shared" si="3"/>
        <v>0.72899999999999998</v>
      </c>
    </row>
    <row r="60" spans="1:14">
      <c r="A60" s="362">
        <v>59</v>
      </c>
      <c r="B60" s="363" t="s">
        <v>1171</v>
      </c>
      <c r="C60" s="364" t="s">
        <v>225</v>
      </c>
      <c r="D60" s="365" t="s">
        <v>227</v>
      </c>
      <c r="E60" s="366" t="s">
        <v>225</v>
      </c>
      <c r="F60" s="362">
        <v>260</v>
      </c>
      <c r="G60" s="362">
        <f t="shared" si="0"/>
        <v>1.65</v>
      </c>
      <c r="H60" s="362">
        <v>4118</v>
      </c>
      <c r="I60" s="362">
        <f t="shared" si="1"/>
        <v>1.522</v>
      </c>
      <c r="J60" s="362" t="s">
        <v>2613</v>
      </c>
      <c r="K60" s="367">
        <v>0.39100000000000001</v>
      </c>
      <c r="L60" s="368">
        <v>452017</v>
      </c>
      <c r="M60" s="362">
        <f t="shared" si="2"/>
        <v>0.90400000000000003</v>
      </c>
      <c r="N60" s="362">
        <f t="shared" si="3"/>
        <v>4.0760000000000005</v>
      </c>
    </row>
    <row r="61" spans="1:14">
      <c r="A61" s="362">
        <v>60</v>
      </c>
      <c r="B61" s="363" t="s">
        <v>1171</v>
      </c>
      <c r="C61" s="364" t="s">
        <v>228</v>
      </c>
      <c r="D61" s="365" t="s">
        <v>1378</v>
      </c>
      <c r="E61" s="366" t="s">
        <v>228</v>
      </c>
      <c r="F61" s="362">
        <v>40</v>
      </c>
      <c r="G61" s="362">
        <f t="shared" si="0"/>
        <v>0.69799999999999995</v>
      </c>
      <c r="H61" s="362">
        <v>1821</v>
      </c>
      <c r="I61" s="362">
        <f t="shared" si="1"/>
        <v>1.1100000000000001</v>
      </c>
      <c r="J61" s="362" t="s">
        <v>2614</v>
      </c>
      <c r="K61" s="367">
        <v>0.56499999999999995</v>
      </c>
      <c r="L61" s="368">
        <v>4280</v>
      </c>
      <c r="M61" s="362">
        <f t="shared" si="2"/>
        <v>0.53900000000000003</v>
      </c>
      <c r="N61" s="362">
        <f t="shared" si="3"/>
        <v>2.347</v>
      </c>
    </row>
    <row r="62" spans="1:14">
      <c r="A62" s="362">
        <v>61</v>
      </c>
      <c r="B62" s="363" t="s">
        <v>1171</v>
      </c>
      <c r="C62" s="364" t="s">
        <v>229</v>
      </c>
      <c r="D62" s="365" t="s">
        <v>230</v>
      </c>
      <c r="E62" s="366" t="s">
        <v>229</v>
      </c>
      <c r="F62" s="362">
        <v>90</v>
      </c>
      <c r="G62" s="362">
        <f t="shared" si="0"/>
        <v>1.3320000000000001</v>
      </c>
      <c r="H62" s="362">
        <v>2120</v>
      </c>
      <c r="I62" s="362">
        <f t="shared" si="1"/>
        <v>1.238</v>
      </c>
      <c r="J62" s="362" t="s">
        <v>2613</v>
      </c>
      <c r="K62" s="367">
        <v>0.34799999999999998</v>
      </c>
      <c r="L62" s="368">
        <v>4695</v>
      </c>
      <c r="M62" s="362">
        <f t="shared" si="2"/>
        <v>0.55500000000000005</v>
      </c>
      <c r="N62" s="362">
        <f t="shared" si="3"/>
        <v>3.125</v>
      </c>
    </row>
    <row r="63" spans="1:14">
      <c r="A63" s="362">
        <v>62</v>
      </c>
      <c r="B63" s="363" t="s">
        <v>1171</v>
      </c>
      <c r="C63" s="364" t="s">
        <v>231</v>
      </c>
      <c r="D63" s="365" t="s">
        <v>2650</v>
      </c>
      <c r="E63" s="366" t="s">
        <v>231</v>
      </c>
      <c r="F63" s="362">
        <v>20</v>
      </c>
      <c r="G63" s="362">
        <f t="shared" si="0"/>
        <v>0.41199999999999998</v>
      </c>
      <c r="H63" s="362">
        <v>155</v>
      </c>
      <c r="I63" s="362">
        <f t="shared" si="1"/>
        <v>9.4E-2</v>
      </c>
      <c r="J63" s="362" t="s">
        <v>2614</v>
      </c>
      <c r="K63" s="367">
        <v>0.48899999999999999</v>
      </c>
      <c r="L63" s="368">
        <v>625</v>
      </c>
      <c r="M63" s="362">
        <f t="shared" si="2"/>
        <v>0.253</v>
      </c>
      <c r="N63" s="362">
        <f t="shared" si="3"/>
        <v>0.7589999999999999</v>
      </c>
    </row>
    <row r="64" spans="1:14">
      <c r="A64" s="362">
        <v>63</v>
      </c>
      <c r="B64" s="363" t="s">
        <v>1171</v>
      </c>
      <c r="C64" s="364" t="s">
        <v>234</v>
      </c>
      <c r="D64" s="365" t="s">
        <v>2651</v>
      </c>
      <c r="E64" s="366" t="s">
        <v>234</v>
      </c>
      <c r="F64" s="362">
        <v>8</v>
      </c>
      <c r="G64" s="362">
        <f t="shared" si="0"/>
        <v>0.158</v>
      </c>
      <c r="H64" s="362">
        <v>272</v>
      </c>
      <c r="I64" s="362">
        <f t="shared" si="1"/>
        <v>0.34799999999999998</v>
      </c>
      <c r="J64" s="362" t="s">
        <v>2614</v>
      </c>
      <c r="K64" s="367">
        <v>0.60899999999999999</v>
      </c>
      <c r="L64" s="368">
        <v>291</v>
      </c>
      <c r="M64" s="362">
        <f t="shared" si="2"/>
        <v>0.111</v>
      </c>
      <c r="N64" s="362">
        <f t="shared" si="3"/>
        <v>0.61699999999999999</v>
      </c>
    </row>
    <row r="65" spans="1:14">
      <c r="A65" s="362">
        <v>64</v>
      </c>
      <c r="C65" s="369" t="s">
        <v>2652</v>
      </c>
      <c r="E65" s="369" t="s">
        <v>2652</v>
      </c>
      <c r="F65" s="362">
        <v>60</v>
      </c>
      <c r="G65" s="362">
        <f t="shared" si="0"/>
        <v>1.046</v>
      </c>
      <c r="H65" s="370">
        <v>285</v>
      </c>
      <c r="I65" s="362">
        <f t="shared" si="1"/>
        <v>0.38</v>
      </c>
      <c r="J65" s="369" t="s">
        <v>2613</v>
      </c>
      <c r="K65" s="367">
        <v>0.7</v>
      </c>
      <c r="L65" s="370">
        <v>1423</v>
      </c>
      <c r="M65" s="362">
        <f t="shared" si="2"/>
        <v>0.38</v>
      </c>
      <c r="N65" s="362">
        <f t="shared" si="3"/>
        <v>1.806</v>
      </c>
    </row>
    <row r="66" spans="1:14" s="371" customFormat="1">
      <c r="C66" s="372" t="s">
        <v>2249</v>
      </c>
      <c r="F66" s="373">
        <f>AVERAGE(F2:F65)</f>
        <v>187.078125</v>
      </c>
      <c r="H66" s="374">
        <f>AVERAGE(H2:H65)</f>
        <v>3157.359375</v>
      </c>
      <c r="K66" s="375">
        <f>AVERAGE(K2:K65)</f>
        <v>0.49447395833333324</v>
      </c>
      <c r="L66" s="376">
        <f>AVERAGE(L2:L65)</f>
        <v>154834.0625</v>
      </c>
    </row>
  </sheetData>
  <autoFilter ref="A1:P66"/>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 ref="D46" r:id="rId45"/>
    <hyperlink ref="D47" r:id="rId46"/>
    <hyperlink ref="D48" r:id="rId47"/>
    <hyperlink ref="D49" r:id="rId48"/>
    <hyperlink ref="D50" r:id="rId49"/>
    <hyperlink ref="D51" r:id="rId50"/>
    <hyperlink ref="D52" r:id="rId51"/>
    <hyperlink ref="D53" r:id="rId52"/>
    <hyperlink ref="D54" r:id="rId53"/>
    <hyperlink ref="D55" r:id="rId54"/>
    <hyperlink ref="D56" r:id="rId55"/>
    <hyperlink ref="D57" r:id="rId56"/>
    <hyperlink ref="D58" r:id="rId57"/>
    <hyperlink ref="D59" r:id="rId58"/>
    <hyperlink ref="D60" r:id="rId59"/>
    <hyperlink ref="D61" r:id="rId60"/>
    <hyperlink ref="D62" r:id="rId61"/>
    <hyperlink ref="D63" r:id="rId62"/>
    <hyperlink ref="D64" r:id="rId6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65"/>
  <sheetViews>
    <sheetView topLeftCell="AK28" workbookViewId="0">
      <selection activeCell="AS54" sqref="AS54"/>
    </sheetView>
  </sheetViews>
  <sheetFormatPr baseColWidth="10" defaultColWidth="21.83203125" defaultRowHeight="14" x14ac:dyDescent="0"/>
  <cols>
    <col min="1" max="16384" width="21.83203125" style="194"/>
  </cols>
  <sheetData>
    <row r="1" spans="1:63">
      <c r="A1" s="234" t="s">
        <v>1100</v>
      </c>
      <c r="B1" s="234" t="s">
        <v>1660</v>
      </c>
      <c r="C1" s="234" t="s">
        <v>1405</v>
      </c>
      <c r="D1" s="234" t="s">
        <v>1101</v>
      </c>
      <c r="E1" s="234" t="s">
        <v>1102</v>
      </c>
      <c r="F1" s="234" t="s">
        <v>2653</v>
      </c>
      <c r="G1" s="234" t="s">
        <v>2654</v>
      </c>
      <c r="H1" s="234" t="s">
        <v>2655</v>
      </c>
      <c r="I1" s="234" t="s">
        <v>2656</v>
      </c>
      <c r="J1" s="234" t="s">
        <v>2657</v>
      </c>
      <c r="K1" s="234" t="s">
        <v>2658</v>
      </c>
      <c r="L1" s="234" t="s">
        <v>2659</v>
      </c>
      <c r="M1" s="234" t="s">
        <v>2660</v>
      </c>
      <c r="N1" s="234" t="s">
        <v>2661</v>
      </c>
      <c r="O1" s="234" t="s">
        <v>2662</v>
      </c>
      <c r="P1" s="234" t="s">
        <v>2663</v>
      </c>
      <c r="Q1" s="234" t="s">
        <v>2664</v>
      </c>
      <c r="R1" s="234" t="s">
        <v>2665</v>
      </c>
      <c r="S1" s="234" t="s">
        <v>2666</v>
      </c>
      <c r="T1" s="234" t="s">
        <v>2667</v>
      </c>
      <c r="U1" s="234" t="s">
        <v>2668</v>
      </c>
      <c r="V1" s="234" t="s">
        <v>2669</v>
      </c>
      <c r="W1" s="234" t="s">
        <v>2670</v>
      </c>
      <c r="X1" s="234" t="s">
        <v>2671</v>
      </c>
      <c r="Y1" s="234" t="s">
        <v>2672</v>
      </c>
      <c r="Z1" s="234" t="s">
        <v>2673</v>
      </c>
      <c r="AA1" s="234" t="s">
        <v>2674</v>
      </c>
      <c r="AB1" s="234" t="s">
        <v>2675</v>
      </c>
      <c r="AC1" s="234" t="s">
        <v>2676</v>
      </c>
      <c r="AD1" s="234" t="s">
        <v>2677</v>
      </c>
      <c r="AE1" s="234" t="s">
        <v>2678</v>
      </c>
      <c r="AF1" s="234" t="s">
        <v>2679</v>
      </c>
      <c r="AG1" s="234" t="s">
        <v>2680</v>
      </c>
      <c r="AH1" s="234" t="s">
        <v>2681</v>
      </c>
      <c r="AI1" s="234" t="s">
        <v>2682</v>
      </c>
      <c r="AJ1" s="234" t="s">
        <v>2683</v>
      </c>
      <c r="AK1" s="234" t="s">
        <v>2684</v>
      </c>
      <c r="AL1" s="234" t="s">
        <v>2685</v>
      </c>
      <c r="AM1" s="234" t="s">
        <v>2686</v>
      </c>
      <c r="AN1" s="234" t="s">
        <v>2687</v>
      </c>
      <c r="AO1" s="234" t="s">
        <v>2688</v>
      </c>
      <c r="AP1" s="234" t="s">
        <v>2689</v>
      </c>
      <c r="AQ1" s="234" t="s">
        <v>2690</v>
      </c>
      <c r="AR1" s="234" t="s">
        <v>2691</v>
      </c>
      <c r="AS1" s="234" t="s">
        <v>2692</v>
      </c>
      <c r="AT1" s="234" t="s">
        <v>2693</v>
      </c>
      <c r="AU1" s="234" t="s">
        <v>2694</v>
      </c>
      <c r="AV1" s="234" t="s">
        <v>2695</v>
      </c>
      <c r="AW1" s="234" t="s">
        <v>2696</v>
      </c>
      <c r="AX1" s="234" t="s">
        <v>2697</v>
      </c>
      <c r="AY1" s="234" t="s">
        <v>2698</v>
      </c>
      <c r="AZ1" s="234" t="s">
        <v>2699</v>
      </c>
      <c r="BA1" s="234" t="s">
        <v>2700</v>
      </c>
      <c r="BB1" s="234" t="s">
        <v>2701</v>
      </c>
      <c r="BC1" s="234" t="s">
        <v>2702</v>
      </c>
      <c r="BD1" s="234" t="s">
        <v>2703</v>
      </c>
      <c r="BE1" s="234" t="s">
        <v>2704</v>
      </c>
      <c r="BF1" s="234" t="s">
        <v>2705</v>
      </c>
      <c r="BG1" s="234" t="s">
        <v>2706</v>
      </c>
      <c r="BH1" s="234" t="s">
        <v>2707</v>
      </c>
      <c r="BI1" s="234" t="s">
        <v>2708</v>
      </c>
      <c r="BJ1" s="234" t="s">
        <v>2709</v>
      </c>
      <c r="BK1" s="234" t="s">
        <v>2710</v>
      </c>
    </row>
    <row r="2" spans="1:63">
      <c r="A2" s="205">
        <v>1</v>
      </c>
      <c r="B2" s="178" t="s">
        <v>1171</v>
      </c>
      <c r="C2" s="178" t="s">
        <v>63</v>
      </c>
      <c r="D2" s="178" t="s">
        <v>413</v>
      </c>
      <c r="E2" s="178" t="s">
        <v>1747</v>
      </c>
      <c r="H2" s="178" t="s">
        <v>2711</v>
      </c>
      <c r="I2" s="178" t="s">
        <v>416</v>
      </c>
      <c r="J2" s="178" t="s">
        <v>463</v>
      </c>
      <c r="AE2" s="178" t="s">
        <v>2712</v>
      </c>
      <c r="AF2" s="178" t="s">
        <v>2712</v>
      </c>
      <c r="AG2" s="178" t="s">
        <v>2712</v>
      </c>
      <c r="BB2" s="205">
        <v>0</v>
      </c>
      <c r="BC2" s="208">
        <v>0</v>
      </c>
      <c r="BD2" s="178" t="s">
        <v>1176</v>
      </c>
      <c r="BE2" s="205">
        <v>0</v>
      </c>
      <c r="BF2" s="208">
        <v>0</v>
      </c>
      <c r="BG2" s="178" t="s">
        <v>1176</v>
      </c>
      <c r="BH2" s="349">
        <v>0</v>
      </c>
      <c r="BI2" s="205">
        <v>8</v>
      </c>
      <c r="BJ2" s="208">
        <v>0.72580645161290325</v>
      </c>
      <c r="BK2" s="208">
        <v>0.72580645161290325</v>
      </c>
    </row>
    <row r="3" spans="1:63">
      <c r="A3" s="205">
        <v>2</v>
      </c>
      <c r="B3" s="178" t="s">
        <v>1171</v>
      </c>
      <c r="C3" s="178" t="s">
        <v>69</v>
      </c>
      <c r="D3" s="178" t="s">
        <v>413</v>
      </c>
      <c r="E3" s="178" t="s">
        <v>1182</v>
      </c>
      <c r="H3" s="178" t="s">
        <v>2713</v>
      </c>
      <c r="I3" s="178" t="s">
        <v>416</v>
      </c>
      <c r="AE3" s="178" t="s">
        <v>2712</v>
      </c>
      <c r="AF3" s="178" t="s">
        <v>2712</v>
      </c>
      <c r="BB3" s="205">
        <v>0</v>
      </c>
      <c r="BC3" s="208">
        <v>0</v>
      </c>
      <c r="BD3" s="178" t="s">
        <v>1176</v>
      </c>
      <c r="BE3" s="205">
        <v>0</v>
      </c>
      <c r="BF3" s="208">
        <v>0</v>
      </c>
      <c r="BG3" s="178" t="s">
        <v>1176</v>
      </c>
      <c r="BH3" s="349">
        <v>0</v>
      </c>
      <c r="BI3" s="205">
        <v>0</v>
      </c>
      <c r="BJ3" s="208">
        <v>0</v>
      </c>
      <c r="BK3" s="208">
        <v>0</v>
      </c>
    </row>
    <row r="4" spans="1:63">
      <c r="A4" s="205">
        <v>3</v>
      </c>
      <c r="B4" s="178" t="s">
        <v>1171</v>
      </c>
      <c r="C4" s="178" t="s">
        <v>72</v>
      </c>
      <c r="D4" s="178" t="s">
        <v>413</v>
      </c>
      <c r="E4" s="178" t="s">
        <v>1184</v>
      </c>
      <c r="H4" s="178" t="s">
        <v>416</v>
      </c>
      <c r="AE4" s="178" t="s">
        <v>2712</v>
      </c>
      <c r="BB4" s="205">
        <v>0</v>
      </c>
      <c r="BC4" s="208">
        <v>0</v>
      </c>
      <c r="BD4" s="178" t="s">
        <v>1176</v>
      </c>
      <c r="BE4" s="205">
        <v>0</v>
      </c>
      <c r="BF4" s="208">
        <v>0</v>
      </c>
      <c r="BG4" s="178" t="s">
        <v>1176</v>
      </c>
      <c r="BH4" s="349">
        <v>0</v>
      </c>
      <c r="BI4" s="205">
        <v>0</v>
      </c>
      <c r="BJ4" s="208">
        <v>0</v>
      </c>
      <c r="BK4" s="208">
        <v>0</v>
      </c>
    </row>
    <row r="5" spans="1:63">
      <c r="A5" s="205">
        <v>4</v>
      </c>
      <c r="B5" s="178" t="s">
        <v>1171</v>
      </c>
      <c r="C5" s="178" t="s">
        <v>78</v>
      </c>
      <c r="D5" s="178" t="s">
        <v>413</v>
      </c>
      <c r="E5" s="178" t="s">
        <v>1752</v>
      </c>
      <c r="H5" s="178" t="s">
        <v>2714</v>
      </c>
      <c r="I5" s="178" t="s">
        <v>2711</v>
      </c>
      <c r="J5" s="178" t="s">
        <v>463</v>
      </c>
      <c r="K5" s="178" t="s">
        <v>2715</v>
      </c>
      <c r="L5" s="178" t="s">
        <v>2716</v>
      </c>
      <c r="M5" s="178" t="s">
        <v>2717</v>
      </c>
      <c r="N5" s="178" t="s">
        <v>416</v>
      </c>
      <c r="O5" s="178" t="s">
        <v>2718</v>
      </c>
      <c r="AE5" s="178" t="s">
        <v>2719</v>
      </c>
      <c r="AF5" s="178" t="s">
        <v>2712</v>
      </c>
      <c r="AG5" s="178" t="s">
        <v>2712</v>
      </c>
      <c r="AH5" s="178" t="s">
        <v>2719</v>
      </c>
      <c r="AI5" s="178" t="s">
        <v>2712</v>
      </c>
      <c r="AJ5" s="178" t="s">
        <v>2720</v>
      </c>
      <c r="AK5" s="178" t="s">
        <v>2712</v>
      </c>
      <c r="AL5" s="178" t="s">
        <v>2721</v>
      </c>
      <c r="BB5" s="205">
        <v>2</v>
      </c>
      <c r="BC5" s="208">
        <v>1.5517241379310345</v>
      </c>
      <c r="BD5" s="178" t="s">
        <v>1174</v>
      </c>
      <c r="BE5" s="205">
        <v>0</v>
      </c>
      <c r="BF5" s="208">
        <v>0</v>
      </c>
      <c r="BG5" s="178" t="s">
        <v>1176</v>
      </c>
      <c r="BH5" s="349">
        <v>0</v>
      </c>
      <c r="BI5" s="205">
        <v>2</v>
      </c>
      <c r="BJ5" s="208">
        <v>0.5161290322580645</v>
      </c>
      <c r="BK5" s="208">
        <v>2.0678531701890992</v>
      </c>
    </row>
    <row r="6" spans="1:63">
      <c r="A6" s="205">
        <v>5</v>
      </c>
      <c r="B6" s="178" t="s">
        <v>1171</v>
      </c>
      <c r="C6" s="178" t="s">
        <v>82</v>
      </c>
      <c r="D6" s="178" t="s">
        <v>413</v>
      </c>
      <c r="E6" s="178" t="s">
        <v>1758</v>
      </c>
      <c r="H6" s="178" t="s">
        <v>2722</v>
      </c>
      <c r="I6" s="178" t="s">
        <v>2723</v>
      </c>
      <c r="J6" s="178" t="s">
        <v>416</v>
      </c>
      <c r="AE6" s="178" t="s">
        <v>2724</v>
      </c>
      <c r="AF6" s="178" t="s">
        <v>2725</v>
      </c>
      <c r="AG6" s="178" t="s">
        <v>2712</v>
      </c>
      <c r="BB6" s="205">
        <v>0</v>
      </c>
      <c r="BC6" s="208">
        <v>0</v>
      </c>
      <c r="BD6" s="178" t="s">
        <v>1176</v>
      </c>
      <c r="BE6" s="205">
        <v>0</v>
      </c>
      <c r="BF6" s="208">
        <v>0</v>
      </c>
      <c r="BG6" s="178" t="s">
        <v>1176</v>
      </c>
      <c r="BH6" s="349">
        <v>0</v>
      </c>
      <c r="BI6" s="205">
        <v>0</v>
      </c>
      <c r="BJ6" s="208">
        <v>0</v>
      </c>
      <c r="BK6" s="208">
        <v>0</v>
      </c>
    </row>
    <row r="7" spans="1:63">
      <c r="A7" s="205">
        <v>6</v>
      </c>
      <c r="B7" s="178" t="s">
        <v>1171</v>
      </c>
      <c r="C7" s="178" t="s">
        <v>87</v>
      </c>
      <c r="D7" s="178" t="s">
        <v>413</v>
      </c>
      <c r="E7" s="178" t="s">
        <v>88</v>
      </c>
      <c r="H7" s="178" t="s">
        <v>2726</v>
      </c>
      <c r="I7" s="178" t="s">
        <v>455</v>
      </c>
      <c r="J7" s="178" t="s">
        <v>463</v>
      </c>
      <c r="AE7" s="178" t="s">
        <v>2727</v>
      </c>
      <c r="AF7" s="178" t="s">
        <v>2712</v>
      </c>
      <c r="AG7" s="178" t="s">
        <v>2712</v>
      </c>
      <c r="BB7" s="205">
        <v>0</v>
      </c>
      <c r="BC7" s="208">
        <v>0</v>
      </c>
      <c r="BD7" s="178" t="s">
        <v>1174</v>
      </c>
      <c r="BE7" s="205">
        <v>1</v>
      </c>
      <c r="BF7" s="208">
        <v>0.75806451612903225</v>
      </c>
      <c r="BG7" s="178" t="s">
        <v>1176</v>
      </c>
      <c r="BH7" s="349">
        <v>0</v>
      </c>
      <c r="BI7" s="205">
        <v>0</v>
      </c>
      <c r="BJ7" s="208">
        <v>0</v>
      </c>
      <c r="BK7" s="208">
        <v>0.75806451612903225</v>
      </c>
    </row>
    <row r="8" spans="1:63">
      <c r="A8" s="205">
        <v>7</v>
      </c>
      <c r="B8" s="178" t="s">
        <v>1171</v>
      </c>
      <c r="C8" s="178" t="s">
        <v>90</v>
      </c>
      <c r="D8" s="178" t="s">
        <v>413</v>
      </c>
      <c r="E8" s="178" t="s">
        <v>1195</v>
      </c>
      <c r="H8" s="178" t="s">
        <v>2728</v>
      </c>
      <c r="I8" s="178" t="s">
        <v>2711</v>
      </c>
      <c r="J8" s="178" t="s">
        <v>463</v>
      </c>
      <c r="K8" s="178" t="s">
        <v>2715</v>
      </c>
      <c r="L8" s="178" t="s">
        <v>2729</v>
      </c>
      <c r="M8" s="178" t="s">
        <v>2723</v>
      </c>
      <c r="N8" s="178" t="s">
        <v>2730</v>
      </c>
      <c r="O8" s="178" t="s">
        <v>416</v>
      </c>
      <c r="P8" s="178" t="s">
        <v>2731</v>
      </c>
      <c r="Q8" s="178" t="s">
        <v>2732</v>
      </c>
      <c r="R8" s="178" t="s">
        <v>2718</v>
      </c>
      <c r="S8" s="178" t="s">
        <v>2733</v>
      </c>
      <c r="T8" s="178" t="s">
        <v>2734</v>
      </c>
      <c r="U8" s="178" t="s">
        <v>2735</v>
      </c>
      <c r="AE8" s="178" t="s">
        <v>2719</v>
      </c>
      <c r="AF8" s="178" t="s">
        <v>2712</v>
      </c>
      <c r="AG8" s="178" t="s">
        <v>2712</v>
      </c>
      <c r="AH8" s="178" t="s">
        <v>2719</v>
      </c>
      <c r="AI8" s="178" t="s">
        <v>2725</v>
      </c>
      <c r="AJ8" s="178" t="s">
        <v>2725</v>
      </c>
      <c r="AK8" s="178" t="s">
        <v>2720</v>
      </c>
      <c r="AL8" s="178" t="s">
        <v>2712</v>
      </c>
      <c r="AM8" s="178" t="s">
        <v>2720</v>
      </c>
      <c r="AN8" s="178" t="s">
        <v>2724</v>
      </c>
      <c r="AO8" s="178" t="s">
        <v>2721</v>
      </c>
      <c r="AP8" s="178" t="s">
        <v>2720</v>
      </c>
      <c r="AQ8" s="178" t="s">
        <v>2721</v>
      </c>
      <c r="AR8" s="178" t="s">
        <v>2720</v>
      </c>
      <c r="BB8" s="205">
        <v>2</v>
      </c>
      <c r="BC8" s="208">
        <v>1.5517241379310345</v>
      </c>
      <c r="BD8" s="178" t="s">
        <v>1176</v>
      </c>
      <c r="BE8" s="205">
        <v>0</v>
      </c>
      <c r="BF8" s="208">
        <v>0</v>
      </c>
      <c r="BG8" s="178" t="s">
        <v>1176</v>
      </c>
      <c r="BH8" s="349">
        <v>0</v>
      </c>
      <c r="BI8" s="205">
        <v>142</v>
      </c>
      <c r="BJ8" s="208">
        <v>1</v>
      </c>
      <c r="BK8" s="208">
        <v>2.5517241379310347</v>
      </c>
    </row>
    <row r="9" spans="1:63">
      <c r="A9" s="205">
        <v>8</v>
      </c>
      <c r="B9" s="178" t="s">
        <v>1171</v>
      </c>
      <c r="C9" s="178" t="s">
        <v>93</v>
      </c>
      <c r="D9" s="178" t="s">
        <v>413</v>
      </c>
      <c r="E9" s="178" t="s">
        <v>1761</v>
      </c>
      <c r="H9" s="178" t="s">
        <v>2736</v>
      </c>
      <c r="I9" s="178" t="s">
        <v>2737</v>
      </c>
      <c r="J9" s="178" t="s">
        <v>416</v>
      </c>
      <c r="K9" s="178" t="s">
        <v>493</v>
      </c>
      <c r="AE9" s="178" t="s">
        <v>2712</v>
      </c>
      <c r="AF9" s="178" t="s">
        <v>2725</v>
      </c>
      <c r="AG9" s="178" t="s">
        <v>2712</v>
      </c>
      <c r="AH9" s="178" t="s">
        <v>2712</v>
      </c>
      <c r="BB9" s="205">
        <v>0</v>
      </c>
      <c r="BC9" s="208">
        <v>0</v>
      </c>
      <c r="BD9" s="178" t="s">
        <v>1174</v>
      </c>
      <c r="BE9" s="205">
        <v>3</v>
      </c>
      <c r="BF9" s="208">
        <v>0.79032258064516125</v>
      </c>
      <c r="BG9" s="178" t="s">
        <v>1176</v>
      </c>
      <c r="BH9" s="349">
        <v>0</v>
      </c>
      <c r="BI9" s="205">
        <v>139</v>
      </c>
      <c r="BJ9" s="208">
        <v>0.9838709677419355</v>
      </c>
      <c r="BK9" s="208">
        <v>1.7741935483870968</v>
      </c>
    </row>
    <row r="10" spans="1:63">
      <c r="A10" s="205">
        <v>9</v>
      </c>
      <c r="B10" s="178" t="s">
        <v>1171</v>
      </c>
      <c r="C10" s="178" t="s">
        <v>96</v>
      </c>
      <c r="D10" s="178" t="s">
        <v>413</v>
      </c>
      <c r="E10" s="178" t="s">
        <v>1202</v>
      </c>
      <c r="H10" s="178" t="s">
        <v>2728</v>
      </c>
      <c r="I10" s="178" t="s">
        <v>2738</v>
      </c>
      <c r="J10" s="178" t="s">
        <v>2739</v>
      </c>
      <c r="K10" s="178" t="s">
        <v>2740</v>
      </c>
      <c r="L10" s="178" t="s">
        <v>2741</v>
      </c>
      <c r="M10" s="178" t="s">
        <v>2715</v>
      </c>
      <c r="N10" s="178" t="s">
        <v>2716</v>
      </c>
      <c r="O10" s="178" t="s">
        <v>2737</v>
      </c>
      <c r="P10" s="178" t="s">
        <v>2729</v>
      </c>
      <c r="Q10" s="178" t="s">
        <v>2742</v>
      </c>
      <c r="R10" s="178" t="s">
        <v>2743</v>
      </c>
      <c r="S10" s="178" t="s">
        <v>2744</v>
      </c>
      <c r="T10" s="178" t="s">
        <v>2745</v>
      </c>
      <c r="U10" s="178" t="s">
        <v>2746</v>
      </c>
      <c r="V10" s="178" t="s">
        <v>2747</v>
      </c>
      <c r="W10" s="178" t="s">
        <v>2748</v>
      </c>
      <c r="X10" s="178" t="s">
        <v>2749</v>
      </c>
      <c r="Y10" s="178" t="s">
        <v>2750</v>
      </c>
      <c r="Z10" s="178" t="s">
        <v>479</v>
      </c>
      <c r="AA10" s="178" t="s">
        <v>2718</v>
      </c>
      <c r="AB10" s="178" t="s">
        <v>2734</v>
      </c>
      <c r="AC10" s="178" t="s">
        <v>2751</v>
      </c>
      <c r="AD10" s="178" t="s">
        <v>2752</v>
      </c>
      <c r="AE10" s="178" t="s">
        <v>2719</v>
      </c>
      <c r="AF10" s="178" t="s">
        <v>2721</v>
      </c>
      <c r="AG10" s="178" t="s">
        <v>2719</v>
      </c>
      <c r="AH10" s="178" t="s">
        <v>2712</v>
      </c>
      <c r="AI10" s="178" t="s">
        <v>2712</v>
      </c>
      <c r="AJ10" s="178" t="s">
        <v>2719</v>
      </c>
      <c r="AK10" s="178" t="s">
        <v>2712</v>
      </c>
      <c r="AL10" s="178" t="s">
        <v>2725</v>
      </c>
      <c r="AM10" s="178" t="s">
        <v>2725</v>
      </c>
      <c r="AN10" s="178" t="s">
        <v>2719</v>
      </c>
      <c r="AO10" s="178" t="s">
        <v>2727</v>
      </c>
      <c r="AP10" s="178" t="s">
        <v>2724</v>
      </c>
      <c r="AQ10" s="178" t="s">
        <v>2719</v>
      </c>
      <c r="AR10" s="178" t="s">
        <v>2719</v>
      </c>
      <c r="AS10" s="178" t="s">
        <v>2719</v>
      </c>
      <c r="AT10" s="178" t="s">
        <v>2721</v>
      </c>
      <c r="AU10" s="178" t="s">
        <v>2720</v>
      </c>
      <c r="AV10" s="178" t="s">
        <v>2712</v>
      </c>
      <c r="AW10" s="178" t="s">
        <v>2712</v>
      </c>
      <c r="AX10" s="178" t="s">
        <v>2721</v>
      </c>
      <c r="AY10" s="178" t="s">
        <v>2721</v>
      </c>
      <c r="AZ10" s="178" t="s">
        <v>2727</v>
      </c>
      <c r="BA10" s="178" t="s">
        <v>2719</v>
      </c>
      <c r="BB10" s="205">
        <v>8</v>
      </c>
      <c r="BC10" s="208">
        <v>2</v>
      </c>
      <c r="BD10" s="178" t="s">
        <v>1174</v>
      </c>
      <c r="BE10" s="205">
        <v>7</v>
      </c>
      <c r="BF10" s="208">
        <v>0.88709677419354838</v>
      </c>
      <c r="BG10" s="178" t="s">
        <v>1176</v>
      </c>
      <c r="BH10" s="349">
        <v>0</v>
      </c>
      <c r="BI10" s="205">
        <v>43</v>
      </c>
      <c r="BJ10" s="208">
        <v>0.88709677419354838</v>
      </c>
      <c r="BK10" s="208">
        <v>3.774193548387097</v>
      </c>
    </row>
    <row r="11" spans="1:63">
      <c r="A11" s="205">
        <v>10</v>
      </c>
      <c r="B11" s="178" t="s">
        <v>1171</v>
      </c>
      <c r="C11" s="178" t="s">
        <v>100</v>
      </c>
      <c r="D11" s="178" t="s">
        <v>413</v>
      </c>
      <c r="E11" s="178" t="s">
        <v>1204</v>
      </c>
      <c r="H11" s="178" t="s">
        <v>2737</v>
      </c>
      <c r="I11" s="178" t="s">
        <v>2729</v>
      </c>
      <c r="J11" s="178" t="s">
        <v>416</v>
      </c>
      <c r="AE11" s="178" t="s">
        <v>2725</v>
      </c>
      <c r="AF11" s="178" t="s">
        <v>2725</v>
      </c>
      <c r="AG11" s="178" t="s">
        <v>2712</v>
      </c>
      <c r="BB11" s="205">
        <v>0</v>
      </c>
      <c r="BC11" s="208">
        <v>0</v>
      </c>
      <c r="BD11" s="178" t="s">
        <v>1176</v>
      </c>
      <c r="BE11" s="205">
        <v>0</v>
      </c>
      <c r="BF11" s="208">
        <v>0</v>
      </c>
      <c r="BG11" s="178" t="s">
        <v>1176</v>
      </c>
      <c r="BH11" s="349">
        <v>0</v>
      </c>
      <c r="BI11" s="205">
        <v>0</v>
      </c>
      <c r="BJ11" s="208">
        <v>0</v>
      </c>
      <c r="BK11" s="208">
        <v>0</v>
      </c>
    </row>
    <row r="12" spans="1:63">
      <c r="A12" s="205">
        <v>11</v>
      </c>
      <c r="B12" s="178" t="s">
        <v>1171</v>
      </c>
      <c r="C12" s="178" t="s">
        <v>102</v>
      </c>
      <c r="D12" s="178" t="s">
        <v>413</v>
      </c>
      <c r="E12" s="178" t="s">
        <v>1207</v>
      </c>
      <c r="H12" s="178" t="s">
        <v>493</v>
      </c>
      <c r="AE12" s="178" t="s">
        <v>2712</v>
      </c>
      <c r="BB12" s="205">
        <v>0</v>
      </c>
      <c r="BC12" s="208">
        <v>0</v>
      </c>
      <c r="BD12" s="178" t="s">
        <v>1176</v>
      </c>
      <c r="BE12" s="205">
        <v>0</v>
      </c>
      <c r="BF12" s="208">
        <v>0</v>
      </c>
      <c r="BG12" s="178" t="s">
        <v>1176</v>
      </c>
      <c r="BH12" s="349">
        <v>0</v>
      </c>
      <c r="BI12" s="205">
        <v>24</v>
      </c>
      <c r="BJ12" s="208">
        <v>0.79032258064516125</v>
      </c>
      <c r="BK12" s="208">
        <v>0.79032258064516125</v>
      </c>
    </row>
    <row r="13" spans="1:63">
      <c r="A13" s="205">
        <v>12</v>
      </c>
      <c r="B13" s="178" t="s">
        <v>1171</v>
      </c>
      <c r="C13" s="178" t="s">
        <v>104</v>
      </c>
      <c r="D13" s="178" t="s">
        <v>413</v>
      </c>
      <c r="E13" s="178" t="s">
        <v>1210</v>
      </c>
      <c r="H13" s="178" t="s">
        <v>2729</v>
      </c>
      <c r="I13" s="178" t="s">
        <v>416</v>
      </c>
      <c r="AE13" s="178" t="s">
        <v>2725</v>
      </c>
      <c r="AF13" s="178" t="s">
        <v>2712</v>
      </c>
      <c r="BB13" s="205">
        <v>0</v>
      </c>
      <c r="BC13" s="208">
        <v>0</v>
      </c>
      <c r="BD13" s="178" t="s">
        <v>1176</v>
      </c>
      <c r="BE13" s="205">
        <v>0</v>
      </c>
      <c r="BF13" s="208">
        <v>0</v>
      </c>
      <c r="BG13" s="178" t="s">
        <v>1176</v>
      </c>
      <c r="BH13" s="349">
        <v>0</v>
      </c>
      <c r="BI13" s="205">
        <v>0</v>
      </c>
      <c r="BJ13" s="208">
        <v>0</v>
      </c>
      <c r="BK13" s="208">
        <v>0</v>
      </c>
    </row>
    <row r="14" spans="1:63">
      <c r="A14" s="205">
        <v>13</v>
      </c>
      <c r="B14" s="178" t="s">
        <v>1171</v>
      </c>
      <c r="C14" s="178" t="s">
        <v>106</v>
      </c>
      <c r="D14" s="178" t="s">
        <v>413</v>
      </c>
      <c r="E14" s="178" t="s">
        <v>1770</v>
      </c>
      <c r="BD14" s="178" t="s">
        <v>1174</v>
      </c>
      <c r="BE14" s="205">
        <v>4</v>
      </c>
      <c r="BF14" s="208">
        <v>0.82258064516129026</v>
      </c>
      <c r="BG14" s="178" t="s">
        <v>1176</v>
      </c>
      <c r="BH14" s="349">
        <v>0</v>
      </c>
      <c r="BI14" s="205">
        <v>9</v>
      </c>
      <c r="BJ14" s="208">
        <v>0.74193548387096775</v>
      </c>
      <c r="BK14" s="208">
        <v>1.564516129032258</v>
      </c>
    </row>
    <row r="15" spans="1:63">
      <c r="A15" s="205">
        <v>14</v>
      </c>
      <c r="B15" s="178" t="s">
        <v>1171</v>
      </c>
      <c r="C15" s="178" t="s">
        <v>109</v>
      </c>
      <c r="D15" s="178" t="s">
        <v>413</v>
      </c>
      <c r="E15" s="178" t="s">
        <v>1771</v>
      </c>
      <c r="BD15" s="178" t="s">
        <v>1174</v>
      </c>
      <c r="BE15" s="205">
        <v>0</v>
      </c>
      <c r="BF15" s="208">
        <v>0</v>
      </c>
      <c r="BG15" s="178" t="s">
        <v>1176</v>
      </c>
      <c r="BH15" s="349">
        <v>0</v>
      </c>
      <c r="BI15" s="205">
        <v>0</v>
      </c>
      <c r="BJ15" s="208">
        <v>0</v>
      </c>
      <c r="BK15" s="208">
        <v>0</v>
      </c>
    </row>
    <row r="16" spans="1:63">
      <c r="A16" s="205">
        <v>15</v>
      </c>
      <c r="B16" s="178" t="s">
        <v>1171</v>
      </c>
      <c r="C16" s="178" t="s">
        <v>111</v>
      </c>
      <c r="D16" s="178" t="s">
        <v>413</v>
      </c>
      <c r="E16" s="178" t="s">
        <v>1224</v>
      </c>
      <c r="H16" s="178" t="s">
        <v>2728</v>
      </c>
      <c r="I16" s="178" t="s">
        <v>2753</v>
      </c>
      <c r="J16" s="178" t="s">
        <v>2716</v>
      </c>
      <c r="K16" s="178" t="s">
        <v>2737</v>
      </c>
      <c r="L16" s="178" t="s">
        <v>2729</v>
      </c>
      <c r="M16" s="178" t="s">
        <v>479</v>
      </c>
      <c r="N16" s="178" t="s">
        <v>2752</v>
      </c>
      <c r="AE16" s="178" t="s">
        <v>2719</v>
      </c>
      <c r="AF16" s="178" t="s">
        <v>2712</v>
      </c>
      <c r="AG16" s="178" t="s">
        <v>2712</v>
      </c>
      <c r="AH16" s="178" t="s">
        <v>2725</v>
      </c>
      <c r="AI16" s="178" t="s">
        <v>2725</v>
      </c>
      <c r="AJ16" s="178" t="s">
        <v>2712</v>
      </c>
      <c r="AK16" s="178" t="s">
        <v>2719</v>
      </c>
      <c r="BB16" s="205">
        <v>2</v>
      </c>
      <c r="BC16" s="208">
        <v>1.5517241379310345</v>
      </c>
      <c r="BD16" s="178" t="s">
        <v>1174</v>
      </c>
      <c r="BE16" s="205">
        <v>0</v>
      </c>
      <c r="BF16" s="208">
        <v>0</v>
      </c>
      <c r="BG16" s="178" t="s">
        <v>1176</v>
      </c>
      <c r="BH16" s="349">
        <v>0</v>
      </c>
      <c r="BI16" s="205">
        <v>0</v>
      </c>
      <c r="BJ16" s="208">
        <v>0</v>
      </c>
      <c r="BK16" s="208">
        <v>1.5517241379310345</v>
      </c>
    </row>
    <row r="17" spans="1:63">
      <c r="A17" s="205">
        <v>16</v>
      </c>
      <c r="B17" s="178" t="s">
        <v>1171</v>
      </c>
      <c r="C17" s="178" t="s">
        <v>114</v>
      </c>
      <c r="D17" s="178" t="s">
        <v>413</v>
      </c>
      <c r="E17" s="178" t="s">
        <v>1227</v>
      </c>
      <c r="H17" s="178" t="s">
        <v>2754</v>
      </c>
      <c r="I17" s="178" t="s">
        <v>2728</v>
      </c>
      <c r="J17" s="178" t="s">
        <v>2755</v>
      </c>
      <c r="K17" s="178" t="s">
        <v>2756</v>
      </c>
      <c r="L17" s="178" t="s">
        <v>2757</v>
      </c>
      <c r="M17" s="178" t="s">
        <v>2758</v>
      </c>
      <c r="N17" s="178" t="s">
        <v>2759</v>
      </c>
      <c r="O17" s="178" t="s">
        <v>2715</v>
      </c>
      <c r="P17" s="178" t="s">
        <v>2716</v>
      </c>
      <c r="Q17" s="178" t="s">
        <v>2717</v>
      </c>
      <c r="R17" s="178" t="s">
        <v>2760</v>
      </c>
      <c r="S17" s="178" t="s">
        <v>2761</v>
      </c>
      <c r="T17" s="178" t="s">
        <v>2745</v>
      </c>
      <c r="U17" s="178" t="s">
        <v>2746</v>
      </c>
      <c r="V17" s="178" t="s">
        <v>2749</v>
      </c>
      <c r="W17" s="178" t="s">
        <v>2731</v>
      </c>
      <c r="X17" s="178" t="s">
        <v>479</v>
      </c>
      <c r="Y17" s="178" t="s">
        <v>2762</v>
      </c>
      <c r="Z17" s="178" t="s">
        <v>2763</v>
      </c>
      <c r="AA17" s="178" t="s">
        <v>2718</v>
      </c>
      <c r="AB17" s="178" t="s">
        <v>2734</v>
      </c>
      <c r="AC17" s="178" t="s">
        <v>2764</v>
      </c>
      <c r="AD17" s="178" t="s">
        <v>2765</v>
      </c>
      <c r="AE17" s="178" t="s">
        <v>2720</v>
      </c>
      <c r="AF17" s="178" t="s">
        <v>2719</v>
      </c>
      <c r="AG17" s="178" t="s">
        <v>2719</v>
      </c>
      <c r="AH17" s="178" t="s">
        <v>2724</v>
      </c>
      <c r="AI17" s="178" t="s">
        <v>2721</v>
      </c>
      <c r="AJ17" s="178" t="s">
        <v>2721</v>
      </c>
      <c r="AK17" s="178" t="s">
        <v>2719</v>
      </c>
      <c r="AL17" s="178" t="s">
        <v>2719</v>
      </c>
      <c r="AM17" s="178" t="s">
        <v>2712</v>
      </c>
      <c r="AN17" s="178" t="s">
        <v>2720</v>
      </c>
      <c r="AO17" s="178" t="s">
        <v>2712</v>
      </c>
      <c r="AP17" s="178" t="s">
        <v>2721</v>
      </c>
      <c r="AQ17" s="178" t="s">
        <v>2719</v>
      </c>
      <c r="AR17" s="178" t="s">
        <v>2719</v>
      </c>
      <c r="AS17" s="178" t="s">
        <v>2720</v>
      </c>
      <c r="AT17" s="178" t="s">
        <v>2720</v>
      </c>
      <c r="AU17" s="178" t="s">
        <v>2712</v>
      </c>
      <c r="AV17" s="178" t="s">
        <v>2719</v>
      </c>
      <c r="AW17" s="178" t="s">
        <v>2721</v>
      </c>
      <c r="AX17" s="178" t="s">
        <v>2721</v>
      </c>
      <c r="AY17" s="178" t="s">
        <v>2721</v>
      </c>
      <c r="AZ17" s="178" t="s">
        <v>2720</v>
      </c>
      <c r="BA17" s="178" t="s">
        <v>2720</v>
      </c>
      <c r="BB17" s="205">
        <v>7</v>
      </c>
      <c r="BC17" s="208">
        <v>1.9655172413793103</v>
      </c>
      <c r="BD17" s="178" t="s">
        <v>1174</v>
      </c>
      <c r="BE17" s="205">
        <v>33</v>
      </c>
      <c r="BF17" s="208">
        <v>0.93548387096774188</v>
      </c>
      <c r="BG17" s="178" t="s">
        <v>1174</v>
      </c>
      <c r="BH17" s="349">
        <v>1</v>
      </c>
      <c r="BI17" s="205">
        <v>40</v>
      </c>
      <c r="BJ17" s="208">
        <v>0.85483870967741937</v>
      </c>
      <c r="BK17" s="208">
        <v>4.7558398220244715</v>
      </c>
    </row>
    <row r="18" spans="1:63">
      <c r="A18" s="205">
        <v>17</v>
      </c>
      <c r="B18" s="178" t="s">
        <v>1171</v>
      </c>
      <c r="C18" s="178" t="s">
        <v>117</v>
      </c>
      <c r="D18" s="178" t="s">
        <v>413</v>
      </c>
      <c r="E18" s="178" t="s">
        <v>1230</v>
      </c>
      <c r="H18" s="178" t="s">
        <v>2755</v>
      </c>
      <c r="I18" s="178" t="s">
        <v>463</v>
      </c>
      <c r="J18" s="178" t="s">
        <v>2715</v>
      </c>
      <c r="K18" s="178" t="s">
        <v>2716</v>
      </c>
      <c r="L18" s="178" t="s">
        <v>2717</v>
      </c>
      <c r="M18" s="178" t="s">
        <v>416</v>
      </c>
      <c r="N18" s="178" t="s">
        <v>2766</v>
      </c>
      <c r="O18" s="178" t="s">
        <v>479</v>
      </c>
      <c r="P18" s="178" t="s">
        <v>2718</v>
      </c>
      <c r="Q18" s="178" t="s">
        <v>2734</v>
      </c>
      <c r="R18" s="178" t="s">
        <v>2751</v>
      </c>
      <c r="S18" s="178" t="s">
        <v>2765</v>
      </c>
      <c r="AE18" s="178" t="s">
        <v>2719</v>
      </c>
      <c r="AF18" s="178" t="s">
        <v>2712</v>
      </c>
      <c r="AG18" s="178" t="s">
        <v>2719</v>
      </c>
      <c r="AH18" s="178" t="s">
        <v>2712</v>
      </c>
      <c r="AI18" s="178" t="s">
        <v>2720</v>
      </c>
      <c r="AJ18" s="178" t="s">
        <v>2712</v>
      </c>
      <c r="AK18" s="178" t="s">
        <v>2712</v>
      </c>
      <c r="AL18" s="178" t="s">
        <v>2712</v>
      </c>
      <c r="AM18" s="178" t="s">
        <v>2721</v>
      </c>
      <c r="AN18" s="178" t="s">
        <v>2721</v>
      </c>
      <c r="AO18" s="178" t="s">
        <v>2727</v>
      </c>
      <c r="AP18" s="178" t="s">
        <v>2720</v>
      </c>
      <c r="BB18" s="205">
        <v>2</v>
      </c>
      <c r="BC18" s="208">
        <v>1.5517241379310345</v>
      </c>
      <c r="BD18" s="178" t="s">
        <v>1176</v>
      </c>
      <c r="BE18" s="205">
        <v>0</v>
      </c>
      <c r="BF18" s="208">
        <v>0</v>
      </c>
      <c r="BG18" s="178" t="s">
        <v>1176</v>
      </c>
      <c r="BH18" s="349">
        <v>0</v>
      </c>
      <c r="BI18" s="205">
        <v>0</v>
      </c>
      <c r="BJ18" s="208">
        <v>0</v>
      </c>
      <c r="BK18" s="208">
        <v>1.5517241379310345</v>
      </c>
    </row>
    <row r="19" spans="1:63">
      <c r="A19" s="205">
        <v>18</v>
      </c>
      <c r="B19" s="178" t="s">
        <v>1171</v>
      </c>
      <c r="C19" s="178" t="s">
        <v>120</v>
      </c>
      <c r="D19" s="178" t="s">
        <v>413</v>
      </c>
      <c r="E19" s="178" t="s">
        <v>1235</v>
      </c>
      <c r="H19" s="178" t="s">
        <v>2729</v>
      </c>
      <c r="I19" s="178" t="s">
        <v>416</v>
      </c>
      <c r="J19" s="178" t="s">
        <v>479</v>
      </c>
      <c r="AE19" s="178" t="s">
        <v>2725</v>
      </c>
      <c r="AF19" s="178" t="s">
        <v>2712</v>
      </c>
      <c r="AG19" s="178" t="s">
        <v>2712</v>
      </c>
      <c r="BB19" s="205">
        <v>0</v>
      </c>
      <c r="BC19" s="208">
        <v>0</v>
      </c>
      <c r="BD19" s="178" t="s">
        <v>1176</v>
      </c>
      <c r="BE19" s="205">
        <v>0</v>
      </c>
      <c r="BF19" s="208">
        <v>0</v>
      </c>
      <c r="BG19" s="178" t="s">
        <v>1176</v>
      </c>
      <c r="BH19" s="349">
        <v>0</v>
      </c>
      <c r="BI19" s="205">
        <v>4</v>
      </c>
      <c r="BJ19" s="208">
        <v>0.59677419354838712</v>
      </c>
      <c r="BK19" s="208">
        <v>0.59677419354838712</v>
      </c>
    </row>
    <row r="20" spans="1:63">
      <c r="A20" s="205">
        <v>19</v>
      </c>
      <c r="B20" s="178" t="s">
        <v>1171</v>
      </c>
      <c r="C20" s="178" t="s">
        <v>123</v>
      </c>
      <c r="D20" s="178" t="s">
        <v>413</v>
      </c>
      <c r="E20" s="178" t="s">
        <v>124</v>
      </c>
      <c r="H20" s="178" t="s">
        <v>2767</v>
      </c>
      <c r="I20" s="178" t="s">
        <v>2713</v>
      </c>
      <c r="J20" s="178" t="s">
        <v>2716</v>
      </c>
      <c r="K20" s="178" t="s">
        <v>416</v>
      </c>
      <c r="L20" s="178" t="s">
        <v>2760</v>
      </c>
      <c r="M20" s="178" t="s">
        <v>2761</v>
      </c>
      <c r="N20" s="178" t="s">
        <v>479</v>
      </c>
      <c r="AE20" s="178" t="s">
        <v>2725</v>
      </c>
      <c r="AF20" s="178" t="s">
        <v>2712</v>
      </c>
      <c r="AG20" s="178" t="s">
        <v>2712</v>
      </c>
      <c r="AH20" s="178" t="s">
        <v>2712</v>
      </c>
      <c r="AI20" s="178" t="s">
        <v>2712</v>
      </c>
      <c r="AJ20" s="178" t="s">
        <v>2721</v>
      </c>
      <c r="AK20" s="178" t="s">
        <v>2712</v>
      </c>
      <c r="BB20" s="205">
        <v>0</v>
      </c>
      <c r="BC20" s="208">
        <v>0</v>
      </c>
      <c r="BD20" s="178" t="s">
        <v>1176</v>
      </c>
      <c r="BE20" s="205">
        <v>0</v>
      </c>
      <c r="BF20" s="208">
        <v>0</v>
      </c>
      <c r="BG20" s="178" t="s">
        <v>1176</v>
      </c>
      <c r="BH20" s="349">
        <v>0</v>
      </c>
      <c r="BI20" s="205">
        <v>6</v>
      </c>
      <c r="BJ20" s="208">
        <v>0.69354838709677424</v>
      </c>
      <c r="BK20" s="208">
        <v>0.69354838709677424</v>
      </c>
    </row>
    <row r="21" spans="1:63">
      <c r="A21" s="205">
        <v>20</v>
      </c>
      <c r="B21" s="178" t="s">
        <v>1171</v>
      </c>
      <c r="C21" s="178" t="s">
        <v>125</v>
      </c>
      <c r="D21" s="178" t="s">
        <v>413</v>
      </c>
      <c r="E21" s="178" t="s">
        <v>126</v>
      </c>
      <c r="H21" s="178" t="s">
        <v>2767</v>
      </c>
      <c r="I21" s="178" t="s">
        <v>416</v>
      </c>
      <c r="J21" s="178" t="s">
        <v>2768</v>
      </c>
      <c r="AE21" s="178" t="s">
        <v>2725</v>
      </c>
      <c r="AF21" s="178" t="s">
        <v>2712</v>
      </c>
      <c r="AG21" s="178" t="s">
        <v>2725</v>
      </c>
      <c r="BB21" s="205">
        <v>0</v>
      </c>
      <c r="BC21" s="208">
        <v>0</v>
      </c>
      <c r="BD21" s="178" t="s">
        <v>1176</v>
      </c>
      <c r="BE21" s="205">
        <v>0</v>
      </c>
      <c r="BF21" s="208">
        <v>0</v>
      </c>
      <c r="BG21" s="178" t="s">
        <v>1176</v>
      </c>
      <c r="BH21" s="349">
        <v>0</v>
      </c>
      <c r="BI21" s="205">
        <v>0</v>
      </c>
      <c r="BJ21" s="208">
        <v>0</v>
      </c>
      <c r="BK21" s="208">
        <v>0</v>
      </c>
    </row>
    <row r="22" spans="1:63">
      <c r="A22" s="205">
        <v>21</v>
      </c>
      <c r="B22" s="178" t="s">
        <v>1171</v>
      </c>
      <c r="C22" s="178" t="s">
        <v>127</v>
      </c>
      <c r="D22" s="178" t="s">
        <v>413</v>
      </c>
      <c r="E22" s="178" t="s">
        <v>128</v>
      </c>
      <c r="H22" s="178" t="s">
        <v>2723</v>
      </c>
      <c r="I22" s="178" t="s">
        <v>416</v>
      </c>
      <c r="AE22" s="178" t="s">
        <v>2725</v>
      </c>
      <c r="AF22" s="178" t="s">
        <v>2712</v>
      </c>
      <c r="BB22" s="205">
        <v>0</v>
      </c>
      <c r="BC22" s="208">
        <v>0</v>
      </c>
      <c r="BD22" s="178" t="s">
        <v>1174</v>
      </c>
      <c r="BE22" s="205">
        <v>14</v>
      </c>
      <c r="BF22" s="208">
        <v>0.91935483870967738</v>
      </c>
      <c r="BG22" s="178" t="s">
        <v>1174</v>
      </c>
      <c r="BH22" s="349">
        <v>1</v>
      </c>
      <c r="BI22" s="205">
        <v>10</v>
      </c>
      <c r="BJ22" s="208">
        <v>0.75806451612903225</v>
      </c>
      <c r="BK22" s="208">
        <v>2.6774193548387095</v>
      </c>
    </row>
    <row r="23" spans="1:63">
      <c r="A23" s="205">
        <v>22</v>
      </c>
      <c r="B23" s="178" t="s">
        <v>1171</v>
      </c>
      <c r="C23" s="178" t="s">
        <v>129</v>
      </c>
      <c r="D23" s="178" t="s">
        <v>413</v>
      </c>
      <c r="E23" s="178" t="s">
        <v>132</v>
      </c>
      <c r="H23" s="178" t="s">
        <v>2729</v>
      </c>
      <c r="I23" s="178" t="s">
        <v>2737</v>
      </c>
      <c r="J23" s="178" t="s">
        <v>416</v>
      </c>
      <c r="AE23" s="178" t="s">
        <v>2725</v>
      </c>
      <c r="AF23" s="178" t="s">
        <v>2725</v>
      </c>
      <c r="AG23" s="178" t="s">
        <v>2712</v>
      </c>
      <c r="BB23" s="205">
        <v>0</v>
      </c>
      <c r="BC23" s="208">
        <v>0</v>
      </c>
      <c r="BD23" s="178" t="s">
        <v>1176</v>
      </c>
      <c r="BE23" s="205">
        <v>0</v>
      </c>
      <c r="BF23" s="208">
        <v>0</v>
      </c>
      <c r="BG23" s="178" t="s">
        <v>1176</v>
      </c>
      <c r="BH23" s="349">
        <v>0</v>
      </c>
      <c r="BI23" s="205">
        <v>2</v>
      </c>
      <c r="BJ23" s="208">
        <v>0.5161290322580645</v>
      </c>
      <c r="BK23" s="208">
        <v>0.5161290322580645</v>
      </c>
    </row>
    <row r="24" spans="1:63">
      <c r="A24" s="205">
        <v>23</v>
      </c>
      <c r="B24" s="178" t="s">
        <v>1171</v>
      </c>
      <c r="C24" s="178" t="s">
        <v>134</v>
      </c>
      <c r="D24" s="178" t="s">
        <v>413</v>
      </c>
      <c r="E24" s="178" t="s">
        <v>135</v>
      </c>
      <c r="H24" s="178" t="s">
        <v>416</v>
      </c>
      <c r="AE24" s="178" t="s">
        <v>2712</v>
      </c>
      <c r="BB24" s="205">
        <v>0</v>
      </c>
      <c r="BC24" s="208">
        <v>0</v>
      </c>
      <c r="BD24" s="178" t="s">
        <v>1176</v>
      </c>
      <c r="BE24" s="205">
        <v>0</v>
      </c>
      <c r="BF24" s="208">
        <v>0</v>
      </c>
      <c r="BG24" s="178" t="s">
        <v>1176</v>
      </c>
      <c r="BH24" s="349">
        <v>0</v>
      </c>
      <c r="BI24" s="205">
        <v>4</v>
      </c>
      <c r="BJ24" s="208">
        <v>0.59677419354838712</v>
      </c>
      <c r="BK24" s="208">
        <v>0.59677419354838712</v>
      </c>
    </row>
    <row r="25" spans="1:63">
      <c r="A25" s="205">
        <v>24</v>
      </c>
      <c r="B25" s="178" t="s">
        <v>1171</v>
      </c>
      <c r="C25" s="178" t="s">
        <v>136</v>
      </c>
      <c r="D25" s="178" t="s">
        <v>413</v>
      </c>
      <c r="E25" s="178" t="s">
        <v>138</v>
      </c>
      <c r="H25" s="178" t="s">
        <v>2716</v>
      </c>
      <c r="I25" s="178" t="s">
        <v>2723</v>
      </c>
      <c r="J25" s="178" t="s">
        <v>416</v>
      </c>
      <c r="AE25" s="178" t="s">
        <v>2712</v>
      </c>
      <c r="AF25" s="178" t="s">
        <v>2725</v>
      </c>
      <c r="AG25" s="178" t="s">
        <v>2712</v>
      </c>
      <c r="BB25" s="205">
        <v>0</v>
      </c>
      <c r="BC25" s="208">
        <v>0</v>
      </c>
      <c r="BD25" s="178" t="s">
        <v>1174</v>
      </c>
      <c r="BE25" s="205">
        <v>5</v>
      </c>
      <c r="BF25" s="208">
        <v>0.85483870967741937</v>
      </c>
      <c r="BG25" s="178" t="s">
        <v>1174</v>
      </c>
      <c r="BH25" s="349">
        <v>1</v>
      </c>
      <c r="BI25" s="205">
        <v>32</v>
      </c>
      <c r="BJ25" s="208">
        <v>0.82258064516129026</v>
      </c>
      <c r="BK25" s="208">
        <v>2.6774193548387095</v>
      </c>
    </row>
    <row r="26" spans="1:63">
      <c r="A26" s="205">
        <v>25</v>
      </c>
      <c r="B26" s="178" t="s">
        <v>1171</v>
      </c>
      <c r="C26" s="178" t="s">
        <v>139</v>
      </c>
      <c r="D26" s="178" t="s">
        <v>413</v>
      </c>
      <c r="E26" s="178" t="s">
        <v>140</v>
      </c>
      <c r="H26" s="178" t="s">
        <v>416</v>
      </c>
      <c r="AE26" s="178" t="s">
        <v>2712</v>
      </c>
      <c r="BB26" s="205">
        <v>0</v>
      </c>
      <c r="BC26" s="208">
        <v>0</v>
      </c>
      <c r="BD26" s="178" t="s">
        <v>1176</v>
      </c>
      <c r="BE26" s="205">
        <v>0</v>
      </c>
      <c r="BF26" s="208">
        <v>0</v>
      </c>
      <c r="BG26" s="178" t="s">
        <v>1176</v>
      </c>
      <c r="BH26" s="349">
        <v>0</v>
      </c>
      <c r="BI26" s="205">
        <v>5</v>
      </c>
      <c r="BJ26" s="208">
        <v>0.67741935483870974</v>
      </c>
      <c r="BK26" s="208">
        <v>0.67741935483870974</v>
      </c>
    </row>
    <row r="27" spans="1:63">
      <c r="A27" s="205">
        <v>26</v>
      </c>
      <c r="B27" s="178" t="s">
        <v>1171</v>
      </c>
      <c r="C27" s="178" t="s">
        <v>141</v>
      </c>
      <c r="D27" s="178" t="s">
        <v>413</v>
      </c>
      <c r="E27" s="178" t="s">
        <v>142</v>
      </c>
      <c r="H27" s="178" t="s">
        <v>2716</v>
      </c>
      <c r="I27" s="178" t="s">
        <v>2717</v>
      </c>
      <c r="J27" s="178" t="s">
        <v>416</v>
      </c>
      <c r="K27" s="178" t="s">
        <v>2766</v>
      </c>
      <c r="AE27" s="178" t="s">
        <v>2712</v>
      </c>
      <c r="AF27" s="178" t="s">
        <v>2720</v>
      </c>
      <c r="AG27" s="178" t="s">
        <v>2712</v>
      </c>
      <c r="AH27" s="178" t="s">
        <v>2712</v>
      </c>
      <c r="BB27" s="205">
        <v>0</v>
      </c>
      <c r="BC27" s="208">
        <v>0</v>
      </c>
      <c r="BD27" s="178" t="s">
        <v>1174</v>
      </c>
      <c r="BE27" s="205">
        <v>209</v>
      </c>
      <c r="BF27" s="208">
        <v>1</v>
      </c>
      <c r="BG27" s="178" t="s">
        <v>1176</v>
      </c>
      <c r="BH27" s="349">
        <v>0</v>
      </c>
      <c r="BI27" s="205">
        <v>42</v>
      </c>
      <c r="BJ27" s="208">
        <v>0.87096774193548387</v>
      </c>
      <c r="BK27" s="208">
        <v>1.870967741935484</v>
      </c>
    </row>
    <row r="28" spans="1:63">
      <c r="A28" s="205">
        <v>27</v>
      </c>
      <c r="B28" s="178" t="s">
        <v>1171</v>
      </c>
      <c r="C28" s="178" t="s">
        <v>143</v>
      </c>
      <c r="D28" s="178" t="s">
        <v>413</v>
      </c>
      <c r="E28" s="178" t="s">
        <v>144</v>
      </c>
      <c r="H28" s="178" t="s">
        <v>2711</v>
      </c>
      <c r="I28" s="178" t="s">
        <v>2716</v>
      </c>
      <c r="AE28" s="178" t="s">
        <v>2712</v>
      </c>
      <c r="AF28" s="178" t="s">
        <v>2712</v>
      </c>
      <c r="BB28" s="205">
        <v>0</v>
      </c>
      <c r="BC28" s="208">
        <v>0</v>
      </c>
      <c r="BD28" s="178" t="s">
        <v>1176</v>
      </c>
      <c r="BE28" s="205">
        <v>0</v>
      </c>
      <c r="BF28" s="208">
        <v>0</v>
      </c>
      <c r="BG28" s="178" t="s">
        <v>1176</v>
      </c>
      <c r="BH28" s="349">
        <v>0</v>
      </c>
      <c r="BI28" s="205">
        <v>0</v>
      </c>
      <c r="BJ28" s="208">
        <v>0</v>
      </c>
      <c r="BK28" s="208">
        <v>0</v>
      </c>
    </row>
    <row r="29" spans="1:63">
      <c r="A29" s="205">
        <v>28</v>
      </c>
      <c r="B29" s="178" t="s">
        <v>1171</v>
      </c>
      <c r="C29" s="178" t="s">
        <v>145</v>
      </c>
      <c r="D29" s="178" t="s">
        <v>413</v>
      </c>
      <c r="E29" s="178" t="s">
        <v>1797</v>
      </c>
      <c r="BD29" s="178" t="s">
        <v>1176</v>
      </c>
      <c r="BE29" s="205">
        <v>0</v>
      </c>
      <c r="BF29" s="208">
        <v>0</v>
      </c>
      <c r="BG29" s="178" t="s">
        <v>1176</v>
      </c>
      <c r="BH29" s="349">
        <v>0</v>
      </c>
      <c r="BI29" s="205">
        <v>56</v>
      </c>
      <c r="BJ29" s="208">
        <v>0.91935483870967738</v>
      </c>
      <c r="BK29" s="208">
        <v>0.91935483870967738</v>
      </c>
    </row>
    <row r="30" spans="1:63">
      <c r="A30" s="205">
        <v>29</v>
      </c>
      <c r="B30" s="178" t="s">
        <v>1171</v>
      </c>
      <c r="C30" s="178" t="s">
        <v>148</v>
      </c>
      <c r="D30" s="178" t="s">
        <v>413</v>
      </c>
      <c r="E30" s="178" t="s">
        <v>149</v>
      </c>
      <c r="H30" s="178" t="s">
        <v>2715</v>
      </c>
      <c r="I30" s="178" t="s">
        <v>2717</v>
      </c>
      <c r="J30" s="178" t="s">
        <v>416</v>
      </c>
      <c r="AE30" s="178" t="s">
        <v>2719</v>
      </c>
      <c r="AF30" s="178" t="s">
        <v>2720</v>
      </c>
      <c r="AG30" s="178" t="s">
        <v>2712</v>
      </c>
      <c r="BB30" s="205">
        <v>1</v>
      </c>
      <c r="BC30" s="208">
        <v>1.4137931034482758</v>
      </c>
      <c r="BD30" s="178" t="s">
        <v>1176</v>
      </c>
      <c r="BE30" s="205">
        <v>0</v>
      </c>
      <c r="BF30" s="208">
        <v>0</v>
      </c>
      <c r="BG30" s="178" t="s">
        <v>1176</v>
      </c>
      <c r="BH30" s="349">
        <v>0</v>
      </c>
      <c r="BI30" s="205">
        <v>4</v>
      </c>
      <c r="BJ30" s="208">
        <v>0.59677419354838712</v>
      </c>
      <c r="BK30" s="208">
        <v>2.0105672969966628</v>
      </c>
    </row>
    <row r="31" spans="1:63">
      <c r="A31" s="205">
        <v>30</v>
      </c>
      <c r="B31" s="178" t="s">
        <v>1171</v>
      </c>
      <c r="C31" s="178" t="s">
        <v>150</v>
      </c>
      <c r="D31" s="178" t="s">
        <v>413</v>
      </c>
      <c r="E31" s="178" t="s">
        <v>152</v>
      </c>
      <c r="H31" s="178" t="s">
        <v>2769</v>
      </c>
      <c r="I31" s="178" t="s">
        <v>2729</v>
      </c>
      <c r="J31" s="178" t="s">
        <v>416</v>
      </c>
      <c r="K31" s="178" t="s">
        <v>479</v>
      </c>
      <c r="L31" s="178" t="s">
        <v>2770</v>
      </c>
      <c r="AE31" s="178" t="s">
        <v>2712</v>
      </c>
      <c r="AF31" s="178" t="s">
        <v>2725</v>
      </c>
      <c r="AG31" s="178" t="s">
        <v>2712</v>
      </c>
      <c r="AH31" s="178" t="s">
        <v>2712</v>
      </c>
      <c r="AI31" s="178" t="s">
        <v>2724</v>
      </c>
      <c r="BB31" s="205">
        <v>0</v>
      </c>
      <c r="BC31" s="208">
        <v>0</v>
      </c>
      <c r="BD31" s="178" t="s">
        <v>1176</v>
      </c>
      <c r="BE31" s="205">
        <v>0</v>
      </c>
      <c r="BF31" s="208">
        <v>0</v>
      </c>
      <c r="BG31" s="178" t="s">
        <v>1176</v>
      </c>
      <c r="BH31" s="349">
        <v>0</v>
      </c>
      <c r="BI31" s="205">
        <v>4</v>
      </c>
      <c r="BJ31" s="208">
        <v>0.59677419354838712</v>
      </c>
      <c r="BK31" s="208">
        <v>0.59677419354838712</v>
      </c>
    </row>
    <row r="32" spans="1:63">
      <c r="A32" s="205">
        <v>31</v>
      </c>
      <c r="B32" s="178" t="s">
        <v>1171</v>
      </c>
      <c r="C32" s="178" t="s">
        <v>153</v>
      </c>
      <c r="D32" s="178" t="s">
        <v>413</v>
      </c>
      <c r="E32" s="178" t="s">
        <v>1277</v>
      </c>
      <c r="H32" s="178" t="s">
        <v>2755</v>
      </c>
      <c r="I32" s="178" t="s">
        <v>455</v>
      </c>
      <c r="J32" s="178" t="s">
        <v>463</v>
      </c>
      <c r="K32" s="178" t="s">
        <v>2716</v>
      </c>
      <c r="L32" s="178" t="s">
        <v>2729</v>
      </c>
      <c r="M32" s="178" t="s">
        <v>2723</v>
      </c>
      <c r="N32" s="178" t="s">
        <v>2717</v>
      </c>
      <c r="O32" s="178" t="s">
        <v>416</v>
      </c>
      <c r="P32" s="178" t="s">
        <v>2746</v>
      </c>
      <c r="Q32" s="178" t="s">
        <v>2748</v>
      </c>
      <c r="R32" s="178" t="s">
        <v>2718</v>
      </c>
      <c r="S32" s="178" t="s">
        <v>2734</v>
      </c>
      <c r="T32" s="178" t="s">
        <v>2751</v>
      </c>
      <c r="AE32" s="178" t="s">
        <v>2719</v>
      </c>
      <c r="AF32" s="178" t="s">
        <v>2712</v>
      </c>
      <c r="AG32" s="178" t="s">
        <v>2712</v>
      </c>
      <c r="AH32" s="178" t="s">
        <v>2712</v>
      </c>
      <c r="AI32" s="178" t="s">
        <v>2725</v>
      </c>
      <c r="AJ32" s="178" t="s">
        <v>2725</v>
      </c>
      <c r="AK32" s="178" t="s">
        <v>2720</v>
      </c>
      <c r="AL32" s="178" t="s">
        <v>2712</v>
      </c>
      <c r="AM32" s="178" t="s">
        <v>2719</v>
      </c>
      <c r="AN32" s="178" t="s">
        <v>2721</v>
      </c>
      <c r="AO32" s="178" t="s">
        <v>2721</v>
      </c>
      <c r="AP32" s="178" t="s">
        <v>2721</v>
      </c>
      <c r="AQ32" s="178" t="s">
        <v>2727</v>
      </c>
      <c r="BB32" s="205">
        <v>2</v>
      </c>
      <c r="BC32" s="208">
        <v>1.5517241379310345</v>
      </c>
      <c r="BD32" s="178" t="s">
        <v>1174</v>
      </c>
      <c r="BE32" s="205">
        <v>81</v>
      </c>
      <c r="BF32" s="208">
        <v>0.967741935483871</v>
      </c>
      <c r="BG32" s="178" t="s">
        <v>1174</v>
      </c>
      <c r="BH32" s="349">
        <v>1</v>
      </c>
      <c r="BI32" s="205">
        <v>48</v>
      </c>
      <c r="BJ32" s="208">
        <v>0.90322580645161288</v>
      </c>
      <c r="BK32" s="208">
        <v>4.4226918798665187</v>
      </c>
    </row>
    <row r="33" spans="1:63">
      <c r="A33" s="205">
        <v>32</v>
      </c>
      <c r="B33" s="178" t="s">
        <v>1171</v>
      </c>
      <c r="C33" s="178" t="s">
        <v>156</v>
      </c>
      <c r="D33" s="178" t="s">
        <v>413</v>
      </c>
      <c r="E33" s="178" t="s">
        <v>157</v>
      </c>
      <c r="H33" s="178" t="s">
        <v>2716</v>
      </c>
      <c r="I33" s="178" t="s">
        <v>416</v>
      </c>
      <c r="AE33" s="178" t="s">
        <v>2712</v>
      </c>
      <c r="AF33" s="178" t="s">
        <v>2712</v>
      </c>
      <c r="BB33" s="205">
        <v>0</v>
      </c>
      <c r="BC33" s="208">
        <v>0</v>
      </c>
      <c r="BD33" s="178" t="s">
        <v>1176</v>
      </c>
      <c r="BE33" s="205">
        <v>0</v>
      </c>
      <c r="BF33" s="208">
        <v>0</v>
      </c>
      <c r="BG33" s="178" t="s">
        <v>1176</v>
      </c>
      <c r="BH33" s="349">
        <v>0</v>
      </c>
      <c r="BI33" s="205">
        <v>76</v>
      </c>
      <c r="BJ33" s="208">
        <v>0.967741935483871</v>
      </c>
      <c r="BK33" s="208">
        <v>0.967741935483871</v>
      </c>
    </row>
    <row r="34" spans="1:63">
      <c r="A34" s="205">
        <v>33</v>
      </c>
      <c r="B34" s="178" t="s">
        <v>1171</v>
      </c>
      <c r="C34" s="178" t="s">
        <v>158</v>
      </c>
      <c r="D34" s="178" t="s">
        <v>413</v>
      </c>
      <c r="E34" s="178" t="s">
        <v>160</v>
      </c>
      <c r="H34" s="178" t="s">
        <v>416</v>
      </c>
      <c r="I34" s="178" t="s">
        <v>2751</v>
      </c>
      <c r="AE34" s="178" t="s">
        <v>2712</v>
      </c>
      <c r="AF34" s="178" t="s">
        <v>2727</v>
      </c>
      <c r="BB34" s="205">
        <v>0</v>
      </c>
      <c r="BC34" s="208">
        <v>0</v>
      </c>
      <c r="BD34" s="178" t="s">
        <v>1176</v>
      </c>
      <c r="BE34" s="205">
        <v>0</v>
      </c>
      <c r="BF34" s="208">
        <v>0</v>
      </c>
      <c r="BG34" s="178" t="s">
        <v>1176</v>
      </c>
      <c r="BH34" s="349">
        <v>0</v>
      </c>
      <c r="BI34" s="205">
        <v>0</v>
      </c>
      <c r="BJ34" s="208">
        <v>0</v>
      </c>
      <c r="BK34" s="208">
        <v>0</v>
      </c>
    </row>
    <row r="35" spans="1:63">
      <c r="A35" s="205">
        <v>34</v>
      </c>
      <c r="B35" s="178" t="s">
        <v>1171</v>
      </c>
      <c r="C35" s="178" t="s">
        <v>161</v>
      </c>
      <c r="D35" s="178" t="s">
        <v>413</v>
      </c>
      <c r="E35" s="178" t="s">
        <v>162</v>
      </c>
      <c r="H35" s="178" t="s">
        <v>416</v>
      </c>
      <c r="AE35" s="178" t="s">
        <v>2712</v>
      </c>
      <c r="BB35" s="205">
        <v>0</v>
      </c>
      <c r="BC35" s="208">
        <v>0</v>
      </c>
      <c r="BD35" s="178" t="s">
        <v>1176</v>
      </c>
      <c r="BE35" s="205">
        <v>0</v>
      </c>
      <c r="BF35" s="208">
        <v>0</v>
      </c>
      <c r="BG35" s="178" t="s">
        <v>1176</v>
      </c>
      <c r="BH35" s="349">
        <v>0</v>
      </c>
      <c r="BI35" s="205">
        <v>1</v>
      </c>
      <c r="BJ35" s="208">
        <v>0.4838709677419355</v>
      </c>
      <c r="BK35" s="208">
        <v>0.4838709677419355</v>
      </c>
    </row>
    <row r="36" spans="1:63">
      <c r="A36" s="205">
        <v>35</v>
      </c>
      <c r="B36" s="178" t="s">
        <v>1171</v>
      </c>
      <c r="C36" s="178" t="s">
        <v>163</v>
      </c>
      <c r="D36" s="178" t="s">
        <v>413</v>
      </c>
      <c r="E36" s="178" t="s">
        <v>164</v>
      </c>
      <c r="H36" s="178" t="s">
        <v>2711</v>
      </c>
      <c r="I36" s="178" t="s">
        <v>416</v>
      </c>
      <c r="AE36" s="178" t="s">
        <v>2712</v>
      </c>
      <c r="AF36" s="178" t="s">
        <v>2712</v>
      </c>
      <c r="BB36" s="205">
        <v>0</v>
      </c>
      <c r="BC36" s="208">
        <v>0</v>
      </c>
      <c r="BD36" s="178" t="s">
        <v>1174</v>
      </c>
      <c r="BE36" s="205">
        <v>6</v>
      </c>
      <c r="BF36" s="208">
        <v>0.87096774193548387</v>
      </c>
      <c r="BG36" s="178" t="s">
        <v>1176</v>
      </c>
      <c r="BH36" s="349">
        <v>0</v>
      </c>
      <c r="BI36" s="205">
        <v>0</v>
      </c>
      <c r="BJ36" s="208">
        <v>0</v>
      </c>
      <c r="BK36" s="208">
        <v>0.87096774193548387</v>
      </c>
    </row>
    <row r="37" spans="1:63">
      <c r="A37" s="205">
        <v>36</v>
      </c>
      <c r="B37" s="178" t="s">
        <v>1171</v>
      </c>
      <c r="C37" s="178" t="s">
        <v>165</v>
      </c>
      <c r="D37" s="178" t="s">
        <v>413</v>
      </c>
      <c r="E37" s="178" t="s">
        <v>166</v>
      </c>
      <c r="BD37" s="178" t="s">
        <v>1174</v>
      </c>
      <c r="BE37" s="205">
        <v>4</v>
      </c>
      <c r="BF37" s="208">
        <v>0.82258064516129026</v>
      </c>
      <c r="BG37" s="178" t="s">
        <v>1176</v>
      </c>
      <c r="BH37" s="349">
        <v>0</v>
      </c>
      <c r="BI37" s="205">
        <v>0</v>
      </c>
      <c r="BJ37" s="208">
        <v>0</v>
      </c>
      <c r="BK37" s="208">
        <v>0.82258064516129026</v>
      </c>
    </row>
    <row r="38" spans="1:63">
      <c r="A38" s="205">
        <v>37</v>
      </c>
      <c r="B38" s="178" t="s">
        <v>1171</v>
      </c>
      <c r="C38" s="178" t="s">
        <v>167</v>
      </c>
      <c r="D38" s="178" t="s">
        <v>413</v>
      </c>
      <c r="E38" s="178" t="s">
        <v>168</v>
      </c>
      <c r="BD38" s="178" t="s">
        <v>1176</v>
      </c>
      <c r="BE38" s="205">
        <v>0</v>
      </c>
      <c r="BF38" s="208">
        <v>0</v>
      </c>
      <c r="BG38" s="178" t="s">
        <v>1176</v>
      </c>
      <c r="BH38" s="349">
        <v>0</v>
      </c>
      <c r="BI38" s="205">
        <v>0</v>
      </c>
      <c r="BJ38" s="208">
        <v>0</v>
      </c>
      <c r="BK38" s="208">
        <v>0</v>
      </c>
    </row>
    <row r="39" spans="1:63">
      <c r="A39" s="205">
        <v>38</v>
      </c>
      <c r="B39" s="178" t="s">
        <v>1171</v>
      </c>
      <c r="C39" s="178" t="s">
        <v>169</v>
      </c>
      <c r="D39" s="178" t="s">
        <v>413</v>
      </c>
      <c r="E39" s="178" t="s">
        <v>170</v>
      </c>
      <c r="H39" s="178" t="s">
        <v>2771</v>
      </c>
      <c r="I39" s="178" t="s">
        <v>2713</v>
      </c>
      <c r="J39" s="178" t="s">
        <v>2716</v>
      </c>
      <c r="K39" s="178" t="s">
        <v>416</v>
      </c>
      <c r="AE39" s="178" t="s">
        <v>2727</v>
      </c>
      <c r="AF39" s="178" t="s">
        <v>2712</v>
      </c>
      <c r="AG39" s="178" t="s">
        <v>2712</v>
      </c>
      <c r="AH39" s="178" t="s">
        <v>2712</v>
      </c>
      <c r="BB39" s="205">
        <v>0</v>
      </c>
      <c r="BC39" s="208">
        <v>0</v>
      </c>
      <c r="BD39" s="178" t="s">
        <v>1176</v>
      </c>
      <c r="BE39" s="205">
        <v>0</v>
      </c>
      <c r="BF39" s="208">
        <v>0</v>
      </c>
      <c r="BG39" s="178" t="s">
        <v>1176</v>
      </c>
      <c r="BH39" s="349">
        <v>0</v>
      </c>
      <c r="BI39" s="205">
        <v>2</v>
      </c>
      <c r="BJ39" s="208">
        <v>0.5161290322580645</v>
      </c>
      <c r="BK39" s="208">
        <v>0.5161290322580645</v>
      </c>
    </row>
    <row r="40" spans="1:63">
      <c r="A40" s="205">
        <v>39</v>
      </c>
      <c r="B40" s="178" t="s">
        <v>1171</v>
      </c>
      <c r="C40" s="178" t="s">
        <v>171</v>
      </c>
      <c r="D40" s="178" t="s">
        <v>413</v>
      </c>
      <c r="E40" s="178" t="s">
        <v>173</v>
      </c>
      <c r="H40" s="178" t="s">
        <v>416</v>
      </c>
      <c r="AE40" s="178" t="s">
        <v>2712</v>
      </c>
      <c r="BB40" s="205">
        <v>0</v>
      </c>
      <c r="BC40" s="208">
        <v>0</v>
      </c>
      <c r="BD40" s="178" t="s">
        <v>1176</v>
      </c>
      <c r="BE40" s="205">
        <v>0</v>
      </c>
      <c r="BF40" s="208">
        <v>0</v>
      </c>
      <c r="BG40" s="178" t="s">
        <v>1176</v>
      </c>
      <c r="BH40" s="349">
        <v>0</v>
      </c>
      <c r="BI40" s="205">
        <v>0</v>
      </c>
      <c r="BJ40" s="208">
        <v>0</v>
      </c>
      <c r="BK40" s="208">
        <v>0</v>
      </c>
    </row>
    <row r="41" spans="1:63">
      <c r="A41" s="205">
        <v>40</v>
      </c>
      <c r="B41" s="178" t="s">
        <v>1171</v>
      </c>
      <c r="C41" s="178" t="s">
        <v>174</v>
      </c>
      <c r="D41" s="178" t="s">
        <v>74</v>
      </c>
      <c r="E41" s="178" t="s">
        <v>176</v>
      </c>
      <c r="H41" s="178" t="s">
        <v>2771</v>
      </c>
      <c r="I41" s="178" t="s">
        <v>2715</v>
      </c>
      <c r="J41" s="178" t="s">
        <v>2716</v>
      </c>
      <c r="K41" s="178" t="s">
        <v>416</v>
      </c>
      <c r="L41" s="178" t="s">
        <v>2745</v>
      </c>
      <c r="M41" s="178" t="s">
        <v>2772</v>
      </c>
      <c r="N41" s="178" t="s">
        <v>2749</v>
      </c>
      <c r="O41" s="178" t="s">
        <v>479</v>
      </c>
      <c r="P41" s="178" t="s">
        <v>2751</v>
      </c>
      <c r="AE41" s="178" t="s">
        <v>2727</v>
      </c>
      <c r="AF41" s="178" t="s">
        <v>2719</v>
      </c>
      <c r="AG41" s="178" t="s">
        <v>2712</v>
      </c>
      <c r="AH41" s="178" t="s">
        <v>2712</v>
      </c>
      <c r="AI41" s="178" t="s">
        <v>2719</v>
      </c>
      <c r="AJ41" s="178" t="s">
        <v>2727</v>
      </c>
      <c r="AK41" s="178" t="s">
        <v>2720</v>
      </c>
      <c r="AL41" s="178" t="s">
        <v>2712</v>
      </c>
      <c r="AM41" s="178" t="s">
        <v>2727</v>
      </c>
      <c r="BB41" s="205">
        <v>2</v>
      </c>
      <c r="BC41" s="208">
        <v>1.5517241379310345</v>
      </c>
      <c r="BD41" s="178" t="s">
        <v>1176</v>
      </c>
      <c r="BE41" s="205">
        <v>0</v>
      </c>
      <c r="BF41" s="208">
        <v>0</v>
      </c>
      <c r="BG41" s="178" t="s">
        <v>1176</v>
      </c>
      <c r="BH41" s="349">
        <v>0</v>
      </c>
      <c r="BI41" s="205">
        <v>37</v>
      </c>
      <c r="BJ41" s="208">
        <v>0.83870967741935476</v>
      </c>
      <c r="BK41" s="208">
        <v>2.3904338153503892</v>
      </c>
    </row>
    <row r="42" spans="1:63">
      <c r="A42" s="205">
        <v>41</v>
      </c>
      <c r="B42" s="178" t="s">
        <v>1171</v>
      </c>
      <c r="C42" s="178" t="s">
        <v>177</v>
      </c>
      <c r="D42" s="178" t="s">
        <v>413</v>
      </c>
      <c r="E42" s="178" t="s">
        <v>179</v>
      </c>
      <c r="H42" s="178" t="s">
        <v>416</v>
      </c>
      <c r="AE42" s="178" t="s">
        <v>2712</v>
      </c>
      <c r="BB42" s="205">
        <v>0</v>
      </c>
      <c r="BC42" s="208">
        <v>0</v>
      </c>
      <c r="BD42" s="178" t="s">
        <v>1176</v>
      </c>
      <c r="BE42" s="205">
        <v>0</v>
      </c>
      <c r="BF42" s="208">
        <v>0</v>
      </c>
      <c r="BG42" s="178" t="s">
        <v>1176</v>
      </c>
      <c r="BH42" s="349">
        <v>0</v>
      </c>
      <c r="BI42" s="205">
        <v>1</v>
      </c>
      <c r="BJ42" s="208">
        <v>0.4838709677419355</v>
      </c>
      <c r="BK42" s="208">
        <v>0.4838709677419355</v>
      </c>
    </row>
    <row r="43" spans="1:63">
      <c r="A43" s="205">
        <v>42</v>
      </c>
      <c r="B43" s="178" t="s">
        <v>1171</v>
      </c>
      <c r="C43" s="178" t="s">
        <v>180</v>
      </c>
      <c r="D43" s="178" t="s">
        <v>413</v>
      </c>
      <c r="E43" s="178" t="s">
        <v>181</v>
      </c>
      <c r="H43" s="178" t="s">
        <v>416</v>
      </c>
      <c r="AE43" s="178" t="s">
        <v>2712</v>
      </c>
      <c r="BB43" s="205">
        <v>0</v>
      </c>
      <c r="BC43" s="208">
        <v>0</v>
      </c>
      <c r="BD43" s="178" t="s">
        <v>1176</v>
      </c>
      <c r="BE43" s="205">
        <v>0</v>
      </c>
      <c r="BF43" s="208">
        <v>0</v>
      </c>
      <c r="BG43" s="178" t="s">
        <v>1176</v>
      </c>
      <c r="BH43" s="349">
        <v>0</v>
      </c>
      <c r="BI43" s="205">
        <v>0</v>
      </c>
      <c r="BJ43" s="208">
        <v>0</v>
      </c>
      <c r="BK43" s="208">
        <v>0</v>
      </c>
    </row>
    <row r="44" spans="1:63">
      <c r="A44" s="205">
        <v>43</v>
      </c>
      <c r="B44" s="178" t="s">
        <v>1171</v>
      </c>
      <c r="C44" s="178" t="s">
        <v>182</v>
      </c>
      <c r="D44" s="178" t="s">
        <v>413</v>
      </c>
      <c r="E44" s="178" t="s">
        <v>184</v>
      </c>
      <c r="H44" s="178" t="s">
        <v>2715</v>
      </c>
      <c r="I44" s="178" t="s">
        <v>2717</v>
      </c>
      <c r="J44" s="178" t="s">
        <v>416</v>
      </c>
      <c r="AE44" s="178" t="s">
        <v>2719</v>
      </c>
      <c r="AF44" s="178" t="s">
        <v>2720</v>
      </c>
      <c r="AG44" s="178" t="s">
        <v>2712</v>
      </c>
      <c r="BB44" s="205">
        <v>1</v>
      </c>
      <c r="BC44" s="208">
        <v>1.4137931034482758</v>
      </c>
      <c r="BD44" s="178" t="s">
        <v>1176</v>
      </c>
      <c r="BE44" s="205">
        <v>0</v>
      </c>
      <c r="BF44" s="208">
        <v>0</v>
      </c>
      <c r="BG44" s="178" t="s">
        <v>1176</v>
      </c>
      <c r="BH44" s="349">
        <v>0</v>
      </c>
      <c r="BI44" s="205">
        <v>13</v>
      </c>
      <c r="BJ44" s="208">
        <v>0.77419354838709675</v>
      </c>
      <c r="BK44" s="208">
        <v>2.1879866518353728</v>
      </c>
    </row>
    <row r="45" spans="1:63">
      <c r="A45" s="205">
        <v>44</v>
      </c>
      <c r="B45" s="178" t="s">
        <v>1171</v>
      </c>
      <c r="C45" s="178" t="s">
        <v>185</v>
      </c>
      <c r="D45" s="178" t="s">
        <v>413</v>
      </c>
      <c r="E45" s="178" t="s">
        <v>186</v>
      </c>
      <c r="H45" s="178" t="s">
        <v>2722</v>
      </c>
      <c r="I45" s="178" t="s">
        <v>416</v>
      </c>
      <c r="AE45" s="178" t="s">
        <v>2724</v>
      </c>
      <c r="AF45" s="178" t="s">
        <v>2712</v>
      </c>
      <c r="BB45" s="205">
        <v>0</v>
      </c>
      <c r="BC45" s="208">
        <v>0</v>
      </c>
      <c r="BD45" s="178" t="s">
        <v>1176</v>
      </c>
      <c r="BE45" s="205">
        <v>0</v>
      </c>
      <c r="BF45" s="208">
        <v>0</v>
      </c>
      <c r="BG45" s="178" t="s">
        <v>1176</v>
      </c>
      <c r="BH45" s="349">
        <v>0</v>
      </c>
      <c r="BI45" s="205">
        <v>0</v>
      </c>
      <c r="BJ45" s="208">
        <v>0</v>
      </c>
      <c r="BK45" s="208">
        <v>0</v>
      </c>
    </row>
    <row r="46" spans="1:63">
      <c r="A46" s="205">
        <v>45</v>
      </c>
      <c r="B46" s="178" t="s">
        <v>1171</v>
      </c>
      <c r="C46" s="178" t="s">
        <v>187</v>
      </c>
      <c r="D46" s="178" t="s">
        <v>413</v>
      </c>
      <c r="E46" s="178" t="s">
        <v>189</v>
      </c>
      <c r="BD46" s="178" t="s">
        <v>1176</v>
      </c>
      <c r="BE46" s="205">
        <v>0</v>
      </c>
      <c r="BF46" s="208">
        <v>0</v>
      </c>
      <c r="BG46" s="178" t="s">
        <v>1176</v>
      </c>
      <c r="BH46" s="349">
        <v>0</v>
      </c>
      <c r="BI46" s="205">
        <v>4</v>
      </c>
      <c r="BJ46" s="208">
        <v>0.59677419354838712</v>
      </c>
      <c r="BK46" s="208">
        <v>0.59677419354838712</v>
      </c>
    </row>
    <row r="47" spans="1:63">
      <c r="A47" s="205">
        <v>46</v>
      </c>
      <c r="B47" s="178" t="s">
        <v>1171</v>
      </c>
      <c r="C47" s="178" t="s">
        <v>190</v>
      </c>
      <c r="D47" s="178" t="s">
        <v>413</v>
      </c>
      <c r="E47" s="178" t="s">
        <v>1322</v>
      </c>
      <c r="H47" s="178" t="s">
        <v>2728</v>
      </c>
      <c r="I47" s="178" t="s">
        <v>2741</v>
      </c>
      <c r="J47" s="178" t="s">
        <v>416</v>
      </c>
      <c r="K47" s="178" t="s">
        <v>479</v>
      </c>
      <c r="AE47" s="178" t="s">
        <v>2719</v>
      </c>
      <c r="AF47" s="178" t="s">
        <v>2712</v>
      </c>
      <c r="AG47" s="178" t="s">
        <v>2712</v>
      </c>
      <c r="BB47" s="205">
        <v>1</v>
      </c>
      <c r="BC47" s="208">
        <v>1.4137931034482758</v>
      </c>
      <c r="BD47" s="178" t="s">
        <v>1174</v>
      </c>
      <c r="BE47" s="205">
        <v>40</v>
      </c>
      <c r="BF47" s="208">
        <v>0.95161290322580649</v>
      </c>
      <c r="BG47" s="178" t="s">
        <v>1176</v>
      </c>
      <c r="BH47" s="349">
        <v>0</v>
      </c>
      <c r="BI47" s="205">
        <v>29</v>
      </c>
      <c r="BJ47" s="208">
        <v>0.80645161290322576</v>
      </c>
      <c r="BK47" s="208">
        <v>3.1718576195773083</v>
      </c>
    </row>
    <row r="48" spans="1:63">
      <c r="A48" s="205">
        <v>47</v>
      </c>
      <c r="B48" s="178" t="s">
        <v>1171</v>
      </c>
      <c r="C48" s="178" t="s">
        <v>193</v>
      </c>
      <c r="D48" s="178" t="s">
        <v>413</v>
      </c>
      <c r="E48" s="178" t="s">
        <v>195</v>
      </c>
      <c r="H48" s="178" t="s">
        <v>416</v>
      </c>
      <c r="AE48" s="178" t="s">
        <v>2712</v>
      </c>
      <c r="BB48" s="205">
        <v>0</v>
      </c>
      <c r="BC48" s="208">
        <v>0</v>
      </c>
      <c r="BD48" s="178" t="s">
        <v>1176</v>
      </c>
      <c r="BE48" s="205">
        <v>0</v>
      </c>
      <c r="BF48" s="208">
        <v>0</v>
      </c>
      <c r="BG48" s="178" t="s">
        <v>1176</v>
      </c>
      <c r="BH48" s="349">
        <v>0</v>
      </c>
      <c r="BI48" s="205">
        <v>0</v>
      </c>
      <c r="BJ48" s="208">
        <v>0</v>
      </c>
      <c r="BK48" s="208">
        <v>0</v>
      </c>
    </row>
    <row r="49" spans="1:63">
      <c r="A49" s="205">
        <v>48</v>
      </c>
      <c r="B49" s="178" t="s">
        <v>1171</v>
      </c>
      <c r="C49" s="178" t="s">
        <v>196</v>
      </c>
      <c r="D49" s="178" t="s">
        <v>413</v>
      </c>
      <c r="E49" s="178" t="s">
        <v>198</v>
      </c>
      <c r="H49" s="178" t="s">
        <v>2736</v>
      </c>
      <c r="I49" s="178" t="s">
        <v>416</v>
      </c>
      <c r="J49" s="178" t="s">
        <v>493</v>
      </c>
      <c r="AE49" s="178" t="s">
        <v>2712</v>
      </c>
      <c r="AF49" s="178" t="s">
        <v>2712</v>
      </c>
      <c r="AG49" s="178" t="s">
        <v>2712</v>
      </c>
      <c r="BB49" s="205">
        <v>0</v>
      </c>
      <c r="BC49" s="208">
        <v>0</v>
      </c>
      <c r="BD49" s="178" t="s">
        <v>1174</v>
      </c>
      <c r="BE49" s="205">
        <v>7</v>
      </c>
      <c r="BF49" s="208">
        <v>0.88709677419354838</v>
      </c>
      <c r="BG49" s="178" t="s">
        <v>1176</v>
      </c>
      <c r="BH49" s="349">
        <v>0</v>
      </c>
      <c r="BI49" s="205">
        <v>0</v>
      </c>
      <c r="BJ49" s="208">
        <v>0</v>
      </c>
      <c r="BK49" s="208">
        <v>0.88709677419354838</v>
      </c>
    </row>
    <row r="50" spans="1:63">
      <c r="A50" s="205">
        <v>49</v>
      </c>
      <c r="B50" s="178" t="s">
        <v>1171</v>
      </c>
      <c r="C50" s="178" t="s">
        <v>199</v>
      </c>
      <c r="D50" s="178" t="s">
        <v>413</v>
      </c>
      <c r="E50" s="178" t="s">
        <v>200</v>
      </c>
      <c r="H50" s="178" t="s">
        <v>2716</v>
      </c>
      <c r="I50" s="178" t="s">
        <v>416</v>
      </c>
      <c r="AE50" s="178" t="s">
        <v>2712</v>
      </c>
      <c r="AF50" s="178" t="s">
        <v>2712</v>
      </c>
      <c r="BB50" s="205">
        <v>0</v>
      </c>
      <c r="BC50" s="208">
        <v>0</v>
      </c>
      <c r="BD50" s="178" t="s">
        <v>1176</v>
      </c>
      <c r="BE50" s="205">
        <v>0</v>
      </c>
      <c r="BF50" s="208">
        <v>0</v>
      </c>
      <c r="BG50" s="178" t="s">
        <v>1176</v>
      </c>
      <c r="BH50" s="349">
        <v>0</v>
      </c>
      <c r="BI50" s="205">
        <v>0</v>
      </c>
      <c r="BJ50" s="208">
        <v>0</v>
      </c>
      <c r="BK50" s="208">
        <v>0</v>
      </c>
    </row>
    <row r="51" spans="1:63">
      <c r="A51" s="205">
        <v>50</v>
      </c>
      <c r="B51" s="178" t="s">
        <v>1171</v>
      </c>
      <c r="C51" s="178" t="s">
        <v>201</v>
      </c>
      <c r="D51" s="178" t="s">
        <v>413</v>
      </c>
      <c r="E51" s="178" t="s">
        <v>202</v>
      </c>
      <c r="H51" s="178" t="s">
        <v>2714</v>
      </c>
      <c r="I51" s="178" t="s">
        <v>2711</v>
      </c>
      <c r="J51" s="178" t="s">
        <v>463</v>
      </c>
      <c r="K51" s="178" t="s">
        <v>2715</v>
      </c>
      <c r="L51" s="178" t="s">
        <v>2717</v>
      </c>
      <c r="M51" s="178" t="s">
        <v>416</v>
      </c>
      <c r="AE51" s="178" t="s">
        <v>2719</v>
      </c>
      <c r="AF51" s="178" t="s">
        <v>2712</v>
      </c>
      <c r="AG51" s="178" t="s">
        <v>2712</v>
      </c>
      <c r="AH51" s="178" t="s">
        <v>2719</v>
      </c>
      <c r="AI51" s="178" t="s">
        <v>2720</v>
      </c>
      <c r="AJ51" s="178" t="s">
        <v>2712</v>
      </c>
      <c r="BB51" s="205">
        <v>2</v>
      </c>
      <c r="BC51" s="208">
        <v>1.5517241379310345</v>
      </c>
      <c r="BD51" s="178" t="s">
        <v>1176</v>
      </c>
      <c r="BE51" s="205">
        <v>0</v>
      </c>
      <c r="BF51" s="208">
        <v>0</v>
      </c>
      <c r="BG51" s="178" t="s">
        <v>1176</v>
      </c>
      <c r="BH51" s="349">
        <v>0</v>
      </c>
      <c r="BI51" s="205">
        <v>6</v>
      </c>
      <c r="BJ51" s="208">
        <v>0.69354838709677424</v>
      </c>
      <c r="BK51" s="208">
        <v>2.2452725250278087</v>
      </c>
    </row>
    <row r="52" spans="1:63">
      <c r="A52" s="205">
        <v>51</v>
      </c>
      <c r="B52" s="178" t="s">
        <v>1171</v>
      </c>
      <c r="C52" s="178" t="s">
        <v>203</v>
      </c>
      <c r="D52" s="178" t="s">
        <v>413</v>
      </c>
      <c r="E52" s="178" t="s">
        <v>1827</v>
      </c>
      <c r="H52" s="178" t="s">
        <v>2767</v>
      </c>
      <c r="I52" s="178" t="s">
        <v>2714</v>
      </c>
      <c r="J52" s="178" t="s">
        <v>2715</v>
      </c>
      <c r="K52" s="178" t="s">
        <v>2717</v>
      </c>
      <c r="L52" s="178" t="s">
        <v>416</v>
      </c>
      <c r="M52" s="178" t="s">
        <v>2731</v>
      </c>
      <c r="N52" s="178" t="s">
        <v>2770</v>
      </c>
      <c r="AE52" s="178" t="s">
        <v>2725</v>
      </c>
      <c r="AF52" s="178" t="s">
        <v>2719</v>
      </c>
      <c r="AG52" s="178" t="s">
        <v>2719</v>
      </c>
      <c r="AH52" s="178" t="s">
        <v>2720</v>
      </c>
      <c r="AI52" s="178" t="s">
        <v>2712</v>
      </c>
      <c r="AJ52" s="178" t="s">
        <v>2720</v>
      </c>
      <c r="AK52" s="178" t="s">
        <v>2724</v>
      </c>
      <c r="BB52" s="205">
        <v>2</v>
      </c>
      <c r="BC52" s="208">
        <v>1.5517241379310345</v>
      </c>
      <c r="BD52" s="178" t="s">
        <v>1174</v>
      </c>
      <c r="BE52" s="205">
        <v>0</v>
      </c>
      <c r="BF52" s="208">
        <v>0</v>
      </c>
      <c r="BG52" s="178" t="s">
        <v>1176</v>
      </c>
      <c r="BH52" s="349">
        <v>0</v>
      </c>
      <c r="BI52" s="205">
        <v>0</v>
      </c>
      <c r="BJ52" s="208">
        <v>0</v>
      </c>
      <c r="BK52" s="208">
        <v>1.5517241379310345</v>
      </c>
    </row>
    <row r="53" spans="1:63">
      <c r="A53" s="205">
        <v>52</v>
      </c>
      <c r="B53" s="178" t="s">
        <v>1171</v>
      </c>
      <c r="C53" s="178" t="s">
        <v>206</v>
      </c>
      <c r="D53" s="178" t="s">
        <v>413</v>
      </c>
      <c r="E53" s="178" t="s">
        <v>208</v>
      </c>
      <c r="H53" s="178" t="s">
        <v>2715</v>
      </c>
      <c r="I53" s="178" t="s">
        <v>416</v>
      </c>
      <c r="J53" s="178" t="s">
        <v>2748</v>
      </c>
      <c r="K53" s="178" t="s">
        <v>479</v>
      </c>
      <c r="L53" s="178" t="s">
        <v>2773</v>
      </c>
      <c r="M53" s="178" t="s">
        <v>2764</v>
      </c>
      <c r="N53" s="178" t="s">
        <v>2752</v>
      </c>
      <c r="AE53" s="178" t="s">
        <v>2719</v>
      </c>
      <c r="AF53" s="178" t="s">
        <v>2712</v>
      </c>
      <c r="AG53" s="178" t="s">
        <v>2721</v>
      </c>
      <c r="AH53" s="178" t="s">
        <v>2712</v>
      </c>
      <c r="AI53" s="178" t="s">
        <v>2727</v>
      </c>
      <c r="AJ53" s="178" t="s">
        <v>2720</v>
      </c>
      <c r="AK53" s="178" t="s">
        <v>2719</v>
      </c>
      <c r="BB53" s="205">
        <v>2</v>
      </c>
      <c r="BC53" s="208">
        <v>1.5517241379310345</v>
      </c>
      <c r="BD53" s="178" t="s">
        <v>1176</v>
      </c>
      <c r="BE53" s="205">
        <v>0</v>
      </c>
      <c r="BF53" s="208">
        <v>0</v>
      </c>
      <c r="BG53" s="178" t="s">
        <v>1176</v>
      </c>
      <c r="BH53" s="349">
        <v>0</v>
      </c>
      <c r="BI53" s="205">
        <v>2</v>
      </c>
      <c r="BJ53" s="208">
        <v>0.5161290322580645</v>
      </c>
      <c r="BK53" s="208">
        <v>2.0678531701890992</v>
      </c>
    </row>
    <row r="54" spans="1:63">
      <c r="A54" s="205">
        <v>53</v>
      </c>
      <c r="B54" s="178" t="s">
        <v>1171</v>
      </c>
      <c r="C54" s="178" t="s">
        <v>209</v>
      </c>
      <c r="D54" s="178" t="s">
        <v>413</v>
      </c>
      <c r="E54" s="178" t="s">
        <v>212</v>
      </c>
      <c r="H54" s="178" t="s">
        <v>2755</v>
      </c>
      <c r="I54" s="178" t="s">
        <v>463</v>
      </c>
      <c r="J54" s="178" t="s">
        <v>2715</v>
      </c>
      <c r="K54" s="178" t="s">
        <v>2717</v>
      </c>
      <c r="L54" s="178" t="s">
        <v>416</v>
      </c>
      <c r="M54" s="178" t="s">
        <v>2766</v>
      </c>
      <c r="N54" s="178" t="s">
        <v>2748</v>
      </c>
      <c r="O54" s="178" t="s">
        <v>2734</v>
      </c>
      <c r="P54" s="178" t="s">
        <v>2751</v>
      </c>
      <c r="Q54" s="178" t="s">
        <v>2765</v>
      </c>
      <c r="AE54" s="178" t="s">
        <v>2719</v>
      </c>
      <c r="AF54" s="178" t="s">
        <v>2712</v>
      </c>
      <c r="AG54" s="178" t="s">
        <v>2719</v>
      </c>
      <c r="AH54" s="178" t="s">
        <v>2720</v>
      </c>
      <c r="AI54" s="178" t="s">
        <v>2712</v>
      </c>
      <c r="AJ54" s="178" t="s">
        <v>2712</v>
      </c>
      <c r="AK54" s="178" t="s">
        <v>2721</v>
      </c>
      <c r="AL54" s="178" t="s">
        <v>2721</v>
      </c>
      <c r="AM54" s="178" t="s">
        <v>2727</v>
      </c>
      <c r="AN54" s="178" t="s">
        <v>2720</v>
      </c>
      <c r="BB54" s="205">
        <v>2</v>
      </c>
      <c r="BC54" s="208">
        <v>1.5517241379310345</v>
      </c>
      <c r="BD54" s="178" t="s">
        <v>1174</v>
      </c>
      <c r="BE54" s="205">
        <v>3</v>
      </c>
      <c r="BF54" s="208">
        <v>0.79032258064516125</v>
      </c>
      <c r="BG54" s="178" t="s">
        <v>1174</v>
      </c>
      <c r="BH54" s="349">
        <v>1</v>
      </c>
      <c r="BI54" s="205">
        <v>0</v>
      </c>
      <c r="BJ54" s="208">
        <v>0</v>
      </c>
      <c r="BK54" s="208">
        <v>3.3420467185761957</v>
      </c>
    </row>
    <row r="55" spans="1:63">
      <c r="A55" s="205">
        <v>54</v>
      </c>
      <c r="B55" s="178" t="s">
        <v>1171</v>
      </c>
      <c r="C55" s="178" t="s">
        <v>213</v>
      </c>
      <c r="D55" s="178" t="s">
        <v>413</v>
      </c>
      <c r="E55" s="178" t="s">
        <v>214</v>
      </c>
      <c r="H55" s="178" t="s">
        <v>2716</v>
      </c>
      <c r="I55" s="178" t="s">
        <v>2717</v>
      </c>
      <c r="J55" s="178" t="s">
        <v>416</v>
      </c>
      <c r="AE55" s="178" t="s">
        <v>2712</v>
      </c>
      <c r="AF55" s="178" t="s">
        <v>2720</v>
      </c>
      <c r="AG55" s="178" t="s">
        <v>2712</v>
      </c>
      <c r="BB55" s="205">
        <v>0</v>
      </c>
      <c r="BC55" s="208">
        <v>0</v>
      </c>
      <c r="BD55" s="178" t="s">
        <v>1176</v>
      </c>
      <c r="BE55" s="205">
        <v>0</v>
      </c>
      <c r="BF55" s="208">
        <v>0</v>
      </c>
      <c r="BG55" s="178" t="s">
        <v>1176</v>
      </c>
      <c r="BH55" s="349">
        <v>0</v>
      </c>
      <c r="BI55" s="205">
        <v>0</v>
      </c>
      <c r="BJ55" s="208">
        <v>0</v>
      </c>
      <c r="BK55" s="208">
        <v>0</v>
      </c>
    </row>
    <row r="56" spans="1:63">
      <c r="A56" s="205">
        <v>55</v>
      </c>
      <c r="B56" s="178" t="s">
        <v>1171</v>
      </c>
      <c r="C56" s="178" t="s">
        <v>215</v>
      </c>
      <c r="D56" s="178" t="s">
        <v>413</v>
      </c>
      <c r="E56" s="178" t="s">
        <v>217</v>
      </c>
      <c r="H56" s="178" t="s">
        <v>416</v>
      </c>
      <c r="AE56" s="178" t="s">
        <v>2712</v>
      </c>
      <c r="BB56" s="205">
        <v>0</v>
      </c>
      <c r="BC56" s="208">
        <v>0</v>
      </c>
      <c r="BD56" s="178" t="s">
        <v>1176</v>
      </c>
      <c r="BE56" s="205">
        <v>0</v>
      </c>
      <c r="BF56" s="208">
        <v>0</v>
      </c>
      <c r="BG56" s="178" t="s">
        <v>1176</v>
      </c>
      <c r="BH56" s="349">
        <v>0</v>
      </c>
      <c r="BI56" s="205">
        <v>0</v>
      </c>
      <c r="BJ56" s="208">
        <v>0</v>
      </c>
      <c r="BK56" s="208">
        <v>0</v>
      </c>
    </row>
    <row r="57" spans="1:63">
      <c r="A57" s="205">
        <v>56</v>
      </c>
      <c r="B57" s="178" t="s">
        <v>1171</v>
      </c>
      <c r="C57" s="178" t="s">
        <v>218</v>
      </c>
      <c r="D57" s="178" t="s">
        <v>413</v>
      </c>
      <c r="E57" s="178" t="s">
        <v>1833</v>
      </c>
      <c r="H57" s="178" t="s">
        <v>2755</v>
      </c>
      <c r="I57" s="178" t="s">
        <v>2774</v>
      </c>
      <c r="J57" s="178" t="s">
        <v>2715</v>
      </c>
      <c r="K57" s="178" t="s">
        <v>2717</v>
      </c>
      <c r="L57" s="178" t="s">
        <v>416</v>
      </c>
      <c r="M57" s="178" t="s">
        <v>2748</v>
      </c>
      <c r="N57" s="178" t="s">
        <v>2775</v>
      </c>
      <c r="O57" s="178" t="s">
        <v>2718</v>
      </c>
      <c r="P57" s="178" t="s">
        <v>2734</v>
      </c>
      <c r="Q57" s="178" t="s">
        <v>2751</v>
      </c>
      <c r="R57" s="178" t="s">
        <v>2752</v>
      </c>
      <c r="S57" s="178" t="s">
        <v>2740</v>
      </c>
      <c r="AE57" s="178" t="s">
        <v>2719</v>
      </c>
      <c r="AF57" s="178" t="s">
        <v>2724</v>
      </c>
      <c r="AG57" s="178" t="s">
        <v>2719</v>
      </c>
      <c r="AH57" s="178" t="s">
        <v>2720</v>
      </c>
      <c r="AI57" s="178" t="s">
        <v>2712</v>
      </c>
      <c r="AJ57" s="178" t="s">
        <v>2721</v>
      </c>
      <c r="AK57" s="178" t="s">
        <v>2727</v>
      </c>
      <c r="AL57" s="178" t="s">
        <v>2721</v>
      </c>
      <c r="AM57" s="178" t="s">
        <v>2721</v>
      </c>
      <c r="AN57" s="178" t="s">
        <v>2727</v>
      </c>
      <c r="AO57" s="178" t="s">
        <v>2719</v>
      </c>
      <c r="AP57" s="178" t="s">
        <v>2712</v>
      </c>
      <c r="BB57" s="205">
        <v>3</v>
      </c>
      <c r="BC57" s="208">
        <v>1.9310344827586208</v>
      </c>
      <c r="BD57" s="178" t="s">
        <v>1174</v>
      </c>
      <c r="BE57" s="205">
        <v>85</v>
      </c>
      <c r="BF57" s="208">
        <v>0.9838709677419355</v>
      </c>
      <c r="BG57" s="178" t="s">
        <v>1174</v>
      </c>
      <c r="BH57" s="349">
        <v>1</v>
      </c>
      <c r="BI57" s="205">
        <v>61</v>
      </c>
      <c r="BJ57" s="208">
        <v>0.93548387096774188</v>
      </c>
      <c r="BK57" s="208">
        <v>4.850389321468298</v>
      </c>
    </row>
    <row r="58" spans="1:63">
      <c r="A58" s="205">
        <v>57</v>
      </c>
      <c r="B58" s="178" t="s">
        <v>1171</v>
      </c>
      <c r="C58" s="178" t="s">
        <v>220</v>
      </c>
      <c r="D58" s="178" t="s">
        <v>413</v>
      </c>
      <c r="E58" s="178" t="s">
        <v>221</v>
      </c>
      <c r="H58" s="178" t="s">
        <v>2776</v>
      </c>
      <c r="I58" s="178" t="s">
        <v>2728</v>
      </c>
      <c r="J58" s="178" t="s">
        <v>2740</v>
      </c>
      <c r="K58" s="178" t="s">
        <v>463</v>
      </c>
      <c r="L58" s="178" t="s">
        <v>2715</v>
      </c>
      <c r="M58" s="178" t="s">
        <v>2716</v>
      </c>
      <c r="N58" s="178" t="s">
        <v>2729</v>
      </c>
      <c r="O58" s="178" t="s">
        <v>2717</v>
      </c>
      <c r="P58" s="178" t="s">
        <v>416</v>
      </c>
      <c r="Q58" s="178" t="s">
        <v>2731</v>
      </c>
      <c r="R58" s="178" t="s">
        <v>479</v>
      </c>
      <c r="S58" s="178" t="s">
        <v>2764</v>
      </c>
      <c r="AE58" s="178" t="s">
        <v>2724</v>
      </c>
      <c r="AF58" s="178" t="s">
        <v>2719</v>
      </c>
      <c r="AG58" s="178" t="s">
        <v>2712</v>
      </c>
      <c r="AH58" s="178" t="s">
        <v>2712</v>
      </c>
      <c r="AI58" s="178" t="s">
        <v>2719</v>
      </c>
      <c r="AJ58" s="178" t="s">
        <v>2712</v>
      </c>
      <c r="AK58" s="178" t="s">
        <v>2725</v>
      </c>
      <c r="AL58" s="178" t="s">
        <v>2720</v>
      </c>
      <c r="AM58" s="178" t="s">
        <v>2712</v>
      </c>
      <c r="AN58" s="178" t="s">
        <v>2720</v>
      </c>
      <c r="AO58" s="178" t="s">
        <v>2712</v>
      </c>
      <c r="AP58" s="178" t="s">
        <v>2720</v>
      </c>
      <c r="BB58" s="205">
        <v>2</v>
      </c>
      <c r="BC58" s="208">
        <v>1.5517241379310345</v>
      </c>
      <c r="BD58" s="178" t="s">
        <v>1174</v>
      </c>
      <c r="BE58" s="205">
        <v>2</v>
      </c>
      <c r="BF58" s="208">
        <v>0.77419354838709675</v>
      </c>
      <c r="BG58" s="178" t="s">
        <v>1176</v>
      </c>
      <c r="BH58" s="349">
        <v>0</v>
      </c>
      <c r="BI58" s="205">
        <v>73</v>
      </c>
      <c r="BJ58" s="208">
        <v>0.95161290322580649</v>
      </c>
      <c r="BK58" s="208">
        <v>3.2775305895439377</v>
      </c>
    </row>
    <row r="59" spans="1:63">
      <c r="A59" s="205">
        <v>58</v>
      </c>
      <c r="B59" s="178" t="s">
        <v>1171</v>
      </c>
      <c r="C59" s="178" t="s">
        <v>222</v>
      </c>
      <c r="D59" s="178" t="s">
        <v>413</v>
      </c>
      <c r="E59" s="178" t="s">
        <v>224</v>
      </c>
      <c r="H59" s="178" t="s">
        <v>416</v>
      </c>
      <c r="AE59" s="178" t="s">
        <v>2712</v>
      </c>
      <c r="BB59" s="205">
        <v>0</v>
      </c>
      <c r="BC59" s="208">
        <v>0</v>
      </c>
      <c r="BD59" s="178" t="s">
        <v>1176</v>
      </c>
      <c r="BE59" s="205">
        <v>0</v>
      </c>
      <c r="BF59" s="208">
        <v>0</v>
      </c>
      <c r="BG59" s="178" t="s">
        <v>1176</v>
      </c>
      <c r="BH59" s="349">
        <v>0</v>
      </c>
      <c r="BI59" s="205">
        <v>0</v>
      </c>
      <c r="BJ59" s="208">
        <v>0</v>
      </c>
      <c r="BK59" s="208">
        <v>0</v>
      </c>
    </row>
    <row r="60" spans="1:63">
      <c r="A60" s="205">
        <v>59</v>
      </c>
      <c r="B60" s="178" t="s">
        <v>1171</v>
      </c>
      <c r="C60" s="178" t="s">
        <v>225</v>
      </c>
      <c r="D60" s="178" t="s">
        <v>413</v>
      </c>
      <c r="E60" s="178" t="s">
        <v>227</v>
      </c>
      <c r="H60" s="178" t="s">
        <v>416</v>
      </c>
      <c r="AE60" s="178" t="s">
        <v>2712</v>
      </c>
      <c r="BB60" s="205">
        <v>0</v>
      </c>
      <c r="BC60" s="208">
        <v>0</v>
      </c>
      <c r="BD60" s="178" t="s">
        <v>1176</v>
      </c>
      <c r="BE60" s="205">
        <v>0</v>
      </c>
      <c r="BF60" s="208">
        <v>0</v>
      </c>
      <c r="BG60" s="178" t="s">
        <v>1176</v>
      </c>
      <c r="BH60" s="349">
        <v>0</v>
      </c>
      <c r="BI60" s="205">
        <v>0</v>
      </c>
      <c r="BJ60" s="208">
        <v>0</v>
      </c>
      <c r="BK60" s="208">
        <v>0</v>
      </c>
    </row>
    <row r="61" spans="1:63">
      <c r="A61" s="205">
        <v>60</v>
      </c>
      <c r="B61" s="178" t="s">
        <v>1171</v>
      </c>
      <c r="C61" s="178" t="s">
        <v>228</v>
      </c>
      <c r="D61" s="178" t="s">
        <v>413</v>
      </c>
      <c r="E61" s="178" t="s">
        <v>1378</v>
      </c>
      <c r="H61" s="178" t="s">
        <v>416</v>
      </c>
      <c r="AE61" s="178" t="s">
        <v>2712</v>
      </c>
      <c r="BB61" s="205">
        <v>0</v>
      </c>
      <c r="BC61" s="208">
        <v>0</v>
      </c>
      <c r="BD61" s="178" t="s">
        <v>1176</v>
      </c>
      <c r="BE61" s="205">
        <v>0</v>
      </c>
      <c r="BF61" s="208">
        <v>0</v>
      </c>
      <c r="BG61" s="178" t="s">
        <v>1176</v>
      </c>
      <c r="BH61" s="349">
        <v>0</v>
      </c>
      <c r="BI61" s="205">
        <v>0</v>
      </c>
      <c r="BJ61" s="208">
        <v>0</v>
      </c>
      <c r="BK61" s="208">
        <v>0</v>
      </c>
    </row>
    <row r="62" spans="1:63">
      <c r="A62" s="205">
        <v>61</v>
      </c>
      <c r="B62" s="178" t="s">
        <v>1171</v>
      </c>
      <c r="C62" s="178" t="s">
        <v>229</v>
      </c>
      <c r="D62" s="178" t="s">
        <v>413</v>
      </c>
      <c r="E62" s="178" t="s">
        <v>230</v>
      </c>
      <c r="H62" s="178" t="s">
        <v>2711</v>
      </c>
      <c r="I62" s="178" t="s">
        <v>463</v>
      </c>
      <c r="J62" s="178" t="s">
        <v>2715</v>
      </c>
      <c r="K62" s="178" t="s">
        <v>2717</v>
      </c>
      <c r="L62" s="178" t="s">
        <v>416</v>
      </c>
      <c r="AE62" s="178" t="s">
        <v>2712</v>
      </c>
      <c r="AF62" s="178" t="s">
        <v>2712</v>
      </c>
      <c r="AG62" s="178" t="s">
        <v>2719</v>
      </c>
      <c r="AH62" s="178" t="s">
        <v>2720</v>
      </c>
      <c r="AI62" s="178" t="s">
        <v>2712</v>
      </c>
      <c r="BB62" s="205">
        <v>1</v>
      </c>
      <c r="BC62" s="208">
        <v>1.4137931034482758</v>
      </c>
      <c r="BD62" s="178" t="s">
        <v>1176</v>
      </c>
      <c r="BE62" s="205">
        <v>0</v>
      </c>
      <c r="BF62" s="208">
        <v>0</v>
      </c>
      <c r="BG62" s="178" t="s">
        <v>1176</v>
      </c>
      <c r="BH62" s="349">
        <v>0</v>
      </c>
      <c r="BI62" s="205">
        <v>3</v>
      </c>
      <c r="BJ62" s="208">
        <v>0.58064516129032262</v>
      </c>
      <c r="BK62" s="208">
        <v>1.9944382647385983</v>
      </c>
    </row>
    <row r="63" spans="1:63">
      <c r="A63" s="205">
        <v>62</v>
      </c>
      <c r="B63" s="178" t="s">
        <v>1171</v>
      </c>
      <c r="C63" s="178" t="s">
        <v>231</v>
      </c>
      <c r="D63" s="178" t="s">
        <v>413</v>
      </c>
      <c r="E63" s="178" t="s">
        <v>1384</v>
      </c>
      <c r="H63" s="178" t="s">
        <v>416</v>
      </c>
      <c r="AE63" s="178" t="s">
        <v>2712</v>
      </c>
      <c r="BB63" s="205">
        <v>0</v>
      </c>
      <c r="BC63" s="208">
        <v>0</v>
      </c>
      <c r="BD63" s="178" t="s">
        <v>1176</v>
      </c>
      <c r="BE63" s="205">
        <v>0</v>
      </c>
      <c r="BF63" s="208">
        <v>0</v>
      </c>
      <c r="BG63" s="178" t="s">
        <v>1176</v>
      </c>
      <c r="BH63" s="349">
        <v>0</v>
      </c>
      <c r="BI63" s="205">
        <v>0</v>
      </c>
      <c r="BJ63" s="208">
        <v>0</v>
      </c>
      <c r="BK63" s="208">
        <v>0</v>
      </c>
    </row>
    <row r="64" spans="1:63">
      <c r="A64" s="205">
        <v>63</v>
      </c>
      <c r="B64" s="178" t="s">
        <v>1171</v>
      </c>
      <c r="C64" s="178" t="s">
        <v>234</v>
      </c>
      <c r="D64" s="178" t="s">
        <v>413</v>
      </c>
      <c r="E64" s="178" t="s">
        <v>235</v>
      </c>
      <c r="H64" s="178" t="s">
        <v>416</v>
      </c>
      <c r="AE64" s="178" t="s">
        <v>2712</v>
      </c>
      <c r="BB64" s="205">
        <v>0</v>
      </c>
      <c r="BC64" s="208">
        <v>0</v>
      </c>
      <c r="BD64" s="178" t="s">
        <v>1176</v>
      </c>
      <c r="BE64" s="205">
        <v>0</v>
      </c>
      <c r="BF64" s="208">
        <v>0</v>
      </c>
      <c r="BG64" s="178" t="s">
        <v>1176</v>
      </c>
      <c r="BH64" s="349">
        <v>0</v>
      </c>
      <c r="BI64" s="205">
        <v>0</v>
      </c>
      <c r="BJ64" s="208">
        <v>0</v>
      </c>
      <c r="BK64" s="208">
        <v>0</v>
      </c>
    </row>
    <row r="65" spans="54:54">
      <c r="BB65" s="377">
        <f>COUNTIF(BB2:BB64,"&gt;0")/63</f>
        <v>0.2857142857142857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Ranking</vt:lpstr>
      <vt:lpstr>Rnking Charts</vt:lpstr>
      <vt:lpstr>Site Scoring</vt:lpstr>
      <vt:lpstr>YoY Change</vt:lpstr>
      <vt:lpstr>Fashion Innovation</vt:lpstr>
      <vt:lpstr>Qual Google</vt:lpstr>
      <vt:lpstr>Email</vt:lpstr>
      <vt:lpstr>UserGen</vt:lpstr>
      <vt:lpstr>Web Advertising</vt:lpstr>
      <vt:lpstr>Facebook</vt:lpstr>
      <vt:lpstr>Facebook Growth 11-12</vt:lpstr>
      <vt:lpstr>Twitter</vt:lpstr>
      <vt:lpstr>Twitter Growth</vt:lpstr>
      <vt:lpstr>YouTube</vt:lpstr>
      <vt:lpstr>YT Growth</vt:lpstr>
      <vt:lpstr>Instagram</vt:lpstr>
      <vt:lpstr>Instagram top 10</vt:lpstr>
      <vt:lpstr>Pinterest</vt:lpstr>
      <vt:lpstr>Pinterest top 10</vt:lpstr>
      <vt:lpstr>Tumblr</vt:lpstr>
      <vt:lpstr>Mobile Site</vt:lpstr>
      <vt:lpstr>iOS</vt:lpstr>
      <vt:lpstr>iPad</vt:lpstr>
      <vt:lpstr>iPhone</vt:lpstr>
      <vt:lpstr>Geolocal</vt:lpstr>
      <vt:lpstr>Mobile Innovation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Daniella Caplan</dc:creator>
  <cp:lastModifiedBy>Andrea Derricks</cp:lastModifiedBy>
  <dcterms:created xsi:type="dcterms:W3CDTF">2012-10-01T00:28:05Z</dcterms:created>
  <dcterms:modified xsi:type="dcterms:W3CDTF">2012-10-30T21:41:01Z</dcterms:modified>
</cp:coreProperties>
</file>