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calcPr calcId="114210"/>
</workbook>
</file>

<file path=xl/sharedStrings.xml><?xml version="1.0" encoding="utf-8"?>
<sst xmlns="http://schemas.openxmlformats.org/spreadsheetml/2006/main" count="275" uniqueCount="275">
  <si>
    <t>result</t>
  </si>
  <si>
    <t>formula</t>
  </si>
  <si>
    <t>Employee</t>
  </si>
  <si>
    <t>Income</t>
  </si>
  <si>
    <t>Salary</t>
  </si>
  <si>
    <t>ABS(-1)</t>
  </si>
  <si>
    <t>Mike</t>
  </si>
  <si>
    <t>ACOS(.5)</t>
  </si>
  <si>
    <t>Jone</t>
  </si>
  <si>
    <t>ACOSH(1.2)</t>
  </si>
  <si>
    <t>Peter</t>
  </si>
  <si>
    <t>ADDRESS(5,5,1)</t>
  </si>
  <si>
    <t>Johanson</t>
  </si>
  <si>
    <t>AND(TRUE(), FALSE())</t>
  </si>
  <si>
    <t>AREAS(B2:C3)</t>
  </si>
  <si>
    <t>&lt;0</t>
  </si>
  <si>
    <t>&gt;0</t>
  </si>
  <si>
    <t>ASIN(1)</t>
  </si>
  <si>
    <t>ASINH(5.3)</t>
  </si>
  <si>
    <t>ATAN(3.5)</t>
  </si>
  <si>
    <t>ATAN2(3, 6)</t>
  </si>
  <si>
    <t>ATANH(.5)</t>
  </si>
  <si>
    <t>AVEDEV(1,2)</t>
  </si>
  <si>
    <t>AVERAGE(E2:E6)</t>
  </si>
  <si>
    <t>AVERAGEA(1,2)</t>
  </si>
  <si>
    <t>BESSELI(3,1)</t>
  </si>
  <si>
    <t>BESSELJ(2.5,1)</t>
  </si>
  <si>
    <t>BESSELK(5,10)</t>
  </si>
  <si>
    <t>BESSELY(3,0)</t>
  </si>
  <si>
    <t>BETADIST(0.5, 10, 1)</t>
  </si>
  <si>
    <t>BETAINV(0.5, 1, 1)</t>
  </si>
  <si>
    <t>BIN2DEC(10000000)</t>
  </si>
  <si>
    <t>BIN2HEX(111111)</t>
  </si>
  <si>
    <t>BIN2OCT(1110100)</t>
  </si>
  <si>
    <t>BINOMDIST(6,10,0.5,FALSE)</t>
  </si>
  <si>
    <t>CEILING(1.23459, .05)</t>
  </si>
  <si>
    <t>CELL("width",C4)</t>
  </si>
  <si>
    <t>CHAR(70)</t>
  </si>
  <si>
    <t>CHIDIST(9.6,10)</t>
  </si>
  <si>
    <t>CHIINV(0.05,5)</t>
  </si>
  <si>
    <t>CHOOSE(2,"Q1", "Q2", "Q3", "Q4")</t>
  </si>
  <si>
    <t>CLEAN("Payments " &amp; CHAR(8) &amp; "Due")</t>
  </si>
  <si>
    <t>CODE("A")</t>
  </si>
  <si>
    <t>COLUMN(B3)</t>
  </si>
  <si>
    <t>COLUMNS(A1:D5)</t>
  </si>
  <si>
    <t>CONCATENATE ("Sale ", "Price")</t>
  </si>
  <si>
    <t>CONFIDENCE(0.05, 2.5, 50)</t>
  </si>
  <si>
    <t>COMPLEX(2,3)</t>
  </si>
  <si>
    <t>CONVERT(1,"m","yd")</t>
  </si>
  <si>
    <t>COS(5)</t>
  </si>
  <si>
    <t>COSH(2.10)</t>
  </si>
  <si>
    <t>COUNT(5, 6, "Q2")</t>
  </si>
  <si>
    <t>COUNTA(32, 45, "Earnings", "")</t>
  </si>
  <si>
    <t>COUNTBLANK(A1:D2)</t>
  </si>
  <si>
    <t>COUNTIF(C38:C40,0)</t>
  </si>
  <si>
    <t>COUPDAYBS(DATE(93,1,25),DATE(94,8,31),2,0)</t>
  </si>
  <si>
    <t>COUPDAYS(DATE(93,1,25),DATE(94,8,31),2,0)</t>
  </si>
  <si>
    <t>COUPDAYSNC(DATE(93,1,25),DATE(94,8,31),2,0)</t>
  </si>
  <si>
    <t>COUPNCD(DATE(93,1,25),DATE(94,8,31),2,0)</t>
  </si>
  <si>
    <t>COUPNUM(DATE(93,1,25),DATE(94,8,31),2,0)</t>
  </si>
  <si>
    <t>COUPPCD(DATE(93,1,25),DATE(94,8,31),2,0)</t>
  </si>
  <si>
    <t>COVAR({1,2,3,4,5},{2,4,6,8,10})</t>
  </si>
  <si>
    <t>CRITBINOM(1000,0.5,0.3)</t>
  </si>
  <si>
    <t>CUMIPMT(0.009166667,60,17000,1,60,0)</t>
  </si>
  <si>
    <t>CUMPRINC(0.009166667,60,17000,1,34,0)</t>
  </si>
  <si>
    <t>DATE(94, 6, 21)</t>
  </si>
  <si>
    <t>DATEDIF(NOW(),DATE(2008,8,8),"d")</t>
  </si>
  <si>
    <t>DATEVALUE("3/6/05")</t>
  </si>
  <si>
    <t>DAVERAGE(D1:F5,"Salary",F6:F7)</t>
  </si>
  <si>
    <t>DAY(34399)</t>
  </si>
  <si>
    <t xml:space="preserve">DAYS360("1/11/06", "2/11/06") </t>
  </si>
  <si>
    <t>DB(10000, 1000, 7, 3)</t>
  </si>
  <si>
    <t>DCOUNT(D1:F5,"Salary",E6:E7)</t>
  </si>
  <si>
    <t>DCOUNTA(D1:F5,"Employee",F6:F7)</t>
  </si>
  <si>
    <t>DDB(10000,1000, 7, 3)</t>
  </si>
  <si>
    <t>DEC2BIN(256)</t>
  </si>
  <si>
    <t>DEC2HEX(10,5)</t>
  </si>
  <si>
    <t>DEC2OCT(100)</t>
  </si>
  <si>
    <t>DEGREES(6.283185307)</t>
  </si>
  <si>
    <t>DELTA(6,7)</t>
  </si>
  <si>
    <t>DEVSQ(1, 2)</t>
  </si>
  <si>
    <t>DGET(D1:F5,"Employee",E6:E7)</t>
  </si>
  <si>
    <t>DISC(DATE(92,7,15),DATE(95,12,30),93,100)</t>
  </si>
  <si>
    <t>DMAX(D1:F5,"Salary",F6:F7)</t>
  </si>
  <si>
    <t>DMIN(D1:F5,"Salary",F6:F7)</t>
  </si>
  <si>
    <t>DOLLAR(1023.789)</t>
  </si>
  <si>
    <t>DOLLARDE(25.3,4)</t>
  </si>
  <si>
    <t>DOLLARFR(25.25,4)</t>
  </si>
  <si>
    <t>DPRODUCT(D1:F5,"Salary",F6:F7)</t>
  </si>
  <si>
    <t>DSTDEV(D1:F5,"Salary",F6:F7)</t>
  </si>
  <si>
    <t>DSTDEVP(D1:F5,"Salary",F6:F7)</t>
  </si>
  <si>
    <t>DSUM(D1:F5,"Salary",F6:F7)</t>
  </si>
  <si>
    <t>EDATE(DATE(2007,1,1),2)</t>
  </si>
  <si>
    <t>EFFECT(0.0675,12)</t>
  </si>
  <si>
    <t>EOMONTH(DATE(2007,1,1),2)</t>
  </si>
  <si>
    <t>ERF(2)</t>
  </si>
  <si>
    <t>ERFC(1)</t>
  </si>
  <si>
    <t>ERROR.TYPE(B76)</t>
  </si>
  <si>
    <t>EVEN(2.5)</t>
  </si>
  <si>
    <t>EXACT("Match", "Match")</t>
  </si>
  <si>
    <t>EXP(2.5)</t>
  </si>
  <si>
    <t>EXPONDIST(0.5,1,TRUE)</t>
  </si>
  <si>
    <t>FACT(2.5)</t>
  </si>
  <si>
    <t>FACTDOUBLE(15)</t>
  </si>
  <si>
    <t>FALSE()</t>
  </si>
  <si>
    <t>FDIST(2, 3, 4)</t>
  </si>
  <si>
    <t>FIND("time", "There¡¯s no time like the present")</t>
  </si>
  <si>
    <t>FINV(0.05, 1, 4)</t>
  </si>
  <si>
    <t>FISHER (0.5)</t>
  </si>
  <si>
    <t>FISHERINV(10)</t>
  </si>
  <si>
    <t>FIXED(2000.5, 3)</t>
  </si>
  <si>
    <t>FLOOR(1.23459, .05)</t>
  </si>
  <si>
    <t>FORECAST(0.5, {1, 2, 4, 6, 7, 9}, {0, 2, 4, 5, 7, 8})</t>
  </si>
  <si>
    <t>FTEST({51,45,41,27},{91,37,89,82})</t>
  </si>
  <si>
    <t>FV(5%,8,-500)</t>
  </si>
  <si>
    <t>FVSCHEDULE(1000,{0.2,0.21,0.22})</t>
  </si>
  <si>
    <t>GAMMADIST (12, 3, 7, TRUE)</t>
  </si>
  <si>
    <t>GAMMAINV (0.01, 8, 2)</t>
  </si>
  <si>
    <t>GAMMALN(5)</t>
  </si>
  <si>
    <t>GCD({1234567890,3000})</t>
  </si>
  <si>
    <t>GEOMEAN(24, 6)</t>
  </si>
  <si>
    <t>GESTEP(6,7)</t>
  </si>
  <si>
    <t>GROWTH({4,6,8,9},,3.5,TRUE)</t>
  </si>
  <si>
    <t>HARMEAN(5,4,25,60,14,26)</t>
  </si>
  <si>
    <t>HEX2BIN(10)</t>
  </si>
  <si>
    <t>HEX2DEC(10)</t>
  </si>
  <si>
    <t>HEX2OCT(100)</t>
  </si>
  <si>
    <t>HLOOKUP("Northeast",B1:E5,3)</t>
  </si>
  <si>
    <t>HOUR(34259.4)</t>
  </si>
  <si>
    <t>HYPERLINK("http://www.smartxls.com","java spreadsheet component")</t>
  </si>
  <si>
    <t>IF(A1&gt;10, "Greater", "Less")</t>
  </si>
  <si>
    <t>IMABS("3+4i")</t>
  </si>
  <si>
    <t>IMAGINARY("2+3i")</t>
  </si>
  <si>
    <t>IMARGUMENT("1+1i")</t>
  </si>
  <si>
    <t>IMCONJUGATE("2+3i")</t>
  </si>
  <si>
    <t>IMCOS("2+i")</t>
  </si>
  <si>
    <t>IMDIV("-10+10i","1+2i")</t>
  </si>
  <si>
    <t>IMEXP("2+3i")</t>
  </si>
  <si>
    <t>IMLN("2+3i")</t>
  </si>
  <si>
    <t>IMLOG10("2+3i")</t>
  </si>
  <si>
    <t>IMLOG2("2+3i")</t>
  </si>
  <si>
    <t>IMPOWER("1+2i",2)</t>
  </si>
  <si>
    <t>IMPRODUCT("1+2i",30)</t>
  </si>
  <si>
    <t>IMREAL("2+3i")</t>
  </si>
  <si>
    <t>IMSIN("2+3i")</t>
  </si>
  <si>
    <t>IMSQRT("2+3i")</t>
  </si>
  <si>
    <t>IMSUB("2+3i","3+4i")</t>
  </si>
  <si>
    <t>IMSUM("2+3i","3+4i")</t>
  </si>
  <si>
    <t>INDEX(A2:B6,3,2)</t>
  </si>
  <si>
    <t>INDIRECT(B5)</t>
  </si>
  <si>
    <t>INFO("release")</t>
  </si>
  <si>
    <t>INT(10.99)</t>
  </si>
  <si>
    <t>IPMT(8%/12, 2, 48, 18000)</t>
  </si>
  <si>
    <t>IRR(E2:E5)</t>
  </si>
  <si>
    <t>ISBLANK(A1)</t>
  </si>
  <si>
    <t>ISERR(A1)</t>
  </si>
  <si>
    <t>ISERROR(1/0)</t>
  </si>
  <si>
    <t>ISEVEN(9.8)</t>
  </si>
  <si>
    <t>ISLOGICAL(ISBLANK(A1))</t>
  </si>
  <si>
    <t>ISNA(A1)</t>
  </si>
  <si>
    <t>ISNONTEXT(A3)</t>
  </si>
  <si>
    <t>ISNUMBER(123.45)</t>
  </si>
  <si>
    <t>ISODD(9.8)</t>
  </si>
  <si>
    <t>ISREF(A3)</t>
  </si>
  <si>
    <t>ISTEXT("2nd Quarter")</t>
  </si>
  <si>
    <t>LCM(15,20)</t>
  </si>
  <si>
    <t>LEFT("2nd Quarter")</t>
  </si>
  <si>
    <t>LEN("3rd Quarter")</t>
  </si>
  <si>
    <t>LN(12.18)</t>
  </si>
  <si>
    <t>LOG(10)</t>
  </si>
  <si>
    <t>LOG10(260)</t>
  </si>
  <si>
    <t>LOGINV(0.223218,18,20)</t>
  </si>
  <si>
    <t>LOGNORMDIST(16,18,20)</t>
  </si>
  <si>
    <t>LOOKUP("Mike", D2:D5, E2:E5)</t>
  </si>
  <si>
    <t>LOWER("3rd Quarter")</t>
  </si>
  <si>
    <t>MATCH(7600, B2:B7,1)</t>
  </si>
  <si>
    <t>MAX(50, 100, 150, 500, 200)</t>
  </si>
  <si>
    <t>MAXA(50,100,150,"500",200)</t>
  </si>
  <si>
    <t>MEDIAN(1,2,3,4,5)</t>
  </si>
  <si>
    <t>MID("Travel Expenses", 8, 8)</t>
  </si>
  <si>
    <t>MIN(50, 100, 150, 500, 200)</t>
  </si>
  <si>
    <t>MINA(50,100,150,"500",200)</t>
  </si>
  <si>
    <t>MINUTE(34506.4)</t>
  </si>
  <si>
    <t>MIRR(E2:E5, 12%, 8%)</t>
  </si>
  <si>
    <t>MOD(-23,3)</t>
  </si>
  <si>
    <t>MODE(1,2,3,3,4)</t>
  </si>
  <si>
    <t>MONTH(34626)</t>
  </si>
  <si>
    <t>MROUND(13,2)</t>
  </si>
  <si>
    <t>N(A4)</t>
  </si>
  <si>
    <t>NA()</t>
  </si>
  <si>
    <t>NETWORKDAYS(1,365)</t>
  </si>
  <si>
    <t>NOT(TRUE())</t>
  </si>
  <si>
    <t>NOW()</t>
  </si>
  <si>
    <t>NPER(12%/12,-350,-300,16000,1)</t>
  </si>
  <si>
    <t>NPV(8%,-12000,3000,3000,3000,7000)</t>
  </si>
  <si>
    <t>OCT2BIN(10)</t>
  </si>
  <si>
    <t>OCT2DEC(10)</t>
  </si>
  <si>
    <t>OCT2HEX(10)</t>
  </si>
  <si>
    <t>ODD(3.5)</t>
  </si>
  <si>
    <t>OFFSET(B1, 3, 2, 1, 1)</t>
  </si>
  <si>
    <t>OR(1 + 1 = 1, 5 + 5 = 10)</t>
  </si>
  <si>
    <t>PEARSON({2,5,8},{3,6,7})</t>
  </si>
  <si>
    <t>PERCENTILE({1,2,3,4,5}, .25)</t>
  </si>
  <si>
    <t>PERCENTRANK ({1, 2, 3, 4, 5}, 3)</t>
  </si>
  <si>
    <t>PERMUT(4,2)</t>
  </si>
  <si>
    <t>PI()</t>
  </si>
  <si>
    <t>PMT(8%/12, 48, 18000)</t>
  </si>
  <si>
    <t>POISSON(15,15,1)</t>
  </si>
  <si>
    <t>POWER(3,2)</t>
  </si>
  <si>
    <t>PRICE(DATE(97,4,19),DATE(2001,11,25),0.05,0.075,100,4)</t>
  </si>
  <si>
    <t>PROPER("3rd Quarter")</t>
  </si>
  <si>
    <t>PV(8%/12, 48, 439.43)</t>
  </si>
  <si>
    <t>QUOTIENT(9,7)</t>
  </si>
  <si>
    <t>RADIANS(-180)</t>
  </si>
  <si>
    <t>RAND()*10</t>
  </si>
  <si>
    <t>RANDBETWEEN(15,47)</t>
  </si>
  <si>
    <t>RATE(48,-439.43,18000)</t>
  </si>
  <si>
    <t>RECEIVED(DATE(94,1,1),DATE(97,10,1),50,0.0575)</t>
  </si>
  <si>
    <t>REPLACE("For the year: 1993",18,1,"4")</t>
  </si>
  <si>
    <t>REPT("error-", 3)</t>
  </si>
  <si>
    <t>RIGHT("2nd Quarter")</t>
  </si>
  <si>
    <t>ROMAN(499)</t>
  </si>
  <si>
    <t>ROUND(123.456, 2)</t>
  </si>
  <si>
    <t>ROUNDDOWN(3.14159, 3)</t>
  </si>
  <si>
    <t>ROUNDUP(76.9,0)</t>
  </si>
  <si>
    <t>ROW(B3)</t>
  </si>
  <si>
    <t>ROWS(A1:D5)</t>
  </si>
  <si>
    <t>SEARCH("?5", "Bin b45")</t>
  </si>
  <si>
    <t>SECOND(.259)</t>
  </si>
  <si>
    <t>SIGN(-123)</t>
  </si>
  <si>
    <t>SIN(45)</t>
  </si>
  <si>
    <t>SINH(1)</t>
  </si>
  <si>
    <t>SLN(10000, 1000, 7)</t>
  </si>
  <si>
    <t>SQRT(9)</t>
  </si>
  <si>
    <t>SQRTPI(2)</t>
  </si>
  <si>
    <t>STANDARDIZE (95, 50, 4)</t>
  </si>
  <si>
    <t>STDEV(4.0, 3.0, 3.0, 3.5, 2.5, 4.0, 3.5)</t>
  </si>
  <si>
    <t>STDEVA(4.0, 3.0, 3.0, 3.5, 2.5, "4.0", 3.5)</t>
  </si>
  <si>
    <t>STDEVP(4.0, 3.0, 3.0, 3.5, 2.5, 4.0, 3.5)</t>
  </si>
  <si>
    <t>STDEVPA(4.0, 3.0, 3.0, 3.5, 2.5, "4.0", 3.5)</t>
  </si>
  <si>
    <t>SUBTOTAL(1,E2:E5)</t>
  </si>
  <si>
    <t>SUM(1000, 2000, 3000)</t>
  </si>
  <si>
    <t>SUMIF(A1:B2,"=0",A4:B5)</t>
  </si>
  <si>
    <t>SUMPRODUCT(E2:E3)</t>
  </si>
  <si>
    <t>SUMSQ(9, 10, 11)</t>
  </si>
  <si>
    <t>SYD(10000, 1000, 7, 3)</t>
  </si>
  <si>
    <t>T("Report")</t>
  </si>
  <si>
    <t>TAN(0.645)</t>
  </si>
  <si>
    <t>TANH(-2)</t>
  </si>
  <si>
    <t>TDIST(1.75,3,1)</t>
  </si>
  <si>
    <t>TEXT(123.62, "0.000")</t>
  </si>
  <si>
    <t>TIME(12, 26, 24)</t>
  </si>
  <si>
    <t>TIMEVALUE("1:43:43 am")</t>
  </si>
  <si>
    <t>TINV (0.01, 2)</t>
  </si>
  <si>
    <t>TODAY()</t>
  </si>
  <si>
    <t>TRIM(" Level 3, Gate 45 ")</t>
  </si>
  <si>
    <t>TRUE()</t>
  </si>
  <si>
    <t>TRUNC(123.456, 2)</t>
  </si>
  <si>
    <t>TYPE(A1)</t>
  </si>
  <si>
    <t>UPPER("3rd Quarter")</t>
  </si>
  <si>
    <t>USDOLLAR(1023.789)</t>
  </si>
  <si>
    <t>VALUE(9800)</t>
  </si>
  <si>
    <t>VAR(4.0, 3.0, 3.5, 2.5)</t>
  </si>
  <si>
    <t>VARA(4.0, 3.0, "3.5", 2.5)</t>
  </si>
  <si>
    <t>VARP(4.0, 3.0, 3.5, 2.5)</t>
  </si>
  <si>
    <t>VARPA(4.0, 3.0, "3.5", 2.5)</t>
  </si>
  <si>
    <t>VDB(10000, 1000, 7, 3, 4)</t>
  </si>
  <si>
    <t>VLOOKUP("Jone",D2:E5,2)</t>
  </si>
  <si>
    <t>WEEKDAY(34399.92)</t>
  </si>
  <si>
    <t>WEIBULL(100,3,120,TRUE)</t>
  </si>
  <si>
    <t>WORKDAY(DATEVALUE("2007/01/03"),5)</t>
  </si>
  <si>
    <t>YEAR(34328)</t>
  </si>
  <si>
    <t>YEARFRAC(DATE(97,1,11),DATE(97,5,15))</t>
  </si>
  <si>
    <t>YIELD(DATE(97,5,6),DATE(99,12,31),0.06,0.92,100,4)</t>
  </si>
  <si>
    <t>YIELDDISC(DATE(94,10,23),DATE(95,7,7),98.31,100)</t>
  </si>
  <si>
    <t>ZTEST ({1,2,3}, 4)</t>
  </si>
</sst>
</file>

<file path=xl/styles.xml><?xml version="1.0" encoding="utf-8"?>
<styleSheet xmlns="http://schemas.openxmlformats.org/spreadsheetml/2006/main">
  <numFmts count="7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82" formatCode="&quot;$&quot;#,##0.00;[Red]&quot;$&quot;#,##0.00"/>
  </numFmts>
  <fonts count="6">
    <font>
      <sz val="10"/>
      <color rgb="00000000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u/>
      <sz val="10"/>
      <color rgb="000000FF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/>
    <xf numFmtId="82" fontId="0" fillId="0" borderId="0" xfId="0" applyFont="1" applyFill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B1:G267"/>
  <sheetViews>
    <sheetView tabSelected="1" topLeftCell="A1" workbookViewId="0">
      <selection activeCell="E1" sqref="E1:F5"/>
    </sheetView>
  </sheetViews>
  <sheetFormatPr defaultColWidth="9.1484375" defaultRowHeight="12.75"/>
  <cols>
    <col min="1" max="1" width="10.0" style="15" customWidth="1"/>
    <col min="2" max="3" width="25.0" style="15" customWidth="1"/>
    <col min="5" max="6" width="14.0" style="15" customWidth="1"/>
  </cols>
  <sheetData>
    <row r="1">
      <c r="B1" s="15" t="s">
        <v>0</v>
      </c>
      <c r="C1" s="15" t="s">
        <v>1</v>
      </c>
      <c r="D1" s="15" t="s">
        <v>2</v>
      </c>
      <c r="E1" s="22" t="s">
        <v>3</v>
      </c>
      <c r="F1" s="22" t="s">
        <v>4</v>
      </c>
    </row>
    <row r="2">
      <c r="B2" s="15">
        <f>ABS(-1)</f>
        <v>1</v>
      </c>
      <c r="C2" s="15" t="s">
        <v>5</v>
      </c>
      <c r="D2" s="15" t="s">
        <v>6</v>
      </c>
      <c r="E2" s="22">
        <v>15000</v>
      </c>
      <c r="F2" s="22">
        <v>15000</v>
      </c>
    </row>
    <row r="3">
      <c r="B3" s="15">
        <f>ACOS(0.5)</f>
        <v>1.0471975511966</v>
      </c>
      <c r="C3" s="15" t="s">
        <v>7</v>
      </c>
      <c r="D3" s="15" t="s">
        <v>8</v>
      </c>
      <c r="E3" s="22">
        <v>25000</v>
      </c>
      <c r="F3" s="22">
        <v>25000</v>
      </c>
    </row>
    <row r="4">
      <c r="B4" s="15">
        <f>ACOSH(1.2)</f>
        <v>0.622362503714779</v>
      </c>
      <c r="C4" s="15" t="s">
        <v>9</v>
      </c>
      <c r="D4" s="15" t="s">
        <v>10</v>
      </c>
      <c r="E4" s="22">
        <v>-65000</v>
      </c>
      <c r="F4" s="22">
        <v>30000</v>
      </c>
    </row>
    <row r="5">
      <c r="B5" s="15" t="str">
        <f>ADDRESS(5,5,1)</f>
        <v>$E$5</v>
      </c>
      <c r="C5" s="15" t="s">
        <v>11</v>
      </c>
      <c r="D5" s="15" t="s">
        <v>12</v>
      </c>
      <c r="E5" s="22">
        <v>28000</v>
      </c>
      <c r="F5" s="22">
        <v>27000</v>
      </c>
    </row>
    <row r="6">
      <c r="B6" s="15" t="b">
        <f>AND(TRUE(),FALSE())</f>
        <v>0</v>
      </c>
      <c r="C6" s="15" t="s">
        <v>13</v>
      </c>
      <c r="E6" s="15" t="s">
        <v>3</v>
      </c>
      <c r="F6" s="15" t="s">
        <v>3</v>
      </c>
    </row>
    <row r="7">
      <c r="B7" s="15">
        <f>AREAS(B2:C3)</f>
        <v>1</v>
      </c>
      <c r="C7" s="15" t="s">
        <v>14</v>
      </c>
      <c r="E7" s="15" t="s">
        <v>15</v>
      </c>
      <c r="F7" s="15" t="s">
        <v>16</v>
      </c>
    </row>
    <row r="8">
      <c r="B8" s="15">
        <f>ASIN(1)</f>
        <v>1.5707963267949</v>
      </c>
      <c r="C8" s="15" t="s">
        <v>17</v>
      </c>
    </row>
    <row r="9">
      <c r="B9" s="15">
        <f>ASINH(5.3)</f>
        <v>2.36963744780851</v>
      </c>
      <c r="C9" s="15" t="s">
        <v>18</v>
      </c>
    </row>
    <row r="10">
      <c r="B10" s="15">
        <f>ATAN(3.5)</f>
        <v>1.29249666778979</v>
      </c>
      <c r="C10" s="15" t="s">
        <v>19</v>
      </c>
    </row>
    <row r="11">
      <c r="B11" s="15">
        <f>ATAN2(3,6)</f>
        <v>1.10714871779409</v>
      </c>
      <c r="C11" s="15" t="s">
        <v>20</v>
      </c>
    </row>
    <row r="12">
      <c r="B12" s="15">
        <f>ATANH(0.5)</f>
        <v>0.549306144334055</v>
      </c>
      <c r="C12" s="15" t="s">
        <v>21</v>
      </c>
    </row>
    <row r="13">
      <c r="B13" s="15">
        <f>AVEDEV(1,2)</f>
        <v>0.5</v>
      </c>
      <c r="C13" s="15" t="s">
        <v>22</v>
      </c>
    </row>
    <row r="14">
      <c r="B14" s="15">
        <f>AVERAGE(E2:E6)</f>
        <v>750</v>
      </c>
      <c r="C14" s="15" t="s">
        <v>23</v>
      </c>
    </row>
    <row r="15">
      <c r="B15" s="15">
        <f>AVERAGEA(1,2)</f>
        <v>1.5</v>
      </c>
      <c r="C15" s="15" t="s">
        <v>24</v>
      </c>
    </row>
    <row r="16">
      <c r="B16" s="15">
        <f>BESSELI(3,1)</f>
        <v>3.95337021740261</v>
      </c>
      <c r="C16" s="15" t="s">
        <v>25</v>
      </c>
    </row>
    <row r="17">
      <c r="B17" s="15">
        <f>BESSELJ(2.5,1)</f>
        <v>0.497094102464274</v>
      </c>
      <c r="C17" s="15" t="s">
        <v>26</v>
      </c>
    </row>
    <row r="18">
      <c r="B18" s="15">
        <f>BESSELK(5,10)</f>
        <v>9.75856282917782</v>
      </c>
      <c r="C18" s="15" t="s">
        <v>27</v>
      </c>
    </row>
    <row r="19">
      <c r="B19" s="15">
        <f>BESSELY(3,0)</f>
        <v>0.376850010012791</v>
      </c>
      <c r="C19" s="15" t="s">
        <v>28</v>
      </c>
    </row>
    <row r="20">
      <c r="B20" s="15">
        <f>BETADIST(0.5,10,1)</f>
        <v>0.0009765625</v>
      </c>
      <c r="C20" s="15" t="s">
        <v>29</v>
      </c>
    </row>
    <row r="21">
      <c r="B21" s="15">
        <f>BETAINV(0.5,1,1)</f>
        <v>0.5</v>
      </c>
      <c r="C21" s="15" t="s">
        <v>30</v>
      </c>
    </row>
    <row r="22">
      <c r="B22" s="15">
        <f>BIN2DEC(10000000)</f>
        <v>128</v>
      </c>
      <c r="C22" s="15" t="s">
        <v>31</v>
      </c>
    </row>
    <row r="23">
      <c r="B23" s="15" t="str">
        <f>BIN2HEX(111111)</f>
        <v>3F</v>
      </c>
      <c r="C23" s="15" t="s">
        <v>32</v>
      </c>
    </row>
    <row r="24">
      <c r="B24" s="15" t="str">
        <f>BIN2OCT(1110100)</f>
        <v>164</v>
      </c>
      <c r="C24" s="15" t="s">
        <v>33</v>
      </c>
    </row>
    <row r="25">
      <c r="B25" s="15">
        <f>BINOMDIST(6,10,0.5,FALSE)</f>
        <v>0.205078125</v>
      </c>
      <c r="C25" s="15" t="s">
        <v>34</v>
      </c>
    </row>
    <row r="26">
      <c r="B26" s="15">
        <f>CEILING(1.23459,0.05)</f>
        <v>1.25</v>
      </c>
      <c r="C26" s="15" t="s">
        <v>35</v>
      </c>
    </row>
    <row r="27">
      <c r="B27" s="15">
        <f>CELL("width",C4)</f>
        <v>25</v>
      </c>
      <c r="C27" s="15" t="s">
        <v>36</v>
      </c>
    </row>
    <row r="28">
      <c r="B28" s="15" t="str">
        <f>CHAR(70)</f>
        <v>F</v>
      </c>
      <c r="C28" s="15" t="s">
        <v>37</v>
      </c>
    </row>
    <row r="29">
      <c r="B29" s="15">
        <f>CHIDIST(9.6,10)</f>
        <v>0.476258753625608</v>
      </c>
      <c r="C29" s="15" t="s">
        <v>38</v>
      </c>
    </row>
    <row r="30">
      <c r="B30" s="15">
        <f>CHIINV(0.05,5)</f>
        <v>11.0704976935164</v>
      </c>
      <c r="C30" s="15" t="s">
        <v>39</v>
      </c>
    </row>
    <row r="31">
      <c r="B31" s="15" t="str">
        <f>CHOOSE(2,"Q1","Q2","Q3","Q4")</f>
        <v>Q2</v>
      </c>
      <c r="C31" s="15" t="s">
        <v>40</v>
      </c>
    </row>
    <row r="32">
      <c r="B32" s="15" t="str">
        <f>CLEAN("Payments "&amp;CHAR(8)&amp;"Due")</f>
        <v>Payments Due</v>
      </c>
      <c r="C32" s="15" t="s">
        <v>41</v>
      </c>
    </row>
    <row r="33">
      <c r="B33" s="15">
        <f>CODE("A")</f>
        <v>65</v>
      </c>
      <c r="C33" s="15" t="s">
        <v>42</v>
      </c>
    </row>
    <row r="34">
      <c r="B34" s="15">
        <f>COLUMN(B3)</f>
        <v>2</v>
      </c>
      <c r="C34" s="15" t="s">
        <v>43</v>
      </c>
    </row>
    <row r="35">
      <c r="B35" s="15">
        <f>COLUMNS(A1:D5)</f>
        <v>4</v>
      </c>
      <c r="C35" s="15" t="s">
        <v>44</v>
      </c>
    </row>
    <row r="36">
      <c r="B36" s="15" t="str">
        <f>CONCATENATE("Sale ","Price")</f>
        <v>Sale Price</v>
      </c>
      <c r="C36" s="15" t="s">
        <v>45</v>
      </c>
    </row>
    <row r="37">
      <c r="B37" s="15">
        <f>CONFIDENCE(0.05,2.5,50)</f>
        <v>0.692951912174839</v>
      </c>
      <c r="C37" s="15" t="s">
        <v>46</v>
      </c>
    </row>
    <row r="38">
      <c r="B38" s="15" t="str">
        <f>COMPLEX(2,3)</f>
        <v>2+3i</v>
      </c>
      <c r="C38" s="15" t="s">
        <v>47</v>
      </c>
    </row>
    <row r="39">
      <c r="B39" s="15">
        <f>CONVERT(1,"m","yd")</f>
        <v>1.09361329833771</v>
      </c>
      <c r="C39" s="15" t="s">
        <v>48</v>
      </c>
    </row>
    <row r="40">
      <c r="B40" s="15">
        <f>COS(5)</f>
        <v>0.283662185463226</v>
      </c>
      <c r="C40" s="15" t="s">
        <v>49</v>
      </c>
    </row>
    <row r="41">
      <c r="B41" s="15">
        <f>COSH(2.1)</f>
        <v>4.14431317041032</v>
      </c>
      <c r="C41" s="15" t="s">
        <v>50</v>
      </c>
    </row>
    <row r="42">
      <c r="B42" s="15">
        <f>COUNT(5,6,"Q2")</f>
        <v>2</v>
      </c>
      <c r="C42" s="15" t="s">
        <v>51</v>
      </c>
    </row>
    <row r="43">
      <c r="B43" s="15">
        <f>COUNTA(32,45,"Earnings","")</f>
        <v>4</v>
      </c>
      <c r="C43" s="15" t="s">
        <v>52</v>
      </c>
    </row>
    <row r="44">
      <c r="B44" s="15">
        <f>COUNTBLANK(A1:D2)</f>
        <v>2</v>
      </c>
      <c r="C44" s="15" t="s">
        <v>53</v>
      </c>
    </row>
    <row r="45">
      <c r="B45" s="15">
        <f>COUNTIF(C38:C40,0)</f>
        <v>0</v>
      </c>
      <c r="C45" s="15" t="s">
        <v>54</v>
      </c>
    </row>
    <row r="46">
      <c r="B46" s="15">
        <f>COUPDAYBS(DATE(93,1,25),DATE(94,8,31),2,0)</f>
        <v>145</v>
      </c>
      <c r="C46" s="15" t="s">
        <v>55</v>
      </c>
    </row>
    <row r="47">
      <c r="B47" s="15">
        <f>COUPDAYS(DATE(93,1,25),DATE(94,8,31),2,0)</f>
        <v>180</v>
      </c>
      <c r="C47" s="15" t="s">
        <v>56</v>
      </c>
    </row>
    <row r="48">
      <c r="B48" s="15">
        <f>COUPDAYSNC(DATE(93,1,25),DATE(94,8,31),2,0)</f>
        <v>35</v>
      </c>
      <c r="C48" s="15" t="s">
        <v>57</v>
      </c>
    </row>
    <row r="49">
      <c r="B49" s="15">
        <f>COUPNCD(DATE(93,1,25),DATE(94,8,31),2,0)</f>
        <v>34028</v>
      </c>
      <c r="C49" s="15" t="s">
        <v>58</v>
      </c>
    </row>
    <row r="50">
      <c r="B50" s="15">
        <f>COUPNUM(DATE(93,1,25),DATE(94,8,31),2,0)</f>
        <v>4</v>
      </c>
      <c r="C50" s="15" t="s">
        <v>59</v>
      </c>
    </row>
    <row r="51">
      <c r="B51" s="15">
        <f>COUPPCD(DATE(93,1,25),DATE(94,8,31),2,0)</f>
        <v>33847</v>
      </c>
      <c r="C51" s="15" t="s">
        <v>60</v>
      </c>
    </row>
    <row r="52">
      <c r="B52" s="15">
        <f>COVAR({1,2,3,4,5},{2,4,6,8,10})</f>
        <v>4</v>
      </c>
      <c r="C52" s="15" t="s">
        <v>61</v>
      </c>
    </row>
    <row r="53">
      <c r="B53" s="15">
        <f>CRITBINOM(1000,0.5,0.3)</f>
        <v>492</v>
      </c>
      <c r="C53" s="15" t="s">
        <v>62</v>
      </c>
    </row>
    <row r="54">
      <c r="B54" s="15">
        <f>CUMIPMT(0.009166667,60,17000,1,60,0)</f>
        <v>-5177.27173756933</v>
      </c>
      <c r="C54" s="15" t="s">
        <v>63</v>
      </c>
    </row>
    <row r="55">
      <c r="B55" s="15">
        <f>CUMPRINC(0.009166667,60,17000,1,34,0)</f>
        <v>-8483.76463477094</v>
      </c>
      <c r="C55" s="15" t="s">
        <v>64</v>
      </c>
    </row>
    <row r="56">
      <c r="B56" s="15">
        <f>DATE(94,6,21)</f>
        <v>34506</v>
      </c>
      <c r="C56" s="15" t="s">
        <v>65</v>
      </c>
    </row>
    <row r="57">
      <c r="B57" s="15" t="e">
        <f>DATEDIF(NOW(),DATE(2008,8,8),"d")</f>
        <v>#NUM!</v>
      </c>
      <c r="C57" s="15" t="s">
        <v>66</v>
      </c>
    </row>
    <row r="58">
      <c r="B58" s="15">
        <f>DATEVALUE("3/6/05")</f>
        <v>38417</v>
      </c>
      <c r="C58" s="15" t="s">
        <v>67</v>
      </c>
    </row>
    <row r="59">
      <c r="B59" s="15">
        <f>DAVERAGE(D1:F5,"Salary",F6:F7)</f>
        <v>22333.3333333333</v>
      </c>
      <c r="C59" s="15" t="s">
        <v>68</v>
      </c>
    </row>
    <row r="60">
      <c r="B60" s="15">
        <f>DAY(34399)</f>
        <v>6</v>
      </c>
      <c r="C60" s="15" t="s">
        <v>69</v>
      </c>
    </row>
    <row r="61">
      <c r="B61" s="15">
        <f>DAYS360("1/11/06","2/11/06")</f>
        <v>30</v>
      </c>
      <c r="C61" s="15" t="s">
        <v>70</v>
      </c>
    </row>
    <row r="62">
      <c r="B62" s="15">
        <f>DB(10000,1000,7,3)</f>
        <v>1451.52</v>
      </c>
      <c r="C62" s="15" t="s">
        <v>71</v>
      </c>
    </row>
    <row r="63">
      <c r="B63" s="15">
        <f>DCOUNT(D1:F5,"Salary",E6:E7)</f>
        <v>1</v>
      </c>
      <c r="C63" s="15" t="s">
        <v>72</v>
      </c>
    </row>
    <row r="64">
      <c r="B64" s="15">
        <f>DCOUNTA(D1:F5,"Employee",F6:F7)</f>
        <v>3</v>
      </c>
      <c r="C64" s="15" t="s">
        <v>73</v>
      </c>
    </row>
    <row r="65">
      <c r="B65" s="15">
        <f>DDB(10000,1000,7,3)</f>
        <v>1457.72594752187</v>
      </c>
      <c r="C65" s="15" t="s">
        <v>74</v>
      </c>
    </row>
    <row r="66">
      <c r="B66" s="15" t="str">
        <f>DEC2BIN(256)</f>
        <v>100000000</v>
      </c>
      <c r="C66" s="15" t="s">
        <v>75</v>
      </c>
    </row>
    <row r="67">
      <c r="B67" s="15" t="str">
        <f>DEC2HEX(10,5)</f>
        <v>0000A</v>
      </c>
      <c r="C67" s="15" t="s">
        <v>76</v>
      </c>
    </row>
    <row r="68">
      <c r="B68" s="15" t="str">
        <f>DEC2OCT(100)</f>
        <v>144</v>
      </c>
      <c r="C68" s="15" t="s">
        <v>77</v>
      </c>
    </row>
    <row r="69">
      <c r="B69" s="15">
        <f>DEGREES(6.283185307)</f>
        <v>359.999999989711</v>
      </c>
      <c r="C69" s="15" t="s">
        <v>78</v>
      </c>
    </row>
    <row r="70">
      <c r="B70" s="15">
        <f>DELTA(6,7)</f>
        <v>0</v>
      </c>
      <c r="C70" s="15" t="s">
        <v>79</v>
      </c>
    </row>
    <row r="71">
      <c r="B71" s="15">
        <f>DEVSQ(1,2)</f>
        <v>0.5</v>
      </c>
      <c r="C71" s="15" t="s">
        <v>80</v>
      </c>
    </row>
    <row r="72">
      <c r="B72" s="15" t="str">
        <f>DGET(D1:F5,"Employee",E6:E7)</f>
        <v>Peter</v>
      </c>
      <c r="C72" s="15" t="s">
        <v>81</v>
      </c>
    </row>
    <row r="73">
      <c r="B73" s="15">
        <f>DISC(DATE(92,7,15),DATE(95,12,30),93,100)</f>
        <v>0.0202409638554217</v>
      </c>
      <c r="C73" s="15" t="s">
        <v>82</v>
      </c>
    </row>
    <row r="74">
      <c r="B74" s="15">
        <f>DMAX(D1:F5,"Salary",F6:F7)</f>
        <v>27000</v>
      </c>
      <c r="C74" s="15" t="s">
        <v>83</v>
      </c>
    </row>
    <row r="75">
      <c r="B75" s="15">
        <f>DMIN(D1:F5,"Salary",F6:F7)</f>
        <v>15000</v>
      </c>
      <c r="C75" s="15" t="s">
        <v>84</v>
      </c>
    </row>
    <row r="76">
      <c r="B76" s="15" t="str">
        <f>DOLLAR(1023.789)</f>
        <v>$1,023.79</v>
      </c>
      <c r="C76" s="15" t="s">
        <v>85</v>
      </c>
    </row>
    <row r="77">
      <c r="B77" s="15">
        <f>DOLLARDE(25.3,4)</f>
        <v>25.75</v>
      </c>
      <c r="C77" s="15" t="s">
        <v>86</v>
      </c>
    </row>
    <row r="78">
      <c r="B78" s="15">
        <f>DOLLARFR(25.25,4)</f>
        <v>25.1</v>
      </c>
      <c r="C78" s="15" t="s">
        <v>87</v>
      </c>
    </row>
    <row r="79">
      <c r="B79" s="15">
        <f>DPRODUCT(D1:F5,"Salary",F6:F7)</f>
        <v>10125000000000</v>
      </c>
      <c r="C79" s="15" t="s">
        <v>88</v>
      </c>
    </row>
    <row r="80">
      <c r="B80" s="15">
        <f>DSTDEV(D1:F5,"Salary",F6:F7)</f>
        <v>6429.10050732864</v>
      </c>
      <c r="C80" s="15" t="s">
        <v>89</v>
      </c>
    </row>
    <row r="81">
      <c r="B81" s="15">
        <f>DSTDEVP(D1:F5,"Salary",F6:F7)</f>
        <v>5249.33858267454</v>
      </c>
      <c r="C81" s="15" t="s">
        <v>90</v>
      </c>
    </row>
    <row r="82">
      <c r="B82" s="15">
        <f>DSUM(D1:F5,"Salary",F6:F7)</f>
        <v>67000</v>
      </c>
      <c r="C82" s="15" t="s">
        <v>91</v>
      </c>
    </row>
    <row r="83">
      <c r="B83" s="15">
        <f>EDATE(DATE(2007,1,1),2)</f>
        <v>39142</v>
      </c>
      <c r="C83" s="15" t="s">
        <v>92</v>
      </c>
    </row>
    <row r="84">
      <c r="B84" s="15">
        <f>EFFECT(0.0675,12)</f>
        <v>0.0696279365718078</v>
      </c>
      <c r="C84" s="15" t="s">
        <v>93</v>
      </c>
    </row>
    <row r="85">
      <c r="B85" s="15">
        <f>EOMONTH(DATE(2007,1,1),2)</f>
        <v>39172</v>
      </c>
      <c r="C85" s="15" t="s">
        <v>94</v>
      </c>
    </row>
    <row r="86">
      <c r="B86" s="15">
        <f>ERF(2)</f>
        <v>0.995322265018953</v>
      </c>
      <c r="C86" s="15" t="s">
        <v>95</v>
      </c>
    </row>
    <row r="87">
      <c r="B87" s="15">
        <f>ERFC(1)</f>
        <v>0.157299207050285</v>
      </c>
      <c r="C87" s="15" t="s">
        <v>96</v>
      </c>
    </row>
    <row r="88">
      <c r="B88" s="15" t="e">
        <f>ERROR.TYPE(B76)</f>
        <v>#N/A</v>
      </c>
      <c r="C88" s="15" t="s">
        <v>97</v>
      </c>
    </row>
    <row r="89">
      <c r="B89" s="15">
        <f>EVEN(2.5)</f>
        <v>4</v>
      </c>
      <c r="C89" s="15" t="s">
        <v>98</v>
      </c>
    </row>
    <row r="90">
      <c r="B90" s="15" t="b">
        <f>EXACT("Match","Match")</f>
        <v>1</v>
      </c>
      <c r="C90" s="15" t="s">
        <v>99</v>
      </c>
    </row>
    <row r="91">
      <c r="B91" s="15">
        <f>EXP(2.5)</f>
        <v>12.1824939607035</v>
      </c>
      <c r="C91" s="15" t="s">
        <v>100</v>
      </c>
    </row>
    <row r="92">
      <c r="B92" s="15">
        <f>EXPONDIST(0.5,1,TRUE)</f>
        <v>0.393469340287367</v>
      </c>
      <c r="C92" s="15" t="s">
        <v>101</v>
      </c>
    </row>
    <row r="93">
      <c r="B93" s="15">
        <f>FACT(2.5)</f>
        <v>2</v>
      </c>
      <c r="C93" s="15" t="s">
        <v>102</v>
      </c>
    </row>
    <row r="94">
      <c r="B94" s="15">
        <f>FACTDOUBLE(15)</f>
        <v>2027025</v>
      </c>
      <c r="C94" s="15" t="s">
        <v>103</v>
      </c>
    </row>
    <row r="95">
      <c r="B95" s="15" t="b">
        <f>FALSE()</f>
        <v>0</v>
      </c>
      <c r="C95" s="15" t="s">
        <v>104</v>
      </c>
    </row>
    <row r="96">
      <c r="B96" s="15">
        <f>FDIST(2,3,4)</f>
        <v>0.256387197528176</v>
      </c>
      <c r="C96" s="15" t="s">
        <v>105</v>
      </c>
    </row>
    <row r="97">
      <c r="B97" s="15">
        <f>FIND("time","There¡¯s no time like the present")</f>
        <v>13</v>
      </c>
      <c r="C97" s="15" t="s">
        <v>106</v>
      </c>
    </row>
    <row r="98">
      <c r="B98" s="15">
        <f>FINV(0.05,1,4)</f>
        <v>7.70864742217679</v>
      </c>
      <c r="C98" s="15" t="s">
        <v>107</v>
      </c>
    </row>
    <row r="99">
      <c r="B99" s="15">
        <f>FISHER(0.5)</f>
        <v>0.549306144334055</v>
      </c>
      <c r="C99" s="15" t="s">
        <v>108</v>
      </c>
    </row>
    <row r="100">
      <c r="B100" s="15">
        <f>FISHERINV(10)</f>
        <v>0.999999995877693</v>
      </c>
      <c r="C100" s="15" t="s">
        <v>109</v>
      </c>
    </row>
    <row r="101">
      <c r="B101" s="15" t="str">
        <f>FIXED(2000.5,3)</f>
        <v>2,000.500</v>
      </c>
      <c r="C101" s="15" t="s">
        <v>110</v>
      </c>
    </row>
    <row r="102">
      <c r="B102" s="15">
        <f>FLOOR(1.23459,0.05)</f>
        <v>1.2</v>
      </c>
      <c r="C102" s="15" t="s">
        <v>111</v>
      </c>
    </row>
    <row r="103">
      <c r="B103" s="15">
        <f>FORECAST(0.5,{1,2,4,6,7,9},{0,2,4,5,7,8})</f>
        <v>1</v>
      </c>
      <c r="C103" s="15" t="s">
        <v>112</v>
      </c>
    </row>
    <row r="104">
      <c r="B104" s="15">
        <f>FTEST({51,45,41,27},{91,37,89,82})</f>
        <v>0.167108165874666</v>
      </c>
      <c r="C104" s="15" t="s">
        <v>113</v>
      </c>
    </row>
    <row r="105">
      <c r="B105" s="15">
        <f>FV(5%,8,-500)</f>
        <v>4774.55443789063</v>
      </c>
      <c r="C105" s="15" t="s">
        <v>114</v>
      </c>
    </row>
    <row r="106">
      <c r="B106" s="15">
        <f>FVSCHEDULE(1000,{0.2,0.21,0.22})</f>
        <v>1771.44</v>
      </c>
      <c r="C106" s="15" t="s">
        <v>115</v>
      </c>
    </row>
    <row r="107">
      <c r="B107" s="15">
        <f>GAMMADIST(12,3,7,TRUE)</f>
        <v>0.246552571625914</v>
      </c>
      <c r="C107" s="15" t="s">
        <v>116</v>
      </c>
    </row>
    <row r="108">
      <c r="B108" s="15">
        <f>GAMMAINV(0.01,8,2)</f>
        <v>5.81221247013497</v>
      </c>
      <c r="C108" s="15" t="s">
        <v>117</v>
      </c>
    </row>
    <row r="109">
      <c r="B109" s="15">
        <f>GAMMALN(5)</f>
        <v>3.17805383034795</v>
      </c>
      <c r="C109" s="15" t="s">
        <v>118</v>
      </c>
    </row>
    <row r="110">
      <c r="B110" s="15">
        <f>GCD({1234567890,3000})</f>
        <v>30</v>
      </c>
      <c r="C110" s="15" t="s">
        <v>119</v>
      </c>
    </row>
    <row r="111">
      <c r="B111" s="15">
        <f>GEOMEAN(24,6)</f>
        <v>12</v>
      </c>
      <c r="C111" s="15" t="s">
        <v>120</v>
      </c>
    </row>
    <row r="112">
      <c r="B112" s="15">
        <f>GESTEP(6,7)</f>
        <v>0</v>
      </c>
      <c r="C112" s="15" t="s">
        <v>121</v>
      </c>
    </row>
    <row r="113">
      <c r="B113" s="15">
        <f>GROWTH({4,6,8,9},,3.5,TRUE)</f>
        <v>8.46319921089676</v>
      </c>
      <c r="C113" s="15" t="s">
        <v>122</v>
      </c>
    </row>
    <row r="114">
      <c r="B114" s="15">
        <f>HARMEAN(5,4,25,60,14,26)</f>
        <v>9.731463878327</v>
      </c>
      <c r="C114" s="15" t="s">
        <v>123</v>
      </c>
    </row>
    <row r="115">
      <c r="B115" s="15" t="str">
        <f>HEX2BIN(10)</f>
        <v>10000</v>
      </c>
      <c r="C115" s="15" t="s">
        <v>124</v>
      </c>
    </row>
    <row r="116">
      <c r="B116" s="15">
        <f>HEX2DEC(10)</f>
        <v>16</v>
      </c>
      <c r="C116" s="15" t="s">
        <v>125</v>
      </c>
    </row>
    <row r="117">
      <c r="B117" s="15" t="str">
        <f>HEX2OCT(100)</f>
        <v>400</v>
      </c>
      <c r="C117" s="15" t="s">
        <v>126</v>
      </c>
    </row>
    <row r="118">
      <c r="B118" s="15">
        <f>HLOOKUP("Northeast",B1:E5,3)</f>
        <v>25000</v>
      </c>
      <c r="C118" s="15" t="s">
        <v>127</v>
      </c>
    </row>
    <row r="119">
      <c r="B119" s="15">
        <f>HOUR(34259.4)</f>
        <v>9</v>
      </c>
      <c r="C119" s="15" t="s">
        <v>128</v>
      </c>
    </row>
    <row r="120">
      <c r="B120" s="21" t="str">
        <f>HYPERLINK("http://www.smartxls.com","java spreadsheet component")</f>
        <v>java spreadsheet component</v>
      </c>
      <c r="C120" s="15" t="s">
        <v>129</v>
      </c>
    </row>
    <row r="121">
      <c r="B121" s="15" t="str">
        <f>IF(A1&gt;10,"Greater","Less")</f>
        <v>Less</v>
      </c>
      <c r="C121" s="15" t="s">
        <v>130</v>
      </c>
    </row>
    <row r="122">
      <c r="B122" s="15">
        <f>IMABS("3+4i")</f>
        <v>5</v>
      </c>
      <c r="C122" s="15" t="s">
        <v>131</v>
      </c>
    </row>
    <row r="123">
      <c r="B123" s="15">
        <f>IMAGINARY("2+3i")</f>
        <v>3</v>
      </c>
      <c r="C123" s="15" t="s">
        <v>132</v>
      </c>
    </row>
    <row r="124">
      <c r="B124" s="15">
        <f>IMARGUMENT("1+1i")</f>
        <v>0.785398163397448</v>
      </c>
      <c r="C124" s="15" t="s">
        <v>133</v>
      </c>
    </row>
    <row r="125">
      <c r="B125" s="15" t="str">
        <f>IMCONJUGATE("2+3i")</f>
        <v>2-3i</v>
      </c>
      <c r="C125" s="15" t="s">
        <v>134</v>
      </c>
    </row>
    <row r="126">
      <c r="B126" s="15" t="str">
        <f>IMCOS("2+i")</f>
        <v>-0.64214812471552-1.06860742138278i</v>
      </c>
      <c r="C126" s="15" t="s">
        <v>135</v>
      </c>
    </row>
    <row r="127">
      <c r="B127" s="15" t="str">
        <f>IMDIV("-10+10i","1+2i")</f>
        <v>2+6i</v>
      </c>
      <c r="C127" s="15" t="s">
        <v>136</v>
      </c>
    </row>
    <row r="128">
      <c r="B128" s="15" t="str">
        <f>IMEXP("2+3i")</f>
        <v>-7.3151100949011+1.0427436562359i</v>
      </c>
      <c r="C128" s="15" t="s">
        <v>137</v>
      </c>
    </row>
    <row r="129">
      <c r="B129" s="15" t="str">
        <f>IMLN("2+3i")</f>
        <v>1.28247467873077+0.982793723247329i</v>
      </c>
      <c r="C129" s="15" t="s">
        <v>138</v>
      </c>
    </row>
    <row r="130">
      <c r="B130" s="15" t="str">
        <f>IMLOG10("2+3i")</f>
        <v>0.556971676153418+0.426821890855467i</v>
      </c>
      <c r="C130" s="15" t="s">
        <v>139</v>
      </c>
    </row>
    <row r="131">
      <c r="B131" s="15" t="str">
        <f>IMLOG2("2+3i")</f>
        <v>1.85021985907055+1.41787163074572i</v>
      </c>
      <c r="C131" s="15" t="s">
        <v>140</v>
      </c>
    </row>
    <row r="132">
      <c r="B132" s="15" t="str">
        <f>IMPOWER("1+2i",2)</f>
        <v>-3+4i</v>
      </c>
      <c r="C132" s="15" t="s">
        <v>141</v>
      </c>
    </row>
    <row r="133">
      <c r="B133" s="15" t="str">
        <f>IMPRODUCT("1+2i",30)</f>
        <v>30+60i</v>
      </c>
      <c r="C133" s="15" t="s">
        <v>142</v>
      </c>
    </row>
    <row r="134">
      <c r="B134" s="15">
        <f>IMREAL("2+3i")</f>
        <v>2</v>
      </c>
      <c r="C134" s="15" t="s">
        <v>143</v>
      </c>
    </row>
    <row r="135">
      <c r="B135" s="15" t="str">
        <f>IMSIN("2+3i")</f>
        <v>9.15449914691143-4.16890695996656i</v>
      </c>
      <c r="C135" s="15" t="s">
        <v>144</v>
      </c>
    </row>
    <row r="136">
      <c r="B136" s="15" t="str">
        <f>IMSQRT("2+3i")</f>
        <v>1.67414922803554+0.895977476129838i</v>
      </c>
      <c r="C136" s="15" t="s">
        <v>145</v>
      </c>
    </row>
    <row r="137">
      <c r="B137" s="15" t="str">
        <f>IMSUB("2+3i","3+4i")</f>
        <v>-1-i</v>
      </c>
      <c r="C137" s="15" t="s">
        <v>146</v>
      </c>
    </row>
    <row r="138">
      <c r="B138" s="15" t="str">
        <f>IMSUM("2+3i","3+4i")</f>
        <v>5+7i</v>
      </c>
      <c r="C138" s="15" t="s">
        <v>147</v>
      </c>
    </row>
    <row r="139">
      <c r="B139" s="15">
        <f>INDEX(A2:B6,3,2)</f>
        <v>0.622362503714779</v>
      </c>
      <c r="C139" s="15" t="s">
        <v>148</v>
      </c>
    </row>
    <row r="140">
      <c r="B140" s="15">
        <f>INDIRECT(B5)</f>
        <v>28000</v>
      </c>
      <c r="C140" s="15" t="s">
        <v>149</v>
      </c>
    </row>
    <row r="141">
      <c r="B141" s="15" t="str">
        <f>INFO("release")</f>
        <v>2.2.8</v>
      </c>
      <c r="C141" s="15" t="s">
        <v>150</v>
      </c>
    </row>
    <row r="142">
      <c r="B142" s="15">
        <f>INT(10.99)</f>
        <v>10</v>
      </c>
      <c r="C142" s="15" t="s">
        <v>151</v>
      </c>
    </row>
    <row r="143">
      <c r="B143" s="15">
        <f>IPMT(8%/12,2,48,18000)</f>
        <v>-117.87044931902</v>
      </c>
      <c r="C143" s="15" t="s">
        <v>152</v>
      </c>
    </row>
    <row r="144">
      <c r="B144" s="15">
        <f>IRR(E2:E5)</f>
        <v>-0.152473070154723</v>
      </c>
      <c r="C144" s="15" t="s">
        <v>153</v>
      </c>
    </row>
    <row r="145">
      <c r="B145" s="15" t="b">
        <f>ISBLANK(A1)</f>
        <v>1</v>
      </c>
      <c r="C145" s="15" t="s">
        <v>154</v>
      </c>
    </row>
    <row r="146">
      <c r="B146" s="15" t="b">
        <f>ISERR(A1)</f>
        <v>0</v>
      </c>
      <c r="C146" s="15" t="s">
        <v>155</v>
      </c>
    </row>
    <row r="147">
      <c r="B147" s="15" t="b">
        <f>ISERROR(1/0)</f>
        <v>1</v>
      </c>
      <c r="C147" s="15" t="s">
        <v>156</v>
      </c>
    </row>
    <row r="148">
      <c r="B148" s="15" t="b">
        <f>ISEVEN(9.8)</f>
        <v>0</v>
      </c>
      <c r="C148" s="15" t="s">
        <v>157</v>
      </c>
    </row>
    <row r="149">
      <c r="B149" s="15" t="b">
        <f>ISLOGICAL(ISBLANK(A1))</f>
        <v>1</v>
      </c>
      <c r="C149" s="15" t="s">
        <v>158</v>
      </c>
    </row>
    <row r="150">
      <c r="B150" s="15" t="b">
        <f>ISNA(A1)</f>
        <v>0</v>
      </c>
      <c r="C150" s="15" t="s">
        <v>159</v>
      </c>
    </row>
    <row r="151">
      <c r="B151" s="15" t="b">
        <f>ISNONTEXT(A3)</f>
        <v>1</v>
      </c>
      <c r="C151" s="15" t="s">
        <v>160</v>
      </c>
    </row>
    <row r="152">
      <c r="B152" s="15" t="b">
        <f>ISNUMBER(123.45)</f>
        <v>1</v>
      </c>
      <c r="C152" s="15" t="s">
        <v>161</v>
      </c>
    </row>
    <row r="153">
      <c r="B153" s="15" t="b">
        <f>ISODD(9.8)</f>
        <v>1</v>
      </c>
      <c r="C153" s="15" t="s">
        <v>162</v>
      </c>
    </row>
    <row r="154">
      <c r="B154" s="15" t="b">
        <f>ISREF(A3)</f>
        <v>1</v>
      </c>
      <c r="C154" s="15" t="s">
        <v>163</v>
      </c>
    </row>
    <row r="155">
      <c r="B155" s="15" t="b">
        <f>ISTEXT("2nd Quarter")</f>
        <v>1</v>
      </c>
      <c r="C155" s="15" t="s">
        <v>164</v>
      </c>
    </row>
    <row r="156">
      <c r="B156" s="15">
        <f>LCM(15,20)</f>
        <v>60</v>
      </c>
      <c r="C156" s="15" t="s">
        <v>165</v>
      </c>
    </row>
    <row r="157">
      <c r="B157" s="15" t="str">
        <f>LEFT("2nd Quarter")</f>
        <v>2</v>
      </c>
      <c r="C157" s="15" t="s">
        <v>166</v>
      </c>
    </row>
    <row r="158">
      <c r="B158" s="15">
        <f>LEN("3rd Quarter")</f>
        <v>11</v>
      </c>
      <c r="C158" s="15" t="s">
        <v>167</v>
      </c>
    </row>
    <row r="159">
      <c r="B159" s="15">
        <f>LN(12.18)</f>
        <v>2.49979526228175</v>
      </c>
      <c r="C159" s="15" t="s">
        <v>168</v>
      </c>
    </row>
    <row r="160">
      <c r="B160" s="15">
        <f>LOG(10)</f>
        <v>1</v>
      </c>
      <c r="C160" s="15" t="s">
        <v>169</v>
      </c>
    </row>
    <row r="161">
      <c r="B161" s="15">
        <f>LOG10(260)</f>
        <v>2.41497334797082</v>
      </c>
      <c r="C161" s="15" t="s">
        <v>170</v>
      </c>
    </row>
    <row r="162">
      <c r="B162" s="15">
        <f>LOGINV(0.223218,18,20)</f>
        <v>16.0001263633114</v>
      </c>
      <c r="C162" s="15" t="s">
        <v>171</v>
      </c>
    </row>
    <row r="163">
      <c r="B163" s="15">
        <f>LOGNORMDIST(16,18,20)</f>
        <v>0.223217882103094</v>
      </c>
      <c r="C163" s="15" t="s">
        <v>172</v>
      </c>
    </row>
    <row r="164">
      <c r="B164" s="15">
        <f>LOOKUP("Mike",D2:D5,E2:E5)</f>
        <v>25000</v>
      </c>
      <c r="C164" s="15" t="s">
        <v>173</v>
      </c>
    </row>
    <row r="165">
      <c r="B165" s="15" t="str">
        <f>LOWER("3rd Quarter")</f>
        <v>3rd quarter</v>
      </c>
      <c r="C165" s="15" t="s">
        <v>174</v>
      </c>
    </row>
    <row r="166">
      <c r="B166" s="15">
        <f>MATCH(7600,B2:B7,1)</f>
        <v>6</v>
      </c>
      <c r="C166" s="15" t="s">
        <v>175</v>
      </c>
    </row>
    <row r="167">
      <c r="B167" s="15">
        <f>MAX(50,100,150,500,200)</f>
        <v>500</v>
      </c>
      <c r="C167" s="15" t="s">
        <v>176</v>
      </c>
    </row>
    <row r="168">
      <c r="B168" s="15">
        <f>MAXA(50,100,150,"500",200)</f>
        <v>500</v>
      </c>
      <c r="C168" s="15" t="s">
        <v>177</v>
      </c>
    </row>
    <row r="169">
      <c r="B169" s="15">
        <f>MEDIAN(1,2,3,4,5)</f>
        <v>3</v>
      </c>
      <c r="C169" s="15" t="s">
        <v>178</v>
      </c>
    </row>
    <row r="170">
      <c r="B170" s="15" t="str">
        <f>MID("Travel Expenses",8,8)</f>
        <v>Expenses</v>
      </c>
      <c r="C170" s="15" t="s">
        <v>179</v>
      </c>
    </row>
    <row r="171">
      <c r="B171" s="15">
        <f>MIN(50,100,150,500,200)</f>
        <v>50</v>
      </c>
      <c r="C171" s="15" t="s">
        <v>180</v>
      </c>
    </row>
    <row r="172">
      <c r="B172" s="15">
        <f>MINA(50,100,150,"500",200)</f>
        <v>50</v>
      </c>
      <c r="C172" s="15" t="s">
        <v>181</v>
      </c>
    </row>
    <row r="173">
      <c r="B173" s="15">
        <f>MINUTE(34506.4)</f>
        <v>36</v>
      </c>
      <c r="C173" s="15" t="s">
        <v>182</v>
      </c>
    </row>
    <row r="174">
      <c r="B174" s="15">
        <f>MIRR(E2:E5,12%,8%)</f>
        <v>0.136452916314019</v>
      </c>
      <c r="C174" s="15" t="s">
        <v>183</v>
      </c>
    </row>
    <row r="175">
      <c r="B175" s="15">
        <f>MOD(-23,3)</f>
        <v>1</v>
      </c>
      <c r="C175" s="15" t="s">
        <v>184</v>
      </c>
    </row>
    <row r="176">
      <c r="B176" s="15">
        <f>MODE(1,2,3,3,4)</f>
        <v>3</v>
      </c>
      <c r="C176" s="15" t="s">
        <v>185</v>
      </c>
    </row>
    <row r="177">
      <c r="B177" s="15">
        <f>MONTH(34626)</f>
        <v>10</v>
      </c>
      <c r="C177" s="15" t="s">
        <v>186</v>
      </c>
    </row>
    <row r="178">
      <c r="B178" s="15">
        <f>MROUND(13,2)</f>
        <v>14</v>
      </c>
      <c r="C178" s="15" t="s">
        <v>187</v>
      </c>
    </row>
    <row r="179">
      <c r="B179" s="15">
        <f>N(A4)</f>
        <v>0</v>
      </c>
      <c r="C179" s="15" t="s">
        <v>188</v>
      </c>
    </row>
    <row r="180">
      <c r="B180" s="15" t="e">
        <f>NA()</f>
        <v>#N/A</v>
      </c>
      <c r="C180" s="15" t="s">
        <v>189</v>
      </c>
    </row>
    <row r="181">
      <c r="B181" s="15">
        <f>NETWORKDAYS(1,365)</f>
        <v>260</v>
      </c>
      <c r="C181" s="15" t="s">
        <v>190</v>
      </c>
    </row>
    <row r="182">
      <c r="B182" s="15" t="b">
        <f>NOT(TRUE())</f>
        <v>0</v>
      </c>
      <c r="C182" s="15" t="s">
        <v>191</v>
      </c>
    </row>
    <row r="183">
      <c r="B183" s="15">
        <f>NOW()</f>
        <v>42792.6428046528</v>
      </c>
      <c r="C183" s="15" t="s">
        <v>192</v>
      </c>
    </row>
    <row r="184">
      <c r="B184" s="15">
        <f>NPER(12%/12,-350,-300,16000,1)</f>
        <v>36.6737342606127</v>
      </c>
      <c r="C184" s="15" t="s">
        <v>193</v>
      </c>
    </row>
    <row r="185">
      <c r="B185" s="15">
        <f>NPV(8%,-12000,3000,3000,3000,7000)</f>
        <v>811.57401048038</v>
      </c>
      <c r="C185" s="15" t="s">
        <v>194</v>
      </c>
    </row>
    <row r="186">
      <c r="B186" s="15" t="str">
        <f>OCT2BIN(10)</f>
        <v>1000</v>
      </c>
      <c r="C186" s="15" t="s">
        <v>195</v>
      </c>
    </row>
    <row r="187">
      <c r="B187" s="15">
        <f>OCT2DEC(10)</f>
        <v>8</v>
      </c>
      <c r="C187" s="15" t="s">
        <v>196</v>
      </c>
    </row>
    <row r="188">
      <c r="B188" s="15" t="str">
        <f>OCT2HEX(10)</f>
        <v>8</v>
      </c>
      <c r="C188" s="15" t="s">
        <v>197</v>
      </c>
    </row>
    <row r="189">
      <c r="B189" s="15">
        <f>ODD(3.5)</f>
        <v>5</v>
      </c>
      <c r="C189" s="15" t="s">
        <v>198</v>
      </c>
    </row>
    <row r="190">
      <c r="B190" s="15" t="str">
        <f>OFFSET(B1,3,2,1,1)</f>
        <v>Peter</v>
      </c>
      <c r="C190" s="15" t="s">
        <v>199</v>
      </c>
    </row>
    <row r="191">
      <c r="B191" s="15" t="b">
        <f>OR(1+1=1,5+5=10)</f>
        <v>1</v>
      </c>
      <c r="C191" s="15" t="s">
        <v>200</v>
      </c>
    </row>
    <row r="192">
      <c r="B192" s="15">
        <f>PEARSON({2,5,8},{3,6,7})</f>
        <v>0.960768922830523</v>
      </c>
      <c r="C192" s="15" t="s">
        <v>201</v>
      </c>
    </row>
    <row r="193">
      <c r="B193" s="15">
        <f>PERCENTILE({1,2,3,4,5},0.25)</f>
        <v>2</v>
      </c>
      <c r="C193" s="15" t="s">
        <v>202</v>
      </c>
    </row>
    <row r="194">
      <c r="B194" s="15">
        <f>PERCENTRANK({1,2,3,4,5},3)</f>
        <v>0.5</v>
      </c>
      <c r="C194" s="15" t="s">
        <v>203</v>
      </c>
    </row>
    <row r="195">
      <c r="B195" s="15">
        <f>PERMUT(4,2)</f>
        <v>12</v>
      </c>
      <c r="C195" s="15" t="s">
        <v>204</v>
      </c>
    </row>
    <row r="196">
      <c r="B196" s="15">
        <f>PI()</f>
        <v>3.14159265358979</v>
      </c>
      <c r="C196" s="15" t="s">
        <v>205</v>
      </c>
    </row>
    <row r="197">
      <c r="B197" s="15">
        <f>PMT(8%/12,48,18000)</f>
        <v>-439.432602147049</v>
      </c>
      <c r="C197" s="15" t="s">
        <v>206</v>
      </c>
    </row>
    <row r="198">
      <c r="B198" s="15">
        <f>POISSON(15,15,1)</f>
        <v>0.568089575608545</v>
      </c>
      <c r="C198" s="15" t="s">
        <v>207</v>
      </c>
    </row>
    <row r="199">
      <c r="B199" s="15">
        <f>POWER(3,2)</f>
        <v>9</v>
      </c>
      <c r="C199" s="15" t="s">
        <v>208</v>
      </c>
    </row>
    <row r="200">
      <c r="B200" s="15">
        <f>PRICE(DATE(97,4,19),DATE(2001,11,25),0.05,0.075,100,4)</f>
        <v>90.3467579943354</v>
      </c>
      <c r="C200" s="15" t="s">
        <v>209</v>
      </c>
    </row>
    <row r="201">
      <c r="B201" s="15" t="str">
        <f>PROPER("3rd Quarter")</f>
        <v>3Rd Quarter</v>
      </c>
      <c r="C201" s="15" t="s">
        <v>210</v>
      </c>
    </row>
    <row r="202">
      <c r="B202" s="15">
        <f>PV(8%/12,48,439.43)</f>
        <v>-17999.8934110791</v>
      </c>
      <c r="C202" s="15" t="s">
        <v>211</v>
      </c>
    </row>
    <row r="203">
      <c r="B203" s="15">
        <f>QUOTIENT(9,7)</f>
        <v>1</v>
      </c>
      <c r="C203" s="15" t="s">
        <v>212</v>
      </c>
    </row>
    <row r="204">
      <c r="B204" s="15">
        <f>RADIANS(-180)</f>
        <v>-3.14159265358979</v>
      </c>
      <c r="C204" s="15" t="s">
        <v>213</v>
      </c>
    </row>
    <row r="205">
      <c r="B205" s="15">
        <f>RAND()*10</f>
        <v>3.42686030707642</v>
      </c>
      <c r="C205" s="15" t="s">
        <v>214</v>
      </c>
    </row>
    <row r="206">
      <c r="B206" s="15">
        <f>RANDBETWEEN(15,47)</f>
        <v>30</v>
      </c>
      <c r="C206" s="15" t="s">
        <v>215</v>
      </c>
    </row>
    <row r="207">
      <c r="B207" s="15">
        <f>RATE(48,-439.43,18000)</f>
        <v>0.00666641002115829</v>
      </c>
      <c r="C207" s="15" t="s">
        <v>216</v>
      </c>
    </row>
    <row r="208">
      <c r="B208" s="15">
        <f>RECEIVED(DATE(94,1,1),DATE(97,10,1),50,0.0575)</f>
        <v>63.7450199203187</v>
      </c>
      <c r="C208" s="15" t="s">
        <v>217</v>
      </c>
    </row>
    <row r="209">
      <c r="B209" s="15" t="str">
        <f>REPLACE("For the year: 1993",18,1,"4")</f>
        <v>For the year: 1994</v>
      </c>
      <c r="C209" s="15" t="s">
        <v>218</v>
      </c>
    </row>
    <row r="210">
      <c r="B210" s="15" t="str">
        <f>REPT("error-",3)</f>
        <v>error-error-error-</v>
      </c>
      <c r="C210" s="15" t="s">
        <v>219</v>
      </c>
    </row>
    <row r="211">
      <c r="B211" s="15" t="str">
        <f>RIGHT("2nd Quarter")</f>
        <v>r</v>
      </c>
      <c r="C211" s="15" t="s">
        <v>220</v>
      </c>
    </row>
    <row r="212">
      <c r="B212" s="15" t="str">
        <f>ROMAN(499)</f>
        <v>CDXCIX</v>
      </c>
      <c r="C212" s="15" t="s">
        <v>221</v>
      </c>
    </row>
    <row r="213">
      <c r="B213" s="15">
        <f>ROUND(123.456,2)</f>
        <v>123.46</v>
      </c>
      <c r="C213" s="15" t="s">
        <v>222</v>
      </c>
    </row>
    <row r="214">
      <c r="B214" s="15">
        <f>ROUNDDOWN(3.14159,3)</f>
        <v>3.141</v>
      </c>
      <c r="C214" s="15" t="s">
        <v>223</v>
      </c>
    </row>
    <row r="215">
      <c r="B215" s="15">
        <f>ROUNDUP(76.9,0)</f>
        <v>77</v>
      </c>
      <c r="C215" s="15" t="s">
        <v>224</v>
      </c>
    </row>
    <row r="216">
      <c r="B216" s="15">
        <f>ROW(B3)</f>
        <v>3</v>
      </c>
      <c r="C216" s="15" t="s">
        <v>225</v>
      </c>
    </row>
    <row r="217">
      <c r="B217" s="15">
        <f>ROWS(A1:D5)</f>
        <v>5</v>
      </c>
      <c r="C217" s="15" t="s">
        <v>226</v>
      </c>
    </row>
    <row r="218">
      <c r="B218" s="15">
        <f>SEARCH("?5","Bin b45")</f>
        <v>6</v>
      </c>
      <c r="C218" s="15" t="s">
        <v>227</v>
      </c>
    </row>
    <row r="219">
      <c r="B219" s="15">
        <f>SECOND(0.259)</f>
        <v>58</v>
      </c>
      <c r="C219" s="15" t="s">
        <v>228</v>
      </c>
    </row>
    <row r="220">
      <c r="B220" s="15">
        <f>SIGN(-123)</f>
        <v>-1</v>
      </c>
      <c r="C220" s="15" t="s">
        <v>229</v>
      </c>
    </row>
    <row r="221">
      <c r="B221" s="15">
        <f>SIN(45)</f>
        <v>0.850903524534118</v>
      </c>
      <c r="C221" s="15" t="s">
        <v>230</v>
      </c>
    </row>
    <row r="222">
      <c r="B222" s="15">
        <f>SINH(1)</f>
        <v>1.1752011936438</v>
      </c>
      <c r="C222" s="15" t="s">
        <v>231</v>
      </c>
    </row>
    <row r="223">
      <c r="B223" s="15">
        <f>SLN(10000,1000,7)</f>
        <v>1285.71428571429</v>
      </c>
      <c r="C223" s="15" t="s">
        <v>232</v>
      </c>
    </row>
    <row r="224">
      <c r="B224" s="15">
        <f>SQRT(9)</f>
        <v>3</v>
      </c>
      <c r="C224" s="15" t="s">
        <v>233</v>
      </c>
    </row>
    <row r="225">
      <c r="B225" s="15">
        <f>SQRTPI(2)</f>
        <v>2.506628274631</v>
      </c>
      <c r="C225" s="15" t="s">
        <v>234</v>
      </c>
    </row>
    <row r="226">
      <c r="B226" s="15">
        <f>STANDARDIZE(95,50,4)</f>
        <v>11.25</v>
      </c>
      <c r="C226" s="15" t="s">
        <v>235</v>
      </c>
    </row>
    <row r="227">
      <c r="B227" s="15">
        <f>STDEV(4,3,3,3.5,2.5,4,3.5)</f>
        <v>0.556348640264187</v>
      </c>
      <c r="C227" s="15" t="s">
        <v>236</v>
      </c>
    </row>
    <row r="228">
      <c r="B228" s="15">
        <f>STDEVA(4,3,3,3.5,2.5,"4.0",3.5)</f>
        <v>0.556348640264187</v>
      </c>
      <c r="C228" s="15" t="s">
        <v>237</v>
      </c>
    </row>
    <row r="229">
      <c r="B229" s="15">
        <f>STDEVP(4,3,3,3.5,2.5,4,3.5)</f>
        <v>0.515078753637713</v>
      </c>
      <c r="C229" s="15" t="s">
        <v>238</v>
      </c>
    </row>
    <row r="230">
      <c r="B230" s="15">
        <f>STDEVPA(4,3,3,3.5,2.5,"4.0",3.5)</f>
        <v>0.515078753637713</v>
      </c>
      <c r="C230" s="15" t="s">
        <v>239</v>
      </c>
    </row>
    <row r="231">
      <c r="B231" s="15">
        <f>SUBTOTAL(1,E2:E5)</f>
        <v>750</v>
      </c>
      <c r="C231" s="15" t="s">
        <v>240</v>
      </c>
    </row>
    <row r="232">
      <c r="B232" s="15">
        <f>SUM(1000,2000,3000)</f>
        <v>6000</v>
      </c>
      <c r="C232" s="15" t="s">
        <v>241</v>
      </c>
    </row>
    <row r="233">
      <c r="B233" s="15">
        <f>SUMIF(A1:B2,"=0",A4:B5)</f>
        <v>0</v>
      </c>
      <c r="C233" s="15" t="s">
        <v>242</v>
      </c>
    </row>
    <row r="234">
      <c r="B234" s="15">
        <f>SUMPRODUCT(E2:E3)</f>
        <v>40000</v>
      </c>
      <c r="C234" s="15" t="s">
        <v>243</v>
      </c>
    </row>
    <row r="235">
      <c r="B235" s="15">
        <f>SUMSQ(9,10,11)</f>
        <v>302</v>
      </c>
      <c r="C235" s="15" t="s">
        <v>244</v>
      </c>
    </row>
    <row r="236">
      <c r="B236" s="15">
        <f>SYD(10000,1000,7,3)</f>
        <v>1607.14285714286</v>
      </c>
      <c r="C236" s="15" t="s">
        <v>245</v>
      </c>
    </row>
    <row r="237">
      <c r="B237" s="15" t="str">
        <f>T("Report")</f>
        <v>Report</v>
      </c>
      <c r="C237" s="15" t="s">
        <v>246</v>
      </c>
    </row>
    <row r="238">
      <c r="B238" s="15">
        <f>TAN(0.645)</f>
        <v>0.752344655053518</v>
      </c>
      <c r="C238" s="15" t="s">
        <v>247</v>
      </c>
    </row>
    <row r="239">
      <c r="B239" s="15">
        <f>TANH(-2)</f>
        <v>-0.964027580075817</v>
      </c>
      <c r="C239" s="15" t="s">
        <v>248</v>
      </c>
    </row>
    <row r="240">
      <c r="B240" s="15">
        <f>TDIST(1.75,3,1)</f>
        <v>0.0892127130491357</v>
      </c>
      <c r="C240" s="15" t="s">
        <v>249</v>
      </c>
    </row>
    <row r="241">
      <c r="B241" s="15" t="str">
        <f>TEXT(123.62,"0.000")</f>
        <v>123.620</v>
      </c>
      <c r="C241" s="15" t="s">
        <v>250</v>
      </c>
    </row>
    <row r="242">
      <c r="B242" s="15">
        <f>TIME(12,26,24)</f>
        <v>0.518333333333333</v>
      </c>
      <c r="C242" s="15" t="s">
        <v>251</v>
      </c>
    </row>
    <row r="243">
      <c r="B243" s="15">
        <f>TIMEVALUE("1:43:43 am")</f>
        <v>0.072025462962963</v>
      </c>
      <c r="C243" s="15" t="s">
        <v>252</v>
      </c>
    </row>
    <row r="244">
      <c r="B244" s="15">
        <f>TINV(0.01,2)</f>
        <v>9.92484320091829</v>
      </c>
      <c r="C244" s="15" t="s">
        <v>253</v>
      </c>
    </row>
    <row r="245">
      <c r="B245" s="15">
        <f>TODAY()</f>
        <v>42792</v>
      </c>
      <c r="C245" s="15" t="s">
        <v>254</v>
      </c>
    </row>
    <row r="246">
      <c r="B246" s="15" t="str">
        <f>TRIM(" Level 3, Gate 45 ")</f>
        <v>Level 3, Gate 45</v>
      </c>
      <c r="C246" s="15" t="s">
        <v>255</v>
      </c>
    </row>
    <row r="247">
      <c r="B247" s="15" t="b">
        <f>TRUE()</f>
        <v>1</v>
      </c>
      <c r="C247" s="15" t="s">
        <v>256</v>
      </c>
    </row>
    <row r="248">
      <c r="B248" s="15">
        <f>TRUNC(123.456,2)</f>
        <v>123.45</v>
      </c>
      <c r="C248" s="15" t="s">
        <v>257</v>
      </c>
    </row>
    <row r="249">
      <c r="B249" s="15">
        <f>TYPE(A1)</f>
        <v>1</v>
      </c>
      <c r="C249" s="15" t="s">
        <v>258</v>
      </c>
    </row>
    <row r="250">
      <c r="B250" s="15" t="str">
        <f>UPPER("3rd Quarter")</f>
        <v>3RD QUARTER</v>
      </c>
      <c r="C250" s="15" t="s">
        <v>259</v>
      </c>
    </row>
    <row r="251">
      <c r="B251" s="15" t="str">
        <f>USDOLLAR(1023.789)</f>
        <v>$1,023.79</v>
      </c>
      <c r="C251" s="15" t="s">
        <v>260</v>
      </c>
    </row>
    <row r="252">
      <c r="B252" s="15">
        <f>VALUE(9800)</f>
        <v>9800</v>
      </c>
      <c r="C252" s="15" t="s">
        <v>261</v>
      </c>
    </row>
    <row r="253">
      <c r="B253" s="15">
        <f>VAR(4,3,3.5,2.5)</f>
        <v>0.416666666666667</v>
      </c>
      <c r="C253" s="15" t="s">
        <v>262</v>
      </c>
    </row>
    <row r="254">
      <c r="B254" s="15">
        <f>VARA(4,3,"3.5",2.5)</f>
        <v>0.416666666666667</v>
      </c>
      <c r="C254" s="15" t="s">
        <v>263</v>
      </c>
    </row>
    <row r="255">
      <c r="B255" s="15">
        <f>VARP(4,3,3.5,2.5)</f>
        <v>0.3125</v>
      </c>
      <c r="C255" s="15" t="s">
        <v>264</v>
      </c>
    </row>
    <row r="256">
      <c r="B256" s="15">
        <f>VARPA(4,3,"3.5",2.5)</f>
        <v>0.3125</v>
      </c>
      <c r="C256" s="15" t="s">
        <v>265</v>
      </c>
    </row>
    <row r="257">
      <c r="B257" s="15">
        <f>VDB(10000,1000,7,3,4)</f>
        <v>1041.23281965848</v>
      </c>
      <c r="C257" s="15" t="s">
        <v>266</v>
      </c>
    </row>
    <row r="258">
      <c r="B258" s="15">
        <f>VLOOKUP("Jone",D2:E5,2)</f>
        <v>25000</v>
      </c>
      <c r="C258" s="15" t="s">
        <v>267</v>
      </c>
    </row>
    <row r="259">
      <c r="B259" s="15">
        <f>WEEKDAY(34399.92)</f>
        <v>1</v>
      </c>
      <c r="C259" s="15" t="s">
        <v>268</v>
      </c>
    </row>
    <row r="260">
      <c r="B260" s="15">
        <f>WEIBULL(100,3,120,TRUE)</f>
        <v>0.439375368630229</v>
      </c>
      <c r="C260" s="15" t="s">
        <v>269</v>
      </c>
    </row>
    <row r="261">
      <c r="B261" s="15">
        <f>WORKDAY(DATEVALUE("2007/01/03"),5)</f>
        <v>39092</v>
      </c>
      <c r="C261" s="15" t="s">
        <v>270</v>
      </c>
    </row>
    <row r="262">
      <c r="B262" s="15">
        <f>YEAR(34328)</f>
        <v>1993</v>
      </c>
      <c r="C262" s="15" t="s">
        <v>271</v>
      </c>
    </row>
    <row r="263">
      <c r="B263" s="15">
        <f>YEARFRAC(DATE(97,1,11),DATE(97,5,15))</f>
        <v>0.344444444444444</v>
      </c>
      <c r="C263" s="15" t="s">
        <v>272</v>
      </c>
    </row>
    <row r="264">
      <c r="B264" s="15">
        <f>YIELD(DATE(97,5,6),DATE(99,12,31),0.06,0.92,100,4)</f>
        <v>5.64592520378481</v>
      </c>
      <c r="C264" s="15" t="s">
        <v>273</v>
      </c>
    </row>
    <row r="265">
      <c r="B265" s="15">
        <f>YIELDDISC(DATE(94,10,23),DATE(95,7,7),98.31,100)</f>
        <v>0.0243645162297953</v>
      </c>
      <c r="C265" s="15" t="s">
        <v>274</v>
      </c>
    </row>
    <row r="266">
      <c r="B266" s="15">
        <f>ZTEST({1,2,3},4)</f>
        <v>0.99973399724743</v>
      </c>
      <c r="C266" s="15" t="s">
        <v>275</v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