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delasotta/git/hipocrates/docs/plan-de-proyecto/anexos/"/>
    </mc:Choice>
  </mc:AlternateContent>
  <bookViews>
    <workbookView xWindow="1200" yWindow="460" windowWidth="37200" windowHeight="21140" tabRatio="500" activeTab="1"/>
  </bookViews>
  <sheets>
    <sheet name="inversion inicial" sheetId="7" r:id="rId1"/>
    <sheet name="ingreso por ahorro" sheetId="1" r:id="rId2"/>
    <sheet name="costo fijo" sheetId="6" r:id="rId3"/>
    <sheet name="flujo de caja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2" i="1" l="1"/>
  <c r="H41" i="1"/>
  <c r="H19" i="1"/>
  <c r="H40" i="1"/>
  <c r="H18" i="1"/>
  <c r="G3" i="1"/>
  <c r="H3" i="1"/>
  <c r="D3" i="1"/>
  <c r="I3" i="1"/>
  <c r="G4" i="1"/>
  <c r="H4" i="1"/>
  <c r="D4" i="1"/>
  <c r="I4" i="1"/>
  <c r="G5" i="1"/>
  <c r="H5" i="1"/>
  <c r="D5" i="1"/>
  <c r="I5" i="1"/>
  <c r="G6" i="1"/>
  <c r="H6" i="1"/>
  <c r="D6" i="1"/>
  <c r="I6" i="1"/>
  <c r="E7" i="1"/>
  <c r="G7" i="1"/>
  <c r="H7" i="1"/>
  <c r="D7" i="1"/>
  <c r="I7" i="1"/>
  <c r="G8" i="1"/>
  <c r="H8" i="1"/>
  <c r="D8" i="1"/>
  <c r="I8" i="1"/>
  <c r="G9" i="1"/>
  <c r="H9" i="1"/>
  <c r="D9" i="1"/>
  <c r="I9" i="1"/>
  <c r="G10" i="1"/>
  <c r="H10" i="1"/>
  <c r="D10" i="1"/>
  <c r="I10" i="1"/>
  <c r="G11" i="1"/>
  <c r="H11" i="1"/>
  <c r="D11" i="1"/>
  <c r="I11" i="1"/>
  <c r="G12" i="1"/>
  <c r="H12" i="1"/>
  <c r="D12" i="1"/>
  <c r="I12" i="1"/>
  <c r="G13" i="1"/>
  <c r="H13" i="1"/>
  <c r="D13" i="1"/>
  <c r="I13" i="1"/>
  <c r="G14" i="1"/>
  <c r="H14" i="1"/>
  <c r="D14" i="1"/>
  <c r="I14" i="1"/>
  <c r="G15" i="1"/>
  <c r="H15" i="1"/>
  <c r="D15" i="1"/>
  <c r="I15" i="1"/>
  <c r="G16" i="1"/>
  <c r="H16" i="1"/>
  <c r="D16" i="1"/>
  <c r="I16" i="1"/>
  <c r="G17" i="1"/>
  <c r="H17" i="1"/>
  <c r="D17" i="1"/>
  <c r="I17" i="1"/>
  <c r="I18" i="1"/>
  <c r="M43" i="1"/>
  <c r="E25" i="1"/>
  <c r="G25" i="1"/>
  <c r="H25" i="1"/>
  <c r="D25" i="1"/>
  <c r="I25" i="1"/>
  <c r="E26" i="1"/>
  <c r="G26" i="1"/>
  <c r="H26" i="1"/>
  <c r="D26" i="1"/>
  <c r="I26" i="1"/>
  <c r="G27" i="1"/>
  <c r="H27" i="1"/>
  <c r="D27" i="1"/>
  <c r="I27" i="1"/>
  <c r="E28" i="1"/>
  <c r="G28" i="1"/>
  <c r="H28" i="1"/>
  <c r="D28" i="1"/>
  <c r="I28" i="1"/>
  <c r="G29" i="1"/>
  <c r="H29" i="1"/>
  <c r="D29" i="1"/>
  <c r="I29" i="1"/>
  <c r="G30" i="1"/>
  <c r="H30" i="1"/>
  <c r="D30" i="1"/>
  <c r="I30" i="1"/>
  <c r="G31" i="1"/>
  <c r="H31" i="1"/>
  <c r="D31" i="1"/>
  <c r="I31" i="1"/>
  <c r="G32" i="1"/>
  <c r="H32" i="1"/>
  <c r="D32" i="1"/>
  <c r="I32" i="1"/>
  <c r="G33" i="1"/>
  <c r="H33" i="1"/>
  <c r="D33" i="1"/>
  <c r="I33" i="1"/>
  <c r="E34" i="1"/>
  <c r="G34" i="1"/>
  <c r="H34" i="1"/>
  <c r="D34" i="1"/>
  <c r="I34" i="1"/>
  <c r="G35" i="1"/>
  <c r="H35" i="1"/>
  <c r="D35" i="1"/>
  <c r="I35" i="1"/>
  <c r="E36" i="1"/>
  <c r="G36" i="1"/>
  <c r="H36" i="1"/>
  <c r="D36" i="1"/>
  <c r="I36" i="1"/>
  <c r="E37" i="1"/>
  <c r="G37" i="1"/>
  <c r="H37" i="1"/>
  <c r="D37" i="1"/>
  <c r="I37" i="1"/>
  <c r="E38" i="1"/>
  <c r="G38" i="1"/>
  <c r="H38" i="1"/>
  <c r="D38" i="1"/>
  <c r="I38" i="1"/>
  <c r="G39" i="1"/>
  <c r="H39" i="1"/>
  <c r="D39" i="1"/>
  <c r="I39" i="1"/>
  <c r="I40" i="1"/>
  <c r="M44" i="1"/>
  <c r="M45" i="1"/>
  <c r="N2" i="3"/>
  <c r="M2" i="3"/>
  <c r="L2" i="3"/>
  <c r="K2" i="3"/>
  <c r="J2" i="3"/>
  <c r="I2" i="3"/>
  <c r="H2" i="3"/>
  <c r="G2" i="3"/>
  <c r="F2" i="3"/>
  <c r="E2" i="3"/>
  <c r="D2" i="3"/>
  <c r="C2" i="3"/>
  <c r="B2" i="6"/>
  <c r="B3" i="6"/>
  <c r="B5" i="6"/>
  <c r="C3" i="3"/>
  <c r="C4" i="3"/>
  <c r="C5" i="3"/>
  <c r="C6" i="3"/>
  <c r="C8" i="3"/>
  <c r="D3" i="3"/>
  <c r="D4" i="3"/>
  <c r="D5" i="3"/>
  <c r="D6" i="3"/>
  <c r="D8" i="3"/>
  <c r="E3" i="3"/>
  <c r="E4" i="3"/>
  <c r="E5" i="3"/>
  <c r="E6" i="3"/>
  <c r="E8" i="3"/>
  <c r="F3" i="3"/>
  <c r="F4" i="3"/>
  <c r="F5" i="3"/>
  <c r="F6" i="3"/>
  <c r="F8" i="3"/>
  <c r="G3" i="3"/>
  <c r="G4" i="3"/>
  <c r="G5" i="3"/>
  <c r="G6" i="3"/>
  <c r="G8" i="3"/>
  <c r="H3" i="3"/>
  <c r="H4" i="3"/>
  <c r="H5" i="3"/>
  <c r="H6" i="3"/>
  <c r="H8" i="3"/>
  <c r="I3" i="3"/>
  <c r="I4" i="3"/>
  <c r="I5" i="3"/>
  <c r="I6" i="3"/>
  <c r="I8" i="3"/>
  <c r="J3" i="3"/>
  <c r="J4" i="3"/>
  <c r="J5" i="3"/>
  <c r="J6" i="3"/>
  <c r="J8" i="3"/>
  <c r="K3" i="3"/>
  <c r="K4" i="3"/>
  <c r="K5" i="3"/>
  <c r="K6" i="3"/>
  <c r="K8" i="3"/>
  <c r="L3" i="3"/>
  <c r="L4" i="3"/>
  <c r="L5" i="3"/>
  <c r="L6" i="3"/>
  <c r="L8" i="3"/>
  <c r="M3" i="3"/>
  <c r="M4" i="3"/>
  <c r="M5" i="3"/>
  <c r="M6" i="3"/>
  <c r="M8" i="3"/>
  <c r="N3" i="3"/>
  <c r="N4" i="3"/>
  <c r="N5" i="3"/>
  <c r="N6" i="3"/>
  <c r="N8" i="3"/>
  <c r="B3" i="7"/>
  <c r="B4" i="7"/>
  <c r="B5" i="7"/>
  <c r="B6" i="7"/>
  <c r="B7" i="7"/>
  <c r="B8" i="7"/>
  <c r="B10" i="7"/>
  <c r="B7" i="3"/>
  <c r="B8" i="3"/>
  <c r="B9" i="3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6" i="1"/>
  <c r="F25" i="1"/>
</calcChain>
</file>

<file path=xl/sharedStrings.xml><?xml version="1.0" encoding="utf-8"?>
<sst xmlns="http://schemas.openxmlformats.org/spreadsheetml/2006/main" count="107" uniqueCount="53">
  <si>
    <t>Costo mensual</t>
  </si>
  <si>
    <t>Operador</t>
  </si>
  <si>
    <t>Médico</t>
  </si>
  <si>
    <t>Enfermero</t>
  </si>
  <si>
    <t>Tecnólogo</t>
  </si>
  <si>
    <t>Agendar atencion</t>
  </si>
  <si>
    <t>Abrir y cerrar cajas</t>
  </si>
  <si>
    <t>Reporte de cajas</t>
  </si>
  <si>
    <t>Pago honorarios</t>
  </si>
  <si>
    <t>Entrega examen</t>
  </si>
  <si>
    <t>Buscar ficha médica</t>
  </si>
  <si>
    <t>Generar agenda diaria</t>
  </si>
  <si>
    <t>Consultar por seguro</t>
  </si>
  <si>
    <t>Pago atención</t>
  </si>
  <si>
    <t>Devolución de pago</t>
  </si>
  <si>
    <t>Anulación de atención</t>
  </si>
  <si>
    <t>Actualizar ficha médica</t>
  </si>
  <si>
    <t>Medico</t>
  </si>
  <si>
    <t>Jefe de operadores</t>
  </si>
  <si>
    <t>Minutos</t>
  </si>
  <si>
    <t>Q diarias</t>
  </si>
  <si>
    <t>Q mensual</t>
  </si>
  <si>
    <t>Q minutos mensual</t>
  </si>
  <si>
    <t>$ minuto</t>
  </si>
  <si>
    <t>Total</t>
  </si>
  <si>
    <t>Procesos vigentes</t>
  </si>
  <si>
    <t>Procesos propuestos</t>
  </si>
  <si>
    <t>Recurso</t>
  </si>
  <si>
    <t>Proceso</t>
  </si>
  <si>
    <t>Ingreso operacional</t>
  </si>
  <si>
    <t>costo fijo</t>
  </si>
  <si>
    <t>utilidad bruta</t>
  </si>
  <si>
    <t>utilidad neta</t>
  </si>
  <si>
    <t>inversión fija</t>
  </si>
  <si>
    <t>flujo</t>
  </si>
  <si>
    <t>VAN(al 10%)</t>
  </si>
  <si>
    <t>IVA</t>
  </si>
  <si>
    <t>Amazon AWS EC2</t>
  </si>
  <si>
    <t>Mensual</t>
  </si>
  <si>
    <t>Amazon AWS RDS</t>
  </si>
  <si>
    <t>Desarrollo software</t>
  </si>
  <si>
    <t>Implantación</t>
  </si>
  <si>
    <t>Capacitación operador</t>
  </si>
  <si>
    <t>Capacitación médico</t>
  </si>
  <si>
    <t>Capacitación jefe de operadores</t>
  </si>
  <si>
    <t>Capacitación efermero</t>
  </si>
  <si>
    <t>Capacitación tecnólogo</t>
  </si>
  <si>
    <t>Costo del sistema</t>
  </si>
  <si>
    <t>Payback</t>
  </si>
  <si>
    <t>$ mensual</t>
  </si>
  <si>
    <t>Costo mensual de procesos vigentes</t>
  </si>
  <si>
    <t>Costo mensual de procesos propuestos</t>
  </si>
  <si>
    <t>Ahorro proyectado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</si>
</sst>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CLP&quot;* #,##0_);_(&quot;CLP&quot;* \(#,##0\);_(&quot;CLP&quot;* &quot;-&quot;_);_(@_)"/>
    <numFmt numFmtId="164" formatCode="_([$$-409]* #,##0.00_);_([$$-409]* \(#,##0.00\);_([$$-409]* &quot;-&quot;??_);_(@_)"/>
    <numFmt numFmtId="165" formatCode="_([$$-409]* #,##0_);_([$$-409]* \(#,##0\);_([$$-409]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2">
    <xf numFmtId="0" fontId="0" fillId="0" borderId="0"/>
    <xf numFmtId="42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165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6" xfId="0" applyBorder="1"/>
    <xf numFmtId="0" fontId="2" fillId="0" borderId="3" xfId="0" applyFont="1" applyBorder="1"/>
    <xf numFmtId="0" fontId="2" fillId="0" borderId="4" xfId="0" applyFont="1" applyBorder="1"/>
    <xf numFmtId="165" fontId="2" fillId="0" borderId="5" xfId="0" applyNumberFormat="1" applyFont="1" applyBorder="1"/>
    <xf numFmtId="0" fontId="0" fillId="0" borderId="1" xfId="0" applyFill="1" applyBorder="1"/>
    <xf numFmtId="164" fontId="0" fillId="0" borderId="2" xfId="0" applyNumberFormat="1" applyBorder="1"/>
    <xf numFmtId="0" fontId="2" fillId="0" borderId="0" xfId="0" applyFont="1" applyBorder="1"/>
    <xf numFmtId="165" fontId="2" fillId="0" borderId="0" xfId="0" applyNumberFormat="1" applyFont="1" applyBorder="1"/>
    <xf numFmtId="0" fontId="2" fillId="0" borderId="7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Fill="1" applyBorder="1" applyAlignment="1">
      <alignment wrapText="1"/>
    </xf>
    <xf numFmtId="165" fontId="0" fillId="0" borderId="6" xfId="1" applyNumberFormat="1" applyFont="1" applyBorder="1" applyAlignment="1">
      <alignment wrapText="1"/>
    </xf>
    <xf numFmtId="164" fontId="0" fillId="0" borderId="6" xfId="0" applyNumberFormat="1" applyBorder="1" applyAlignment="1">
      <alignment wrapText="1"/>
    </xf>
    <xf numFmtId="165" fontId="0" fillId="0" borderId="6" xfId="0" applyNumberForma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Fill="1" applyBorder="1" applyAlignment="1">
      <alignment wrapText="1"/>
    </xf>
    <xf numFmtId="165" fontId="2" fillId="0" borderId="6" xfId="0" applyNumberFormat="1" applyFont="1" applyBorder="1" applyAlignment="1">
      <alignment wrapText="1"/>
    </xf>
    <xf numFmtId="164" fontId="0" fillId="0" borderId="2" xfId="0" applyNumberForma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5" fontId="2" fillId="0" borderId="5" xfId="0" applyNumberFormat="1" applyFont="1" applyBorder="1" applyAlignment="1">
      <alignment wrapText="1"/>
    </xf>
    <xf numFmtId="165" fontId="0" fillId="0" borderId="6" xfId="0" applyNumberFormat="1" applyBorder="1"/>
    <xf numFmtId="0" fontId="2" fillId="0" borderId="6" xfId="0" applyFont="1" applyBorder="1"/>
    <xf numFmtId="165" fontId="2" fillId="0" borderId="6" xfId="0" applyNumberFormat="1" applyFont="1" applyBorder="1"/>
    <xf numFmtId="0" fontId="5" fillId="0" borderId="6" xfId="0" applyFont="1" applyBorder="1" applyAlignment="1">
      <alignment wrapText="1"/>
    </xf>
    <xf numFmtId="0" fontId="5" fillId="0" borderId="6" xfId="0" applyFont="1" applyBorder="1"/>
    <xf numFmtId="165" fontId="5" fillId="0" borderId="6" xfId="0" applyNumberFormat="1" applyFont="1" applyBorder="1"/>
    <xf numFmtId="164" fontId="5" fillId="0" borderId="0" xfId="0" applyNumberFormat="1" applyFont="1" applyBorder="1"/>
    <xf numFmtId="165" fontId="5" fillId="0" borderId="0" xfId="0" applyNumberFormat="1" applyFont="1" applyBorder="1"/>
    <xf numFmtId="0" fontId="5" fillId="0" borderId="0" xfId="0" applyFont="1"/>
    <xf numFmtId="0" fontId="5" fillId="0" borderId="6" xfId="0" applyFont="1" applyFill="1" applyBorder="1" applyAlignment="1">
      <alignment wrapText="1"/>
    </xf>
    <xf numFmtId="9" fontId="5" fillId="0" borderId="6" xfId="0" applyNumberFormat="1" applyFont="1" applyBorder="1"/>
    <xf numFmtId="0" fontId="0" fillId="0" borderId="8" xfId="0" applyFill="1" applyBorder="1" applyAlignment="1">
      <alignment wrapText="1"/>
    </xf>
  </cellXfs>
  <cellStyles count="32">
    <cellStyle name="Currency [0]" xfId="1" builtinId="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zoomScale="163" workbookViewId="0">
      <selection activeCell="B8" sqref="B8"/>
    </sheetView>
  </sheetViews>
  <sheetFormatPr baseColWidth="10" defaultRowHeight="16" x14ac:dyDescent="0.2"/>
  <cols>
    <col min="1" max="1" width="27.6640625" bestFit="1" customWidth="1"/>
    <col min="2" max="2" width="15.1640625" bestFit="1" customWidth="1"/>
  </cols>
  <sheetData>
    <row r="2" spans="1:2" x14ac:dyDescent="0.2">
      <c r="A2" s="4" t="s">
        <v>40</v>
      </c>
      <c r="B2" s="28">
        <v>13416000</v>
      </c>
    </row>
    <row r="3" spans="1:2" x14ac:dyDescent="0.2">
      <c r="A3" s="4" t="s">
        <v>41</v>
      </c>
      <c r="B3" s="28">
        <f>13000*8</f>
        <v>104000</v>
      </c>
    </row>
    <row r="4" spans="1:2" x14ac:dyDescent="0.2">
      <c r="A4" s="4" t="s">
        <v>43</v>
      </c>
      <c r="B4" s="28">
        <f>'ingreso por ahorro'!C26/20</f>
        <v>50000</v>
      </c>
    </row>
    <row r="5" spans="1:2" x14ac:dyDescent="0.2">
      <c r="A5" s="4" t="s">
        <v>42</v>
      </c>
      <c r="B5" s="28">
        <f>'ingreso por ahorro'!C25/20</f>
        <v>22500</v>
      </c>
    </row>
    <row r="6" spans="1:2" x14ac:dyDescent="0.2">
      <c r="A6" s="4" t="s">
        <v>44</v>
      </c>
      <c r="B6" s="28">
        <f>'ingreso por ahorro'!C28/20</f>
        <v>37500</v>
      </c>
    </row>
    <row r="7" spans="1:2" x14ac:dyDescent="0.2">
      <c r="A7" s="4" t="s">
        <v>45</v>
      </c>
      <c r="B7" s="28">
        <f>'ingreso por ahorro'!C33/20</f>
        <v>35000</v>
      </c>
    </row>
    <row r="8" spans="1:2" x14ac:dyDescent="0.2">
      <c r="A8" s="4" t="s">
        <v>46</v>
      </c>
      <c r="B8" s="28">
        <f>'ingreso por ahorro'!C32/20</f>
        <v>30000</v>
      </c>
    </row>
    <row r="9" spans="1:2" x14ac:dyDescent="0.2">
      <c r="A9" s="4"/>
      <c r="B9" s="4"/>
    </row>
    <row r="10" spans="1:2" x14ac:dyDescent="0.2">
      <c r="A10" s="29" t="s">
        <v>47</v>
      </c>
      <c r="B10" s="30">
        <f>SUM(B2:B9)</f>
        <v>13695000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A8" zoomScale="75" zoomScaleNormal="175" zoomScalePageLayoutView="175" workbookViewId="0">
      <selection activeCell="H43" sqref="H43"/>
    </sheetView>
  </sheetViews>
  <sheetFormatPr baseColWidth="10" defaultRowHeight="16" x14ac:dyDescent="0.2"/>
  <cols>
    <col min="1" max="1" width="14.1640625" customWidth="1"/>
    <col min="2" max="2" width="13.6640625" customWidth="1"/>
    <col min="3" max="3" width="11.33203125" bestFit="1" customWidth="1"/>
    <col min="4" max="4" width="9.33203125" bestFit="1" customWidth="1"/>
    <col min="5" max="5" width="12.6640625" bestFit="1" customWidth="1"/>
    <col min="6" max="6" width="8.1640625" bestFit="1" customWidth="1"/>
    <col min="7" max="7" width="9.83203125" bestFit="1" customWidth="1"/>
    <col min="8" max="8" width="10.1640625" customWidth="1"/>
    <col min="9" max="9" width="13" bestFit="1" customWidth="1"/>
    <col min="12" max="12" width="33.33203125" bestFit="1" customWidth="1"/>
    <col min="13" max="13" width="11.6640625" bestFit="1" customWidth="1"/>
  </cols>
  <sheetData>
    <row r="1" spans="1:9" ht="32" x14ac:dyDescent="0.2">
      <c r="A1" s="12" t="s">
        <v>25</v>
      </c>
      <c r="B1" s="13"/>
      <c r="C1" s="13"/>
      <c r="D1" s="13"/>
      <c r="E1" s="13"/>
      <c r="F1" s="13"/>
      <c r="G1" s="13"/>
      <c r="H1" s="13"/>
      <c r="I1" s="13"/>
    </row>
    <row r="2" spans="1:9" ht="32" x14ac:dyDescent="0.2">
      <c r="A2" s="21" t="s">
        <v>28</v>
      </c>
      <c r="B2" s="21" t="s">
        <v>27</v>
      </c>
      <c r="C2" s="21" t="s">
        <v>49</v>
      </c>
      <c r="D2" s="21" t="s">
        <v>23</v>
      </c>
      <c r="E2" s="21" t="s">
        <v>19</v>
      </c>
      <c r="F2" s="21" t="s">
        <v>20</v>
      </c>
      <c r="G2" s="21" t="s">
        <v>21</v>
      </c>
      <c r="H2" s="21" t="s">
        <v>22</v>
      </c>
      <c r="I2" s="21" t="s">
        <v>0</v>
      </c>
    </row>
    <row r="3" spans="1:9" ht="32" x14ac:dyDescent="0.2">
      <c r="A3" s="14" t="s">
        <v>5</v>
      </c>
      <c r="B3" s="14" t="s">
        <v>1</v>
      </c>
      <c r="C3" s="18">
        <v>450000</v>
      </c>
      <c r="D3" s="19">
        <f>C3/20/8/60</f>
        <v>46.875</v>
      </c>
      <c r="E3" s="14">
        <v>3</v>
      </c>
      <c r="F3" s="14">
        <v>110</v>
      </c>
      <c r="G3" s="14">
        <f t="shared" ref="G3:G12" si="0">F3*20</f>
        <v>2200</v>
      </c>
      <c r="H3" s="14">
        <f t="shared" ref="H3:H12" si="1">E3*G3</f>
        <v>6600</v>
      </c>
      <c r="I3" s="20">
        <f t="shared" ref="I3:I12" si="2">H3*D3</f>
        <v>309375</v>
      </c>
    </row>
    <row r="4" spans="1:9" ht="32" x14ac:dyDescent="0.2">
      <c r="A4" s="14" t="s">
        <v>5</v>
      </c>
      <c r="B4" s="14" t="s">
        <v>2</v>
      </c>
      <c r="C4" s="18">
        <v>1000000</v>
      </c>
      <c r="D4" s="19">
        <f t="shared" ref="D4:D12" si="3">C4/20/8/60</f>
        <v>104.16666666666667</v>
      </c>
      <c r="E4" s="14">
        <v>3</v>
      </c>
      <c r="F4" s="14">
        <v>25</v>
      </c>
      <c r="G4" s="14">
        <f t="shared" si="0"/>
        <v>500</v>
      </c>
      <c r="H4" s="14">
        <f t="shared" si="1"/>
        <v>1500</v>
      </c>
      <c r="I4" s="20">
        <f t="shared" si="2"/>
        <v>156250</v>
      </c>
    </row>
    <row r="5" spans="1:9" ht="32" x14ac:dyDescent="0.2">
      <c r="A5" s="14" t="s">
        <v>6</v>
      </c>
      <c r="B5" s="14" t="s">
        <v>1</v>
      </c>
      <c r="C5" s="18">
        <v>450000</v>
      </c>
      <c r="D5" s="19">
        <f t="shared" si="3"/>
        <v>46.875</v>
      </c>
      <c r="E5" s="14">
        <v>25</v>
      </c>
      <c r="F5" s="14">
        <v>2</v>
      </c>
      <c r="G5" s="14">
        <f t="shared" si="0"/>
        <v>40</v>
      </c>
      <c r="H5" s="14">
        <f t="shared" si="1"/>
        <v>1000</v>
      </c>
      <c r="I5" s="20">
        <f t="shared" si="2"/>
        <v>46875</v>
      </c>
    </row>
    <row r="6" spans="1:9" ht="32" x14ac:dyDescent="0.2">
      <c r="A6" s="14" t="s">
        <v>7</v>
      </c>
      <c r="B6" s="14" t="s">
        <v>18</v>
      </c>
      <c r="C6" s="18">
        <v>750000</v>
      </c>
      <c r="D6" s="19">
        <f t="shared" si="3"/>
        <v>78.125</v>
      </c>
      <c r="E6" s="14">
        <v>20</v>
      </c>
      <c r="F6" s="14">
        <v>1</v>
      </c>
      <c r="G6" s="14">
        <f t="shared" si="0"/>
        <v>20</v>
      </c>
      <c r="H6" s="14">
        <f t="shared" si="1"/>
        <v>400</v>
      </c>
      <c r="I6" s="20">
        <f t="shared" si="2"/>
        <v>31250</v>
      </c>
    </row>
    <row r="7" spans="1:9" ht="32" x14ac:dyDescent="0.2">
      <c r="A7" s="14" t="s">
        <v>8</v>
      </c>
      <c r="B7" s="14" t="s">
        <v>18</v>
      </c>
      <c r="C7" s="18">
        <v>750000</v>
      </c>
      <c r="D7" s="19">
        <f t="shared" si="3"/>
        <v>78.125</v>
      </c>
      <c r="E7" s="14">
        <f>60*6</f>
        <v>360</v>
      </c>
      <c r="F7" s="14">
        <v>0.05</v>
      </c>
      <c r="G7" s="14">
        <f t="shared" si="0"/>
        <v>1</v>
      </c>
      <c r="H7" s="14">
        <f t="shared" si="1"/>
        <v>360</v>
      </c>
      <c r="I7" s="20">
        <f t="shared" si="2"/>
        <v>28125</v>
      </c>
    </row>
    <row r="8" spans="1:9" ht="32" x14ac:dyDescent="0.2">
      <c r="A8" s="14" t="s">
        <v>16</v>
      </c>
      <c r="B8" s="14" t="s">
        <v>17</v>
      </c>
      <c r="C8" s="18">
        <v>1000000</v>
      </c>
      <c r="D8" s="19">
        <f t="shared" si="3"/>
        <v>104.16666666666667</v>
      </c>
      <c r="E8" s="14">
        <v>5</v>
      </c>
      <c r="F8" s="14">
        <v>45</v>
      </c>
      <c r="G8" s="14">
        <f t="shared" si="0"/>
        <v>900</v>
      </c>
      <c r="H8" s="14">
        <f t="shared" si="1"/>
        <v>4500</v>
      </c>
      <c r="I8" s="20">
        <f t="shared" si="2"/>
        <v>468750</v>
      </c>
    </row>
    <row r="9" spans="1:9" ht="32" x14ac:dyDescent="0.2">
      <c r="A9" s="14" t="s">
        <v>16</v>
      </c>
      <c r="B9" s="14" t="s">
        <v>3</v>
      </c>
      <c r="C9" s="18">
        <v>700000</v>
      </c>
      <c r="D9" s="19">
        <f t="shared" si="3"/>
        <v>72.916666666666671</v>
      </c>
      <c r="E9" s="14">
        <v>5</v>
      </c>
      <c r="F9" s="14">
        <v>25</v>
      </c>
      <c r="G9" s="14">
        <f t="shared" si="0"/>
        <v>500</v>
      </c>
      <c r="H9" s="14">
        <f t="shared" si="1"/>
        <v>2500</v>
      </c>
      <c r="I9" s="20">
        <f t="shared" si="2"/>
        <v>182291.66666666669</v>
      </c>
    </row>
    <row r="10" spans="1:9" ht="32" x14ac:dyDescent="0.2">
      <c r="A10" s="14" t="s">
        <v>16</v>
      </c>
      <c r="B10" s="14" t="s">
        <v>4</v>
      </c>
      <c r="C10" s="18">
        <v>600000</v>
      </c>
      <c r="D10" s="19">
        <f t="shared" si="3"/>
        <v>62.5</v>
      </c>
      <c r="E10" s="14">
        <v>5</v>
      </c>
      <c r="F10" s="14">
        <v>25</v>
      </c>
      <c r="G10" s="14">
        <f t="shared" si="0"/>
        <v>500</v>
      </c>
      <c r="H10" s="14">
        <f t="shared" si="1"/>
        <v>2500</v>
      </c>
      <c r="I10" s="20">
        <f t="shared" si="2"/>
        <v>156250</v>
      </c>
    </row>
    <row r="11" spans="1:9" ht="32" x14ac:dyDescent="0.2">
      <c r="A11" s="14" t="s">
        <v>9</v>
      </c>
      <c r="B11" s="14" t="s">
        <v>3</v>
      </c>
      <c r="C11" s="18">
        <v>700000</v>
      </c>
      <c r="D11" s="19">
        <f t="shared" si="3"/>
        <v>72.916666666666671</v>
      </c>
      <c r="E11" s="14">
        <v>10</v>
      </c>
      <c r="F11" s="14">
        <v>50</v>
      </c>
      <c r="G11" s="14">
        <f t="shared" si="0"/>
        <v>1000</v>
      </c>
      <c r="H11" s="14">
        <f t="shared" si="1"/>
        <v>10000</v>
      </c>
      <c r="I11" s="20">
        <f t="shared" si="2"/>
        <v>729166.66666666674</v>
      </c>
    </row>
    <row r="12" spans="1:9" ht="32" x14ac:dyDescent="0.2">
      <c r="A12" s="14" t="s">
        <v>10</v>
      </c>
      <c r="B12" s="14" t="s">
        <v>1</v>
      </c>
      <c r="C12" s="18">
        <v>450000</v>
      </c>
      <c r="D12" s="19">
        <f t="shared" si="3"/>
        <v>46.875</v>
      </c>
      <c r="E12" s="14">
        <v>5</v>
      </c>
      <c r="F12" s="14">
        <v>50</v>
      </c>
      <c r="G12" s="14">
        <f t="shared" si="0"/>
        <v>1000</v>
      </c>
      <c r="H12" s="14">
        <f t="shared" si="1"/>
        <v>5000</v>
      </c>
      <c r="I12" s="20">
        <f t="shared" si="2"/>
        <v>234375</v>
      </c>
    </row>
    <row r="13" spans="1:9" ht="32" x14ac:dyDescent="0.2">
      <c r="A13" s="14" t="s">
        <v>11</v>
      </c>
      <c r="B13" s="14" t="s">
        <v>1</v>
      </c>
      <c r="C13" s="18">
        <v>450000</v>
      </c>
      <c r="D13" s="19">
        <f>C13/20/8/60</f>
        <v>46.875</v>
      </c>
      <c r="E13" s="14">
        <v>20</v>
      </c>
      <c r="F13" s="14">
        <v>20</v>
      </c>
      <c r="G13" s="14">
        <f>F13*20</f>
        <v>400</v>
      </c>
      <c r="H13" s="14">
        <f>E13*G13</f>
        <v>8000</v>
      </c>
      <c r="I13" s="20">
        <f>H13*D13</f>
        <v>375000</v>
      </c>
    </row>
    <row r="14" spans="1:9" ht="32" x14ac:dyDescent="0.2">
      <c r="A14" s="14" t="s">
        <v>12</v>
      </c>
      <c r="B14" s="14" t="s">
        <v>1</v>
      </c>
      <c r="C14" s="18">
        <v>450000</v>
      </c>
      <c r="D14" s="19">
        <f>C14/20/8/60</f>
        <v>46.875</v>
      </c>
      <c r="E14" s="14">
        <v>3</v>
      </c>
      <c r="F14" s="14">
        <v>100</v>
      </c>
      <c r="G14" s="14">
        <f>F14*20</f>
        <v>2000</v>
      </c>
      <c r="H14" s="14">
        <f>E14*G14</f>
        <v>6000</v>
      </c>
      <c r="I14" s="20">
        <f>H14*D14</f>
        <v>281250</v>
      </c>
    </row>
    <row r="15" spans="1:9" x14ac:dyDescent="0.2">
      <c r="A15" s="14" t="s">
        <v>13</v>
      </c>
      <c r="B15" s="14" t="s">
        <v>1</v>
      </c>
      <c r="C15" s="18">
        <v>450000</v>
      </c>
      <c r="D15" s="19">
        <f>C15/20/8/60</f>
        <v>46.875</v>
      </c>
      <c r="E15" s="14">
        <v>1</v>
      </c>
      <c r="F15" s="14">
        <v>100</v>
      </c>
      <c r="G15" s="14">
        <f>F15*20</f>
        <v>2000</v>
      </c>
      <c r="H15" s="14">
        <f>E15*G15</f>
        <v>2000</v>
      </c>
      <c r="I15" s="20">
        <f>H15*D15</f>
        <v>93750</v>
      </c>
    </row>
    <row r="16" spans="1:9" ht="32" x14ac:dyDescent="0.2">
      <c r="A16" s="14" t="s">
        <v>14</v>
      </c>
      <c r="B16" s="14" t="s">
        <v>1</v>
      </c>
      <c r="C16" s="18">
        <v>450000</v>
      </c>
      <c r="D16" s="19">
        <f>C16/20/8/60</f>
        <v>46.875</v>
      </c>
      <c r="E16" s="14">
        <v>8</v>
      </c>
      <c r="F16" s="14">
        <v>5</v>
      </c>
      <c r="G16" s="14">
        <f>F16*20</f>
        <v>100</v>
      </c>
      <c r="H16" s="14">
        <f>E16*G16</f>
        <v>800</v>
      </c>
      <c r="I16" s="20">
        <f>H16*D16</f>
        <v>37500</v>
      </c>
    </row>
    <row r="17" spans="1:9" ht="32" x14ac:dyDescent="0.2">
      <c r="A17" s="14" t="s">
        <v>15</v>
      </c>
      <c r="B17" s="14" t="s">
        <v>1</v>
      </c>
      <c r="C17" s="18">
        <v>450000</v>
      </c>
      <c r="D17" s="19">
        <f>C17/20/8/60</f>
        <v>46.875</v>
      </c>
      <c r="E17" s="14">
        <v>3</v>
      </c>
      <c r="F17" s="14">
        <v>10</v>
      </c>
      <c r="G17" s="14">
        <f>F17*20</f>
        <v>200</v>
      </c>
      <c r="H17" s="14">
        <f>E17*G17</f>
        <v>600</v>
      </c>
      <c r="I17" s="20">
        <f>H17*D17</f>
        <v>28125</v>
      </c>
    </row>
    <row r="18" spans="1:9" x14ac:dyDescent="0.2">
      <c r="A18" s="22" t="s">
        <v>24</v>
      </c>
      <c r="B18" s="21"/>
      <c r="C18" s="21"/>
      <c r="D18" s="21"/>
      <c r="E18" s="21"/>
      <c r="F18" s="21"/>
      <c r="G18" s="21"/>
      <c r="H18" s="21">
        <f>SUM(H3:H17)</f>
        <v>51760</v>
      </c>
      <c r="I18" s="23">
        <f>SUM(I3:I17)</f>
        <v>3158333.3333333335</v>
      </c>
    </row>
    <row r="19" spans="1:9" x14ac:dyDescent="0.2">
      <c r="A19" s="8"/>
      <c r="H19" s="39">
        <f>H18/60</f>
        <v>862.66666666666663</v>
      </c>
    </row>
    <row r="20" spans="1:9" x14ac:dyDescent="0.2">
      <c r="A20" s="2"/>
      <c r="B20" s="3"/>
      <c r="C20" s="3"/>
      <c r="D20" s="3"/>
      <c r="E20" s="3"/>
      <c r="F20" s="3"/>
      <c r="G20" s="3"/>
      <c r="H20" s="3"/>
      <c r="I20" s="9"/>
    </row>
    <row r="21" spans="1:9" ht="17" thickBot="1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ht="17" thickBot="1" x14ac:dyDescent="0.25"/>
    <row r="23" spans="1:9" ht="32" x14ac:dyDescent="0.2">
      <c r="A23" s="12" t="s">
        <v>26</v>
      </c>
      <c r="B23" s="13"/>
      <c r="C23" s="13"/>
      <c r="D23" s="13"/>
      <c r="E23" s="13"/>
      <c r="F23" s="13"/>
      <c r="G23" s="13"/>
      <c r="H23" s="13"/>
      <c r="I23" s="13"/>
    </row>
    <row r="24" spans="1:9" ht="32" x14ac:dyDescent="0.2">
      <c r="A24" s="21" t="s">
        <v>28</v>
      </c>
      <c r="B24" s="21" t="s">
        <v>27</v>
      </c>
      <c r="C24" s="21" t="s">
        <v>49</v>
      </c>
      <c r="D24" s="21" t="s">
        <v>23</v>
      </c>
      <c r="E24" s="21" t="s">
        <v>19</v>
      </c>
      <c r="F24" s="21" t="s">
        <v>20</v>
      </c>
      <c r="G24" s="21" t="s">
        <v>21</v>
      </c>
      <c r="H24" s="21" t="s">
        <v>22</v>
      </c>
      <c r="I24" s="21" t="s">
        <v>0</v>
      </c>
    </row>
    <row r="25" spans="1:9" ht="32" x14ac:dyDescent="0.2">
      <c r="A25" s="14" t="s">
        <v>5</v>
      </c>
      <c r="B25" s="14" t="s">
        <v>1</v>
      </c>
      <c r="C25" s="18">
        <v>450000</v>
      </c>
      <c r="D25" s="19">
        <f>C25/20/8/60</f>
        <v>46.875</v>
      </c>
      <c r="E25" s="14">
        <f>1/3</f>
        <v>0.33333333333333331</v>
      </c>
      <c r="F25" s="14">
        <f>F3</f>
        <v>110</v>
      </c>
      <c r="G25" s="14">
        <f>G3</f>
        <v>2200</v>
      </c>
      <c r="H25" s="14">
        <f>E25*G25</f>
        <v>733.33333333333326</v>
      </c>
      <c r="I25" s="20">
        <f>H25*D25</f>
        <v>34375</v>
      </c>
    </row>
    <row r="26" spans="1:9" ht="32" x14ac:dyDescent="0.2">
      <c r="A26" s="14" t="s">
        <v>5</v>
      </c>
      <c r="B26" s="14" t="s">
        <v>2</v>
      </c>
      <c r="C26" s="18">
        <v>1000000</v>
      </c>
      <c r="D26" s="19">
        <f t="shared" ref="D26:D34" si="4">C26/20/8/60</f>
        <v>104.16666666666667</v>
      </c>
      <c r="E26" s="14">
        <f>1/3</f>
        <v>0.33333333333333331</v>
      </c>
      <c r="F26" s="14">
        <f>F4</f>
        <v>25</v>
      </c>
      <c r="G26" s="14">
        <f t="shared" ref="G26:G39" si="5">G4</f>
        <v>500</v>
      </c>
      <c r="H26" s="14">
        <f t="shared" ref="H26:H34" si="6">E26*G26</f>
        <v>166.66666666666666</v>
      </c>
      <c r="I26" s="20">
        <f t="shared" ref="I26:I34" si="7">H26*D26</f>
        <v>17361.111111111109</v>
      </c>
    </row>
    <row r="27" spans="1:9" ht="32" x14ac:dyDescent="0.2">
      <c r="A27" s="14" t="s">
        <v>6</v>
      </c>
      <c r="B27" s="14" t="s">
        <v>1</v>
      </c>
      <c r="C27" s="18">
        <v>450000</v>
      </c>
      <c r="D27" s="19">
        <f t="shared" si="4"/>
        <v>46.875</v>
      </c>
      <c r="E27" s="14">
        <v>1</v>
      </c>
      <c r="F27" s="14">
        <f t="shared" ref="F27:F39" si="8">F5</f>
        <v>2</v>
      </c>
      <c r="G27" s="14">
        <f t="shared" si="5"/>
        <v>40</v>
      </c>
      <c r="H27" s="14">
        <f t="shared" si="6"/>
        <v>40</v>
      </c>
      <c r="I27" s="20">
        <f t="shared" si="7"/>
        <v>1875</v>
      </c>
    </row>
    <row r="28" spans="1:9" ht="32" x14ac:dyDescent="0.2">
      <c r="A28" s="14" t="s">
        <v>7</v>
      </c>
      <c r="B28" s="14" t="s">
        <v>18</v>
      </c>
      <c r="C28" s="18">
        <v>750000</v>
      </c>
      <c r="D28" s="19">
        <f t="shared" si="4"/>
        <v>78.125</v>
      </c>
      <c r="E28" s="14">
        <f>1/6</f>
        <v>0.16666666666666666</v>
      </c>
      <c r="F28" s="14">
        <f t="shared" si="8"/>
        <v>1</v>
      </c>
      <c r="G28" s="14">
        <f t="shared" si="5"/>
        <v>20</v>
      </c>
      <c r="H28" s="14">
        <f t="shared" si="6"/>
        <v>3.333333333333333</v>
      </c>
      <c r="I28" s="20">
        <f t="shared" si="7"/>
        <v>260.41666666666663</v>
      </c>
    </row>
    <row r="29" spans="1:9" ht="32" x14ac:dyDescent="0.2">
      <c r="A29" s="14" t="s">
        <v>8</v>
      </c>
      <c r="B29" s="14" t="s">
        <v>18</v>
      </c>
      <c r="C29" s="18">
        <v>750000</v>
      </c>
      <c r="D29" s="19">
        <f t="shared" si="4"/>
        <v>78.125</v>
      </c>
      <c r="E29" s="14">
        <v>0</v>
      </c>
      <c r="F29" s="14">
        <f t="shared" si="8"/>
        <v>0.05</v>
      </c>
      <c r="G29" s="14">
        <f t="shared" si="5"/>
        <v>1</v>
      </c>
      <c r="H29" s="14">
        <f t="shared" si="6"/>
        <v>0</v>
      </c>
      <c r="I29" s="20">
        <f t="shared" si="7"/>
        <v>0</v>
      </c>
    </row>
    <row r="30" spans="1:9" ht="32" x14ac:dyDescent="0.2">
      <c r="A30" s="14" t="s">
        <v>16</v>
      </c>
      <c r="B30" s="14" t="s">
        <v>17</v>
      </c>
      <c r="C30" s="18">
        <v>1000000</v>
      </c>
      <c r="D30" s="19">
        <f t="shared" si="4"/>
        <v>104.16666666666667</v>
      </c>
      <c r="E30" s="14">
        <v>2</v>
      </c>
      <c r="F30" s="14">
        <f t="shared" si="8"/>
        <v>45</v>
      </c>
      <c r="G30" s="14">
        <f t="shared" si="5"/>
        <v>900</v>
      </c>
      <c r="H30" s="14">
        <f t="shared" si="6"/>
        <v>1800</v>
      </c>
      <c r="I30" s="20">
        <f t="shared" si="7"/>
        <v>187500</v>
      </c>
    </row>
    <row r="31" spans="1:9" ht="32" x14ac:dyDescent="0.2">
      <c r="A31" s="14" t="s">
        <v>16</v>
      </c>
      <c r="B31" s="14" t="s">
        <v>3</v>
      </c>
      <c r="C31" s="18">
        <v>700000</v>
      </c>
      <c r="D31" s="19">
        <f t="shared" si="4"/>
        <v>72.916666666666671</v>
      </c>
      <c r="E31" s="14">
        <v>2</v>
      </c>
      <c r="F31" s="14">
        <f t="shared" si="8"/>
        <v>25</v>
      </c>
      <c r="G31" s="14">
        <f t="shared" si="5"/>
        <v>500</v>
      </c>
      <c r="H31" s="14">
        <f t="shared" si="6"/>
        <v>1000</v>
      </c>
      <c r="I31" s="20">
        <f t="shared" si="7"/>
        <v>72916.666666666672</v>
      </c>
    </row>
    <row r="32" spans="1:9" ht="32" x14ac:dyDescent="0.2">
      <c r="A32" s="14" t="s">
        <v>16</v>
      </c>
      <c r="B32" s="14" t="s">
        <v>4</v>
      </c>
      <c r="C32" s="18">
        <v>600000</v>
      </c>
      <c r="D32" s="19">
        <f t="shared" si="4"/>
        <v>62.5</v>
      </c>
      <c r="E32" s="14">
        <v>2</v>
      </c>
      <c r="F32" s="14">
        <f t="shared" si="8"/>
        <v>25</v>
      </c>
      <c r="G32" s="14">
        <f t="shared" si="5"/>
        <v>500</v>
      </c>
      <c r="H32" s="14">
        <f t="shared" si="6"/>
        <v>1000</v>
      </c>
      <c r="I32" s="20">
        <f t="shared" si="7"/>
        <v>62500</v>
      </c>
    </row>
    <row r="33" spans="1:13" ht="32" x14ac:dyDescent="0.2">
      <c r="A33" s="14" t="s">
        <v>9</v>
      </c>
      <c r="B33" s="14" t="s">
        <v>3</v>
      </c>
      <c r="C33" s="18">
        <v>700000</v>
      </c>
      <c r="D33" s="19">
        <f t="shared" si="4"/>
        <v>72.916666666666671</v>
      </c>
      <c r="E33" s="14">
        <v>0</v>
      </c>
      <c r="F33" s="14">
        <f t="shared" si="8"/>
        <v>50</v>
      </c>
      <c r="G33" s="14">
        <f t="shared" si="5"/>
        <v>1000</v>
      </c>
      <c r="H33" s="14">
        <f t="shared" si="6"/>
        <v>0</v>
      </c>
      <c r="I33" s="20">
        <f t="shared" si="7"/>
        <v>0</v>
      </c>
    </row>
    <row r="34" spans="1:13" ht="32" x14ac:dyDescent="0.2">
      <c r="A34" s="14" t="s">
        <v>10</v>
      </c>
      <c r="B34" s="14" t="s">
        <v>1</v>
      </c>
      <c r="C34" s="18">
        <v>450000</v>
      </c>
      <c r="D34" s="19">
        <f t="shared" si="4"/>
        <v>46.875</v>
      </c>
      <c r="E34" s="14">
        <f>1/6</f>
        <v>0.16666666666666666</v>
      </c>
      <c r="F34" s="14">
        <f t="shared" si="8"/>
        <v>50</v>
      </c>
      <c r="G34" s="14">
        <f t="shared" si="5"/>
        <v>1000</v>
      </c>
      <c r="H34" s="14">
        <f t="shared" si="6"/>
        <v>166.66666666666666</v>
      </c>
      <c r="I34" s="20">
        <f t="shared" si="7"/>
        <v>7812.5</v>
      </c>
    </row>
    <row r="35" spans="1:13" ht="32" x14ac:dyDescent="0.2">
      <c r="A35" s="14" t="s">
        <v>11</v>
      </c>
      <c r="B35" s="14" t="s">
        <v>1</v>
      </c>
      <c r="C35" s="18">
        <v>450000</v>
      </c>
      <c r="D35" s="19">
        <f>C35/20/8/60</f>
        <v>46.875</v>
      </c>
      <c r="E35" s="14">
        <v>0</v>
      </c>
      <c r="F35" s="14">
        <f t="shared" si="8"/>
        <v>20</v>
      </c>
      <c r="G35" s="14">
        <f t="shared" si="5"/>
        <v>400</v>
      </c>
      <c r="H35" s="14">
        <f>E35*G35</f>
        <v>0</v>
      </c>
      <c r="I35" s="20">
        <f>H35*D35</f>
        <v>0</v>
      </c>
    </row>
    <row r="36" spans="1:13" ht="32" x14ac:dyDescent="0.2">
      <c r="A36" s="14" t="s">
        <v>12</v>
      </c>
      <c r="B36" s="14" t="s">
        <v>1</v>
      </c>
      <c r="C36" s="18">
        <v>450000</v>
      </c>
      <c r="D36" s="19">
        <f>C36/20/8/60</f>
        <v>46.875</v>
      </c>
      <c r="E36" s="14">
        <f>1/30</f>
        <v>3.3333333333333333E-2</v>
      </c>
      <c r="F36" s="14">
        <f t="shared" si="8"/>
        <v>100</v>
      </c>
      <c r="G36" s="14">
        <f t="shared" si="5"/>
        <v>2000</v>
      </c>
      <c r="H36" s="14">
        <f>E36*G36</f>
        <v>66.666666666666671</v>
      </c>
      <c r="I36" s="20">
        <f>H36*D36</f>
        <v>3125</v>
      </c>
    </row>
    <row r="37" spans="1:13" x14ac:dyDescent="0.2">
      <c r="A37" s="14" t="s">
        <v>13</v>
      </c>
      <c r="B37" s="14" t="s">
        <v>1</v>
      </c>
      <c r="C37" s="18">
        <v>450000</v>
      </c>
      <c r="D37" s="19">
        <f>C37/20/8/60</f>
        <v>46.875</v>
      </c>
      <c r="E37" s="14">
        <f>1/3</f>
        <v>0.33333333333333331</v>
      </c>
      <c r="F37" s="14">
        <f t="shared" si="8"/>
        <v>100</v>
      </c>
      <c r="G37" s="14">
        <f t="shared" si="5"/>
        <v>2000</v>
      </c>
      <c r="H37" s="14">
        <f>E37*G37</f>
        <v>666.66666666666663</v>
      </c>
      <c r="I37" s="20">
        <f>H37*D37</f>
        <v>31250</v>
      </c>
    </row>
    <row r="38" spans="1:13" ht="32" x14ac:dyDescent="0.2">
      <c r="A38" s="14" t="s">
        <v>14</v>
      </c>
      <c r="B38" s="14" t="s">
        <v>1</v>
      </c>
      <c r="C38" s="18">
        <v>450000</v>
      </c>
      <c r="D38" s="19">
        <f>C38/20/8/60</f>
        <v>46.875</v>
      </c>
      <c r="E38" s="14">
        <f>1/2</f>
        <v>0.5</v>
      </c>
      <c r="F38" s="14">
        <f t="shared" si="8"/>
        <v>5</v>
      </c>
      <c r="G38" s="14">
        <f t="shared" si="5"/>
        <v>100</v>
      </c>
      <c r="H38" s="14">
        <f>E38*G38</f>
        <v>50</v>
      </c>
      <c r="I38" s="20">
        <f>H38*D38</f>
        <v>2343.75</v>
      </c>
    </row>
    <row r="39" spans="1:13" ht="32" x14ac:dyDescent="0.2">
      <c r="A39" s="14" t="s">
        <v>15</v>
      </c>
      <c r="B39" s="14" t="s">
        <v>1</v>
      </c>
      <c r="C39" s="18">
        <v>450000</v>
      </c>
      <c r="D39" s="19">
        <f>C39/20/8/60</f>
        <v>46.875</v>
      </c>
      <c r="E39" s="14">
        <v>3</v>
      </c>
      <c r="F39" s="14">
        <f t="shared" si="8"/>
        <v>10</v>
      </c>
      <c r="G39" s="14">
        <f t="shared" si="5"/>
        <v>200</v>
      </c>
      <c r="H39" s="14">
        <f>E39*G39</f>
        <v>600</v>
      </c>
      <c r="I39" s="20">
        <f>H39*D39</f>
        <v>28125</v>
      </c>
    </row>
    <row r="40" spans="1:13" x14ac:dyDescent="0.2">
      <c r="A40" s="22" t="s">
        <v>24</v>
      </c>
      <c r="B40" s="21"/>
      <c r="C40" s="21"/>
      <c r="D40" s="21"/>
      <c r="E40" s="21"/>
      <c r="F40" s="21"/>
      <c r="G40" s="21"/>
      <c r="H40" s="21">
        <f>SUM(H25:H39)</f>
        <v>6293.3333333333339</v>
      </c>
      <c r="I40" s="23">
        <f>SUM(I25:I39)</f>
        <v>449444.44444444444</v>
      </c>
    </row>
    <row r="41" spans="1:13" x14ac:dyDescent="0.2">
      <c r="A41" s="17"/>
      <c r="B41" s="13"/>
      <c r="C41" s="13"/>
      <c r="D41" s="13"/>
      <c r="E41" s="13"/>
      <c r="F41" s="13"/>
      <c r="G41" s="13"/>
      <c r="H41" s="13">
        <f>H40/60</f>
        <v>104.8888888888889</v>
      </c>
      <c r="I41" s="13"/>
    </row>
    <row r="42" spans="1:13" x14ac:dyDescent="0.2">
      <c r="A42" s="15"/>
      <c r="B42" s="16"/>
      <c r="C42" s="16"/>
      <c r="D42" s="16"/>
      <c r="E42" s="16"/>
      <c r="F42" s="16"/>
      <c r="G42" s="16"/>
      <c r="H42" s="16">
        <f>H19-H41</f>
        <v>757.77777777777771</v>
      </c>
      <c r="I42" s="24"/>
    </row>
    <row r="43" spans="1:13" ht="17" thickBot="1" x14ac:dyDescent="0.25">
      <c r="A43" s="25"/>
      <c r="B43" s="26"/>
      <c r="C43" s="26"/>
      <c r="D43" s="26"/>
      <c r="E43" s="26"/>
      <c r="F43" s="26"/>
      <c r="G43" s="26"/>
      <c r="H43" s="26"/>
      <c r="I43" s="27"/>
      <c r="L43" s="4" t="s">
        <v>50</v>
      </c>
      <c r="M43" s="28">
        <f>I18</f>
        <v>3158333.3333333335</v>
      </c>
    </row>
    <row r="44" spans="1:13" x14ac:dyDescent="0.2">
      <c r="L44" s="4" t="s">
        <v>51</v>
      </c>
      <c r="M44" s="28">
        <f>I40</f>
        <v>449444.44444444444</v>
      </c>
    </row>
    <row r="45" spans="1:13" x14ac:dyDescent="0.2">
      <c r="A45" s="10"/>
      <c r="B45" s="10"/>
      <c r="C45" s="10"/>
      <c r="D45" s="10"/>
      <c r="E45" s="10"/>
      <c r="F45" s="10"/>
      <c r="G45" s="10"/>
      <c r="H45" s="10"/>
      <c r="I45" s="11"/>
      <c r="L45" s="29" t="s">
        <v>52</v>
      </c>
      <c r="M45" s="30">
        <f>M43-M44</f>
        <v>2708888.888888889</v>
      </c>
    </row>
    <row r="46" spans="1:13" x14ac:dyDescent="0.2">
      <c r="B4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200" workbookViewId="0">
      <selection activeCell="A2" sqref="A2:B5"/>
    </sheetView>
  </sheetViews>
  <sheetFormatPr baseColWidth="10" defaultRowHeight="16" x14ac:dyDescent="0.2"/>
  <cols>
    <col min="1" max="1" width="15.33203125" bestFit="1" customWidth="1"/>
    <col min="2" max="2" width="11.33203125" bestFit="1" customWidth="1"/>
  </cols>
  <sheetData>
    <row r="1" spans="1:2" x14ac:dyDescent="0.2">
      <c r="A1" s="4"/>
      <c r="B1" s="4" t="s">
        <v>38</v>
      </c>
    </row>
    <row r="2" spans="1:2" x14ac:dyDescent="0.2">
      <c r="A2" s="4" t="s">
        <v>37</v>
      </c>
      <c r="B2" s="28">
        <f>15*670</f>
        <v>10050</v>
      </c>
    </row>
    <row r="3" spans="1:2" x14ac:dyDescent="0.2">
      <c r="A3" s="4" t="s">
        <v>39</v>
      </c>
      <c r="B3" s="28">
        <f>25*670</f>
        <v>16750</v>
      </c>
    </row>
    <row r="4" spans="1:2" x14ac:dyDescent="0.2">
      <c r="A4" s="4"/>
      <c r="B4" s="4"/>
    </row>
    <row r="5" spans="1:2" x14ac:dyDescent="0.2">
      <c r="A5" s="29" t="s">
        <v>24</v>
      </c>
      <c r="B5" s="30">
        <f>SUM(B2:B4)</f>
        <v>26800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25" workbookViewId="0">
      <selection activeCell="C6" sqref="C6"/>
    </sheetView>
  </sheetViews>
  <sheetFormatPr baseColWidth="10" defaultRowHeight="16" x14ac:dyDescent="0.2"/>
  <cols>
    <col min="1" max="1" width="9.33203125" style="13" bestFit="1" customWidth="1"/>
    <col min="2" max="2" width="10" bestFit="1" customWidth="1"/>
    <col min="3" max="14" width="8.83203125" bestFit="1" customWidth="1"/>
  </cols>
  <sheetData>
    <row r="1" spans="1:14" x14ac:dyDescent="0.2">
      <c r="A1" s="31"/>
      <c r="B1" s="32">
        <v>0</v>
      </c>
      <c r="C1" s="32">
        <v>1</v>
      </c>
      <c r="D1" s="32">
        <v>2</v>
      </c>
      <c r="E1" s="32">
        <v>3</v>
      </c>
      <c r="F1" s="32">
        <v>4</v>
      </c>
      <c r="G1" s="32">
        <v>5</v>
      </c>
      <c r="H1" s="32">
        <v>6</v>
      </c>
      <c r="I1" s="32">
        <v>7</v>
      </c>
      <c r="J1" s="32">
        <v>8</v>
      </c>
      <c r="K1" s="32">
        <v>9</v>
      </c>
      <c r="L1" s="32">
        <v>10</v>
      </c>
      <c r="M1" s="32">
        <v>11</v>
      </c>
      <c r="N1" s="32">
        <v>12</v>
      </c>
    </row>
    <row r="2" spans="1:14" ht="25" x14ac:dyDescent="0.2">
      <c r="A2" s="31" t="s">
        <v>29</v>
      </c>
      <c r="B2" s="33"/>
      <c r="C2" s="33">
        <f>'ingreso por ahorro'!M45</f>
        <v>2708888.888888889</v>
      </c>
      <c r="D2" s="33">
        <f>'ingreso por ahorro'!M45</f>
        <v>2708888.888888889</v>
      </c>
      <c r="E2" s="33">
        <f>'ingreso por ahorro'!M45</f>
        <v>2708888.888888889</v>
      </c>
      <c r="F2" s="33">
        <f>'ingreso por ahorro'!M45</f>
        <v>2708888.888888889</v>
      </c>
      <c r="G2" s="33">
        <f>'ingreso por ahorro'!M45</f>
        <v>2708888.888888889</v>
      </c>
      <c r="H2" s="33">
        <f>'ingreso por ahorro'!M45</f>
        <v>2708888.888888889</v>
      </c>
      <c r="I2" s="33">
        <f>'ingreso por ahorro'!M45</f>
        <v>2708888.888888889</v>
      </c>
      <c r="J2" s="33">
        <f>'ingreso por ahorro'!M45</f>
        <v>2708888.888888889</v>
      </c>
      <c r="K2" s="33">
        <f>'ingreso por ahorro'!M45</f>
        <v>2708888.888888889</v>
      </c>
      <c r="L2" s="33">
        <f>'ingreso por ahorro'!M45</f>
        <v>2708888.888888889</v>
      </c>
      <c r="M2" s="33">
        <f>'ingreso por ahorro'!M45</f>
        <v>2708888.888888889</v>
      </c>
      <c r="N2" s="33">
        <f>'ingreso por ahorro'!M45</f>
        <v>2708888.888888889</v>
      </c>
    </row>
    <row r="3" spans="1:14" x14ac:dyDescent="0.2">
      <c r="A3" s="31" t="s">
        <v>30</v>
      </c>
      <c r="B3" s="33"/>
      <c r="C3" s="33">
        <f>'costo fijo'!B5</f>
        <v>26800</v>
      </c>
      <c r="D3" s="33">
        <f>'costo fijo'!B5</f>
        <v>26800</v>
      </c>
      <c r="E3" s="33">
        <f>'costo fijo'!B5</f>
        <v>26800</v>
      </c>
      <c r="F3" s="33">
        <f>'costo fijo'!B5</f>
        <v>26800</v>
      </c>
      <c r="G3" s="33">
        <f>'costo fijo'!B5</f>
        <v>26800</v>
      </c>
      <c r="H3" s="33">
        <f>'costo fijo'!B5</f>
        <v>26800</v>
      </c>
      <c r="I3" s="33">
        <f>'costo fijo'!B5</f>
        <v>26800</v>
      </c>
      <c r="J3" s="33">
        <f>'costo fijo'!B5</f>
        <v>26800</v>
      </c>
      <c r="K3" s="33">
        <f>'costo fijo'!B5</f>
        <v>26800</v>
      </c>
      <c r="L3" s="33">
        <f>'costo fijo'!B5</f>
        <v>26800</v>
      </c>
      <c r="M3" s="33">
        <f>'costo fijo'!B5</f>
        <v>26800</v>
      </c>
      <c r="N3" s="33">
        <f>'costo fijo'!B5</f>
        <v>26800</v>
      </c>
    </row>
    <row r="4" spans="1:14" x14ac:dyDescent="0.2">
      <c r="A4" s="31" t="s">
        <v>31</v>
      </c>
      <c r="B4" s="33"/>
      <c r="C4" s="33">
        <f t="shared" ref="C4:N4" si="0">SUM(C2:C3)</f>
        <v>2735688.888888889</v>
      </c>
      <c r="D4" s="33">
        <f t="shared" si="0"/>
        <v>2735688.888888889</v>
      </c>
      <c r="E4" s="33">
        <f t="shared" si="0"/>
        <v>2735688.888888889</v>
      </c>
      <c r="F4" s="33">
        <f t="shared" si="0"/>
        <v>2735688.888888889</v>
      </c>
      <c r="G4" s="33">
        <f t="shared" si="0"/>
        <v>2735688.888888889</v>
      </c>
      <c r="H4" s="33">
        <f t="shared" si="0"/>
        <v>2735688.888888889</v>
      </c>
      <c r="I4" s="33">
        <f t="shared" si="0"/>
        <v>2735688.888888889</v>
      </c>
      <c r="J4" s="33">
        <f t="shared" si="0"/>
        <v>2735688.888888889</v>
      </c>
      <c r="K4" s="33">
        <f t="shared" si="0"/>
        <v>2735688.888888889</v>
      </c>
      <c r="L4" s="33">
        <f t="shared" si="0"/>
        <v>2735688.888888889</v>
      </c>
      <c r="M4" s="33">
        <f t="shared" si="0"/>
        <v>2735688.888888889</v>
      </c>
      <c r="N4" s="33">
        <f t="shared" si="0"/>
        <v>2735688.888888889</v>
      </c>
    </row>
    <row r="5" spans="1:14" x14ac:dyDescent="0.2">
      <c r="A5" s="31" t="s">
        <v>36</v>
      </c>
      <c r="B5" s="33"/>
      <c r="C5" s="33">
        <f>-C4*B11</f>
        <v>-519780.88888888893</v>
      </c>
      <c r="D5" s="33">
        <f>-D4*B11</f>
        <v>-519780.88888888893</v>
      </c>
      <c r="E5" s="33">
        <f>-E4*B11</f>
        <v>-519780.88888888893</v>
      </c>
      <c r="F5" s="33">
        <f>-F4*B11</f>
        <v>-519780.88888888893</v>
      </c>
      <c r="G5" s="33">
        <f>-G4*B11</f>
        <v>-519780.88888888893</v>
      </c>
      <c r="H5" s="33">
        <f>-H4*B11</f>
        <v>-519780.88888888893</v>
      </c>
      <c r="I5" s="33">
        <f>-I4*B11</f>
        <v>-519780.88888888893</v>
      </c>
      <c r="J5" s="33">
        <f>-J4*B11</f>
        <v>-519780.88888888893</v>
      </c>
      <c r="K5" s="33">
        <f>-K4*B11</f>
        <v>-519780.88888888893</v>
      </c>
      <c r="L5" s="33">
        <f>-L4*B11</f>
        <v>-519780.88888888893</v>
      </c>
      <c r="M5" s="33">
        <f>-M4*B11</f>
        <v>-519780.88888888893</v>
      </c>
      <c r="N5" s="33">
        <f>-N4*B11</f>
        <v>-519780.88888888893</v>
      </c>
    </row>
    <row r="6" spans="1:14" x14ac:dyDescent="0.2">
      <c r="A6" s="31" t="s">
        <v>32</v>
      </c>
      <c r="B6" s="33"/>
      <c r="C6" s="33">
        <f>C4+C5</f>
        <v>2215908</v>
      </c>
      <c r="D6" s="33">
        <f>D4+D5</f>
        <v>2215908</v>
      </c>
      <c r="E6" s="33">
        <f t="shared" ref="E6:J6" si="1">E4+E5</f>
        <v>2215908</v>
      </c>
      <c r="F6" s="33">
        <f t="shared" si="1"/>
        <v>2215908</v>
      </c>
      <c r="G6" s="33">
        <f t="shared" si="1"/>
        <v>2215908</v>
      </c>
      <c r="H6" s="33">
        <f t="shared" si="1"/>
        <v>2215908</v>
      </c>
      <c r="I6" s="33">
        <f t="shared" si="1"/>
        <v>2215908</v>
      </c>
      <c r="J6" s="33">
        <f t="shared" si="1"/>
        <v>2215908</v>
      </c>
      <c r="K6" s="33">
        <f t="shared" ref="K6:L6" si="2">K4+K5</f>
        <v>2215908</v>
      </c>
      <c r="L6" s="33">
        <f t="shared" si="2"/>
        <v>2215908</v>
      </c>
      <c r="M6" s="33">
        <f t="shared" ref="M6:N6" si="3">M4+M5</f>
        <v>2215908</v>
      </c>
      <c r="N6" s="33">
        <f t="shared" si="3"/>
        <v>2215908</v>
      </c>
    </row>
    <row r="7" spans="1:14" x14ac:dyDescent="0.2">
      <c r="A7" s="31" t="s">
        <v>33</v>
      </c>
      <c r="B7" s="33">
        <f>-'inversion inicial'!B10</f>
        <v>-13695000</v>
      </c>
      <c r="C7" s="33"/>
      <c r="D7" s="33"/>
      <c r="E7" s="33"/>
      <c r="F7" s="33"/>
      <c r="G7" s="33">
        <v>0</v>
      </c>
      <c r="H7" s="33"/>
      <c r="I7" s="33"/>
      <c r="J7" s="33"/>
      <c r="K7" s="33"/>
      <c r="L7" s="33"/>
      <c r="M7" s="33"/>
      <c r="N7" s="33"/>
    </row>
    <row r="8" spans="1:14" x14ac:dyDescent="0.2">
      <c r="A8" s="31" t="s">
        <v>34</v>
      </c>
      <c r="B8" s="33">
        <f t="shared" ref="B8:N8" si="4">SUM(B6:B7)</f>
        <v>-13695000</v>
      </c>
      <c r="C8" s="33">
        <f t="shared" si="4"/>
        <v>2215908</v>
      </c>
      <c r="D8" s="33">
        <f t="shared" si="4"/>
        <v>2215908</v>
      </c>
      <c r="E8" s="33">
        <f t="shared" si="4"/>
        <v>2215908</v>
      </c>
      <c r="F8" s="33">
        <f t="shared" si="4"/>
        <v>2215908</v>
      </c>
      <c r="G8" s="33">
        <f t="shared" si="4"/>
        <v>2215908</v>
      </c>
      <c r="H8" s="33">
        <f t="shared" si="4"/>
        <v>2215908</v>
      </c>
      <c r="I8" s="33">
        <f t="shared" si="4"/>
        <v>2215908</v>
      </c>
      <c r="J8" s="33">
        <f t="shared" si="4"/>
        <v>2215908</v>
      </c>
      <c r="K8" s="33">
        <f t="shared" si="4"/>
        <v>2215908</v>
      </c>
      <c r="L8" s="33">
        <f t="shared" si="4"/>
        <v>2215908</v>
      </c>
      <c r="M8" s="33">
        <f t="shared" si="4"/>
        <v>2215908</v>
      </c>
      <c r="N8" s="33">
        <f t="shared" si="4"/>
        <v>2215908</v>
      </c>
    </row>
    <row r="9" spans="1:14" x14ac:dyDescent="0.2">
      <c r="A9" s="31" t="s">
        <v>35</v>
      </c>
      <c r="B9" s="33">
        <f>NPV(10%,B8:N8)</f>
        <v>1275922.0180825274</v>
      </c>
      <c r="C9" s="34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</row>
    <row r="10" spans="1:14" x14ac:dyDescent="0.2">
      <c r="A10" s="37" t="s">
        <v>48</v>
      </c>
      <c r="B10" s="32">
        <v>10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</row>
    <row r="11" spans="1:14" x14ac:dyDescent="0.2">
      <c r="A11" s="31" t="s">
        <v>36</v>
      </c>
      <c r="B11" s="38">
        <v>0.19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inversion inicial</vt:lpstr>
      <vt:lpstr>ingreso por ahorro</vt:lpstr>
      <vt:lpstr>costo fijo</vt:lpstr>
      <vt:lpstr>flujo de caja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de la Sotta</dc:creator>
  <cp:lastModifiedBy>Pablo de la Sotta</cp:lastModifiedBy>
  <dcterms:created xsi:type="dcterms:W3CDTF">2016-11-22T19:42:33Z</dcterms:created>
  <dcterms:modified xsi:type="dcterms:W3CDTF">2016-12-07T04:43:13Z</dcterms:modified>
</cp:coreProperties>
</file>