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50" windowWidth="18945" windowHeight="1053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USDON!$P$3:$P$113</definedName>
    <definedName name="JoinCalendar">GeneralSettings!$I$10</definedName>
    <definedName name="LiborCalendar">GeneralSettings!$I$8</definedName>
    <definedName name="LiborSettlementDate">GeneralSettings!$I$6</definedName>
    <definedName name="LocalCalendar">GeneralSettings!$I$9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USDON!$R$3:$R$113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USDON!$Q$3:$Q$113</definedName>
    <definedName name="QuoteSuffix">GeneralSettings!$D$9</definedName>
    <definedName name="RateHelpers" localSheetId="4">USD1M!$S$3:$S$55</definedName>
    <definedName name="RateHelpers" localSheetId="5">USD1Y!$S$3:$S$78</definedName>
    <definedName name="RateHelpers" localSheetId="2">USD3M!$S$3:$S$88</definedName>
    <definedName name="RateHelpers" localSheetId="3">USD6M!$S$3:$S$66</definedName>
    <definedName name="RateHelpers" localSheetId="1">USDON!$S$3:$S$113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USDON!$G$1</definedName>
    <definedName name="Trigger">GeneralSettings!$D$5</definedName>
    <definedName name="YieldCurve_1M">GeneralSettings!$I$31</definedName>
    <definedName name="YieldCurve_1Y">GeneralSettings!$D$47</definedName>
    <definedName name="YieldCurve_3M">GeneralSettings!$I$15</definedName>
    <definedName name="YieldCurve_6M">GeneralSettings!$D$31</definedName>
    <definedName name="YieldCurve_ON">GeneralSettings!$D$15</definedName>
    <definedName name="YieldCurve_STD">GeneralSettings!$I$47</definedName>
  </definedNames>
  <calcPr calcId="145621"/>
</workbook>
</file>

<file path=xl/calcChain.xml><?xml version="1.0" encoding="utf-8"?>
<calcChain xmlns="http://schemas.openxmlformats.org/spreadsheetml/2006/main">
  <c r="J69" i="14" l="1"/>
  <c r="S65" i="14" s="1"/>
  <c r="J117" i="14"/>
  <c r="J116" i="14"/>
  <c r="S112" i="14" s="1"/>
  <c r="J115" i="14"/>
  <c r="J114" i="14"/>
  <c r="S110" i="14" s="1"/>
  <c r="J112" i="14"/>
  <c r="S108" i="14" s="1"/>
  <c r="J101" i="14"/>
  <c r="S97" i="14" s="1"/>
  <c r="J100" i="14"/>
  <c r="S96" i="14" s="1"/>
  <c r="J99" i="14"/>
  <c r="S95" i="14" s="1"/>
  <c r="J97" i="14"/>
  <c r="S93" i="14" s="1"/>
  <c r="J96" i="14"/>
  <c r="S92" i="14" s="1"/>
  <c r="J95" i="14"/>
  <c r="S91" i="14" s="1"/>
  <c r="J93" i="14"/>
  <c r="S89" i="14" s="1"/>
  <c r="J92" i="14"/>
  <c r="S88" i="14" s="1"/>
  <c r="J91" i="14"/>
  <c r="S87" i="14" s="1"/>
  <c r="J89" i="14"/>
  <c r="S85" i="14" s="1"/>
  <c r="J88" i="14"/>
  <c r="S84" i="14" s="1"/>
  <c r="J87" i="14"/>
  <c r="S83" i="14" s="1"/>
  <c r="J86" i="14"/>
  <c r="S82" i="14" s="1"/>
  <c r="J85" i="14"/>
  <c r="J84" i="14"/>
  <c r="S80" i="14" s="1"/>
  <c r="J83" i="14"/>
  <c r="S79" i="14" s="1"/>
  <c r="J82" i="14"/>
  <c r="S78" i="14" s="1"/>
  <c r="J81" i="14"/>
  <c r="S77" i="14" s="1"/>
  <c r="J80" i="14"/>
  <c r="S76" i="14" s="1"/>
  <c r="J79" i="14"/>
  <c r="S75" i="14" s="1"/>
  <c r="J77" i="14"/>
  <c r="J76" i="14"/>
  <c r="S72" i="14" s="1"/>
  <c r="J75" i="14"/>
  <c r="S71" i="14" s="1"/>
  <c r="J74" i="14"/>
  <c r="S70" i="14" s="1"/>
  <c r="J73" i="14"/>
  <c r="S69" i="14" s="1"/>
  <c r="J72" i="14"/>
  <c r="S68" i="14" s="1"/>
  <c r="J71" i="14"/>
  <c r="S67" i="14" s="1"/>
  <c r="J70" i="14"/>
  <c r="S66" i="14" s="1"/>
  <c r="J68" i="14"/>
  <c r="S64" i="14" s="1"/>
  <c r="J67" i="14"/>
  <c r="S63" i="14" s="1"/>
  <c r="J66" i="14"/>
  <c r="S62" i="14" s="1"/>
  <c r="J65" i="14"/>
  <c r="S61" i="14" s="1"/>
  <c r="L61" i="14"/>
  <c r="M61" i="14"/>
  <c r="L62" i="14"/>
  <c r="L63" i="14"/>
  <c r="M63" i="14"/>
  <c r="L64" i="14"/>
  <c r="M64" i="14"/>
  <c r="L65" i="14"/>
  <c r="L66" i="14"/>
  <c r="L67" i="14"/>
  <c r="L68" i="14"/>
  <c r="M68" i="14"/>
  <c r="L69" i="14"/>
  <c r="L70" i="14"/>
  <c r="M70" i="14"/>
  <c r="L71" i="14"/>
  <c r="M71" i="14"/>
  <c r="L72" i="14"/>
  <c r="M72" i="14"/>
  <c r="L73" i="14"/>
  <c r="S73" i="14"/>
  <c r="L74" i="14"/>
  <c r="L75" i="14"/>
  <c r="L76" i="14"/>
  <c r="L77" i="14"/>
  <c r="M77" i="14"/>
  <c r="L78" i="14"/>
  <c r="M78" i="14"/>
  <c r="L79" i="14"/>
  <c r="L80" i="14"/>
  <c r="M80" i="14"/>
  <c r="L81" i="14"/>
  <c r="S81" i="14"/>
  <c r="L82" i="14"/>
  <c r="L83" i="14"/>
  <c r="L84" i="14"/>
  <c r="M84" i="14"/>
  <c r="L85" i="14"/>
  <c r="M85" i="14"/>
  <c r="L86" i="14"/>
  <c r="L87" i="14"/>
  <c r="M87" i="14"/>
  <c r="L88" i="14"/>
  <c r="M88" i="14"/>
  <c r="L89" i="14"/>
  <c r="L90" i="14"/>
  <c r="L91" i="14"/>
  <c r="M91" i="14"/>
  <c r="L92" i="14"/>
  <c r="L93" i="14"/>
  <c r="L94" i="14"/>
  <c r="M94" i="14"/>
  <c r="L95" i="14"/>
  <c r="M95" i="14"/>
  <c r="L96" i="14"/>
  <c r="M96" i="14"/>
  <c r="L97" i="14"/>
  <c r="L98" i="14"/>
  <c r="M98" i="14"/>
  <c r="L99" i="14"/>
  <c r="L100" i="14"/>
  <c r="L101" i="14"/>
  <c r="M101" i="14"/>
  <c r="L102" i="14"/>
  <c r="L103" i="14"/>
  <c r="M103" i="14"/>
  <c r="L104" i="14"/>
  <c r="M104" i="14"/>
  <c r="L105" i="14"/>
  <c r="L106" i="14"/>
  <c r="L107" i="14"/>
  <c r="L108" i="14"/>
  <c r="M108" i="14"/>
  <c r="L109" i="14"/>
  <c r="L110" i="14"/>
  <c r="M110" i="14"/>
  <c r="L111" i="14"/>
  <c r="M111" i="14"/>
  <c r="S111" i="14"/>
  <c r="L112" i="14"/>
  <c r="L113" i="14"/>
  <c r="S113" i="14"/>
  <c r="M60" i="14"/>
  <c r="L60" i="14"/>
  <c r="L59" i="14"/>
  <c r="I117" i="14"/>
  <c r="I116" i="14"/>
  <c r="I115" i="14"/>
  <c r="I114" i="14"/>
  <c r="I113" i="14"/>
  <c r="I112" i="14"/>
  <c r="I111" i="14"/>
  <c r="I110" i="14"/>
  <c r="I109" i="14"/>
  <c r="I108" i="14"/>
  <c r="I107" i="14"/>
  <c r="I106" i="14"/>
  <c r="I105" i="14"/>
  <c r="I104" i="14"/>
  <c r="I103" i="14"/>
  <c r="I102" i="14"/>
  <c r="I101" i="14"/>
  <c r="I100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H117" i="14"/>
  <c r="M113" i="14" s="1"/>
  <c r="H116" i="14"/>
  <c r="M112" i="14" s="1"/>
  <c r="H115" i="14"/>
  <c r="H114" i="14"/>
  <c r="H113" i="14"/>
  <c r="M109" i="14" s="1"/>
  <c r="H112" i="14"/>
  <c r="H111" i="14"/>
  <c r="M107" i="14" s="1"/>
  <c r="H110" i="14"/>
  <c r="M106" i="14" s="1"/>
  <c r="H109" i="14"/>
  <c r="M105" i="14" s="1"/>
  <c r="H108" i="14"/>
  <c r="H107" i="14"/>
  <c r="H106" i="14"/>
  <c r="M102" i="14" s="1"/>
  <c r="H105" i="14"/>
  <c r="H104" i="14"/>
  <c r="M100" i="14" s="1"/>
  <c r="H103" i="14"/>
  <c r="M99" i="14" s="1"/>
  <c r="H102" i="14"/>
  <c r="H101" i="14"/>
  <c r="M97" i="14" s="1"/>
  <c r="H100" i="14"/>
  <c r="H99" i="14"/>
  <c r="H98" i="14"/>
  <c r="H97" i="14"/>
  <c r="M93" i="14" s="1"/>
  <c r="H96" i="14"/>
  <c r="M92" i="14" s="1"/>
  <c r="H95" i="14"/>
  <c r="H94" i="14"/>
  <c r="M90" i="14" s="1"/>
  <c r="H93" i="14"/>
  <c r="M89" i="14" s="1"/>
  <c r="H92" i="14"/>
  <c r="H91" i="14"/>
  <c r="H90" i="14"/>
  <c r="M86" i="14" s="1"/>
  <c r="H89" i="14"/>
  <c r="H88" i="14"/>
  <c r="H87" i="14"/>
  <c r="M83" i="14" s="1"/>
  <c r="H86" i="14"/>
  <c r="M82" i="14" s="1"/>
  <c r="H85" i="14"/>
  <c r="M81" i="14" s="1"/>
  <c r="H84" i="14"/>
  <c r="H83" i="14"/>
  <c r="M79" i="14" s="1"/>
  <c r="H82" i="14"/>
  <c r="H81" i="14"/>
  <c r="H80" i="14"/>
  <c r="M76" i="14" s="1"/>
  <c r="H79" i="14"/>
  <c r="M75" i="14" s="1"/>
  <c r="H78" i="14"/>
  <c r="M74" i="14" s="1"/>
  <c r="H77" i="14"/>
  <c r="M73" i="14" s="1"/>
  <c r="H76" i="14"/>
  <c r="H75" i="14"/>
  <c r="H74" i="14"/>
  <c r="H73" i="14"/>
  <c r="M69" i="14" s="1"/>
  <c r="H72" i="14"/>
  <c r="H71" i="14"/>
  <c r="M67" i="14" s="1"/>
  <c r="H70" i="14"/>
  <c r="M66" i="14" s="1"/>
  <c r="H69" i="14"/>
  <c r="M65" i="14" s="1"/>
  <c r="H68" i="14"/>
  <c r="H67" i="14"/>
  <c r="H66" i="14"/>
  <c r="M62" i="14" s="1"/>
  <c r="H65" i="14"/>
  <c r="H64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J109" i="14"/>
  <c r="J108" i="14"/>
  <c r="J107" i="14"/>
  <c r="J106" i="14"/>
  <c r="J98" i="14"/>
  <c r="J90" i="14"/>
  <c r="J113" i="14"/>
  <c r="J105" i="14"/>
  <c r="J104" i="14"/>
  <c r="J111" i="14"/>
  <c r="J103" i="14"/>
  <c r="J110" i="14"/>
  <c r="J102" i="14"/>
  <c r="J94" i="14"/>
  <c r="J78" i="14"/>
  <c r="N63" i="14"/>
  <c r="O64" i="14"/>
  <c r="T66" i="14"/>
  <c r="U67" i="14"/>
  <c r="N71" i="14"/>
  <c r="O72" i="14"/>
  <c r="U75" i="14"/>
  <c r="N79" i="14"/>
  <c r="O80" i="14"/>
  <c r="T82" i="14"/>
  <c r="U83" i="14"/>
  <c r="N87" i="14"/>
  <c r="O88" i="14"/>
  <c r="U91" i="14"/>
  <c r="N95" i="14"/>
  <c r="O96" i="14"/>
  <c r="N103" i="14"/>
  <c r="O104" i="14"/>
  <c r="N111" i="14"/>
  <c r="O112" i="14"/>
  <c r="O63" i="14"/>
  <c r="U66" i="14"/>
  <c r="N70" i="14"/>
  <c r="T73" i="14"/>
  <c r="N78" i="14"/>
  <c r="O79" i="14"/>
  <c r="T81" i="14"/>
  <c r="O87" i="14"/>
  <c r="T89" i="14"/>
  <c r="O95" i="14"/>
  <c r="T97" i="14"/>
  <c r="O103" i="14"/>
  <c r="N61" i="14"/>
  <c r="T64" i="14"/>
  <c r="U65" i="14"/>
  <c r="N69" i="14"/>
  <c r="O70" i="14"/>
  <c r="T72" i="14"/>
  <c r="N77" i="14"/>
  <c r="O78" i="14"/>
  <c r="T80" i="14"/>
  <c r="N85" i="14"/>
  <c r="U89" i="14"/>
  <c r="N93" i="14"/>
  <c r="U97" i="14"/>
  <c r="O102" i="14"/>
  <c r="N109" i="14"/>
  <c r="U113" i="14"/>
  <c r="O61" i="14"/>
  <c r="T63" i="14"/>
  <c r="U64" i="14"/>
  <c r="O69" i="14"/>
  <c r="T71" i="14"/>
  <c r="N76" i="14"/>
  <c r="U80" i="14"/>
  <c r="O85" i="14"/>
  <c r="T87" i="14"/>
  <c r="N92" i="14"/>
  <c r="U96" i="14"/>
  <c r="N100" i="14"/>
  <c r="O101" i="14"/>
  <c r="N108" i="14"/>
  <c r="T111" i="14"/>
  <c r="O68" i="14"/>
  <c r="T70" i="14"/>
  <c r="U79" i="14"/>
  <c r="N83" i="14"/>
  <c r="U87" i="14"/>
  <c r="N91" i="14"/>
  <c r="O100" i="14"/>
  <c r="N107" i="14"/>
  <c r="T61" i="14"/>
  <c r="O83" i="14"/>
  <c r="N90" i="14"/>
  <c r="O99" i="14"/>
  <c r="O107" i="14"/>
  <c r="U110" i="14"/>
  <c r="U61" i="14"/>
  <c r="O66" i="14"/>
  <c r="U69" i="14"/>
  <c r="N73" i="14"/>
  <c r="U93" i="14"/>
  <c r="N97" i="14"/>
  <c r="N113" i="14"/>
  <c r="T67" i="14"/>
  <c r="O73" i="14"/>
  <c r="U76" i="14"/>
  <c r="N80" i="14"/>
  <c r="U84" i="14"/>
  <c r="N88" i="14"/>
  <c r="T91" i="14"/>
  <c r="N104" i="14"/>
  <c r="N62" i="14"/>
  <c r="T65" i="14"/>
  <c r="O71" i="14"/>
  <c r="U82" i="14"/>
  <c r="N86" i="14"/>
  <c r="N94" i="14"/>
  <c r="N102" i="14"/>
  <c r="N110" i="14"/>
  <c r="O111" i="14"/>
  <c r="T113" i="14"/>
  <c r="O62" i="14"/>
  <c r="U73" i="14"/>
  <c r="U81" i="14"/>
  <c r="O86" i="14"/>
  <c r="T88" i="14"/>
  <c r="O94" i="14"/>
  <c r="T96" i="14"/>
  <c r="N101" i="14"/>
  <c r="O110" i="14"/>
  <c r="T112" i="14"/>
  <c r="N68" i="14"/>
  <c r="U72" i="14"/>
  <c r="O77" i="14"/>
  <c r="T79" i="14"/>
  <c r="U88" i="14"/>
  <c r="O93" i="14"/>
  <c r="T95" i="14"/>
  <c r="O109" i="14"/>
  <c r="U112" i="14"/>
  <c r="U63" i="14"/>
  <c r="N67" i="14"/>
  <c r="U71" i="14"/>
  <c r="N75" i="14"/>
  <c r="T78" i="14"/>
  <c r="O108" i="14"/>
  <c r="U111" i="14"/>
  <c r="U62" i="14"/>
  <c r="O67" i="14"/>
  <c r="U70" i="14"/>
  <c r="T77" i="14"/>
  <c r="O91" i="14"/>
  <c r="N98" i="14"/>
  <c r="T68" i="14"/>
  <c r="T76" i="14"/>
  <c r="O82" i="14"/>
  <c r="U85" i="14"/>
  <c r="N89" i="14"/>
  <c r="T92" i="14"/>
  <c r="O106" i="14"/>
  <c r="O65" i="14"/>
  <c r="O81" i="14"/>
  <c r="O89" i="14"/>
  <c r="U92" i="14"/>
  <c r="O97" i="14"/>
  <c r="O113" i="14"/>
  <c r="N84" i="14"/>
  <c r="T62" i="14"/>
  <c r="O76" i="14"/>
  <c r="O84" i="14"/>
  <c r="O92" i="14"/>
  <c r="U95" i="14"/>
  <c r="N99" i="14"/>
  <c r="T110" i="14"/>
  <c r="N66" i="14"/>
  <c r="T69" i="14"/>
  <c r="N74" i="14"/>
  <c r="O75" i="14"/>
  <c r="U78" i="14"/>
  <c r="N82" i="14"/>
  <c r="T85" i="14"/>
  <c r="T93" i="14"/>
  <c r="N106" i="14"/>
  <c r="O74" i="14"/>
  <c r="U77" i="14"/>
  <c r="N81" i="14"/>
  <c r="T84" i="14"/>
  <c r="O90" i="14"/>
  <c r="O98" i="14"/>
  <c r="N105" i="14"/>
  <c r="T108" i="14"/>
  <c r="N64" i="14"/>
  <c r="T75" i="14"/>
  <c r="T83" i="14"/>
  <c r="N96" i="14"/>
  <c r="O105" i="14"/>
  <c r="U108" i="14"/>
  <c r="N65" i="14"/>
  <c r="U68" i="14"/>
  <c r="N72" i="14"/>
  <c r="N112" i="14"/>
  <c r="O60" i="14"/>
  <c r="J64" i="14"/>
  <c r="N60" i="14"/>
  <c r="S74" i="14" l="1"/>
  <c r="S90" i="14"/>
  <c r="S98" i="14"/>
  <c r="S106" i="14"/>
  <c r="S99" i="14"/>
  <c r="S107" i="14"/>
  <c r="S100" i="14"/>
  <c r="S101" i="14"/>
  <c r="S109" i="14"/>
  <c r="S86" i="14"/>
  <c r="S94" i="14"/>
  <c r="S102" i="14"/>
  <c r="S103" i="14"/>
  <c r="S104" i="14"/>
  <c r="S105" i="14"/>
  <c r="S60" i="14"/>
  <c r="U74" i="14"/>
  <c r="T74" i="14"/>
  <c r="T109" i="14"/>
  <c r="U109" i="14"/>
  <c r="U90" i="14"/>
  <c r="T90" i="14"/>
  <c r="T86" i="14"/>
  <c r="U86" i="14"/>
  <c r="U98" i="14"/>
  <c r="T98" i="14"/>
  <c r="U94" i="14"/>
  <c r="T94" i="14"/>
  <c r="U106" i="14"/>
  <c r="T106" i="14"/>
  <c r="T102" i="14"/>
  <c r="U102" i="14"/>
  <c r="T99" i="14"/>
  <c r="U99" i="14"/>
  <c r="U103" i="14"/>
  <c r="T103" i="14"/>
  <c r="T107" i="14"/>
  <c r="U107" i="14"/>
  <c r="U104" i="14"/>
  <c r="T104" i="14"/>
  <c r="U100" i="14"/>
  <c r="T100" i="14"/>
  <c r="T105" i="14"/>
  <c r="U105" i="14"/>
  <c r="U101" i="14"/>
  <c r="T101" i="14"/>
  <c r="U60" i="14"/>
  <c r="T60" i="14"/>
  <c r="J3" i="18" l="1"/>
  <c r="J3" i="17"/>
  <c r="J3" i="16"/>
  <c r="J3" i="15"/>
  <c r="J5" i="14"/>
  <c r="J4" i="14"/>
  <c r="G3" i="18"/>
  <c r="G5" i="14"/>
  <c r="G3" i="17"/>
  <c r="G3" i="16"/>
  <c r="G3" i="15"/>
  <c r="G4" i="14"/>
  <c r="O78" i="18" l="1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1" i="18"/>
  <c r="S77" i="18" s="1"/>
  <c r="J79" i="18"/>
  <c r="S75" i="18" s="1"/>
  <c r="J75" i="18"/>
  <c r="S71" i="18" s="1"/>
  <c r="J74" i="18"/>
  <c r="S70" i="18" s="1"/>
  <c r="J73" i="18"/>
  <c r="S69" i="18" s="1"/>
  <c r="J72" i="18"/>
  <c r="S68" i="18" s="1"/>
  <c r="J70" i="18"/>
  <c r="S66" i="18" s="1"/>
  <c r="J69" i="18"/>
  <c r="S65" i="18" s="1"/>
  <c r="J68" i="18"/>
  <c r="S64" i="18" s="1"/>
  <c r="J67" i="18"/>
  <c r="S63" i="18" s="1"/>
  <c r="J65" i="18"/>
  <c r="S61" i="18" s="1"/>
  <c r="J64" i="18"/>
  <c r="S60" i="18" s="1"/>
  <c r="J63" i="18"/>
  <c r="S59" i="18" s="1"/>
  <c r="J62" i="18"/>
  <c r="S58" i="18" s="1"/>
  <c r="J47" i="18"/>
  <c r="S43" i="18" s="1"/>
  <c r="J44" i="18"/>
  <c r="S42" i="18" s="1"/>
  <c r="J43" i="18"/>
  <c r="S41" i="18" s="1"/>
  <c r="J42" i="18"/>
  <c r="S40" i="18" s="1"/>
  <c r="J41" i="18"/>
  <c r="S39" i="18" s="1"/>
  <c r="J40" i="18"/>
  <c r="S38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17" i="18"/>
  <c r="S17" i="18" s="1"/>
  <c r="J16" i="18"/>
  <c r="S16" i="18" s="1"/>
  <c r="J14" i="18"/>
  <c r="S14" i="18" s="1"/>
  <c r="J13" i="18"/>
  <c r="S13" i="18" s="1"/>
  <c r="J6" i="18"/>
  <c r="S6" i="18" s="1"/>
  <c r="J5" i="18"/>
  <c r="S5" i="18" s="1"/>
  <c r="O18" i="17"/>
  <c r="O17" i="17"/>
  <c r="O16" i="17"/>
  <c r="O15" i="17"/>
  <c r="O14" i="17"/>
  <c r="O13" i="17"/>
  <c r="O12" i="17"/>
  <c r="O11" i="17"/>
  <c r="O10" i="17"/>
  <c r="O9" i="17"/>
  <c r="O8" i="17"/>
  <c r="J59" i="17"/>
  <c r="S55" i="17" s="1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23" i="17"/>
  <c r="S19" i="17" s="1"/>
  <c r="J18" i="17"/>
  <c r="S16" i="17" s="1"/>
  <c r="J13" i="17"/>
  <c r="S11" i="17" s="1"/>
  <c r="J12" i="17"/>
  <c r="S10" i="17" s="1"/>
  <c r="J10" i="17"/>
  <c r="S8" i="17" s="1"/>
  <c r="J6" i="17"/>
  <c r="S6" i="17" s="1"/>
  <c r="J5" i="17"/>
  <c r="S5" i="17" s="1"/>
  <c r="S3" i="17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69" i="16"/>
  <c r="S65" i="16" s="1"/>
  <c r="J67" i="16"/>
  <c r="S63" i="16" s="1"/>
  <c r="J63" i="16"/>
  <c r="S59" i="16" s="1"/>
  <c r="J62" i="16"/>
  <c r="S58" i="16" s="1"/>
  <c r="J61" i="16"/>
  <c r="S57" i="16" s="1"/>
  <c r="J60" i="16"/>
  <c r="S56" i="16" s="1"/>
  <c r="J58" i="16"/>
  <c r="S54" i="16" s="1"/>
  <c r="J57" i="16"/>
  <c r="S53" i="16" s="1"/>
  <c r="J56" i="16"/>
  <c r="S52" i="16" s="1"/>
  <c r="J53" i="16"/>
  <c r="S49" i="16" s="1"/>
  <c r="J52" i="16"/>
  <c r="S48" i="16" s="1"/>
  <c r="J51" i="16"/>
  <c r="S47" i="16" s="1"/>
  <c r="J50" i="16"/>
  <c r="S46" i="16" s="1"/>
  <c r="J48" i="16"/>
  <c r="S44" i="16" s="1"/>
  <c r="J47" i="16"/>
  <c r="S43" i="16" s="1"/>
  <c r="J45" i="16"/>
  <c r="S41" i="16" s="1"/>
  <c r="J35" i="16"/>
  <c r="S31" i="16" s="1"/>
  <c r="J31" i="16"/>
  <c r="S29" i="16" s="1"/>
  <c r="J30" i="16"/>
  <c r="S28" i="16" s="1"/>
  <c r="J29" i="16"/>
  <c r="S27" i="16" s="1"/>
  <c r="J28" i="16"/>
  <c r="S26" i="16" s="1"/>
  <c r="J25" i="16"/>
  <c r="S23" i="16" s="1"/>
  <c r="J16" i="17"/>
  <c r="J19" i="17"/>
  <c r="J25" i="17"/>
  <c r="J15" i="17"/>
  <c r="S13" i="17" s="1"/>
  <c r="J55" i="16"/>
  <c r="S51" i="16" s="1"/>
  <c r="J32" i="16"/>
  <c r="S30" i="16" s="1"/>
  <c r="J4" i="18"/>
  <c r="G11" i="18"/>
  <c r="G6" i="18"/>
  <c r="G14" i="18"/>
  <c r="G17" i="18"/>
  <c r="G6" i="17"/>
  <c r="G13" i="18"/>
  <c r="G10" i="18"/>
  <c r="G5" i="17"/>
  <c r="G5" i="18"/>
  <c r="G16" i="18"/>
  <c r="G15" i="18"/>
  <c r="S4" i="18" l="1"/>
  <c r="S3" i="18"/>
  <c r="S14" i="17"/>
  <c r="S17" i="17"/>
  <c r="S21" i="17"/>
  <c r="J6" i="16"/>
  <c r="S6" i="16" s="1"/>
  <c r="J5" i="16"/>
  <c r="S5" i="16" s="1"/>
  <c r="S3" i="16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6" i="15"/>
  <c r="J95" i="15"/>
  <c r="J94" i="15"/>
  <c r="J93" i="15"/>
  <c r="J92" i="15"/>
  <c r="J91" i="15"/>
  <c r="J90" i="15"/>
  <c r="J87" i="15"/>
  <c r="J85" i="15"/>
  <c r="J83" i="15"/>
  <c r="J81" i="15"/>
  <c r="J80" i="15"/>
  <c r="J79" i="15"/>
  <c r="J78" i="15"/>
  <c r="J76" i="15"/>
  <c r="J75" i="15"/>
  <c r="J74" i="15"/>
  <c r="J73" i="15"/>
  <c r="J71" i="15"/>
  <c r="J70" i="15"/>
  <c r="J69" i="15"/>
  <c r="J68" i="15"/>
  <c r="J66" i="15"/>
  <c r="J65" i="15"/>
  <c r="J63" i="15"/>
  <c r="J54" i="15"/>
  <c r="J53" i="15"/>
  <c r="J52" i="15"/>
  <c r="J51" i="15"/>
  <c r="J50" i="15"/>
  <c r="J23" i="15"/>
  <c r="J22" i="15"/>
  <c r="J21" i="15"/>
  <c r="J20" i="15"/>
  <c r="J19" i="15"/>
  <c r="J17" i="15"/>
  <c r="J16" i="15"/>
  <c r="J15" i="15"/>
  <c r="J14" i="15"/>
  <c r="J13" i="15"/>
  <c r="J12" i="15"/>
  <c r="J6" i="15"/>
  <c r="J5" i="15"/>
  <c r="J60" i="14"/>
  <c r="S58" i="14" s="1"/>
  <c r="J58" i="14"/>
  <c r="S56" i="14" s="1"/>
  <c r="J56" i="14"/>
  <c r="S54" i="14" s="1"/>
  <c r="J45" i="14"/>
  <c r="S43" i="14" s="1"/>
  <c r="J44" i="14"/>
  <c r="S42" i="14" s="1"/>
  <c r="J43" i="14"/>
  <c r="S41" i="14" s="1"/>
  <c r="J41" i="14"/>
  <c r="S39" i="14" s="1"/>
  <c r="J40" i="14"/>
  <c r="S38" i="14" s="1"/>
  <c r="J39" i="14"/>
  <c r="S37" i="14" s="1"/>
  <c r="J37" i="14"/>
  <c r="S35" i="14" s="1"/>
  <c r="J36" i="14"/>
  <c r="S34" i="14" s="1"/>
  <c r="J35" i="14"/>
  <c r="S33" i="14" s="1"/>
  <c r="J33" i="14"/>
  <c r="S31" i="14" s="1"/>
  <c r="J32" i="14"/>
  <c r="S30" i="14" s="1"/>
  <c r="J30" i="14"/>
  <c r="S28" i="14" s="1"/>
  <c r="J29" i="14"/>
  <c r="S27" i="14" s="1"/>
  <c r="J27" i="14"/>
  <c r="S25" i="14" s="1"/>
  <c r="J26" i="14"/>
  <c r="S24" i="14" s="1"/>
  <c r="J24" i="14"/>
  <c r="S22" i="14" s="1"/>
  <c r="J23" i="14"/>
  <c r="S21" i="14" s="1"/>
  <c r="J10" i="14"/>
  <c r="S8" i="14" s="1"/>
  <c r="J9" i="14"/>
  <c r="S7" i="14" s="1"/>
  <c r="J8" i="14"/>
  <c r="S6" i="14" s="1"/>
  <c r="S5" i="14"/>
  <c r="J18" i="15"/>
  <c r="S4" i="14"/>
  <c r="J4" i="16"/>
  <c r="J4" i="15"/>
  <c r="G5" i="16"/>
  <c r="G11" i="16"/>
  <c r="G6" i="15"/>
  <c r="G5" i="15"/>
  <c r="G6" i="16"/>
  <c r="G10" i="16"/>
  <c r="S4" i="16" l="1"/>
  <c r="H87" i="15" l="1"/>
  <c r="N81" i="15"/>
  <c r="M81" i="15" l="1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W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W1" i="17"/>
  <c r="G7" i="17"/>
  <c r="G4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W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W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W1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3" i="14"/>
  <c r="H1" i="14"/>
  <c r="N3" i="15"/>
  <c r="M3" i="15" l="1"/>
  <c r="D49" i="1"/>
  <c r="I33" i="1"/>
  <c r="D33" i="1"/>
  <c r="I17" i="1"/>
  <c r="D17" i="1"/>
  <c r="L56" i="14" l="1"/>
  <c r="L57" i="14"/>
  <c r="L58" i="14"/>
  <c r="U58" i="14"/>
  <c r="T58" i="14"/>
  <c r="U56" i="14"/>
  <c r="T56" i="14"/>
  <c r="L76" i="18" l="1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L10" i="18"/>
  <c r="L9" i="18"/>
  <c r="L8" i="18"/>
  <c r="L7" i="18"/>
  <c r="L6" i="18"/>
  <c r="L5" i="18"/>
  <c r="L4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H8" i="16"/>
  <c r="O46" i="17"/>
  <c r="O33" i="17"/>
  <c r="N58" i="16"/>
  <c r="N24" i="18"/>
  <c r="N68" i="18"/>
  <c r="N27" i="16"/>
  <c r="N86" i="15"/>
  <c r="N51" i="17"/>
  <c r="J24" i="16"/>
  <c r="O21" i="17"/>
  <c r="O41" i="17"/>
  <c r="N61" i="18"/>
  <c r="N19" i="17"/>
  <c r="N37" i="16"/>
  <c r="N65" i="16"/>
  <c r="N53" i="16"/>
  <c r="N10" i="17"/>
  <c r="N35" i="16"/>
  <c r="N53" i="17"/>
  <c r="N37" i="18"/>
  <c r="J16" i="16"/>
  <c r="O28" i="17"/>
  <c r="J22" i="18"/>
  <c r="N27" i="18"/>
  <c r="N46" i="17"/>
  <c r="N24" i="17"/>
  <c r="N46" i="16"/>
  <c r="N20" i="17"/>
  <c r="O43" i="17"/>
  <c r="N47" i="16"/>
  <c r="N17" i="16"/>
  <c r="N44" i="18"/>
  <c r="J19" i="16"/>
  <c r="N47" i="18"/>
  <c r="N69" i="18"/>
  <c r="N36" i="18"/>
  <c r="N35" i="18"/>
  <c r="N76" i="18"/>
  <c r="N34" i="16"/>
  <c r="N54" i="16"/>
  <c r="N32" i="17"/>
  <c r="N55" i="16"/>
  <c r="N66" i="16"/>
  <c r="J25" i="18"/>
  <c r="J32" i="18"/>
  <c r="O34" i="17"/>
  <c r="N52" i="18"/>
  <c r="O37" i="17"/>
  <c r="N23" i="17"/>
  <c r="N57" i="16"/>
  <c r="J7" i="17"/>
  <c r="N57" i="18"/>
  <c r="N22" i="18"/>
  <c r="N18" i="17"/>
  <c r="N74" i="18"/>
  <c r="N21" i="18"/>
  <c r="N25" i="17"/>
  <c r="N53" i="18"/>
  <c r="N29" i="18"/>
  <c r="N8" i="16"/>
  <c r="O35" i="17"/>
  <c r="N14" i="17"/>
  <c r="N48" i="18"/>
  <c r="N61" i="16"/>
  <c r="N43" i="16"/>
  <c r="N50" i="18"/>
  <c r="N45" i="17"/>
  <c r="O20" i="17"/>
  <c r="N39" i="17"/>
  <c r="O53" i="17"/>
  <c r="J8" i="16"/>
  <c r="N39" i="18"/>
  <c r="N24" i="16"/>
  <c r="N15" i="16"/>
  <c r="N30" i="17"/>
  <c r="N72" i="18"/>
  <c r="N9" i="17"/>
  <c r="N47" i="17"/>
  <c r="N16" i="16"/>
  <c r="J18" i="16"/>
  <c r="N58" i="18"/>
  <c r="N7" i="17"/>
  <c r="N18" i="16"/>
  <c r="J17" i="16"/>
  <c r="O23" i="17"/>
  <c r="J24" i="18"/>
  <c r="N44" i="16"/>
  <c r="N41" i="16"/>
  <c r="N49" i="17"/>
  <c r="N55" i="18"/>
  <c r="N34" i="17"/>
  <c r="N29" i="17"/>
  <c r="N70" i="18"/>
  <c r="N20" i="16"/>
  <c r="N45" i="16"/>
  <c r="N50" i="16"/>
  <c r="N36" i="17"/>
  <c r="O24" i="17"/>
  <c r="N49" i="16"/>
  <c r="N45" i="18"/>
  <c r="O49" i="17"/>
  <c r="O50" i="17"/>
  <c r="J15" i="16"/>
  <c r="J26" i="18"/>
  <c r="N63" i="18"/>
  <c r="N29" i="16"/>
  <c r="J26" i="16"/>
  <c r="N56" i="18"/>
  <c r="N42" i="17"/>
  <c r="N38" i="17"/>
  <c r="N31" i="18"/>
  <c r="N65" i="18"/>
  <c r="O25" i="17"/>
  <c r="N82" i="15"/>
  <c r="N8" i="17"/>
  <c r="N22" i="17"/>
  <c r="N40" i="16"/>
  <c r="J20" i="16"/>
  <c r="J23" i="16"/>
  <c r="N16" i="17"/>
  <c r="N39" i="16"/>
  <c r="N49" i="18"/>
  <c r="N85" i="15"/>
  <c r="O51" i="17"/>
  <c r="O29" i="17"/>
  <c r="N62" i="18"/>
  <c r="N23" i="16"/>
  <c r="N42" i="18"/>
  <c r="O52" i="17"/>
  <c r="N43" i="17"/>
  <c r="N83" i="15"/>
  <c r="N32" i="16"/>
  <c r="N21" i="16"/>
  <c r="O27" i="17"/>
  <c r="N44" i="17"/>
  <c r="N52" i="17"/>
  <c r="O19" i="17"/>
  <c r="N75" i="18"/>
  <c r="N33" i="16"/>
  <c r="N30" i="16"/>
  <c r="N55" i="17"/>
  <c r="O26" i="17"/>
  <c r="N66" i="18"/>
  <c r="N21" i="17"/>
  <c r="N48" i="16"/>
  <c r="O42" i="17"/>
  <c r="N20" i="18"/>
  <c r="N34" i="18"/>
  <c r="N31" i="17"/>
  <c r="N88" i="15"/>
  <c r="N60" i="18"/>
  <c r="N71" i="18"/>
  <c r="N17" i="17"/>
  <c r="N11" i="17"/>
  <c r="N42" i="16"/>
  <c r="J12" i="18"/>
  <c r="N13" i="16"/>
  <c r="N54" i="17"/>
  <c r="O45" i="17"/>
  <c r="J23" i="18"/>
  <c r="N33" i="17"/>
  <c r="N41" i="18"/>
  <c r="N25" i="16"/>
  <c r="N19" i="18"/>
  <c r="N12" i="17"/>
  <c r="N78" i="18"/>
  <c r="N40" i="17"/>
  <c r="N87" i="15"/>
  <c r="N43" i="18"/>
  <c r="N36" i="16"/>
  <c r="N28" i="17"/>
  <c r="O54" i="17"/>
  <c r="O48" i="17"/>
  <c r="O38" i="17"/>
  <c r="O31" i="17"/>
  <c r="N50" i="17"/>
  <c r="N73" i="18"/>
  <c r="N46" i="18"/>
  <c r="N48" i="17"/>
  <c r="O44" i="17"/>
  <c r="N27" i="17"/>
  <c r="N56" i="16"/>
  <c r="N37" i="17"/>
  <c r="O47" i="17"/>
  <c r="N35" i="17"/>
  <c r="N59" i="18"/>
  <c r="N67" i="18"/>
  <c r="O36" i="17"/>
  <c r="N54" i="18"/>
  <c r="N33" i="18"/>
  <c r="N41" i="17"/>
  <c r="N51" i="18"/>
  <c r="N32" i="18"/>
  <c r="N38" i="16"/>
  <c r="N40" i="18"/>
  <c r="N26" i="17"/>
  <c r="O40" i="17"/>
  <c r="N59" i="16"/>
  <c r="N77" i="18"/>
  <c r="N28" i="18"/>
  <c r="N23" i="18"/>
  <c r="N63" i="16"/>
  <c r="N25" i="18"/>
  <c r="N28" i="16"/>
  <c r="N64" i="18"/>
  <c r="N62" i="16"/>
  <c r="J29" i="18"/>
  <c r="O32" i="17"/>
  <c r="N15" i="17"/>
  <c r="O22" i="17"/>
  <c r="O30" i="17"/>
  <c r="N13" i="17"/>
  <c r="N12" i="18"/>
  <c r="N22" i="16"/>
  <c r="N19" i="16"/>
  <c r="N64" i="16"/>
  <c r="N52" i="16"/>
  <c r="N60" i="16"/>
  <c r="N84" i="15"/>
  <c r="N30" i="18"/>
  <c r="O39" i="17"/>
  <c r="N26" i="18"/>
  <c r="O55" i="17"/>
  <c r="N51" i="16"/>
  <c r="N38" i="18"/>
  <c r="N26" i="16"/>
  <c r="J21" i="18"/>
  <c r="N14" i="16"/>
  <c r="N31" i="16"/>
  <c r="S15" i="16" l="1"/>
  <c r="S20" i="18"/>
  <c r="S22" i="18"/>
  <c r="S17" i="16"/>
  <c r="S27" i="18"/>
  <c r="S30" i="18"/>
  <c r="S7" i="17"/>
  <c r="S24" i="16"/>
  <c r="S19" i="18"/>
  <c r="S16" i="16"/>
  <c r="S21" i="18"/>
  <c r="S18" i="16"/>
  <c r="S8" i="16"/>
  <c r="S21" i="16"/>
  <c r="S13" i="16"/>
  <c r="S24" i="18"/>
  <c r="S14" i="16"/>
  <c r="S22" i="16"/>
  <c r="S12" i="18"/>
  <c r="S23" i="18"/>
  <c r="M50" i="16"/>
  <c r="M11" i="17"/>
  <c r="M15" i="16"/>
  <c r="M82" i="15"/>
  <c r="M29" i="16"/>
  <c r="M31" i="16"/>
  <c r="M59" i="16"/>
  <c r="M51" i="16"/>
  <c r="M43" i="16"/>
  <c r="M35" i="16"/>
  <c r="M10" i="17"/>
  <c r="M18" i="17"/>
  <c r="M49" i="17"/>
  <c r="M41" i="17"/>
  <c r="M33" i="17"/>
  <c r="M25" i="17"/>
  <c r="M20" i="18"/>
  <c r="M50" i="18"/>
  <c r="M58" i="18"/>
  <c r="M66" i="18"/>
  <c r="M74" i="18"/>
  <c r="M34" i="18"/>
  <c r="M22" i="18"/>
  <c r="M32" i="18"/>
  <c r="M40" i="17"/>
  <c r="M83" i="15"/>
  <c r="M48" i="17"/>
  <c r="M67" i="18"/>
  <c r="M17" i="16"/>
  <c r="M12" i="17"/>
  <c r="M76" i="18"/>
  <c r="M46" i="17"/>
  <c r="M69" i="18"/>
  <c r="M29" i="18"/>
  <c r="M58" i="16"/>
  <c r="M75" i="18"/>
  <c r="M57" i="16"/>
  <c r="M55" i="17"/>
  <c r="M23" i="17"/>
  <c r="M68" i="18"/>
  <c r="M26" i="16"/>
  <c r="M54" i="17"/>
  <c r="M22" i="17"/>
  <c r="M45" i="18"/>
  <c r="M27" i="18"/>
  <c r="M86" i="15"/>
  <c r="M55" i="16"/>
  <c r="M39" i="16"/>
  <c r="M45" i="17"/>
  <c r="M21" i="17"/>
  <c r="M54" i="18"/>
  <c r="M70" i="18"/>
  <c r="M78" i="18"/>
  <c r="M26" i="18"/>
  <c r="M41" i="18"/>
  <c r="M28" i="16"/>
  <c r="M34" i="16"/>
  <c r="M24" i="17"/>
  <c r="M51" i="18"/>
  <c r="M33" i="18"/>
  <c r="M65" i="16"/>
  <c r="M41" i="16"/>
  <c r="M47" i="17"/>
  <c r="M60" i="18"/>
  <c r="M30" i="18"/>
  <c r="M85" i="15"/>
  <c r="M56" i="16"/>
  <c r="M48" i="16"/>
  <c r="M40" i="16"/>
  <c r="M32" i="16"/>
  <c r="M13" i="17"/>
  <c r="M38" i="17"/>
  <c r="M30" i="17"/>
  <c r="M53" i="18"/>
  <c r="M61" i="18"/>
  <c r="M77" i="18"/>
  <c r="M38" i="18"/>
  <c r="M19" i="16"/>
  <c r="M25" i="16"/>
  <c r="M63" i="16"/>
  <c r="M47" i="16"/>
  <c r="M7" i="17"/>
  <c r="M14" i="17"/>
  <c r="M53" i="17"/>
  <c r="M37" i="17"/>
  <c r="M29" i="17"/>
  <c r="M46" i="18"/>
  <c r="M62" i="18"/>
  <c r="M20" i="16"/>
  <c r="M87" i="15"/>
  <c r="M24" i="16"/>
  <c r="M62" i="16"/>
  <c r="M54" i="16"/>
  <c r="M46" i="16"/>
  <c r="M38" i="16"/>
  <c r="M15" i="17"/>
  <c r="M52" i="17"/>
  <c r="M44" i="17"/>
  <c r="M36" i="17"/>
  <c r="M28" i="17"/>
  <c r="M20" i="17"/>
  <c r="M47" i="18"/>
  <c r="M55" i="18"/>
  <c r="M63" i="18"/>
  <c r="M71" i="18"/>
  <c r="M19" i="18"/>
  <c r="M25" i="18"/>
  <c r="M42" i="18"/>
  <c r="M16" i="16"/>
  <c r="M42" i="16"/>
  <c r="M19" i="17"/>
  <c r="M43" i="18"/>
  <c r="M21" i="18"/>
  <c r="M27" i="16"/>
  <c r="M33" i="16"/>
  <c r="M39" i="17"/>
  <c r="M52" i="18"/>
  <c r="M37" i="18"/>
  <c r="M18" i="16"/>
  <c r="M8" i="16"/>
  <c r="M21" i="16"/>
  <c r="M23" i="16"/>
  <c r="M45" i="16"/>
  <c r="M8" i="17"/>
  <c r="M51" i="17"/>
  <c r="M35" i="17"/>
  <c r="M48" i="18"/>
  <c r="M64" i="18"/>
  <c r="M72" i="18"/>
  <c r="M36" i="18"/>
  <c r="M40" i="18"/>
  <c r="M66" i="16"/>
  <c r="M32" i="17"/>
  <c r="M59" i="18"/>
  <c r="M31" i="18"/>
  <c r="M84" i="15"/>
  <c r="M49" i="16"/>
  <c r="M31" i="17"/>
  <c r="M44" i="18"/>
  <c r="M28" i="18"/>
  <c r="M64" i="16"/>
  <c r="M13" i="16"/>
  <c r="M88" i="15"/>
  <c r="M61" i="16"/>
  <c r="M53" i="16"/>
  <c r="M37" i="16"/>
  <c r="M16" i="17"/>
  <c r="M43" i="17"/>
  <c r="M27" i="17"/>
  <c r="M56" i="18"/>
  <c r="M24" i="18"/>
  <c r="M14" i="16"/>
  <c r="M22" i="16"/>
  <c r="M30" i="16"/>
  <c r="M60" i="16"/>
  <c r="M52" i="16"/>
  <c r="M44" i="16"/>
  <c r="M36" i="16"/>
  <c r="M9" i="17"/>
  <c r="M17" i="17"/>
  <c r="M50" i="17"/>
  <c r="M42" i="17"/>
  <c r="M34" i="17"/>
  <c r="M26" i="17"/>
  <c r="M12" i="18"/>
  <c r="M49" i="18"/>
  <c r="M57" i="18"/>
  <c r="M65" i="18"/>
  <c r="M73" i="18"/>
  <c r="M35" i="18"/>
  <c r="M23" i="18"/>
  <c r="M39" i="18"/>
  <c r="H17" i="18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H6" i="17"/>
  <c r="H3" i="17"/>
  <c r="H4" i="17"/>
  <c r="H5" i="17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L3" i="15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6" i="14"/>
  <c r="L4" i="14"/>
  <c r="L5" i="14"/>
  <c r="L3" i="14"/>
  <c r="H5" i="14"/>
  <c r="H4" i="14"/>
  <c r="H3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N59" i="14"/>
  <c r="N38" i="14"/>
  <c r="N13" i="18"/>
  <c r="N35" i="14"/>
  <c r="N12" i="14"/>
  <c r="N80" i="15"/>
  <c r="N56" i="15"/>
  <c r="N67" i="15"/>
  <c r="N12" i="15"/>
  <c r="N5" i="16"/>
  <c r="N61" i="15"/>
  <c r="N69" i="15"/>
  <c r="N37" i="14"/>
  <c r="N24" i="14"/>
  <c r="N5" i="14"/>
  <c r="N32" i="14"/>
  <c r="N74" i="15"/>
  <c r="J9" i="18"/>
  <c r="N58" i="15"/>
  <c r="N17" i="18"/>
  <c r="N17" i="14"/>
  <c r="N66" i="15"/>
  <c r="N57" i="14"/>
  <c r="N56" i="14"/>
  <c r="N13" i="15"/>
  <c r="N51" i="15"/>
  <c r="N72" i="15"/>
  <c r="N8" i="18"/>
  <c r="J9" i="15"/>
  <c r="N3" i="17"/>
  <c r="N34" i="14"/>
  <c r="N48" i="15"/>
  <c r="N15" i="15"/>
  <c r="N10" i="14"/>
  <c r="N39" i="14"/>
  <c r="N4" i="15"/>
  <c r="N12" i="16"/>
  <c r="J11" i="16"/>
  <c r="N54" i="15"/>
  <c r="N9" i="14"/>
  <c r="N47" i="14"/>
  <c r="N75" i="15"/>
  <c r="J10" i="16"/>
  <c r="N11" i="15"/>
  <c r="N3" i="16"/>
  <c r="N10" i="15"/>
  <c r="N65" i="15"/>
  <c r="N48" i="14"/>
  <c r="N28" i="14"/>
  <c r="N11" i="18"/>
  <c r="J4" i="17"/>
  <c r="N46" i="15"/>
  <c r="N57" i="15"/>
  <c r="N21" i="14"/>
  <c r="J10" i="18"/>
  <c r="N53" i="15"/>
  <c r="N43" i="14"/>
  <c r="N45" i="15"/>
  <c r="J18" i="18"/>
  <c r="N47" i="15"/>
  <c r="N14" i="18"/>
  <c r="N60" i="15"/>
  <c r="N4" i="18"/>
  <c r="N50" i="15"/>
  <c r="N20" i="14"/>
  <c r="N10" i="18"/>
  <c r="J9" i="16"/>
  <c r="N18" i="15"/>
  <c r="N9" i="15"/>
  <c r="N15" i="14"/>
  <c r="N6" i="14"/>
  <c r="N77" i="15"/>
  <c r="J15" i="18"/>
  <c r="N41" i="14"/>
  <c r="N27" i="14"/>
  <c r="J12" i="16"/>
  <c r="N19" i="15"/>
  <c r="N8" i="14"/>
  <c r="N55" i="14"/>
  <c r="N23" i="14"/>
  <c r="N78" i="15"/>
  <c r="N52" i="15"/>
  <c r="N49" i="15"/>
  <c r="N20" i="15"/>
  <c r="N46" i="14"/>
  <c r="N9" i="16"/>
  <c r="N16" i="18"/>
  <c r="N33" i="14"/>
  <c r="N45" i="14"/>
  <c r="N6" i="18"/>
  <c r="N68" i="15"/>
  <c r="N44" i="15"/>
  <c r="N4" i="14"/>
  <c r="J7" i="18"/>
  <c r="N22" i="14"/>
  <c r="N55" i="15"/>
  <c r="N7" i="18"/>
  <c r="N7" i="16"/>
  <c r="N64" i="15"/>
  <c r="N3" i="14"/>
  <c r="N25" i="14"/>
  <c r="N6" i="16"/>
  <c r="N51" i="14"/>
  <c r="N18" i="14"/>
  <c r="N54" i="14"/>
  <c r="N71" i="15"/>
  <c r="N19" i="14"/>
  <c r="N11" i="16"/>
  <c r="N16" i="15"/>
  <c r="N18" i="18"/>
  <c r="N6" i="17"/>
  <c r="N13" i="14"/>
  <c r="J3" i="14"/>
  <c r="N4" i="17"/>
  <c r="N62" i="15"/>
  <c r="N10" i="16"/>
  <c r="N31" i="14"/>
  <c r="N9" i="18"/>
  <c r="N30" i="14"/>
  <c r="J8" i="18"/>
  <c r="N40" i="14"/>
  <c r="N3" i="18"/>
  <c r="N58" i="14"/>
  <c r="N21" i="15"/>
  <c r="N73" i="15"/>
  <c r="N17" i="15"/>
  <c r="N5" i="18"/>
  <c r="N15" i="18"/>
  <c r="N29" i="14"/>
  <c r="N14" i="15"/>
  <c r="N5" i="17"/>
  <c r="N11" i="14"/>
  <c r="J11" i="18"/>
  <c r="N14" i="14"/>
  <c r="N49" i="14"/>
  <c r="N50" i="14"/>
  <c r="N76" i="15"/>
  <c r="N79" i="15"/>
  <c r="N4" i="16"/>
  <c r="N63" i="15"/>
  <c r="N16" i="14"/>
  <c r="N36" i="14"/>
  <c r="J7" i="16"/>
  <c r="N70" i="15"/>
  <c r="N59" i="15"/>
  <c r="N44" i="14"/>
  <c r="N7" i="14"/>
  <c r="N52" i="14"/>
  <c r="N26" i="14"/>
  <c r="N53" i="14"/>
  <c r="N42" i="14"/>
  <c r="M59" i="14" l="1"/>
  <c r="S10" i="18"/>
  <c r="S15" i="18"/>
  <c r="S11" i="18"/>
  <c r="S10" i="16"/>
  <c r="S3" i="14"/>
  <c r="S18" i="18"/>
  <c r="S8" i="18"/>
  <c r="S4" i="17"/>
  <c r="S9" i="16"/>
  <c r="S7" i="18"/>
  <c r="S12" i="16"/>
  <c r="S11" i="16"/>
  <c r="S7" i="16"/>
  <c r="S9" i="18"/>
  <c r="M50" i="15"/>
  <c r="M6" i="18"/>
  <c r="M59" i="15"/>
  <c r="M58" i="15"/>
  <c r="M4" i="16"/>
  <c r="M76" i="15"/>
  <c r="M10" i="18"/>
  <c r="M14" i="18"/>
  <c r="M12" i="15"/>
  <c r="M67" i="15"/>
  <c r="M15" i="18"/>
  <c r="M20" i="15"/>
  <c r="M13" i="15"/>
  <c r="M44" i="15"/>
  <c r="M70" i="15"/>
  <c r="M74" i="15"/>
  <c r="M6" i="17"/>
  <c r="M21" i="15"/>
  <c r="M11" i="18"/>
  <c r="M14" i="15"/>
  <c r="M52" i="15"/>
  <c r="M10" i="16"/>
  <c r="M53" i="15"/>
  <c r="M77" i="15"/>
  <c r="M9" i="15"/>
  <c r="M54" i="15"/>
  <c r="M78" i="15"/>
  <c r="M4" i="18"/>
  <c r="M4" i="15"/>
  <c r="M17" i="15"/>
  <c r="M47" i="15"/>
  <c r="M55" i="15"/>
  <c r="M63" i="15"/>
  <c r="M71" i="15"/>
  <c r="M79" i="15"/>
  <c r="M6" i="16"/>
  <c r="M5" i="17"/>
  <c r="M3" i="18"/>
  <c r="M18" i="18"/>
  <c r="M66" i="15"/>
  <c r="M75" i="15"/>
  <c r="M60" i="15"/>
  <c r="M15" i="15"/>
  <c r="M69" i="15"/>
  <c r="M8" i="18"/>
  <c r="M46" i="15"/>
  <c r="M5" i="16"/>
  <c r="M10" i="15"/>
  <c r="M56" i="15"/>
  <c r="M72" i="15"/>
  <c r="M4" i="17"/>
  <c r="M13" i="18"/>
  <c r="M9" i="16"/>
  <c r="M51" i="15"/>
  <c r="M7" i="18"/>
  <c r="M68" i="15"/>
  <c r="M45" i="15"/>
  <c r="M61" i="15"/>
  <c r="M12" i="16"/>
  <c r="M16" i="15"/>
  <c r="M62" i="15"/>
  <c r="M11" i="16"/>
  <c r="M16" i="18"/>
  <c r="M18" i="15"/>
  <c r="M48" i="15"/>
  <c r="M64" i="15"/>
  <c r="M80" i="15"/>
  <c r="M7" i="16"/>
  <c r="M9" i="18"/>
  <c r="M11" i="15"/>
  <c r="M19" i="15"/>
  <c r="M49" i="15"/>
  <c r="M57" i="15"/>
  <c r="M65" i="15"/>
  <c r="M73" i="15"/>
  <c r="M3" i="16"/>
  <c r="M3" i="17"/>
  <c r="M5" i="18"/>
  <c r="M17" i="18"/>
  <c r="M13" i="14"/>
  <c r="M12" i="14"/>
  <c r="M36" i="14"/>
  <c r="M3" i="14"/>
  <c r="M21" i="14"/>
  <c r="M45" i="14"/>
  <c r="M6" i="14"/>
  <c r="M30" i="14"/>
  <c r="M54" i="14"/>
  <c r="M23" i="14"/>
  <c r="M20" i="14"/>
  <c r="M44" i="14"/>
  <c r="M29" i="14"/>
  <c r="M53" i="14"/>
  <c r="M14" i="14"/>
  <c r="M46" i="14"/>
  <c r="M15" i="14"/>
  <c r="M28" i="14"/>
  <c r="M52" i="14"/>
  <c r="M37" i="14"/>
  <c r="M4" i="14"/>
  <c r="M22" i="14"/>
  <c r="M38" i="14"/>
  <c r="M5" i="14"/>
  <c r="M7" i="14"/>
  <c r="M31" i="14"/>
  <c r="M39" i="14"/>
  <c r="M47" i="14"/>
  <c r="M55" i="14"/>
  <c r="M8" i="14"/>
  <c r="M16" i="14"/>
  <c r="M24" i="14"/>
  <c r="M32" i="14"/>
  <c r="M40" i="14"/>
  <c r="M48" i="14"/>
  <c r="M56" i="14"/>
  <c r="M9" i="14"/>
  <c r="M17" i="14"/>
  <c r="M25" i="14"/>
  <c r="M33" i="14"/>
  <c r="M41" i="14"/>
  <c r="M49" i="14"/>
  <c r="M57" i="14"/>
  <c r="M10" i="14"/>
  <c r="M18" i="14"/>
  <c r="M26" i="14"/>
  <c r="M34" i="14"/>
  <c r="M42" i="14"/>
  <c r="M50" i="14"/>
  <c r="M58" i="14"/>
  <c r="M11" i="14"/>
  <c r="M19" i="14"/>
  <c r="M27" i="14"/>
  <c r="M35" i="14"/>
  <c r="M43" i="14"/>
  <c r="M51" i="14"/>
  <c r="S4" i="15"/>
  <c r="S10" i="15"/>
  <c r="S17" i="15"/>
  <c r="S15" i="15"/>
  <c r="S14" i="15"/>
  <c r="S13" i="15"/>
  <c r="S20" i="15"/>
  <c r="S12" i="15"/>
  <c r="S18" i="15"/>
  <c r="S16" i="15"/>
  <c r="S21" i="15"/>
  <c r="S19" i="15"/>
  <c r="S11" i="15"/>
  <c r="S44" i="15"/>
  <c r="S45" i="15"/>
  <c r="S46" i="15"/>
  <c r="S47" i="15"/>
  <c r="S48" i="15"/>
  <c r="S57" i="15"/>
  <c r="S75" i="15"/>
  <c r="S59" i="15"/>
  <c r="S74" i="15"/>
  <c r="S73" i="15"/>
  <c r="S65" i="15"/>
  <c r="S72" i="15"/>
  <c r="S64" i="15"/>
  <c r="S79" i="15"/>
  <c r="S63" i="15"/>
  <c r="S70" i="15"/>
  <c r="S62" i="15"/>
  <c r="S77" i="15"/>
  <c r="S69" i="15"/>
  <c r="S68" i="15"/>
  <c r="S60" i="15"/>
  <c r="S67" i="15"/>
  <c r="S84" i="15"/>
  <c r="S86" i="15"/>
  <c r="S87" i="15"/>
  <c r="S83" i="15"/>
  <c r="S85" i="15"/>
  <c r="S88" i="15"/>
  <c r="H8" i="15"/>
  <c r="H7" i="15"/>
  <c r="H5" i="15"/>
  <c r="H6" i="15"/>
  <c r="I10" i="1"/>
  <c r="U44" i="15"/>
  <c r="T4" i="15"/>
  <c r="T28" i="14"/>
  <c r="T67" i="15"/>
  <c r="T77" i="18"/>
  <c r="U34" i="14"/>
  <c r="T73" i="15"/>
  <c r="T3" i="16"/>
  <c r="U38" i="14"/>
  <c r="U65" i="18"/>
  <c r="T54" i="16"/>
  <c r="U11" i="15"/>
  <c r="U64" i="15"/>
  <c r="T49" i="17"/>
  <c r="T41" i="18"/>
  <c r="U74" i="15"/>
  <c r="T51" i="16"/>
  <c r="U35" i="14"/>
  <c r="T46" i="15"/>
  <c r="U88" i="15"/>
  <c r="U14" i="15"/>
  <c r="U3" i="17"/>
  <c r="U61" i="18"/>
  <c r="U4" i="18"/>
  <c r="T87" i="15"/>
  <c r="U21" i="14"/>
  <c r="T64" i="15"/>
  <c r="T47" i="17"/>
  <c r="U59" i="15"/>
  <c r="U47" i="17"/>
  <c r="T61" i="18"/>
  <c r="U46" i="15"/>
  <c r="T49" i="16"/>
  <c r="T57" i="16"/>
  <c r="T14" i="15"/>
  <c r="U72" i="15"/>
  <c r="U63" i="15"/>
  <c r="U21" i="17"/>
  <c r="T48" i="17"/>
  <c r="T65" i="18"/>
  <c r="U59" i="16"/>
  <c r="T59" i="18"/>
  <c r="T28" i="16"/>
  <c r="J8" i="15"/>
  <c r="T4" i="16"/>
  <c r="T25" i="14"/>
  <c r="U8" i="17"/>
  <c r="U14" i="18"/>
  <c r="U27" i="14"/>
  <c r="U58" i="18"/>
  <c r="U65" i="15"/>
  <c r="T60" i="18"/>
  <c r="T10" i="15"/>
  <c r="T77" i="15"/>
  <c r="U22" i="14"/>
  <c r="U28" i="16"/>
  <c r="T25" i="18"/>
  <c r="U44" i="16"/>
  <c r="U77" i="15"/>
  <c r="T17" i="15"/>
  <c r="T6" i="18"/>
  <c r="T43" i="18"/>
  <c r="T75" i="18"/>
  <c r="T86" i="15"/>
  <c r="T28" i="18"/>
  <c r="T29" i="18"/>
  <c r="T44" i="16"/>
  <c r="U49" i="16"/>
  <c r="U43" i="18"/>
  <c r="N8" i="15"/>
  <c r="U21" i="15"/>
  <c r="T84" i="15"/>
  <c r="U5" i="18"/>
  <c r="U23" i="16"/>
  <c r="U69" i="18"/>
  <c r="U86" i="15"/>
  <c r="T31" i="18"/>
  <c r="J22" i="16"/>
  <c r="T63" i="18"/>
  <c r="T47" i="15"/>
  <c r="U5" i="16"/>
  <c r="U59" i="18"/>
  <c r="U68" i="18"/>
  <c r="U31" i="14"/>
  <c r="T8" i="17"/>
  <c r="T27" i="14"/>
  <c r="T35" i="14"/>
  <c r="U28" i="14"/>
  <c r="U62" i="15"/>
  <c r="T59" i="15"/>
  <c r="T20" i="17"/>
  <c r="U47" i="15"/>
  <c r="T68" i="15"/>
  <c r="U19" i="15"/>
  <c r="U12" i="15"/>
  <c r="U51" i="16"/>
  <c r="U46" i="16"/>
  <c r="U57" i="16"/>
  <c r="U25" i="14"/>
  <c r="U47" i="16"/>
  <c r="U15" i="15"/>
  <c r="U27" i="16"/>
  <c r="T88" i="15"/>
  <c r="U52" i="17"/>
  <c r="T19" i="15"/>
  <c r="T13" i="15"/>
  <c r="T60" i="15"/>
  <c r="U83" i="15"/>
  <c r="U16" i="18"/>
  <c r="U5" i="17"/>
  <c r="U57" i="15"/>
  <c r="U26" i="16"/>
  <c r="T13" i="18"/>
  <c r="T5" i="16"/>
  <c r="U64" i="18"/>
  <c r="T45" i="15"/>
  <c r="U87" i="15"/>
  <c r="T16" i="15"/>
  <c r="T31" i="14"/>
  <c r="U25" i="18"/>
  <c r="T62" i="15"/>
  <c r="U75" i="18"/>
  <c r="U13" i="18"/>
  <c r="T18" i="15"/>
  <c r="T59" i="16"/>
  <c r="T3" i="18"/>
  <c r="T3" i="17"/>
  <c r="U70" i="15"/>
  <c r="U69" i="15"/>
  <c r="U16" i="15"/>
  <c r="U39" i="14"/>
  <c r="U17" i="15"/>
  <c r="U70" i="18"/>
  <c r="U3" i="16"/>
  <c r="T75" i="15"/>
  <c r="T11" i="15"/>
  <c r="U20" i="15"/>
  <c r="U63" i="18"/>
  <c r="T66" i="18"/>
  <c r="J7" i="15"/>
  <c r="N5" i="15"/>
  <c r="T68" i="18"/>
  <c r="T23" i="16"/>
  <c r="U41" i="18"/>
  <c r="U28" i="18"/>
  <c r="U52" i="16"/>
  <c r="U3" i="18"/>
  <c r="U6" i="16"/>
  <c r="T85" i="15"/>
  <c r="T5" i="17"/>
  <c r="T64" i="18"/>
  <c r="T31" i="16"/>
  <c r="U29" i="18"/>
  <c r="T21" i="14"/>
  <c r="T79" i="15"/>
  <c r="T74" i="15"/>
  <c r="T21" i="15"/>
  <c r="U6" i="18"/>
  <c r="T29" i="16"/>
  <c r="T56" i="16"/>
  <c r="T30" i="14"/>
  <c r="U49" i="17"/>
  <c r="J21" i="16"/>
  <c r="T17" i="18"/>
  <c r="T30" i="16"/>
  <c r="U6" i="17"/>
  <c r="T69" i="18"/>
  <c r="U44" i="17"/>
  <c r="T34" i="14"/>
  <c r="U60" i="15"/>
  <c r="T70" i="18"/>
  <c r="U24" i="14"/>
  <c r="U77" i="18"/>
  <c r="J27" i="16"/>
  <c r="T63" i="15"/>
  <c r="U68" i="15"/>
  <c r="U26" i="18"/>
  <c r="U18" i="15"/>
  <c r="T57" i="15"/>
  <c r="T47" i="16"/>
  <c r="U66" i="18"/>
  <c r="U10" i="15"/>
  <c r="T46" i="16"/>
  <c r="T83" i="15"/>
  <c r="U13" i="15"/>
  <c r="T6" i="16"/>
  <c r="U30" i="16"/>
  <c r="T24" i="14"/>
  <c r="T26" i="16"/>
  <c r="T72" i="15"/>
  <c r="T12" i="15"/>
  <c r="T20" i="15"/>
  <c r="U56" i="16"/>
  <c r="U60" i="18"/>
  <c r="T16" i="18"/>
  <c r="T52" i="16"/>
  <c r="T58" i="18"/>
  <c r="U4" i="15"/>
  <c r="U67" i="15"/>
  <c r="U54" i="16"/>
  <c r="T71" i="18"/>
  <c r="T22" i="14"/>
  <c r="U31" i="18"/>
  <c r="T48" i="15"/>
  <c r="T38" i="14"/>
  <c r="U17" i="18"/>
  <c r="U48" i="15"/>
  <c r="U20" i="17"/>
  <c r="U45" i="15"/>
  <c r="T27" i="16"/>
  <c r="U30" i="14"/>
  <c r="T70" i="15"/>
  <c r="T65" i="15"/>
  <c r="T14" i="18"/>
  <c r="U71" i="18"/>
  <c r="T6" i="17"/>
  <c r="U84" i="15"/>
  <c r="U75" i="15"/>
  <c r="U73" i="15"/>
  <c r="T4" i="18"/>
  <c r="T44" i="15"/>
  <c r="T5" i="18"/>
  <c r="U48" i="17"/>
  <c r="N6" i="15"/>
  <c r="T21" i="17"/>
  <c r="T69" i="15"/>
  <c r="U79" i="15"/>
  <c r="U4" i="16"/>
  <c r="T26" i="18"/>
  <c r="T44" i="17"/>
  <c r="T52" i="17"/>
  <c r="U29" i="16"/>
  <c r="T39" i="14"/>
  <c r="U85" i="15"/>
  <c r="N7" i="15"/>
  <c r="T15" i="15"/>
  <c r="U31" i="16"/>
  <c r="M6" i="15" l="1"/>
  <c r="M5" i="15"/>
  <c r="M7" i="15"/>
  <c r="M8" i="15"/>
  <c r="S20" i="16"/>
  <c r="S19" i="16"/>
  <c r="S25" i="16"/>
  <c r="S9" i="15"/>
  <c r="S6" i="15"/>
  <c r="S3" i="15"/>
  <c r="S5" i="15"/>
  <c r="S7" i="15"/>
  <c r="S8" i="15"/>
  <c r="D7" i="1"/>
  <c r="T24" i="18"/>
  <c r="J86" i="15"/>
  <c r="T17" i="16"/>
  <c r="T27" i="18"/>
  <c r="J35" i="17"/>
  <c r="T7" i="18"/>
  <c r="J57" i="18"/>
  <c r="T21" i="18"/>
  <c r="J50" i="18"/>
  <c r="J70" i="16"/>
  <c r="T12" i="16"/>
  <c r="J57" i="17"/>
  <c r="U16" i="16"/>
  <c r="U14" i="16"/>
  <c r="T13" i="16"/>
  <c r="J49" i="18"/>
  <c r="U6" i="15"/>
  <c r="J36" i="16"/>
  <c r="U12" i="18"/>
  <c r="J78" i="18"/>
  <c r="T22" i="18"/>
  <c r="U18" i="18"/>
  <c r="J11" i="17"/>
  <c r="U9" i="18"/>
  <c r="J32" i="17"/>
  <c r="T18" i="18"/>
  <c r="U20" i="16"/>
  <c r="T8" i="15"/>
  <c r="J38" i="16"/>
  <c r="U24" i="18"/>
  <c r="U23" i="18"/>
  <c r="J37" i="17"/>
  <c r="T16" i="16"/>
  <c r="J44" i="16"/>
  <c r="U8" i="18"/>
  <c r="J49" i="16"/>
  <c r="U12" i="16"/>
  <c r="J43" i="16"/>
  <c r="U22" i="18"/>
  <c r="T9" i="15"/>
  <c r="J17" i="17"/>
  <c r="J58" i="17"/>
  <c r="J52" i="18"/>
  <c r="J82" i="18"/>
  <c r="U15" i="16"/>
  <c r="J46" i="16"/>
  <c r="J50" i="17"/>
  <c r="U30" i="18"/>
  <c r="U5" i="15"/>
  <c r="J55" i="18"/>
  <c r="T21" i="16"/>
  <c r="J68" i="16"/>
  <c r="U8" i="15"/>
  <c r="T8" i="18"/>
  <c r="J34" i="17"/>
  <c r="T12" i="18"/>
  <c r="J80" i="18"/>
  <c r="J58" i="15"/>
  <c r="T9" i="16"/>
  <c r="J31" i="17"/>
  <c r="J51" i="18"/>
  <c r="J28" i="17"/>
  <c r="J48" i="18"/>
  <c r="U10" i="16"/>
  <c r="T7" i="15"/>
  <c r="J56" i="18"/>
  <c r="U21" i="18"/>
  <c r="J64" i="15"/>
  <c r="T10" i="16"/>
  <c r="J40" i="17"/>
  <c r="J59" i="18"/>
  <c r="U24" i="16"/>
  <c r="J77" i="18"/>
  <c r="J40" i="16"/>
  <c r="J37" i="16"/>
  <c r="T30" i="18"/>
  <c r="J56" i="15"/>
  <c r="U9" i="16"/>
  <c r="T19" i="18"/>
  <c r="J33" i="17"/>
  <c r="T24" i="16"/>
  <c r="J59" i="15"/>
  <c r="T6" i="15"/>
  <c r="J60" i="15"/>
  <c r="J30" i="17"/>
  <c r="J77" i="15"/>
  <c r="J76" i="18"/>
  <c r="U20" i="18"/>
  <c r="U21" i="16"/>
  <c r="T25" i="16"/>
  <c r="J65" i="16"/>
  <c r="T20" i="18"/>
  <c r="J20" i="17"/>
  <c r="J66" i="18"/>
  <c r="U25" i="16"/>
  <c r="J29" i="17"/>
  <c r="J27" i="17"/>
  <c r="T23" i="18"/>
  <c r="J54" i="16"/>
  <c r="T15" i="16"/>
  <c r="J60" i="18"/>
  <c r="J53" i="18"/>
  <c r="J45" i="17"/>
  <c r="T20" i="16"/>
  <c r="J72" i="15"/>
  <c r="J55" i="17"/>
  <c r="J64" i="16"/>
  <c r="J55" i="15"/>
  <c r="J42" i="16"/>
  <c r="J66" i="16"/>
  <c r="U9" i="15"/>
  <c r="J67" i="15"/>
  <c r="U19" i="18"/>
  <c r="U3" i="15"/>
  <c r="J71" i="18"/>
  <c r="U17" i="16"/>
  <c r="J84" i="15"/>
  <c r="J62" i="15"/>
  <c r="J58" i="18"/>
  <c r="U7" i="15"/>
  <c r="J59" i="16"/>
  <c r="U18" i="16"/>
  <c r="J57" i="15"/>
  <c r="J61" i="18"/>
  <c r="J14" i="17"/>
  <c r="U13" i="16"/>
  <c r="J82" i="15"/>
  <c r="T14" i="16"/>
  <c r="J54" i="18"/>
  <c r="U27" i="18"/>
  <c r="T18" i="16"/>
  <c r="J39" i="16"/>
  <c r="J61" i="15"/>
  <c r="T9" i="18"/>
  <c r="J41" i="16"/>
  <c r="T3" i="15"/>
  <c r="U19" i="16"/>
  <c r="U7" i="18"/>
  <c r="T19" i="16"/>
  <c r="T5" i="15"/>
  <c r="S73" i="18" l="1"/>
  <c r="S57" i="18"/>
  <c r="S49" i="18"/>
  <c r="S26" i="17"/>
  <c r="S9" i="17"/>
  <c r="S36" i="16"/>
  <c r="S60" i="16"/>
  <c r="S56" i="18"/>
  <c r="S27" i="17"/>
  <c r="S37" i="16"/>
  <c r="S61" i="16"/>
  <c r="S64" i="16"/>
  <c r="S44" i="18"/>
  <c r="S31" i="17"/>
  <c r="S66" i="16"/>
  <c r="S72" i="18"/>
  <c r="S48" i="18"/>
  <c r="S51" i="17"/>
  <c r="S45" i="16"/>
  <c r="S52" i="18"/>
  <c r="S33" i="16"/>
  <c r="S42" i="16"/>
  <c r="S55" i="18"/>
  <c r="S47" i="18"/>
  <c r="S28" i="17"/>
  <c r="S36" i="17"/>
  <c r="S15" i="17"/>
  <c r="S38" i="16"/>
  <c r="S62" i="16"/>
  <c r="S62" i="18"/>
  <c r="S46" i="18"/>
  <c r="S29" i="17"/>
  <c r="S53" i="18"/>
  <c r="S30" i="17"/>
  <c r="S32" i="16"/>
  <c r="S40" i="16"/>
  <c r="S51" i="18"/>
  <c r="S24" i="17"/>
  <c r="S34" i="16"/>
  <c r="S78" i="18"/>
  <c r="S54" i="18"/>
  <c r="S39" i="16"/>
  <c r="S55" i="16"/>
  <c r="S45" i="18"/>
  <c r="S23" i="17"/>
  <c r="S46" i="17"/>
  <c r="S76" i="18"/>
  <c r="S12" i="17"/>
  <c r="S67" i="18"/>
  <c r="S74" i="18"/>
  <c r="S50" i="18"/>
  <c r="S25" i="17"/>
  <c r="S33" i="17"/>
  <c r="S41" i="17"/>
  <c r="S35" i="16"/>
  <c r="S50" i="16"/>
  <c r="S18" i="17"/>
  <c r="S54" i="17"/>
  <c r="S53" i="17"/>
  <c r="S58" i="15"/>
  <c r="S51" i="15"/>
  <c r="S76" i="15"/>
  <c r="S50" i="15"/>
  <c r="S61" i="15"/>
  <c r="S49" i="15"/>
  <c r="S55" i="15"/>
  <c r="S81" i="15"/>
  <c r="S66" i="15"/>
  <c r="S56" i="15"/>
  <c r="S71" i="15"/>
  <c r="S54" i="15"/>
  <c r="S53" i="15"/>
  <c r="S52" i="15"/>
  <c r="P25" i="16"/>
  <c r="P20" i="16"/>
  <c r="P19" i="16"/>
  <c r="U15" i="18"/>
  <c r="T7" i="17"/>
  <c r="U11" i="16"/>
  <c r="U7" i="16"/>
  <c r="T11" i="18"/>
  <c r="T7" i="16"/>
  <c r="T10" i="18"/>
  <c r="U8" i="16"/>
  <c r="U7" i="17"/>
  <c r="T11" i="16"/>
  <c r="T8" i="16"/>
  <c r="U10" i="18"/>
  <c r="T4" i="17"/>
  <c r="U11" i="18"/>
  <c r="U4" i="17"/>
  <c r="T15" i="18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J61" i="14"/>
  <c r="J48" i="14"/>
  <c r="J50" i="14"/>
  <c r="J31" i="14"/>
  <c r="J25" i="14"/>
  <c r="J34" i="14"/>
  <c r="J55" i="14"/>
  <c r="J54" i="14"/>
  <c r="J49" i="14"/>
  <c r="J53" i="14"/>
  <c r="J51" i="14"/>
  <c r="J59" i="14"/>
  <c r="J52" i="14"/>
  <c r="J28" i="14"/>
  <c r="J57" i="14"/>
  <c r="J47" i="14"/>
  <c r="J46" i="14"/>
  <c r="J38" i="14"/>
  <c r="J42" i="14"/>
  <c r="S59" i="14" l="1"/>
  <c r="S40" i="14"/>
  <c r="S36" i="14"/>
  <c r="S44" i="14"/>
  <c r="S45" i="14"/>
  <c r="S55" i="14"/>
  <c r="S26" i="14"/>
  <c r="S50" i="14"/>
  <c r="S57" i="14"/>
  <c r="S49" i="14"/>
  <c r="S51" i="14"/>
  <c r="S47" i="14"/>
  <c r="S52" i="14"/>
  <c r="S53" i="14"/>
  <c r="S32" i="14"/>
  <c r="S23" i="14"/>
  <c r="S29" i="14"/>
  <c r="S48" i="14"/>
  <c r="S46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J12" i="14"/>
  <c r="J19" i="14"/>
  <c r="J17" i="14"/>
  <c r="J15" i="14"/>
  <c r="J11" i="14"/>
  <c r="J18" i="14"/>
  <c r="J14" i="14"/>
  <c r="J20" i="14"/>
  <c r="J16" i="14"/>
  <c r="J13" i="14"/>
  <c r="J21" i="14"/>
  <c r="J22" i="14"/>
  <c r="T59" i="14"/>
  <c r="U59" i="14"/>
  <c r="S20" i="14" l="1"/>
  <c r="S19" i="14"/>
  <c r="S11" i="14"/>
  <c r="S14" i="14"/>
  <c r="S18" i="14"/>
  <c r="S12" i="14"/>
  <c r="S16" i="14"/>
  <c r="S9" i="14"/>
  <c r="S13" i="14"/>
  <c r="S15" i="14"/>
  <c r="S17" i="14"/>
  <c r="S10" i="14"/>
  <c r="S82" i="15"/>
  <c r="X3" i="14" a="1"/>
  <c r="X18" i="14" l="1"/>
  <c r="X86" i="14"/>
  <c r="X43" i="14"/>
  <c r="X111" i="14"/>
  <c r="X68" i="14"/>
  <c r="X25" i="14"/>
  <c r="X93" i="14"/>
  <c r="X50" i="14"/>
  <c r="X7" i="14"/>
  <c r="X75" i="14"/>
  <c r="X73" i="14"/>
  <c r="X32" i="14"/>
  <c r="X96" i="14"/>
  <c r="X36" i="14"/>
  <c r="X82" i="14"/>
  <c r="X39" i="14"/>
  <c r="X107" i="14"/>
  <c r="X80" i="14"/>
  <c r="X21" i="14"/>
  <c r="X97" i="14"/>
  <c r="X46" i="14"/>
  <c r="X3" i="14"/>
  <c r="X71" i="14"/>
  <c r="X28" i="14"/>
  <c r="X66" i="14"/>
  <c r="X19" i="14"/>
  <c r="X83" i="14"/>
  <c r="X70" i="14"/>
  <c r="X35" i="14"/>
  <c r="X103" i="14"/>
  <c r="X60" i="14"/>
  <c r="X88" i="14"/>
  <c r="X85" i="14"/>
  <c r="X42" i="14"/>
  <c r="X110" i="14"/>
  <c r="X67" i="14"/>
  <c r="X41" i="14"/>
  <c r="X92" i="14"/>
  <c r="X100" i="14"/>
  <c r="X53" i="14"/>
  <c r="X6" i="14"/>
  <c r="X81" i="14"/>
  <c r="X99" i="14"/>
  <c r="X48" i="14"/>
  <c r="X13" i="14"/>
  <c r="X65" i="14"/>
  <c r="X38" i="14"/>
  <c r="X106" i="14"/>
  <c r="X63" i="14"/>
  <c r="X20" i="14"/>
  <c r="X49" i="14"/>
  <c r="X45" i="14"/>
  <c r="X23" i="14"/>
  <c r="X87" i="14"/>
  <c r="X105" i="14"/>
  <c r="X10" i="14"/>
  <c r="X52" i="14"/>
  <c r="X56" i="14"/>
  <c r="X77" i="14"/>
  <c r="X34" i="14"/>
  <c r="X102" i="14"/>
  <c r="X59" i="14"/>
  <c r="X9" i="14"/>
  <c r="X84" i="14"/>
  <c r="X89" i="14"/>
  <c r="X109" i="14"/>
  <c r="X24" i="14"/>
  <c r="X64" i="14"/>
  <c r="X104" i="14"/>
  <c r="X44" i="14"/>
  <c r="X5" i="14"/>
  <c r="X33" i="14"/>
  <c r="X30" i="14"/>
  <c r="X98" i="14"/>
  <c r="X55" i="14"/>
  <c r="X12" i="14"/>
  <c r="X17" i="14"/>
  <c r="X37" i="14"/>
  <c r="X72" i="14"/>
  <c r="X62" i="14"/>
  <c r="X74" i="14"/>
  <c r="X27" i="14"/>
  <c r="X91" i="14"/>
  <c r="X78" i="14"/>
  <c r="X69" i="14"/>
  <c r="X22" i="14"/>
  <c r="X112" i="14"/>
  <c r="X11" i="14"/>
  <c r="X16" i="14"/>
  <c r="X26" i="14"/>
  <c r="X76" i="14"/>
  <c r="X15" i="14"/>
  <c r="X113" i="14"/>
  <c r="X90" i="14"/>
  <c r="X29" i="14"/>
  <c r="X79" i="14"/>
  <c r="X94" i="14"/>
  <c r="X57" i="14"/>
  <c r="X108" i="14"/>
  <c r="X47" i="14"/>
  <c r="X40" i="14"/>
  <c r="X31" i="14"/>
  <c r="X51" i="14"/>
  <c r="X101" i="14"/>
  <c r="X61" i="14"/>
  <c r="X4" i="14"/>
  <c r="X54" i="14"/>
  <c r="X95" i="14"/>
  <c r="X8" i="14"/>
  <c r="X58" i="14"/>
  <c r="X14" i="14"/>
  <c r="C25" i="1"/>
  <c r="C57" i="1"/>
  <c r="H41" i="1"/>
  <c r="H25" i="1"/>
  <c r="C41" i="1"/>
  <c r="P53" i="17"/>
  <c r="AC107" i="14"/>
  <c r="AB107" i="14"/>
  <c r="AA107" i="14"/>
  <c r="Z107" i="14"/>
  <c r="Y107" i="14"/>
  <c r="AC66" i="14"/>
  <c r="AB66" i="14"/>
  <c r="AA66" i="14"/>
  <c r="Z66" i="14"/>
  <c r="Y66" i="14"/>
  <c r="AC85" i="14"/>
  <c r="AB85" i="14"/>
  <c r="AA85" i="14"/>
  <c r="Z85" i="14"/>
  <c r="Y85" i="14"/>
  <c r="AB63" i="14"/>
  <c r="AA63" i="14"/>
  <c r="Z63" i="14"/>
  <c r="Y63" i="14"/>
  <c r="AC63" i="14"/>
  <c r="AA52" i="14"/>
  <c r="Z52" i="14"/>
  <c r="Y52" i="14"/>
  <c r="AC52" i="14"/>
  <c r="AB52" i="14"/>
  <c r="Z89" i="14"/>
  <c r="Y89" i="14"/>
  <c r="AC89" i="14"/>
  <c r="AB89" i="14"/>
  <c r="AA89" i="14"/>
  <c r="AC74" i="14"/>
  <c r="AB74" i="14"/>
  <c r="AA74" i="14"/>
  <c r="Z74" i="14"/>
  <c r="Y74" i="14"/>
  <c r="AC94" i="14"/>
  <c r="Y94" i="14"/>
  <c r="AB94" i="14"/>
  <c r="AA94" i="14"/>
  <c r="Z94" i="14"/>
  <c r="AC61" i="14"/>
  <c r="AB61" i="14"/>
  <c r="AA61" i="14"/>
  <c r="Z61" i="14"/>
  <c r="Y61" i="14"/>
  <c r="Y86" i="14"/>
  <c r="AC86" i="14"/>
  <c r="AB86" i="14"/>
  <c r="AA86" i="14"/>
  <c r="Z86" i="14"/>
  <c r="AC75" i="14"/>
  <c r="AB75" i="14"/>
  <c r="AA75" i="14"/>
  <c r="Z75" i="14"/>
  <c r="Y75" i="14"/>
  <c r="AC80" i="14"/>
  <c r="AB80" i="14"/>
  <c r="AA80" i="14"/>
  <c r="Z80" i="14"/>
  <c r="Y80" i="14"/>
  <c r="AC42" i="14"/>
  <c r="AB42" i="14"/>
  <c r="AA42" i="14"/>
  <c r="Z42" i="14"/>
  <c r="Y42" i="14"/>
  <c r="Y81" i="14"/>
  <c r="Z81" i="14"/>
  <c r="AC81" i="14"/>
  <c r="AB81" i="14"/>
  <c r="AA81" i="14"/>
  <c r="AC56" i="14"/>
  <c r="AB56" i="14"/>
  <c r="AA56" i="14"/>
  <c r="Z56" i="14"/>
  <c r="Y56" i="14"/>
  <c r="AA109" i="14"/>
  <c r="Z109" i="14"/>
  <c r="AC109" i="14"/>
  <c r="AB109" i="14"/>
  <c r="Y109" i="14"/>
  <c r="AC98" i="14"/>
  <c r="AB98" i="14"/>
  <c r="AA98" i="14"/>
  <c r="Z98" i="14"/>
  <c r="Y98" i="14"/>
  <c r="Z57" i="14"/>
  <c r="Y57" i="14"/>
  <c r="AC57" i="14"/>
  <c r="AB57" i="14"/>
  <c r="AA57" i="14"/>
  <c r="AC43" i="14"/>
  <c r="AB43" i="14"/>
  <c r="AA43" i="14"/>
  <c r="Z43" i="14"/>
  <c r="Y43" i="14"/>
  <c r="Y73" i="14"/>
  <c r="Z73" i="14"/>
  <c r="AC73" i="14"/>
  <c r="AB73" i="14"/>
  <c r="AA73" i="14"/>
  <c r="AC83" i="14"/>
  <c r="AB83" i="14"/>
  <c r="AA83" i="14"/>
  <c r="Z83" i="14"/>
  <c r="Y83" i="14"/>
  <c r="AC110" i="14"/>
  <c r="Y110" i="14"/>
  <c r="AB110" i="14"/>
  <c r="AA110" i="14"/>
  <c r="Z110" i="14"/>
  <c r="AC99" i="14"/>
  <c r="AB99" i="14"/>
  <c r="Z99" i="14"/>
  <c r="AA99" i="14"/>
  <c r="Y99" i="14"/>
  <c r="Z49" i="14"/>
  <c r="Y49" i="14"/>
  <c r="AC49" i="14"/>
  <c r="AB49" i="14"/>
  <c r="AA49" i="14"/>
  <c r="AC77" i="14"/>
  <c r="AB77" i="14"/>
  <c r="AA77" i="14"/>
  <c r="Z77" i="14"/>
  <c r="Y77" i="14"/>
  <c r="AB55" i="14"/>
  <c r="AA55" i="14"/>
  <c r="Z55" i="14"/>
  <c r="Y55" i="14"/>
  <c r="AC55" i="14"/>
  <c r="AB91" i="14"/>
  <c r="AC91" i="14"/>
  <c r="AA91" i="14"/>
  <c r="Z91" i="14"/>
  <c r="Y91" i="14"/>
  <c r="Y76" i="14"/>
  <c r="AA76" i="14"/>
  <c r="Z76" i="14"/>
  <c r="AC76" i="14"/>
  <c r="AB76" i="14"/>
  <c r="AA108" i="14"/>
  <c r="Z108" i="14"/>
  <c r="Y108" i="14"/>
  <c r="AC108" i="14"/>
  <c r="AB108" i="14"/>
  <c r="Y54" i="14"/>
  <c r="AC54" i="14"/>
  <c r="AB54" i="14"/>
  <c r="AA54" i="14"/>
  <c r="Z54" i="14"/>
  <c r="AB111" i="14"/>
  <c r="AA111" i="14"/>
  <c r="Z111" i="14"/>
  <c r="Y111" i="14"/>
  <c r="AC111" i="14"/>
  <c r="Z97" i="14"/>
  <c r="Y97" i="14"/>
  <c r="AC97" i="14"/>
  <c r="AB97" i="14"/>
  <c r="AA97" i="14"/>
  <c r="Y70" i="14"/>
  <c r="AC70" i="14"/>
  <c r="AB70" i="14"/>
  <c r="AA70" i="14"/>
  <c r="Z70" i="14"/>
  <c r="AC67" i="14"/>
  <c r="AB67" i="14"/>
  <c r="AA67" i="14"/>
  <c r="Z67" i="14"/>
  <c r="Y67" i="14"/>
  <c r="AC48" i="14"/>
  <c r="AB48" i="14"/>
  <c r="AA48" i="14"/>
  <c r="Z48" i="14"/>
  <c r="Y48" i="14"/>
  <c r="AC45" i="14"/>
  <c r="AB45" i="14"/>
  <c r="AA45" i="14"/>
  <c r="Z45" i="14"/>
  <c r="Y45" i="14"/>
  <c r="AC64" i="14"/>
  <c r="AB64" i="14"/>
  <c r="AA64" i="14"/>
  <c r="Z64" i="14"/>
  <c r="Y64" i="14"/>
  <c r="AC78" i="14"/>
  <c r="Y78" i="14"/>
  <c r="AB78" i="14"/>
  <c r="AA78" i="14"/>
  <c r="Z78" i="14"/>
  <c r="AB47" i="14"/>
  <c r="AA47" i="14"/>
  <c r="Z47" i="14"/>
  <c r="Y47" i="14"/>
  <c r="AC47" i="14"/>
  <c r="AA95" i="14"/>
  <c r="Z95" i="14"/>
  <c r="AB95" i="14"/>
  <c r="Y95" i="14"/>
  <c r="AC95" i="14"/>
  <c r="AA68" i="14"/>
  <c r="Z68" i="14"/>
  <c r="Y68" i="14"/>
  <c r="AC68" i="14"/>
  <c r="AB68" i="14"/>
  <c r="AB96" i="14"/>
  <c r="AA96" i="14"/>
  <c r="AC96" i="14"/>
  <c r="Z96" i="14"/>
  <c r="Y96" i="14"/>
  <c r="Y46" i="14"/>
  <c r="AC46" i="14"/>
  <c r="AB46" i="14"/>
  <c r="AA46" i="14"/>
  <c r="Z46" i="14"/>
  <c r="AC35" i="14"/>
  <c r="AB35" i="14"/>
  <c r="AA35" i="14"/>
  <c r="Z35" i="14"/>
  <c r="Y35" i="14"/>
  <c r="Y41" i="14"/>
  <c r="Z41" i="14"/>
  <c r="AC41" i="14"/>
  <c r="AB41" i="14"/>
  <c r="AA41" i="14"/>
  <c r="AC102" i="14"/>
  <c r="Y102" i="14"/>
  <c r="AA102" i="14"/>
  <c r="AB102" i="14"/>
  <c r="Z102" i="14"/>
  <c r="AA104" i="14"/>
  <c r="AC104" i="14"/>
  <c r="AB104" i="14"/>
  <c r="Z104" i="14"/>
  <c r="Y104" i="14"/>
  <c r="AC69" i="14"/>
  <c r="AB69" i="14"/>
  <c r="AA69" i="14"/>
  <c r="Y69" i="14"/>
  <c r="Z69" i="14"/>
  <c r="Z113" i="14"/>
  <c r="Y113" i="14"/>
  <c r="AC113" i="14"/>
  <c r="AB113" i="14"/>
  <c r="AA113" i="14"/>
  <c r="AC40" i="14"/>
  <c r="AB40" i="14"/>
  <c r="AA40" i="14"/>
  <c r="Z40" i="14"/>
  <c r="Y40" i="14"/>
  <c r="AA36" i="14"/>
  <c r="Z36" i="14"/>
  <c r="Y36" i="14"/>
  <c r="AC36" i="14"/>
  <c r="AB36" i="14"/>
  <c r="AB103" i="14"/>
  <c r="AA103" i="14"/>
  <c r="Z103" i="14"/>
  <c r="Y103" i="14"/>
  <c r="AC103" i="14"/>
  <c r="AA92" i="14"/>
  <c r="Z92" i="14"/>
  <c r="Y92" i="14"/>
  <c r="AC92" i="14"/>
  <c r="AB92" i="14"/>
  <c r="Z65" i="14"/>
  <c r="Y65" i="14"/>
  <c r="AC65" i="14"/>
  <c r="AB65" i="14"/>
  <c r="AA65" i="14"/>
  <c r="AB87" i="14"/>
  <c r="AA87" i="14"/>
  <c r="Z87" i="14"/>
  <c r="Y87" i="14"/>
  <c r="AC87" i="14"/>
  <c r="AC59" i="14"/>
  <c r="AA59" i="14"/>
  <c r="AB59" i="14"/>
  <c r="Z59" i="14"/>
  <c r="Y59" i="14"/>
  <c r="AA44" i="14"/>
  <c r="Z44" i="14"/>
  <c r="Y44" i="14"/>
  <c r="AC44" i="14"/>
  <c r="AB44" i="14"/>
  <c r="AB37" i="14"/>
  <c r="AA37" i="14"/>
  <c r="AC37" i="14"/>
  <c r="Z37" i="14"/>
  <c r="Y37" i="14"/>
  <c r="AC90" i="14"/>
  <c r="AB90" i="14"/>
  <c r="AA90" i="14"/>
  <c r="Z90" i="14"/>
  <c r="Y90" i="14"/>
  <c r="AC58" i="14"/>
  <c r="AB58" i="14"/>
  <c r="AA58" i="14"/>
  <c r="Z58" i="14"/>
  <c r="Y58" i="14"/>
  <c r="AC93" i="14"/>
  <c r="AB93" i="14"/>
  <c r="AA93" i="14"/>
  <c r="Z93" i="14"/>
  <c r="Y93" i="14"/>
  <c r="AC82" i="14"/>
  <c r="AB82" i="14"/>
  <c r="AA82" i="14"/>
  <c r="Z82" i="14"/>
  <c r="Y82" i="14"/>
  <c r="AB71" i="14"/>
  <c r="AA71" i="14"/>
  <c r="Z71" i="14"/>
  <c r="Y71" i="14"/>
  <c r="AC71" i="14"/>
  <c r="AA60" i="14"/>
  <c r="Z60" i="14"/>
  <c r="Y60" i="14"/>
  <c r="AC60" i="14"/>
  <c r="AB60" i="14"/>
  <c r="AA100" i="14"/>
  <c r="Z100" i="14"/>
  <c r="Y100" i="14"/>
  <c r="AC100" i="14"/>
  <c r="AB100" i="14"/>
  <c r="Y38" i="14"/>
  <c r="AC38" i="14"/>
  <c r="AB38" i="14"/>
  <c r="AA38" i="14"/>
  <c r="Z38" i="14"/>
  <c r="Z105" i="14"/>
  <c r="Y105" i="14"/>
  <c r="AC105" i="14"/>
  <c r="AB105" i="14"/>
  <c r="AA105" i="14"/>
  <c r="AC72" i="14"/>
  <c r="AB72" i="14"/>
  <c r="Z72" i="14"/>
  <c r="Y72" i="14"/>
  <c r="AA72" i="14"/>
  <c r="AC112" i="14"/>
  <c r="AB112" i="14"/>
  <c r="AA112" i="14"/>
  <c r="Z112" i="14"/>
  <c r="Y112" i="14"/>
  <c r="AC51" i="14"/>
  <c r="AB51" i="14"/>
  <c r="AA51" i="14"/>
  <c r="Z51" i="14"/>
  <c r="Y51" i="14"/>
  <c r="AC50" i="14"/>
  <c r="AB50" i="14"/>
  <c r="AA50" i="14"/>
  <c r="Z50" i="14"/>
  <c r="Y50" i="14"/>
  <c r="AB39" i="14"/>
  <c r="AA39" i="14"/>
  <c r="Z39" i="14"/>
  <c r="Y39" i="14"/>
  <c r="AC39" i="14"/>
  <c r="AB88" i="14"/>
  <c r="AA88" i="14"/>
  <c r="AC88" i="14"/>
  <c r="Z88" i="14"/>
  <c r="Y88" i="14"/>
  <c r="AC53" i="14"/>
  <c r="AB53" i="14"/>
  <c r="AA53" i="14"/>
  <c r="Z53" i="14"/>
  <c r="Y53" i="14"/>
  <c r="AB106" i="14"/>
  <c r="AA106" i="14"/>
  <c r="Z106" i="14"/>
  <c r="Y106" i="14"/>
  <c r="AC106" i="14"/>
  <c r="AA84" i="14"/>
  <c r="Z84" i="14"/>
  <c r="Y84" i="14"/>
  <c r="AC84" i="14"/>
  <c r="AB84" i="14"/>
  <c r="Y62" i="14"/>
  <c r="AB62" i="14"/>
  <c r="AC62" i="14"/>
  <c r="AA62" i="14"/>
  <c r="Z62" i="14"/>
  <c r="AB79" i="14"/>
  <c r="AA79" i="14"/>
  <c r="Z79" i="14"/>
  <c r="Y79" i="14"/>
  <c r="AC79" i="14"/>
  <c r="AB101" i="14"/>
  <c r="AA101" i="14"/>
  <c r="Z101" i="14"/>
  <c r="AC101" i="14"/>
  <c r="Y101" i="14"/>
  <c r="U30" i="17"/>
  <c r="U34" i="16"/>
  <c r="U4" i="14"/>
  <c r="T43" i="17"/>
  <c r="X3" i="18" a="1"/>
  <c r="T67" i="18"/>
  <c r="T54" i="18"/>
  <c r="U36" i="17"/>
  <c r="T54" i="15"/>
  <c r="U43" i="14"/>
  <c r="T50" i="16"/>
  <c r="U54" i="17"/>
  <c r="T46" i="17"/>
  <c r="U45" i="16"/>
  <c r="T48" i="18"/>
  <c r="U41" i="17"/>
  <c r="U50" i="17"/>
  <c r="U44" i="18"/>
  <c r="T41" i="17"/>
  <c r="U36" i="18"/>
  <c r="U25" i="17"/>
  <c r="U51" i="15"/>
  <c r="T41" i="16"/>
  <c r="T54" i="14"/>
  <c r="T71" i="15"/>
  <c r="T82" i="15"/>
  <c r="U74" i="18"/>
  <c r="T19" i="17"/>
  <c r="T37" i="18"/>
  <c r="T81" i="15"/>
  <c r="T56" i="18"/>
  <c r="T50" i="17"/>
  <c r="U58" i="15"/>
  <c r="T55" i="16"/>
  <c r="U3" i="14"/>
  <c r="U58" i="16"/>
  <c r="U5" i="14"/>
  <c r="T18" i="17"/>
  <c r="T52" i="18"/>
  <c r="T39" i="16"/>
  <c r="T32" i="16"/>
  <c r="T64" i="16"/>
  <c r="U35" i="16"/>
  <c r="T57" i="18"/>
  <c r="T40" i="16"/>
  <c r="U38" i="18"/>
  <c r="T56" i="15"/>
  <c r="T22" i="17"/>
  <c r="U55" i="17"/>
  <c r="T42" i="17"/>
  <c r="T40" i="17"/>
  <c r="T49" i="18"/>
  <c r="T55" i="17"/>
  <c r="T49" i="15"/>
  <c r="U33" i="16"/>
  <c r="U32" i="16"/>
  <c r="U41" i="14"/>
  <c r="T53" i="17"/>
  <c r="T12" i="17"/>
  <c r="U54" i="18"/>
  <c r="T15" i="17"/>
  <c r="T50" i="18"/>
  <c r="U82" i="15"/>
  <c r="T58" i="15"/>
  <c r="T32" i="17"/>
  <c r="U48" i="18"/>
  <c r="U45" i="18"/>
  <c r="U19" i="17"/>
  <c r="T30" i="17"/>
  <c r="T62" i="16"/>
  <c r="T61" i="15"/>
  <c r="U22" i="17"/>
  <c r="T43" i="16"/>
  <c r="U34" i="17"/>
  <c r="U51" i="18"/>
  <c r="T32" i="18"/>
  <c r="U28" i="17"/>
  <c r="T42" i="14"/>
  <c r="U56" i="18"/>
  <c r="U54" i="14"/>
  <c r="U62" i="16"/>
  <c r="T45" i="16"/>
  <c r="U17" i="17"/>
  <c r="U66" i="15"/>
  <c r="U81" i="15"/>
  <c r="U52" i="15"/>
  <c r="U38" i="17"/>
  <c r="U65" i="16"/>
  <c r="U37" i="14"/>
  <c r="U13" i="17"/>
  <c r="U47" i="18"/>
  <c r="U67" i="18"/>
  <c r="T55" i="15"/>
  <c r="T42" i="16"/>
  <c r="T51" i="17"/>
  <c r="T53" i="16"/>
  <c r="T43" i="14"/>
  <c r="U55" i="18"/>
  <c r="U37" i="17"/>
  <c r="U14" i="17"/>
  <c r="U42" i="14"/>
  <c r="U46" i="17"/>
  <c r="T27" i="17"/>
  <c r="U60" i="16"/>
  <c r="U50" i="16"/>
  <c r="T35" i="18"/>
  <c r="U24" i="17"/>
  <c r="T24" i="17"/>
  <c r="U61" i="16"/>
  <c r="T33" i="17"/>
  <c r="U39" i="17"/>
  <c r="T45" i="18"/>
  <c r="T44" i="18"/>
  <c r="U34" i="18"/>
  <c r="U63" i="16"/>
  <c r="U49" i="18"/>
  <c r="T40" i="18"/>
  <c r="T39" i="17"/>
  <c r="T50" i="15"/>
  <c r="U16" i="17"/>
  <c r="U55" i="15"/>
  <c r="T63" i="16"/>
  <c r="T48" i="16"/>
  <c r="U43" i="16"/>
  <c r="U61" i="15"/>
  <c r="T52" i="15"/>
  <c r="T17" i="17"/>
  <c r="U73" i="18"/>
  <c r="T65" i="16"/>
  <c r="T9" i="17"/>
  <c r="U31" i="17"/>
  <c r="U57" i="18"/>
  <c r="T66" i="15"/>
  <c r="T78" i="18"/>
  <c r="T51" i="15"/>
  <c r="U35" i="17"/>
  <c r="U10" i="17"/>
  <c r="U51" i="17"/>
  <c r="U78" i="18"/>
  <c r="T45" i="17"/>
  <c r="T34" i="17"/>
  <c r="U36" i="16"/>
  <c r="U42" i="17"/>
  <c r="T38" i="17"/>
  <c r="T58" i="16"/>
  <c r="U12" i="17"/>
  <c r="T34" i="18"/>
  <c r="T31" i="17"/>
  <c r="T53" i="15"/>
  <c r="T33" i="16"/>
  <c r="T33" i="14"/>
  <c r="T35" i="17"/>
  <c r="T29" i="17"/>
  <c r="T28" i="17"/>
  <c r="U45" i="17"/>
  <c r="T36" i="18"/>
  <c r="U56" i="15"/>
  <c r="T37" i="14"/>
  <c r="T34" i="16"/>
  <c r="T13" i="17"/>
  <c r="T38" i="18"/>
  <c r="T14" i="17"/>
  <c r="T46" i="18"/>
  <c r="U52" i="18"/>
  <c r="U40" i="17"/>
  <c r="T16" i="17"/>
  <c r="T76" i="15"/>
  <c r="U53" i="18"/>
  <c r="U64" i="16"/>
  <c r="T39" i="18"/>
  <c r="U39" i="18"/>
  <c r="T11" i="17"/>
  <c r="U29" i="17"/>
  <c r="T51" i="18"/>
  <c r="T38" i="16"/>
  <c r="T3" i="14"/>
  <c r="U42" i="18"/>
  <c r="T25" i="17"/>
  <c r="U42" i="16"/>
  <c r="U66" i="16"/>
  <c r="U72" i="18"/>
  <c r="U35" i="18"/>
  <c r="T37" i="17"/>
  <c r="U32" i="17"/>
  <c r="T10" i="17"/>
  <c r="U53" i="17"/>
  <c r="U62" i="18"/>
  <c r="T61" i="16"/>
  <c r="U23" i="17"/>
  <c r="U27" i="17"/>
  <c r="U33" i="17"/>
  <c r="T60" i="16"/>
  <c r="T42" i="18"/>
  <c r="U9" i="17"/>
  <c r="T26" i="17"/>
  <c r="T54" i="17"/>
  <c r="U41" i="16"/>
  <c r="T53" i="18"/>
  <c r="T74" i="18"/>
  <c r="T37" i="16"/>
  <c r="U38" i="16"/>
  <c r="T76" i="18"/>
  <c r="U46" i="18"/>
  <c r="U40" i="16"/>
  <c r="T73" i="18"/>
  <c r="U18" i="17"/>
  <c r="U11" i="17"/>
  <c r="I3" i="1"/>
  <c r="U37" i="18"/>
  <c r="U40" i="18"/>
  <c r="T72" i="18"/>
  <c r="T36" i="17"/>
  <c r="U15" i="17"/>
  <c r="U33" i="14"/>
  <c r="U76" i="18"/>
  <c r="U55" i="16"/>
  <c r="U54" i="15"/>
  <c r="T47" i="18"/>
  <c r="U50" i="18"/>
  <c r="U43" i="17"/>
  <c r="T5" i="14"/>
  <c r="T36" i="16"/>
  <c r="U48" i="16"/>
  <c r="U49" i="15"/>
  <c r="U53" i="16"/>
  <c r="U76" i="15"/>
  <c r="U33" i="18"/>
  <c r="U26" i="17"/>
  <c r="T33" i="18"/>
  <c r="U39" i="16"/>
  <c r="T35" i="16"/>
  <c r="T41" i="14"/>
  <c r="U53" i="15"/>
  <c r="U37" i="16"/>
  <c r="T55" i="18"/>
  <c r="T66" i="16"/>
  <c r="T4" i="14"/>
  <c r="U50" i="15"/>
  <c r="T62" i="18"/>
  <c r="U71" i="15"/>
  <c r="T23" i="17"/>
  <c r="U32" i="18"/>
  <c r="I5" i="1"/>
  <c r="I4" i="1"/>
  <c r="W101" i="14" l="1"/>
  <c r="W79" i="14"/>
  <c r="W62" i="14"/>
  <c r="W84" i="14"/>
  <c r="W106" i="14"/>
  <c r="W53" i="14"/>
  <c r="W88" i="14"/>
  <c r="W39" i="14"/>
  <c r="W50" i="14"/>
  <c r="W51" i="14"/>
  <c r="W112" i="14"/>
  <c r="W72" i="14"/>
  <c r="W105" i="14"/>
  <c r="W38" i="14"/>
  <c r="W100" i="14"/>
  <c r="W60" i="14"/>
  <c r="W71" i="14"/>
  <c r="W82" i="14"/>
  <c r="W93" i="14"/>
  <c r="W58" i="14"/>
  <c r="W90" i="14"/>
  <c r="W37" i="14"/>
  <c r="W44" i="14"/>
  <c r="W59" i="14"/>
  <c r="W87" i="14"/>
  <c r="W65" i="14"/>
  <c r="W92" i="14"/>
  <c r="W103" i="14"/>
  <c r="W36" i="14"/>
  <c r="W40" i="14"/>
  <c r="W113" i="14"/>
  <c r="W69" i="14"/>
  <c r="W104" i="14"/>
  <c r="W102" i="14"/>
  <c r="W41" i="14"/>
  <c r="W35" i="14"/>
  <c r="W46" i="14"/>
  <c r="W96" i="14"/>
  <c r="W68" i="14"/>
  <c r="W95" i="14"/>
  <c r="W47" i="14"/>
  <c r="W78" i="14"/>
  <c r="W64" i="14"/>
  <c r="W45" i="14"/>
  <c r="W48" i="14"/>
  <c r="W67" i="14"/>
  <c r="W70" i="14"/>
  <c r="W97" i="14"/>
  <c r="W111" i="14"/>
  <c r="W54" i="14"/>
  <c r="W108" i="14"/>
  <c r="W76" i="14"/>
  <c r="W91" i="14"/>
  <c r="W55" i="14"/>
  <c r="W77" i="14"/>
  <c r="W49" i="14"/>
  <c r="W99" i="14"/>
  <c r="W110" i="14"/>
  <c r="W83" i="14"/>
  <c r="W73" i="14"/>
  <c r="W43" i="14"/>
  <c r="W57" i="14"/>
  <c r="W98" i="14"/>
  <c r="W109" i="14"/>
  <c r="W56" i="14"/>
  <c r="W81" i="14"/>
  <c r="W42" i="14"/>
  <c r="W80" i="14"/>
  <c r="W75" i="14"/>
  <c r="W86" i="14"/>
  <c r="W61" i="14"/>
  <c r="W94" i="14"/>
  <c r="W74" i="14"/>
  <c r="W89" i="14"/>
  <c r="W52" i="14"/>
  <c r="W63" i="14"/>
  <c r="W85" i="14"/>
  <c r="W66" i="14"/>
  <c r="W107" i="14"/>
  <c r="X43" i="18"/>
  <c r="X34" i="18"/>
  <c r="X41" i="18"/>
  <c r="X21" i="18"/>
  <c r="X67" i="18"/>
  <c r="X66" i="18"/>
  <c r="X36" i="18"/>
  <c r="X75" i="18"/>
  <c r="X23" i="18"/>
  <c r="X16" i="18"/>
  <c r="X13" i="18"/>
  <c r="X39" i="18"/>
  <c r="X31" i="18"/>
  <c r="X72" i="18"/>
  <c r="X77" i="18"/>
  <c r="X30" i="18"/>
  <c r="X15" i="18"/>
  <c r="X18" i="18"/>
  <c r="X68" i="18"/>
  <c r="X27" i="18"/>
  <c r="X51" i="18"/>
  <c r="X10" i="18"/>
  <c r="X28" i="18"/>
  <c r="X42" i="18"/>
  <c r="X71" i="18"/>
  <c r="X11" i="18"/>
  <c r="X24" i="18"/>
  <c r="X55" i="18"/>
  <c r="X59" i="18"/>
  <c r="X7" i="18"/>
  <c r="X63" i="18"/>
  <c r="X9" i="18"/>
  <c r="X57" i="18"/>
  <c r="X8" i="18"/>
  <c r="X53" i="18"/>
  <c r="X73" i="18"/>
  <c r="X64" i="18"/>
  <c r="X49" i="18"/>
  <c r="X69" i="18"/>
  <c r="X61" i="18"/>
  <c r="X5" i="18"/>
  <c r="X6" i="18"/>
  <c r="X17" i="18"/>
  <c r="X20" i="18"/>
  <c r="X44" i="18"/>
  <c r="X48" i="18"/>
  <c r="X46" i="18"/>
  <c r="X74" i="18"/>
  <c r="X47" i="18"/>
  <c r="X12" i="18"/>
  <c r="X78" i="18"/>
  <c r="X54" i="18"/>
  <c r="X45" i="18"/>
  <c r="X58" i="18"/>
  <c r="X37" i="18"/>
  <c r="X70" i="18"/>
  <c r="X3" i="18"/>
  <c r="X60" i="18"/>
  <c r="X50" i="18"/>
  <c r="X4" i="18"/>
  <c r="X19" i="18"/>
  <c r="X38" i="18"/>
  <c r="X35" i="18"/>
  <c r="X52" i="18"/>
  <c r="X76" i="18"/>
  <c r="X56" i="18"/>
  <c r="X33" i="18"/>
  <c r="X40" i="18"/>
  <c r="X62" i="18"/>
  <c r="X25" i="18"/>
  <c r="X14" i="18"/>
  <c r="X22" i="18"/>
  <c r="X32" i="18"/>
  <c r="X29" i="18"/>
  <c r="X26" i="18"/>
  <c r="X65" i="18"/>
  <c r="P18" i="17"/>
  <c r="P54" i="17"/>
  <c r="AA56" i="18"/>
  <c r="AA70" i="18"/>
  <c r="AA15" i="18"/>
  <c r="AB33" i="18"/>
  <c r="AB17" i="18"/>
  <c r="AB34" i="18"/>
  <c r="AB41" i="18"/>
  <c r="Y16" i="18"/>
  <c r="Z49" i="18"/>
  <c r="AA64" i="18"/>
  <c r="Z3" i="18"/>
  <c r="AA62" i="18"/>
  <c r="AA48" i="18"/>
  <c r="AC45" i="18"/>
  <c r="T18" i="14"/>
  <c r="AB19" i="18"/>
  <c r="AC53" i="18"/>
  <c r="Z9" i="18"/>
  <c r="Z68" i="18"/>
  <c r="Y62" i="18"/>
  <c r="AB47" i="18"/>
  <c r="Y33" i="18"/>
  <c r="AB28" i="18"/>
  <c r="AC10" i="18"/>
  <c r="C26" i="15"/>
  <c r="Z8" i="18"/>
  <c r="Z44" i="18"/>
  <c r="Y29" i="18"/>
  <c r="U49" i="14"/>
  <c r="Z77" i="18"/>
  <c r="T44" i="14"/>
  <c r="U10" i="14"/>
  <c r="AC57" i="18"/>
  <c r="AC4" i="18"/>
  <c r="X3" i="17" a="1"/>
  <c r="Y7" i="18"/>
  <c r="Y68" i="18"/>
  <c r="AA57" i="18"/>
  <c r="AB51" i="18"/>
  <c r="Y34" i="18"/>
  <c r="U13" i="14"/>
  <c r="AB16" i="18"/>
  <c r="Z66" i="18"/>
  <c r="Y43" i="18"/>
  <c r="AB3" i="18"/>
  <c r="Y66" i="18"/>
  <c r="AC33" i="18"/>
  <c r="Z22" i="18"/>
  <c r="AA39" i="18"/>
  <c r="Y4" i="18"/>
  <c r="U15" i="14"/>
  <c r="AC26" i="18"/>
  <c r="U44" i="14"/>
  <c r="Z74" i="18"/>
  <c r="Y8" i="18"/>
  <c r="Y48" i="18"/>
  <c r="Y10" i="18"/>
  <c r="AC50" i="18"/>
  <c r="Y61" i="18"/>
  <c r="Y69" i="18"/>
  <c r="Z61" i="18"/>
  <c r="Y17" i="18"/>
  <c r="T57" i="14"/>
  <c r="AC3" i="18"/>
  <c r="Z13" i="18"/>
  <c r="AA78" i="18"/>
  <c r="Y28" i="18"/>
  <c r="AC69" i="18"/>
  <c r="AA4" i="18"/>
  <c r="Y46" i="18"/>
  <c r="Z37" i="18"/>
  <c r="AC21" i="18"/>
  <c r="Z40" i="18"/>
  <c r="AB27" i="18"/>
  <c r="AC62" i="18"/>
  <c r="AB8" i="18"/>
  <c r="Y15" i="18"/>
  <c r="I6" i="1"/>
  <c r="AA26" i="18"/>
  <c r="Z5" i="18"/>
  <c r="AC49" i="18"/>
  <c r="T6" i="14"/>
  <c r="Y6" i="18"/>
  <c r="AC74" i="18"/>
  <c r="U14" i="14"/>
  <c r="Y21" i="18"/>
  <c r="Y53" i="18"/>
  <c r="Y44" i="18"/>
  <c r="AA52" i="18"/>
  <c r="U11" i="14"/>
  <c r="AB53" i="18"/>
  <c r="AA19" i="18"/>
  <c r="Y42" i="18"/>
  <c r="AA50" i="18"/>
  <c r="U23" i="14"/>
  <c r="AC40" i="18"/>
  <c r="AB59" i="18"/>
  <c r="AC36" i="18"/>
  <c r="AA73" i="18"/>
  <c r="T26" i="14"/>
  <c r="AB67" i="18"/>
  <c r="AC77" i="18"/>
  <c r="AC75" i="18"/>
  <c r="T7" i="14"/>
  <c r="U46" i="14"/>
  <c r="AC37" i="18"/>
  <c r="AC52" i="18"/>
  <c r="AC54" i="18"/>
  <c r="T49" i="14"/>
  <c r="Y70" i="18"/>
  <c r="Y55" i="18"/>
  <c r="T55" i="14"/>
  <c r="AC78" i="18"/>
  <c r="AB73" i="18"/>
  <c r="Y30" i="18"/>
  <c r="AC60" i="18"/>
  <c r="AC73" i="18"/>
  <c r="AB72" i="18"/>
  <c r="AB30" i="18"/>
  <c r="AA54" i="18"/>
  <c r="AC76" i="18"/>
  <c r="Y22" i="18"/>
  <c r="AB76" i="18"/>
  <c r="Y63" i="18"/>
  <c r="Z48" i="18"/>
  <c r="Y47" i="18"/>
  <c r="U32" i="14"/>
  <c r="T10" i="14"/>
  <c r="AA8" i="18"/>
  <c r="Y67" i="18"/>
  <c r="AB25" i="18"/>
  <c r="AA34" i="18"/>
  <c r="T9" i="14"/>
  <c r="AA30" i="18"/>
  <c r="Z65" i="18"/>
  <c r="Z12" i="18"/>
  <c r="AC46" i="18"/>
  <c r="AA76" i="18"/>
  <c r="AA55" i="18"/>
  <c r="U36" i="14"/>
  <c r="AA18" i="18"/>
  <c r="Y74" i="18"/>
  <c r="Y24" i="18"/>
  <c r="Z30" i="18"/>
  <c r="T47" i="14"/>
  <c r="AA77" i="18"/>
  <c r="AB40" i="18"/>
  <c r="AC28" i="18"/>
  <c r="T40" i="14"/>
  <c r="Z6" i="18"/>
  <c r="T19" i="14"/>
  <c r="Y75" i="18"/>
  <c r="AB43" i="18"/>
  <c r="Y58" i="18"/>
  <c r="T8" i="14"/>
  <c r="AB75" i="18"/>
  <c r="Y51" i="18"/>
  <c r="Y76" i="18"/>
  <c r="AC67" i="18"/>
  <c r="AC6" i="18"/>
  <c r="AC14" i="18"/>
  <c r="AB5" i="18"/>
  <c r="Z57" i="18"/>
  <c r="Z33" i="18"/>
  <c r="AA43" i="18"/>
  <c r="AA60" i="18"/>
  <c r="Z70" i="18"/>
  <c r="Z42" i="18"/>
  <c r="AB26" i="18"/>
  <c r="Z41" i="18"/>
  <c r="AA10" i="18"/>
  <c r="AC65" i="18"/>
  <c r="AB13" i="18"/>
  <c r="AA67" i="18"/>
  <c r="AA28" i="18"/>
  <c r="AB70" i="18"/>
  <c r="AC64" i="18"/>
  <c r="AB35" i="18"/>
  <c r="AA9" i="18"/>
  <c r="Y11" i="18"/>
  <c r="Y71" i="18"/>
  <c r="Z39" i="18"/>
  <c r="AA65" i="18"/>
  <c r="AC39" i="18"/>
  <c r="T11" i="14"/>
  <c r="U45" i="14"/>
  <c r="AC16" i="18"/>
  <c r="Z14" i="18"/>
  <c r="AA58" i="18"/>
  <c r="Z55" i="18"/>
  <c r="T20" i="14"/>
  <c r="AA27" i="18"/>
  <c r="U12" i="14"/>
  <c r="AA25" i="18"/>
  <c r="AA45" i="18"/>
  <c r="T32" i="14"/>
  <c r="AC70" i="18"/>
  <c r="Z7" i="18"/>
  <c r="AA72" i="18"/>
  <c r="Z69" i="18"/>
  <c r="AA17" i="18"/>
  <c r="AA35" i="18"/>
  <c r="AC41" i="18"/>
  <c r="Y59" i="18"/>
  <c r="Y37" i="18"/>
  <c r="AA6" i="18"/>
  <c r="AA75" i="18"/>
  <c r="AA61" i="18"/>
  <c r="AA31" i="18"/>
  <c r="Z50" i="18"/>
  <c r="AA59" i="18"/>
  <c r="Z76" i="18"/>
  <c r="AA24" i="18"/>
  <c r="Z27" i="18"/>
  <c r="U47" i="14"/>
  <c r="AA36" i="18"/>
  <c r="AB36" i="18"/>
  <c r="Z64" i="18"/>
  <c r="AC66" i="18"/>
  <c r="Z36" i="18"/>
  <c r="AC51" i="18"/>
  <c r="AA69" i="18"/>
  <c r="AA11" i="18"/>
  <c r="Z60" i="18"/>
  <c r="Y50" i="18"/>
  <c r="AC29" i="18"/>
  <c r="AC47" i="18"/>
  <c r="Z54" i="18"/>
  <c r="AC72" i="18"/>
  <c r="Z34" i="18"/>
  <c r="AC20" i="18"/>
  <c r="T15" i="14"/>
  <c r="AB50" i="18"/>
  <c r="Y13" i="18"/>
  <c r="AC17" i="18"/>
  <c r="AB7" i="18"/>
  <c r="AB55" i="18"/>
  <c r="T51" i="14"/>
  <c r="AB22" i="18"/>
  <c r="AB42" i="18"/>
  <c r="Y9" i="18"/>
  <c r="AB66" i="18"/>
  <c r="AC44" i="18"/>
  <c r="AB49" i="18"/>
  <c r="Y41" i="18"/>
  <c r="Z28" i="18"/>
  <c r="U40" i="14"/>
  <c r="Y60" i="18"/>
  <c r="U48" i="14"/>
  <c r="AB44" i="18"/>
  <c r="U18" i="14"/>
  <c r="AA21" i="18"/>
  <c r="Z29" i="18"/>
  <c r="AC59" i="18"/>
  <c r="AA51" i="18"/>
  <c r="Y12" i="18"/>
  <c r="AA3" i="18"/>
  <c r="Z46" i="18"/>
  <c r="AC12" i="18"/>
  <c r="Y32" i="18"/>
  <c r="U29" i="14"/>
  <c r="AC25" i="18"/>
  <c r="AC11" i="18"/>
  <c r="AA14" i="18"/>
  <c r="AB69" i="18"/>
  <c r="U9" i="14"/>
  <c r="Z71" i="18"/>
  <c r="AB54" i="18"/>
  <c r="AC71" i="18"/>
  <c r="AB77" i="18"/>
  <c r="Z4" i="18"/>
  <c r="AA74" i="18"/>
  <c r="AC8" i="18"/>
  <c r="U55" i="14"/>
  <c r="AB61" i="18"/>
  <c r="AC61" i="18"/>
  <c r="AC19" i="18"/>
  <c r="AA32" i="18"/>
  <c r="T17" i="14"/>
  <c r="Z73" i="18"/>
  <c r="AA63" i="18"/>
  <c r="AC48" i="18"/>
  <c r="Y40" i="18"/>
  <c r="AB52" i="18"/>
  <c r="AC43" i="18"/>
  <c r="Y64" i="18"/>
  <c r="AB68" i="18"/>
  <c r="T45" i="14"/>
  <c r="Z47" i="18"/>
  <c r="Y49" i="18"/>
  <c r="Z35" i="18"/>
  <c r="T46" i="14"/>
  <c r="AB37" i="18"/>
  <c r="AC18" i="18"/>
  <c r="AC56" i="18"/>
  <c r="Z56" i="18"/>
  <c r="AB12" i="18"/>
  <c r="Y35" i="18"/>
  <c r="T12" i="14"/>
  <c r="AB29" i="18"/>
  <c r="Z72" i="18"/>
  <c r="U50" i="14"/>
  <c r="Y77" i="18"/>
  <c r="AB62" i="18"/>
  <c r="Z10" i="18"/>
  <c r="AB74" i="18"/>
  <c r="T29" i="14"/>
  <c r="Y39" i="18"/>
  <c r="AA33" i="18"/>
  <c r="AA20" i="18"/>
  <c r="Z32" i="18"/>
  <c r="Y3" i="18"/>
  <c r="AB31" i="18"/>
  <c r="AB20" i="18"/>
  <c r="AB21" i="18"/>
  <c r="AC27" i="18"/>
  <c r="AB32" i="18"/>
  <c r="AA49" i="18"/>
  <c r="AC38" i="18"/>
  <c r="Y14" i="18"/>
  <c r="AC34" i="18"/>
  <c r="Z17" i="18"/>
  <c r="AB63" i="18"/>
  <c r="Y73" i="18"/>
  <c r="T16" i="14"/>
  <c r="AB71" i="18"/>
  <c r="AA42" i="18"/>
  <c r="Z63" i="18"/>
  <c r="AA68" i="18"/>
  <c r="Z15" i="18"/>
  <c r="T36" i="14"/>
  <c r="AA47" i="18"/>
  <c r="Y72" i="18"/>
  <c r="Z53" i="18"/>
  <c r="U52" i="14"/>
  <c r="AB46" i="18"/>
  <c r="AA66" i="18"/>
  <c r="AB11" i="18"/>
  <c r="Y54" i="18"/>
  <c r="AC9" i="18"/>
  <c r="AA23" i="18"/>
  <c r="AA16" i="18"/>
  <c r="AB58" i="18"/>
  <c r="Y26" i="18"/>
  <c r="AB24" i="18"/>
  <c r="AC32" i="18"/>
  <c r="Z18" i="18"/>
  <c r="AC58" i="18"/>
  <c r="AC13" i="18"/>
  <c r="U17" i="14"/>
  <c r="AC63" i="18"/>
  <c r="AA71" i="18"/>
  <c r="AC7" i="18"/>
  <c r="U57" i="14"/>
  <c r="AB78" i="18"/>
  <c r="Z78" i="18"/>
  <c r="Z38" i="18"/>
  <c r="Z11" i="18"/>
  <c r="Z45" i="18"/>
  <c r="AB15" i="18"/>
  <c r="Y36" i="18"/>
  <c r="Z19" i="18"/>
  <c r="AB64" i="18"/>
  <c r="AB4" i="18"/>
  <c r="T23" i="14"/>
  <c r="AC35" i="18"/>
  <c r="Z51" i="18"/>
  <c r="Z31" i="18"/>
  <c r="U7" i="14"/>
  <c r="AB23" i="18"/>
  <c r="Z59" i="18"/>
  <c r="Y20" i="18"/>
  <c r="AC23" i="18"/>
  <c r="U20" i="14"/>
  <c r="Y19" i="18"/>
  <c r="Z21" i="18"/>
  <c r="Z24" i="18"/>
  <c r="AA12" i="18"/>
  <c r="AB56" i="18"/>
  <c r="Z43" i="18"/>
  <c r="AB18" i="18"/>
  <c r="AA5" i="18"/>
  <c r="Z26" i="18"/>
  <c r="Z62" i="18"/>
  <c r="AC24" i="18"/>
  <c r="AA22" i="18"/>
  <c r="Y25" i="18"/>
  <c r="Z16" i="18"/>
  <c r="Y5" i="18"/>
  <c r="Y45" i="18"/>
  <c r="U26" i="14"/>
  <c r="AA38" i="18"/>
  <c r="T50" i="14"/>
  <c r="AB10" i="18"/>
  <c r="U51" i="14"/>
  <c r="Z67" i="18"/>
  <c r="AB6" i="18"/>
  <c r="Y65" i="18"/>
  <c r="AB57" i="18"/>
  <c r="Z58" i="18"/>
  <c r="Y78" i="18"/>
  <c r="AA44" i="18"/>
  <c r="AC31" i="18"/>
  <c r="AA41" i="18"/>
  <c r="AC22" i="18"/>
  <c r="AB45" i="18"/>
  <c r="Y27" i="18"/>
  <c r="AB65" i="18"/>
  <c r="AB60" i="18"/>
  <c r="AB39" i="18"/>
  <c r="U19" i="14"/>
  <c r="Z25" i="18"/>
  <c r="AA53" i="18"/>
  <c r="T48" i="14"/>
  <c r="AB38" i="18"/>
  <c r="Z20" i="18"/>
  <c r="AC30" i="18"/>
  <c r="AC15" i="18"/>
  <c r="AA7" i="18"/>
  <c r="Y56" i="18"/>
  <c r="Y52" i="18"/>
  <c r="Y18" i="18"/>
  <c r="U8" i="14"/>
  <c r="Y31" i="18"/>
  <c r="Y23" i="18"/>
  <c r="AA13" i="18"/>
  <c r="U6" i="14"/>
  <c r="AC5" i="18"/>
  <c r="Z23" i="18"/>
  <c r="T13" i="14"/>
  <c r="U16" i="14"/>
  <c r="Z75" i="18"/>
  <c r="T53" i="14"/>
  <c r="AA46" i="18"/>
  <c r="AB14" i="18"/>
  <c r="U53" i="14"/>
  <c r="AB9" i="18"/>
  <c r="Y57" i="18"/>
  <c r="AA37" i="18"/>
  <c r="Z52" i="18"/>
  <c r="T52" i="14"/>
  <c r="AA40" i="18"/>
  <c r="AA29" i="18"/>
  <c r="AC42" i="18"/>
  <c r="T14" i="14"/>
  <c r="AC68" i="18"/>
  <c r="AC55" i="18"/>
  <c r="AB48" i="18"/>
  <c r="Y38" i="18"/>
  <c r="D50" i="1" l="1"/>
  <c r="I34" i="1"/>
  <c r="D34" i="1"/>
  <c r="I18" i="1"/>
  <c r="W25" i="18"/>
  <c r="W62" i="18"/>
  <c r="W19" i="18"/>
  <c r="W45" i="18"/>
  <c r="W44" i="18"/>
  <c r="W64" i="18"/>
  <c r="W59" i="18"/>
  <c r="W51" i="18"/>
  <c r="W31" i="18"/>
  <c r="W67" i="18"/>
  <c r="W65" i="18"/>
  <c r="W40" i="18"/>
  <c r="W4" i="18"/>
  <c r="W54" i="18"/>
  <c r="W20" i="18"/>
  <c r="W73" i="18"/>
  <c r="W55" i="18"/>
  <c r="W27" i="18"/>
  <c r="W39" i="18"/>
  <c r="W21" i="18"/>
  <c r="W26" i="18"/>
  <c r="W33" i="18"/>
  <c r="W50" i="18"/>
  <c r="W78" i="18"/>
  <c r="W17" i="18"/>
  <c r="W53" i="18"/>
  <c r="W24" i="18"/>
  <c r="W68" i="18"/>
  <c r="W13" i="18"/>
  <c r="W41" i="18"/>
  <c r="W29" i="18"/>
  <c r="W56" i="18"/>
  <c r="W60" i="18"/>
  <c r="W12" i="18"/>
  <c r="W6" i="18"/>
  <c r="W8" i="18"/>
  <c r="W11" i="18"/>
  <c r="W18" i="18"/>
  <c r="W16" i="18"/>
  <c r="W34" i="18"/>
  <c r="H26" i="15"/>
  <c r="I26" i="15"/>
  <c r="W32" i="18"/>
  <c r="W76" i="18"/>
  <c r="W3" i="18"/>
  <c r="W47" i="18"/>
  <c r="W5" i="18"/>
  <c r="W57" i="18"/>
  <c r="W71" i="18"/>
  <c r="W15" i="18"/>
  <c r="W23" i="18"/>
  <c r="W43" i="18"/>
  <c r="W22" i="18"/>
  <c r="W52" i="18"/>
  <c r="W70" i="18"/>
  <c r="W74" i="18"/>
  <c r="W61" i="18"/>
  <c r="W9" i="18"/>
  <c r="W42" i="18"/>
  <c r="W30" i="18"/>
  <c r="W75" i="18"/>
  <c r="W14" i="18"/>
  <c r="W35" i="18"/>
  <c r="W37" i="18"/>
  <c r="W46" i="18"/>
  <c r="W69" i="18"/>
  <c r="W63" i="18"/>
  <c r="W28" i="18"/>
  <c r="W77" i="18"/>
  <c r="W36" i="18"/>
  <c r="W38" i="18"/>
  <c r="W58" i="18"/>
  <c r="W48" i="18"/>
  <c r="W49" i="18"/>
  <c r="W7" i="18"/>
  <c r="W10" i="18"/>
  <c r="W72" i="18"/>
  <c r="W66" i="18"/>
  <c r="X51" i="17"/>
  <c r="X32" i="17"/>
  <c r="X7" i="17"/>
  <c r="X24" i="17"/>
  <c r="X33" i="17"/>
  <c r="X48" i="17"/>
  <c r="X45" i="17"/>
  <c r="X43" i="17"/>
  <c r="X40" i="17"/>
  <c r="X8" i="17"/>
  <c r="X31" i="17"/>
  <c r="X55" i="17"/>
  <c r="X42" i="17"/>
  <c r="X44" i="17"/>
  <c r="X25" i="17"/>
  <c r="X26" i="17"/>
  <c r="X54" i="17"/>
  <c r="X20" i="17"/>
  <c r="X4" i="17"/>
  <c r="X27" i="17"/>
  <c r="X9" i="17"/>
  <c r="X19" i="17"/>
  <c r="X11" i="17"/>
  <c r="X50" i="17"/>
  <c r="X38" i="17"/>
  <c r="X30" i="17"/>
  <c r="X6" i="17"/>
  <c r="X3" i="17"/>
  <c r="X29" i="17"/>
  <c r="X52" i="17"/>
  <c r="X49" i="17"/>
  <c r="X17" i="17"/>
  <c r="X36" i="17"/>
  <c r="X39" i="17"/>
  <c r="X5" i="17"/>
  <c r="X34" i="17"/>
  <c r="X22" i="17"/>
  <c r="X35" i="17"/>
  <c r="X18" i="17"/>
  <c r="X53" i="17"/>
  <c r="X13" i="17"/>
  <c r="X10" i="17"/>
  <c r="X41" i="17"/>
  <c r="X47" i="17"/>
  <c r="X28" i="17"/>
  <c r="X37" i="17"/>
  <c r="X14" i="17"/>
  <c r="X12" i="17"/>
  <c r="X23" i="17"/>
  <c r="X46" i="17"/>
  <c r="X21" i="17"/>
  <c r="X15" i="17"/>
  <c r="X16" i="17"/>
  <c r="AB4" i="17"/>
  <c r="AB45" i="17"/>
  <c r="AA10" i="17"/>
  <c r="AB18" i="17"/>
  <c r="AB41" i="17"/>
  <c r="AA51" i="17"/>
  <c r="AC31" i="17"/>
  <c r="AA6" i="17"/>
  <c r="AB48" i="17"/>
  <c r="AB10" i="17"/>
  <c r="Y6" i="17"/>
  <c r="AC34" i="17"/>
  <c r="AC46" i="17"/>
  <c r="Y54" i="17"/>
  <c r="Z5" i="17"/>
  <c r="O22" i="15"/>
  <c r="AC41" i="17"/>
  <c r="AA38" i="17"/>
  <c r="AA54" i="17"/>
  <c r="AC26" i="17"/>
  <c r="AC45" i="17"/>
  <c r="Y14" i="17"/>
  <c r="Y26" i="17"/>
  <c r="Z4" i="17"/>
  <c r="AB24" i="17"/>
  <c r="Z15" i="17"/>
  <c r="AC20" i="17"/>
  <c r="AC21" i="17"/>
  <c r="Z9" i="17"/>
  <c r="Z44" i="17"/>
  <c r="Z23" i="17"/>
  <c r="AC12" i="17"/>
  <c r="Z22" i="17"/>
  <c r="AB3" i="17"/>
  <c r="AC11" i="17"/>
  <c r="AC4" i="17"/>
  <c r="AA39" i="17"/>
  <c r="AB44" i="17"/>
  <c r="AA40" i="17"/>
  <c r="AA22" i="17"/>
  <c r="Z16" i="17"/>
  <c r="AB42" i="17"/>
  <c r="AA53" i="17"/>
  <c r="Z31" i="17"/>
  <c r="Z30" i="17"/>
  <c r="AA37" i="17"/>
  <c r="AA43" i="17"/>
  <c r="Z7" i="17"/>
  <c r="AC13" i="17"/>
  <c r="AB25" i="17"/>
  <c r="J26" i="15"/>
  <c r="AC48" i="17"/>
  <c r="Y34" i="17"/>
  <c r="Z36" i="17"/>
  <c r="AB37" i="17"/>
  <c r="Z55" i="17"/>
  <c r="Y9" i="17"/>
  <c r="AC29" i="17"/>
  <c r="Y35" i="17"/>
  <c r="AA34" i="17"/>
  <c r="AA8" i="17"/>
  <c r="AB50" i="17"/>
  <c r="AA12" i="17"/>
  <c r="AC3" i="17"/>
  <c r="AA24" i="17"/>
  <c r="AB35" i="17"/>
  <c r="Y44" i="17"/>
  <c r="AC52" i="17"/>
  <c r="AA44" i="17"/>
  <c r="Z8" i="17"/>
  <c r="AB17" i="17"/>
  <c r="AC30" i="17"/>
  <c r="AA29" i="17"/>
  <c r="Z14" i="17"/>
  <c r="AB16" i="17"/>
  <c r="AC22" i="17"/>
  <c r="AC54" i="17"/>
  <c r="Z45" i="17"/>
  <c r="Y7" i="17"/>
  <c r="AB15" i="17"/>
  <c r="AB53" i="17"/>
  <c r="AC40" i="17"/>
  <c r="AB12" i="17"/>
  <c r="AA31" i="17"/>
  <c r="AA23" i="17"/>
  <c r="AC6" i="17"/>
  <c r="AA13" i="17"/>
  <c r="Y31" i="17"/>
  <c r="Z41" i="17"/>
  <c r="AA3" i="17"/>
  <c r="AC19" i="17"/>
  <c r="AB20" i="17"/>
  <c r="AC16" i="17"/>
  <c r="AB29" i="17"/>
  <c r="AA47" i="17"/>
  <c r="Z40" i="17"/>
  <c r="Y17" i="17"/>
  <c r="Y27" i="17"/>
  <c r="AB13" i="17"/>
  <c r="Z17" i="17"/>
  <c r="AA48" i="17"/>
  <c r="Y23" i="17"/>
  <c r="AB26" i="17"/>
  <c r="AC36" i="17"/>
  <c r="AB5" i="17"/>
  <c r="Z53" i="17"/>
  <c r="AA45" i="17"/>
  <c r="AB33" i="17"/>
  <c r="Z50" i="17"/>
  <c r="Z11" i="17"/>
  <c r="AB40" i="17"/>
  <c r="AC17" i="17"/>
  <c r="AC33" i="17"/>
  <c r="AC42" i="17"/>
  <c r="Z52" i="17"/>
  <c r="AA9" i="17"/>
  <c r="Z54" i="17"/>
  <c r="Y20" i="17"/>
  <c r="AB8" i="17"/>
  <c r="Y25" i="17"/>
  <c r="D47" i="1"/>
  <c r="Y3" i="17"/>
  <c r="AB9" i="17"/>
  <c r="Y15" i="17"/>
  <c r="AA5" i="17"/>
  <c r="AB36" i="17"/>
  <c r="AC15" i="17"/>
  <c r="AA49" i="17"/>
  <c r="AC53" i="17"/>
  <c r="AA26" i="17"/>
  <c r="AA7" i="17"/>
  <c r="AC39" i="17"/>
  <c r="AA16" i="17"/>
  <c r="AA19" i="17"/>
  <c r="AB30" i="17"/>
  <c r="AC50" i="17"/>
  <c r="AB51" i="17"/>
  <c r="AA17" i="17"/>
  <c r="Y46" i="17"/>
  <c r="Z28" i="17"/>
  <c r="AB49" i="17"/>
  <c r="AA11" i="17"/>
  <c r="AB11" i="17"/>
  <c r="Y10" i="17"/>
  <c r="Z29" i="17"/>
  <c r="AA33" i="17"/>
  <c r="Y4" i="17"/>
  <c r="AB47" i="17"/>
  <c r="Y16" i="17"/>
  <c r="Z19" i="17"/>
  <c r="Y18" i="17"/>
  <c r="AA28" i="17"/>
  <c r="Z21" i="17"/>
  <c r="AC38" i="17"/>
  <c r="Y48" i="17"/>
  <c r="AB39" i="17"/>
  <c r="AB22" i="17"/>
  <c r="AB19" i="17"/>
  <c r="Y37" i="17"/>
  <c r="AC35" i="17"/>
  <c r="AA25" i="17"/>
  <c r="Z27" i="17"/>
  <c r="N22" i="15"/>
  <c r="AA20" i="17"/>
  <c r="Z18" i="17"/>
  <c r="Z32" i="17"/>
  <c r="Y39" i="17"/>
  <c r="AA41" i="17"/>
  <c r="AB55" i="17"/>
  <c r="Z24" i="17"/>
  <c r="Z26" i="17"/>
  <c r="AC37" i="17"/>
  <c r="Z49" i="17"/>
  <c r="Y30" i="17"/>
  <c r="Y28" i="17"/>
  <c r="Z39" i="17"/>
  <c r="Y13" i="17"/>
  <c r="AC18" i="17"/>
  <c r="Z43" i="17"/>
  <c r="AC44" i="17"/>
  <c r="Z42" i="17"/>
  <c r="Y21" i="17"/>
  <c r="AC43" i="17"/>
  <c r="Z13" i="17"/>
  <c r="Y5" i="17"/>
  <c r="Y32" i="17"/>
  <c r="AC7" i="17"/>
  <c r="AB46" i="17"/>
  <c r="AA30" i="17"/>
  <c r="AA15" i="17"/>
  <c r="AB32" i="17"/>
  <c r="AB43" i="17"/>
  <c r="Z33" i="17"/>
  <c r="AC27" i="17"/>
  <c r="AA18" i="17"/>
  <c r="AA14" i="17"/>
  <c r="Z47" i="17"/>
  <c r="AC28" i="17"/>
  <c r="AB54" i="17"/>
  <c r="Y52" i="17"/>
  <c r="AC23" i="17"/>
  <c r="AA46" i="17"/>
  <c r="Y40" i="17"/>
  <c r="AA52" i="17"/>
  <c r="D48" i="1"/>
  <c r="AC5" i="17"/>
  <c r="Y42" i="17"/>
  <c r="Z35" i="17"/>
  <c r="Y47" i="17"/>
  <c r="AB31" i="17"/>
  <c r="AA4" i="17"/>
  <c r="Y50" i="17"/>
  <c r="Y38" i="17"/>
  <c r="AB14" i="17"/>
  <c r="AC14" i="17"/>
  <c r="Y11" i="17"/>
  <c r="AB28" i="17"/>
  <c r="AB27" i="17"/>
  <c r="Z37" i="17"/>
  <c r="Z10" i="17"/>
  <c r="AB34" i="17"/>
  <c r="AC9" i="17"/>
  <c r="AC25" i="17"/>
  <c r="Y12" i="17"/>
  <c r="AC47" i="17"/>
  <c r="Z34" i="17"/>
  <c r="AC32" i="17"/>
  <c r="C55" i="1"/>
  <c r="AA42" i="17"/>
  <c r="AA21" i="17"/>
  <c r="AB52" i="17"/>
  <c r="Y19" i="17"/>
  <c r="Y41" i="17"/>
  <c r="Y8" i="17"/>
  <c r="AA27" i="17"/>
  <c r="Y43" i="17"/>
  <c r="AB21" i="17"/>
  <c r="AC51" i="17"/>
  <c r="AA55" i="17"/>
  <c r="Y53" i="17"/>
  <c r="Y29" i="17"/>
  <c r="Z51" i="17"/>
  <c r="AA50" i="17"/>
  <c r="AA35" i="17"/>
  <c r="Z3" i="17"/>
  <c r="Z20" i="17"/>
  <c r="Z25" i="17"/>
  <c r="Y22" i="17"/>
  <c r="AA36" i="17"/>
  <c r="AC8" i="17"/>
  <c r="AB23" i="17"/>
  <c r="AA32" i="17"/>
  <c r="AC24" i="17"/>
  <c r="Z38" i="17"/>
  <c r="AC49" i="17"/>
  <c r="AB6" i="17"/>
  <c r="Y36" i="17"/>
  <c r="AC55" i="17"/>
  <c r="Z46" i="17"/>
  <c r="Y33" i="17"/>
  <c r="Y24" i="17"/>
  <c r="Y51" i="17"/>
  <c r="AC10" i="17"/>
  <c r="Z48" i="17"/>
  <c r="Y55" i="17"/>
  <c r="Y49" i="17"/>
  <c r="Z12" i="17"/>
  <c r="AB38" i="17"/>
  <c r="AB7" i="17"/>
  <c r="Z6" i="17"/>
  <c r="Y45" i="17"/>
  <c r="C27" i="15"/>
  <c r="D57" i="1"/>
  <c r="C56" i="1"/>
  <c r="AD2" i="18" a="1"/>
  <c r="I27" i="15" l="1"/>
  <c r="H27" i="15"/>
  <c r="M22" i="15"/>
  <c r="AD29" i="18"/>
  <c r="AD74" i="18"/>
  <c r="AD68" i="18"/>
  <c r="AD18" i="18"/>
  <c r="AD24" i="18"/>
  <c r="AD28" i="18"/>
  <c r="AD69" i="18"/>
  <c r="AD5" i="18"/>
  <c r="AD2" i="18"/>
  <c r="AD23" i="18"/>
  <c r="AD42" i="18"/>
  <c r="AD60" i="18"/>
  <c r="AD48" i="18"/>
  <c r="AD44" i="18"/>
  <c r="AD75" i="18"/>
  <c r="AD49" i="18"/>
  <c r="AD72" i="18"/>
  <c r="AD40" i="18"/>
  <c r="AD45" i="18"/>
  <c r="AD31" i="18"/>
  <c r="AD58" i="18"/>
  <c r="AD57" i="18"/>
  <c r="AD63" i="18"/>
  <c r="AD41" i="18"/>
  <c r="AD47" i="18"/>
  <c r="AD78" i="18"/>
  <c r="AD37" i="18"/>
  <c r="AD39" i="18"/>
  <c r="AD17" i="18"/>
  <c r="AD13" i="18"/>
  <c r="AD4" i="18"/>
  <c r="AD77" i="18"/>
  <c r="AD51" i="18"/>
  <c r="AD12" i="18"/>
  <c r="AD73" i="18"/>
  <c r="AD34" i="18"/>
  <c r="AD35" i="18"/>
  <c r="AD14" i="18"/>
  <c r="AD53" i="18"/>
  <c r="AD59" i="18"/>
  <c r="AD6" i="18"/>
  <c r="AD46" i="18"/>
  <c r="AD76" i="18"/>
  <c r="AD21" i="18"/>
  <c r="AD55" i="18"/>
  <c r="AD9" i="18"/>
  <c r="AD22" i="18"/>
  <c r="AD56" i="18"/>
  <c r="AD62" i="18"/>
  <c r="AD19" i="18"/>
  <c r="AD32" i="18"/>
  <c r="AD64" i="18"/>
  <c r="AD26" i="18"/>
  <c r="AD7" i="18"/>
  <c r="AD67" i="18"/>
  <c r="AD61" i="18"/>
  <c r="AD33" i="18"/>
  <c r="AD36" i="18"/>
  <c r="AD30" i="18"/>
  <c r="AD65" i="18"/>
  <c r="AD54" i="18"/>
  <c r="AD10" i="18"/>
  <c r="AD50" i="18"/>
  <c r="AD43" i="18"/>
  <c r="AD27" i="18"/>
  <c r="AD52" i="18"/>
  <c r="AD71" i="18"/>
  <c r="AD70" i="18"/>
  <c r="AD38" i="18"/>
  <c r="AD3" i="18"/>
  <c r="AD15" i="18"/>
  <c r="AD16" i="18"/>
  <c r="AD8" i="18"/>
  <c r="AD66" i="18"/>
  <c r="AD11" i="18"/>
  <c r="AD25" i="18"/>
  <c r="AD20" i="18"/>
  <c r="W53" i="17"/>
  <c r="W14" i="17"/>
  <c r="W35" i="17"/>
  <c r="W18" i="17"/>
  <c r="W45" i="17"/>
  <c r="W37" i="17"/>
  <c r="W52" i="17"/>
  <c r="W48" i="17"/>
  <c r="W13" i="17"/>
  <c r="W54" i="17"/>
  <c r="W49" i="17"/>
  <c r="W11" i="17"/>
  <c r="W25" i="17"/>
  <c r="W44" i="17"/>
  <c r="W15" i="17"/>
  <c r="W34" i="17"/>
  <c r="W27" i="17"/>
  <c r="W24" i="17"/>
  <c r="S22" i="15"/>
  <c r="W23" i="17"/>
  <c r="W36" i="17"/>
  <c r="W38" i="17"/>
  <c r="W40" i="17"/>
  <c r="W51" i="17"/>
  <c r="W12" i="17"/>
  <c r="W17" i="17"/>
  <c r="W50" i="17"/>
  <c r="W26" i="17"/>
  <c r="W43" i="17"/>
  <c r="W19" i="17"/>
  <c r="W22" i="17"/>
  <c r="W42" i="17"/>
  <c r="W47" i="17"/>
  <c r="W3" i="17"/>
  <c r="W55" i="17"/>
  <c r="W16" i="17"/>
  <c r="W28" i="17"/>
  <c r="W29" i="17"/>
  <c r="W9" i="17"/>
  <c r="W33" i="17"/>
  <c r="W21" i="17"/>
  <c r="W41" i="17"/>
  <c r="W5" i="17"/>
  <c r="W6" i="17"/>
  <c r="W4" i="17"/>
  <c r="W31" i="17"/>
  <c r="W7" i="17"/>
  <c r="W46" i="17"/>
  <c r="W10" i="17"/>
  <c r="W39" i="17"/>
  <c r="W30" i="17"/>
  <c r="W20" i="17"/>
  <c r="W8" i="17"/>
  <c r="W32" i="17"/>
  <c r="T22" i="15"/>
  <c r="N23" i="15"/>
  <c r="D56" i="1"/>
  <c r="J27" i="15"/>
  <c r="U22" i="15"/>
  <c r="O23" i="15"/>
  <c r="D59" i="1"/>
  <c r="C28" i="15"/>
  <c r="D55" i="1"/>
  <c r="S23" i="15" l="1"/>
  <c r="H28" i="15"/>
  <c r="I28" i="15"/>
  <c r="M23" i="15"/>
  <c r="U23" i="15"/>
  <c r="T23" i="15"/>
  <c r="C29" i="15"/>
  <c r="N24" i="15"/>
  <c r="O24" i="15"/>
  <c r="J28" i="15"/>
  <c r="I31" i="1"/>
  <c r="I32" i="1"/>
  <c r="H39" i="1"/>
  <c r="I39" i="1"/>
  <c r="I41" i="1"/>
  <c r="H40" i="1"/>
  <c r="AD2" i="17" a="1"/>
  <c r="S24" i="15" l="1"/>
  <c r="H29" i="15"/>
  <c r="I29" i="15"/>
  <c r="M24" i="15"/>
  <c r="AD17" i="17"/>
  <c r="AD51" i="17"/>
  <c r="AD32" i="17"/>
  <c r="AD27" i="17"/>
  <c r="AD23" i="17"/>
  <c r="AD19" i="17"/>
  <c r="AD26" i="17"/>
  <c r="AD22" i="17"/>
  <c r="AD52" i="17"/>
  <c r="AD42" i="17"/>
  <c r="AD31" i="17"/>
  <c r="AD34" i="17"/>
  <c r="AD14" i="17"/>
  <c r="AD54" i="17"/>
  <c r="AD53" i="17"/>
  <c r="AD25" i="17"/>
  <c r="AD2" i="17"/>
  <c r="AD45" i="17"/>
  <c r="AD3" i="17"/>
  <c r="AD35" i="17"/>
  <c r="AD10" i="17"/>
  <c r="AD12" i="17"/>
  <c r="AD44" i="17"/>
  <c r="AD43" i="17"/>
  <c r="AD47" i="17"/>
  <c r="AD49" i="17"/>
  <c r="AD21" i="17"/>
  <c r="AD39" i="17"/>
  <c r="AD30" i="17"/>
  <c r="AD48" i="17"/>
  <c r="AD7" i="17"/>
  <c r="AD11" i="17"/>
  <c r="AD5" i="17"/>
  <c r="AD46" i="17"/>
  <c r="AD4" i="17"/>
  <c r="AD33" i="17"/>
  <c r="AD41" i="17"/>
  <c r="AD28" i="17"/>
  <c r="AD9" i="17"/>
  <c r="AD13" i="17"/>
  <c r="AD40" i="17"/>
  <c r="AD36" i="17"/>
  <c r="AD16" i="17"/>
  <c r="AD29" i="17"/>
  <c r="AD6" i="17"/>
  <c r="AD18" i="17"/>
  <c r="AD20" i="17"/>
  <c r="AD37" i="17"/>
  <c r="AD55" i="17"/>
  <c r="AD8" i="17"/>
  <c r="AD38" i="17"/>
  <c r="AD50" i="17"/>
  <c r="AD24" i="17"/>
  <c r="AD15" i="17"/>
  <c r="C30" i="15"/>
  <c r="C31" i="15"/>
  <c r="C32" i="15" s="1"/>
  <c r="O25" i="15"/>
  <c r="T24" i="15"/>
  <c r="U24" i="15"/>
  <c r="J29" i="15"/>
  <c r="N25" i="15"/>
  <c r="I40" i="1"/>
  <c r="I43" i="1"/>
  <c r="I30" i="15" l="1"/>
  <c r="H30" i="15"/>
  <c r="M26" i="15" s="1"/>
  <c r="H32" i="15"/>
  <c r="I32" i="15"/>
  <c r="S25" i="15"/>
  <c r="I31" i="15"/>
  <c r="H31" i="15"/>
  <c r="M25" i="15"/>
  <c r="S80" i="15"/>
  <c r="S78" i="15"/>
  <c r="P80" i="15"/>
  <c r="P78" i="15"/>
  <c r="C33" i="15"/>
  <c r="T25" i="15"/>
  <c r="J31" i="15"/>
  <c r="O28" i="15"/>
  <c r="T80" i="15"/>
  <c r="U78" i="15"/>
  <c r="U25" i="15"/>
  <c r="O26" i="15"/>
  <c r="N27" i="15"/>
  <c r="J32" i="15"/>
  <c r="J30" i="15"/>
  <c r="N26" i="15"/>
  <c r="O27" i="15"/>
  <c r="U80" i="15"/>
  <c r="T78" i="15"/>
  <c r="C34" i="15"/>
  <c r="N28" i="15"/>
  <c r="S26" i="15" l="1"/>
  <c r="I33" i="15"/>
  <c r="H33" i="15"/>
  <c r="S28" i="15"/>
  <c r="S27" i="15"/>
  <c r="H34" i="15"/>
  <c r="I34" i="15"/>
  <c r="M28" i="15"/>
  <c r="M27" i="15"/>
  <c r="U26" i="15"/>
  <c r="T26" i="15"/>
  <c r="U27" i="15"/>
  <c r="J34" i="15"/>
  <c r="O29" i="15"/>
  <c r="C35" i="15"/>
  <c r="J33" i="15"/>
  <c r="N29" i="15"/>
  <c r="T28" i="15"/>
  <c r="N30" i="15"/>
  <c r="U28" i="15"/>
  <c r="O30" i="15"/>
  <c r="T27" i="15"/>
  <c r="S29" i="15" l="1"/>
  <c r="M29" i="15"/>
  <c r="S30" i="15"/>
  <c r="I35" i="15"/>
  <c r="H35" i="15"/>
  <c r="M30" i="15"/>
  <c r="U29" i="15"/>
  <c r="T29" i="15"/>
  <c r="U30" i="15"/>
  <c r="T30" i="15"/>
  <c r="C36" i="15"/>
  <c r="O31" i="15"/>
  <c r="J35" i="15"/>
  <c r="N31" i="15"/>
  <c r="S31" i="15" l="1"/>
  <c r="I36" i="15"/>
  <c r="H36" i="15"/>
  <c r="M31" i="15"/>
  <c r="P22" i="16"/>
  <c r="T22" i="16"/>
  <c r="U22" i="16"/>
  <c r="U31" i="15"/>
  <c r="X3" i="16" a="1"/>
  <c r="T31" i="15"/>
  <c r="O32" i="15"/>
  <c r="C37" i="15"/>
  <c r="N32" i="15"/>
  <c r="J36" i="15"/>
  <c r="S32" i="15" l="1"/>
  <c r="H37" i="15"/>
  <c r="I37" i="15"/>
  <c r="M32" i="15"/>
  <c r="X56" i="16"/>
  <c r="X66" i="16"/>
  <c r="X14" i="16"/>
  <c r="X47" i="16"/>
  <c r="X57" i="16"/>
  <c r="X40" i="16"/>
  <c r="X10" i="16"/>
  <c r="X32" i="16"/>
  <c r="X17" i="16"/>
  <c r="X29" i="16"/>
  <c r="X33" i="16"/>
  <c r="X50" i="16"/>
  <c r="X37" i="16"/>
  <c r="X52" i="16"/>
  <c r="X16" i="16"/>
  <c r="X21" i="16"/>
  <c r="X9" i="16"/>
  <c r="X65" i="16"/>
  <c r="X64" i="16"/>
  <c r="X26" i="16"/>
  <c r="X34" i="16"/>
  <c r="X51" i="16"/>
  <c r="X24" i="16"/>
  <c r="X12" i="16"/>
  <c r="X58" i="16"/>
  <c r="X6" i="16"/>
  <c r="X19" i="16"/>
  <c r="X25" i="16"/>
  <c r="X18" i="16"/>
  <c r="X5" i="16"/>
  <c r="X55" i="16"/>
  <c r="X28" i="16"/>
  <c r="X7" i="16"/>
  <c r="X8" i="16"/>
  <c r="X15" i="16"/>
  <c r="X54" i="16"/>
  <c r="X61" i="16"/>
  <c r="X11" i="16"/>
  <c r="X63" i="16"/>
  <c r="X46" i="16"/>
  <c r="X41" i="16"/>
  <c r="X45" i="16"/>
  <c r="X49" i="16"/>
  <c r="X36" i="16"/>
  <c r="X60" i="16"/>
  <c r="X39" i="16"/>
  <c r="X22" i="16"/>
  <c r="X4" i="16"/>
  <c r="X42" i="16"/>
  <c r="X44" i="16"/>
  <c r="X43" i="16"/>
  <c r="X62" i="16"/>
  <c r="X53" i="16"/>
  <c r="X59" i="16"/>
  <c r="X13" i="16"/>
  <c r="X48" i="16"/>
  <c r="X20" i="16"/>
  <c r="X27" i="16"/>
  <c r="X30" i="16"/>
  <c r="X35" i="16"/>
  <c r="X3" i="16"/>
  <c r="X23" i="16"/>
  <c r="X31" i="16"/>
  <c r="X38" i="16"/>
  <c r="Y32" i="16"/>
  <c r="AC51" i="16"/>
  <c r="Z30" i="16"/>
  <c r="Y11" i="16"/>
  <c r="AB66" i="16"/>
  <c r="AA21" i="16"/>
  <c r="AC14" i="16"/>
  <c r="AC38" i="16"/>
  <c r="Y8" i="16"/>
  <c r="AC19" i="16"/>
  <c r="AA30" i="16"/>
  <c r="Z19" i="16"/>
  <c r="Y5" i="16"/>
  <c r="AA50" i="16"/>
  <c r="Z48" i="16"/>
  <c r="AC25" i="16"/>
  <c r="Z3" i="16"/>
  <c r="Y59" i="16"/>
  <c r="Z61" i="16"/>
  <c r="Z39" i="16"/>
  <c r="Y64" i="16"/>
  <c r="AC63" i="16"/>
  <c r="Y45" i="16"/>
  <c r="Z62" i="16"/>
  <c r="Z35" i="16"/>
  <c r="AB45" i="16"/>
  <c r="AA29" i="16"/>
  <c r="AC11" i="16"/>
  <c r="AB43" i="16"/>
  <c r="AB57" i="16"/>
  <c r="AB54" i="16"/>
  <c r="Y61" i="16"/>
  <c r="AC32" i="16"/>
  <c r="AA62" i="16"/>
  <c r="Z17" i="16"/>
  <c r="Z6" i="16"/>
  <c r="AC44" i="16"/>
  <c r="AA6" i="16"/>
  <c r="AA53" i="16"/>
  <c r="AC56" i="16"/>
  <c r="AC40" i="16"/>
  <c r="Z9" i="16"/>
  <c r="Y13" i="16"/>
  <c r="Y28" i="16"/>
  <c r="AB10" i="16"/>
  <c r="Y21" i="16"/>
  <c r="Y7" i="16"/>
  <c r="AA12" i="16"/>
  <c r="Z22" i="16"/>
  <c r="AB35" i="16"/>
  <c r="AA66" i="16"/>
  <c r="AB64" i="16"/>
  <c r="Y57" i="16"/>
  <c r="Z24" i="16"/>
  <c r="Y39" i="16"/>
  <c r="Z47" i="16"/>
  <c r="AC27" i="16"/>
  <c r="Z54" i="16"/>
  <c r="AB62" i="16"/>
  <c r="AC22" i="16"/>
  <c r="AB50" i="16"/>
  <c r="AA18" i="16"/>
  <c r="AA33" i="16"/>
  <c r="AA56" i="16"/>
  <c r="AC41" i="16"/>
  <c r="Z40" i="16"/>
  <c r="AC57" i="16"/>
  <c r="AB11" i="16"/>
  <c r="AB27" i="16"/>
  <c r="AA47" i="16"/>
  <c r="AC61" i="16"/>
  <c r="AA52" i="16"/>
  <c r="Y36" i="16"/>
  <c r="AA64" i="16"/>
  <c r="AB9" i="16"/>
  <c r="AA22" i="16"/>
  <c r="AA5" i="16"/>
  <c r="AA13" i="16"/>
  <c r="Z56" i="16"/>
  <c r="Z51" i="16"/>
  <c r="J37" i="15"/>
  <c r="AB65" i="16"/>
  <c r="Z37" i="16"/>
  <c r="AB28" i="16"/>
  <c r="AB30" i="16"/>
  <c r="AA55" i="16"/>
  <c r="AC8" i="16"/>
  <c r="Z23" i="16"/>
  <c r="Z43" i="16"/>
  <c r="AC4" i="16"/>
  <c r="Z42" i="16"/>
  <c r="AB24" i="16"/>
  <c r="Z21" i="16"/>
  <c r="AB40" i="16"/>
  <c r="AB21" i="16"/>
  <c r="AA7" i="16"/>
  <c r="AA34" i="16"/>
  <c r="AC31" i="16"/>
  <c r="Y34" i="16"/>
  <c r="AA58" i="16"/>
  <c r="AB52" i="16"/>
  <c r="AB55" i="16"/>
  <c r="AC13" i="16"/>
  <c r="Y37" i="16"/>
  <c r="Z58" i="16"/>
  <c r="Z64" i="16"/>
  <c r="AB14" i="16"/>
  <c r="AA38" i="16"/>
  <c r="AB33" i="16"/>
  <c r="AB16" i="16"/>
  <c r="Z66" i="16"/>
  <c r="AA27" i="16"/>
  <c r="AA51" i="16"/>
  <c r="AC52" i="16"/>
  <c r="Y55" i="16"/>
  <c r="AB7" i="16"/>
  <c r="AC45" i="16"/>
  <c r="Z29" i="16"/>
  <c r="Z15" i="16"/>
  <c r="AC65" i="16"/>
  <c r="AB22" i="16"/>
  <c r="AB29" i="16"/>
  <c r="Y22" i="16"/>
  <c r="C38" i="15"/>
  <c r="AA32" i="16"/>
  <c r="AC18" i="16"/>
  <c r="AC37" i="16"/>
  <c r="AC5" i="16"/>
  <c r="AC34" i="16"/>
  <c r="T32" i="15"/>
  <c r="AA40" i="16"/>
  <c r="AA11" i="16"/>
  <c r="AB42" i="16"/>
  <c r="AA65" i="16"/>
  <c r="AC36" i="16"/>
  <c r="AC12" i="16"/>
  <c r="Y15" i="16"/>
  <c r="AA54" i="16"/>
  <c r="Z11" i="16"/>
  <c r="Y38" i="16"/>
  <c r="Y31" i="16"/>
  <c r="AB20" i="16"/>
  <c r="AA43" i="16"/>
  <c r="AB3" i="16"/>
  <c r="Y3" i="16"/>
  <c r="Y44" i="16"/>
  <c r="Z26" i="16"/>
  <c r="Z45" i="16"/>
  <c r="AC29" i="16"/>
  <c r="Y58" i="16"/>
  <c r="Z31" i="16"/>
  <c r="AB36" i="16"/>
  <c r="AC54" i="16"/>
  <c r="Y25" i="16"/>
  <c r="AC3" i="16"/>
  <c r="AA14" i="16"/>
  <c r="AB56" i="16"/>
  <c r="AB58" i="16"/>
  <c r="AA15" i="16"/>
  <c r="AC24" i="16"/>
  <c r="AB59" i="16"/>
  <c r="Y10" i="16"/>
  <c r="Y23" i="16"/>
  <c r="Z32" i="16"/>
  <c r="AB18" i="16"/>
  <c r="Y52" i="16"/>
  <c r="Y60" i="16"/>
  <c r="Y62" i="16"/>
  <c r="AC17" i="16"/>
  <c r="Z44" i="16"/>
  <c r="AA37" i="16"/>
  <c r="Z60" i="16"/>
  <c r="Z41" i="16"/>
  <c r="AA23" i="16"/>
  <c r="AC33" i="16"/>
  <c r="AA42" i="16"/>
  <c r="AC50" i="16"/>
  <c r="AB41" i="16"/>
  <c r="AC9" i="16"/>
  <c r="AC21" i="16"/>
  <c r="Y63" i="16"/>
  <c r="AA16" i="16"/>
  <c r="N33" i="15"/>
  <c r="AA44" i="16"/>
  <c r="Y9" i="16"/>
  <c r="Y42" i="16"/>
  <c r="AA61" i="16"/>
  <c r="AB17" i="16"/>
  <c r="AA31" i="16"/>
  <c r="Z36" i="16"/>
  <c r="Y65" i="16"/>
  <c r="AC6" i="16"/>
  <c r="AB37" i="16"/>
  <c r="AA3" i="16"/>
  <c r="Y47" i="16"/>
  <c r="AC64" i="16"/>
  <c r="AC23" i="16"/>
  <c r="Z4" i="16"/>
  <c r="Z7" i="16"/>
  <c r="AB44" i="16"/>
  <c r="Z5" i="16"/>
  <c r="AC20" i="16"/>
  <c r="Y17" i="16"/>
  <c r="AC39" i="16"/>
  <c r="AA9" i="16"/>
  <c r="AC28" i="16"/>
  <c r="AC58" i="16"/>
  <c r="Z57" i="16"/>
  <c r="Y56" i="16"/>
  <c r="AB19" i="16"/>
  <c r="Y43" i="16"/>
  <c r="AB13" i="16"/>
  <c r="AC53" i="16"/>
  <c r="AC49" i="16"/>
  <c r="Z34" i="16"/>
  <c r="Z46" i="16"/>
  <c r="Y49" i="16"/>
  <c r="AA8" i="16"/>
  <c r="AA26" i="16"/>
  <c r="AC35" i="16"/>
  <c r="Z63" i="16"/>
  <c r="AB46" i="16"/>
  <c r="AA28" i="16"/>
  <c r="Y12" i="16"/>
  <c r="AC66" i="16"/>
  <c r="AA24" i="16"/>
  <c r="AB39" i="16"/>
  <c r="Z52" i="16"/>
  <c r="Z59" i="16"/>
  <c r="AA49" i="16"/>
  <c r="AC42" i="16"/>
  <c r="Y66" i="16"/>
  <c r="AC43" i="16"/>
  <c r="Z8" i="16"/>
  <c r="Z25" i="16"/>
  <c r="Z53" i="16"/>
  <c r="AC55" i="16"/>
  <c r="AA19" i="16"/>
  <c r="Y35" i="16"/>
  <c r="AC26" i="16"/>
  <c r="AB23" i="16"/>
  <c r="AC47" i="16"/>
  <c r="AB60" i="16"/>
  <c r="AA10" i="16"/>
  <c r="AB12" i="16"/>
  <c r="AA63" i="16"/>
  <c r="AB38" i="16"/>
  <c r="AB26" i="16"/>
  <c r="AA39" i="16"/>
  <c r="Z14" i="16"/>
  <c r="AB48" i="16"/>
  <c r="AA45" i="16"/>
  <c r="AA4" i="16"/>
  <c r="Y46" i="16"/>
  <c r="AC62" i="16"/>
  <c r="AC10" i="16"/>
  <c r="AB53" i="16"/>
  <c r="Z50" i="16"/>
  <c r="U32" i="15"/>
  <c r="AB32" i="16"/>
  <c r="AC59" i="16"/>
  <c r="Z55" i="16"/>
  <c r="AA20" i="16"/>
  <c r="Y26" i="16"/>
  <c r="Y4" i="16"/>
  <c r="AC30" i="16"/>
  <c r="AB47" i="16"/>
  <c r="AA46" i="16"/>
  <c r="Z12" i="16"/>
  <c r="AB4" i="16"/>
  <c r="AC60" i="16"/>
  <c r="Z28" i="16"/>
  <c r="Z65" i="16"/>
  <c r="Y54" i="16"/>
  <c r="Y24" i="16"/>
  <c r="Z10" i="16"/>
  <c r="Y16" i="16"/>
  <c r="AB34" i="16"/>
  <c r="AC48" i="16"/>
  <c r="AB5" i="16"/>
  <c r="AB25" i="16"/>
  <c r="AB49" i="16"/>
  <c r="Y14" i="16"/>
  <c r="O33" i="15"/>
  <c r="AA59" i="16"/>
  <c r="AA35" i="16"/>
  <c r="Y6" i="16"/>
  <c r="AA17" i="16"/>
  <c r="Z27" i="16"/>
  <c r="AC16" i="16"/>
  <c r="Z18" i="16"/>
  <c r="AB15" i="16"/>
  <c r="Y48" i="16"/>
  <c r="AC15" i="16"/>
  <c r="Y40" i="16"/>
  <c r="AA36" i="16"/>
  <c r="Z20" i="16"/>
  <c r="Y51" i="16"/>
  <c r="Z49" i="16"/>
  <c r="AB6" i="16"/>
  <c r="Z33" i="16"/>
  <c r="AA25" i="16"/>
  <c r="Y41" i="16"/>
  <c r="Y50" i="16"/>
  <c r="Z16" i="16"/>
  <c r="AA60" i="16"/>
  <c r="AC7" i="16"/>
  <c r="AB31" i="16"/>
  <c r="Y53" i="16"/>
  <c r="AA57" i="16"/>
  <c r="Y27" i="16"/>
  <c r="AB51" i="16"/>
  <c r="Z38" i="16"/>
  <c r="AB8" i="16"/>
  <c r="AA48" i="16"/>
  <c r="AC46" i="16"/>
  <c r="Y29" i="16"/>
  <c r="Y19" i="16"/>
  <c r="Y33" i="16"/>
  <c r="AA41" i="16"/>
  <c r="Z13" i="16"/>
  <c r="AB63" i="16"/>
  <c r="AB61" i="16"/>
  <c r="Y20" i="16"/>
  <c r="Y18" i="16"/>
  <c r="Y30" i="16"/>
  <c r="S33" i="15" l="1"/>
  <c r="H38" i="15"/>
  <c r="I38" i="15"/>
  <c r="M33" i="15"/>
  <c r="W16" i="16"/>
  <c r="W38" i="16"/>
  <c r="W48" i="16"/>
  <c r="W4" i="16"/>
  <c r="W46" i="16"/>
  <c r="W28" i="16"/>
  <c r="W12" i="16"/>
  <c r="W21" i="16"/>
  <c r="W32" i="16"/>
  <c r="W13" i="16"/>
  <c r="W39" i="16"/>
  <c r="W52" i="16"/>
  <c r="W40" i="16"/>
  <c r="W31" i="16"/>
  <c r="W10" i="16"/>
  <c r="W53" i="16"/>
  <c r="W57" i="16"/>
  <c r="W24" i="16"/>
  <c r="W62" i="16"/>
  <c r="W63" i="16"/>
  <c r="W5" i="16"/>
  <c r="W34" i="16"/>
  <c r="W35" i="16"/>
  <c r="W36" i="16"/>
  <c r="W25" i="16"/>
  <c r="W50" i="16"/>
  <c r="W43" i="16"/>
  <c r="W49" i="16"/>
  <c r="W15" i="16"/>
  <c r="W19" i="16"/>
  <c r="W64" i="16"/>
  <c r="W33" i="16"/>
  <c r="W14" i="16"/>
  <c r="W55" i="16"/>
  <c r="W59" i="16"/>
  <c r="W51" i="16"/>
  <c r="W3" i="16"/>
  <c r="W61" i="16"/>
  <c r="W18" i="16"/>
  <c r="W54" i="16"/>
  <c r="W47" i="16"/>
  <c r="W30" i="16"/>
  <c r="W27" i="16"/>
  <c r="W44" i="16"/>
  <c r="W45" i="16"/>
  <c r="W8" i="16"/>
  <c r="W6" i="16"/>
  <c r="W65" i="16"/>
  <c r="W29" i="16"/>
  <c r="W66" i="16"/>
  <c r="W22" i="16"/>
  <c r="W23" i="16"/>
  <c r="W11" i="16"/>
  <c r="W60" i="16"/>
  <c r="W37" i="16"/>
  <c r="W26" i="16"/>
  <c r="W20" i="16"/>
  <c r="W42" i="16"/>
  <c r="W41" i="16"/>
  <c r="W7" i="16"/>
  <c r="W58" i="16"/>
  <c r="W9" i="16"/>
  <c r="W17" i="16"/>
  <c r="W56" i="16"/>
  <c r="T33" i="15"/>
  <c r="C39" i="15"/>
  <c r="O34" i="15"/>
  <c r="D31" i="1"/>
  <c r="U33" i="15"/>
  <c r="J38" i="15"/>
  <c r="N34" i="15"/>
  <c r="D41" i="1"/>
  <c r="AD2" i="16" a="1"/>
  <c r="C40" i="1"/>
  <c r="D32" i="1"/>
  <c r="C39" i="1"/>
  <c r="D39" i="1" s="1"/>
  <c r="I39" i="15" l="1"/>
  <c r="H39" i="15"/>
  <c r="S34" i="15"/>
  <c r="M34" i="15"/>
  <c r="AD39" i="16"/>
  <c r="AD33" i="16"/>
  <c r="AD60" i="16"/>
  <c r="AD54" i="16"/>
  <c r="AD10" i="16"/>
  <c r="AD5" i="16"/>
  <c r="AD62" i="16"/>
  <c r="AD49" i="16"/>
  <c r="AD27" i="16"/>
  <c r="AD8" i="16"/>
  <c r="AD3" i="16"/>
  <c r="AD7" i="16"/>
  <c r="AD32" i="16"/>
  <c r="AD43" i="16"/>
  <c r="AD44" i="16"/>
  <c r="AD22" i="16"/>
  <c r="AD42" i="16"/>
  <c r="AD15" i="16"/>
  <c r="AD9" i="16"/>
  <c r="AD16" i="16"/>
  <c r="AD18" i="16"/>
  <c r="AD37" i="16"/>
  <c r="AD57" i="16"/>
  <c r="AD50" i="16"/>
  <c r="AD51" i="16"/>
  <c r="AD65" i="16"/>
  <c r="AD40" i="16"/>
  <c r="AD58" i="16"/>
  <c r="AD4" i="16"/>
  <c r="AD63" i="16"/>
  <c r="AD35" i="16"/>
  <c r="AD11" i="16"/>
  <c r="AD2" i="16"/>
  <c r="AD66" i="16"/>
  <c r="AD26" i="16"/>
  <c r="AD53" i="16"/>
  <c r="AD45" i="16"/>
  <c r="AD29" i="16"/>
  <c r="AD6" i="16"/>
  <c r="AD38" i="16"/>
  <c r="AD19" i="16"/>
  <c r="AD56" i="16"/>
  <c r="AD17" i="16"/>
  <c r="AD52" i="16"/>
  <c r="AD12" i="16"/>
  <c r="AD31" i="16"/>
  <c r="AD14" i="16"/>
  <c r="AD59" i="16"/>
  <c r="AD20" i="16"/>
  <c r="AD48" i="16"/>
  <c r="AD34" i="16"/>
  <c r="AD47" i="16"/>
  <c r="AD55" i="16"/>
  <c r="AD46" i="16"/>
  <c r="AD24" i="16"/>
  <c r="AD64" i="16"/>
  <c r="AD61" i="16"/>
  <c r="AD23" i="16"/>
  <c r="AD36" i="16"/>
  <c r="AD30" i="16"/>
  <c r="AD25" i="16"/>
  <c r="AD21" i="16"/>
  <c r="AD13" i="16"/>
  <c r="AD41" i="16"/>
  <c r="AD28" i="16"/>
  <c r="N35" i="15"/>
  <c r="J39" i="15"/>
  <c r="T34" i="15"/>
  <c r="U34" i="15"/>
  <c r="Y67" i="16"/>
  <c r="D40" i="1"/>
  <c r="C40" i="15"/>
  <c r="O35" i="15"/>
  <c r="D43" i="1"/>
  <c r="S35" i="15" l="1"/>
  <c r="H40" i="15"/>
  <c r="I40" i="15"/>
  <c r="M35" i="15"/>
  <c r="C41" i="15"/>
  <c r="T35" i="15"/>
  <c r="U35" i="15"/>
  <c r="N36" i="15"/>
  <c r="J40" i="15"/>
  <c r="C42" i="15"/>
  <c r="C43" i="15" s="1"/>
  <c r="O36" i="15"/>
  <c r="I41" i="15" l="1"/>
  <c r="H41" i="15"/>
  <c r="M37" i="15" s="1"/>
  <c r="H43" i="15"/>
  <c r="I43" i="15"/>
  <c r="S36" i="15"/>
  <c r="I42" i="15"/>
  <c r="H42" i="15"/>
  <c r="M36" i="15"/>
  <c r="C44" i="15"/>
  <c r="O39" i="15"/>
  <c r="O37" i="15"/>
  <c r="N38" i="15"/>
  <c r="N37" i="15"/>
  <c r="J41" i="15"/>
  <c r="T36" i="15"/>
  <c r="O38" i="15"/>
  <c r="J42" i="15"/>
  <c r="U36" i="15"/>
  <c r="N39" i="15"/>
  <c r="J43" i="15"/>
  <c r="C45" i="15"/>
  <c r="S37" i="15" l="1"/>
  <c r="H44" i="15"/>
  <c r="M40" i="15" s="1"/>
  <c r="I44" i="15"/>
  <c r="S39" i="15"/>
  <c r="S38" i="15"/>
  <c r="H45" i="15"/>
  <c r="I45" i="15"/>
  <c r="M39" i="15"/>
  <c r="M38" i="15"/>
  <c r="U37" i="15"/>
  <c r="T37" i="15"/>
  <c r="N40" i="15"/>
  <c r="J44" i="15"/>
  <c r="T38" i="15"/>
  <c r="O40" i="15"/>
  <c r="U38" i="15"/>
  <c r="U39" i="15"/>
  <c r="C46" i="15"/>
  <c r="N41" i="15"/>
  <c r="J45" i="15"/>
  <c r="T39" i="15"/>
  <c r="O41" i="15"/>
  <c r="S40" i="15" l="1"/>
  <c r="S41" i="15"/>
  <c r="I46" i="15"/>
  <c r="H46" i="15"/>
  <c r="M41" i="15"/>
  <c r="U40" i="15"/>
  <c r="T40" i="15"/>
  <c r="T41" i="15"/>
  <c r="C47" i="15"/>
  <c r="O42" i="15"/>
  <c r="J46" i="15"/>
  <c r="N42" i="15"/>
  <c r="U41" i="15"/>
  <c r="S42" i="15" l="1"/>
  <c r="I47" i="15"/>
  <c r="H47" i="15"/>
  <c r="M42" i="15"/>
  <c r="N43" i="15"/>
  <c r="J47" i="15"/>
  <c r="T42" i="15"/>
  <c r="U42" i="15"/>
  <c r="O43" i="15"/>
  <c r="S43" i="15" l="1"/>
  <c r="M43" i="15"/>
  <c r="T43" i="15"/>
  <c r="X3" i="15" a="1"/>
  <c r="U43" i="15"/>
  <c r="X24" i="15" l="1"/>
  <c r="X72" i="15"/>
  <c r="X41" i="15"/>
  <c r="X30" i="15"/>
  <c r="X78" i="15"/>
  <c r="X71" i="15"/>
  <c r="X84" i="15"/>
  <c r="X49" i="15"/>
  <c r="X37" i="15"/>
  <c r="X44" i="15"/>
  <c r="X74" i="15"/>
  <c r="X12" i="15"/>
  <c r="X39" i="15"/>
  <c r="X17" i="15"/>
  <c r="X3" i="15"/>
  <c r="X83" i="15"/>
  <c r="X85" i="15"/>
  <c r="X47" i="15"/>
  <c r="X50" i="15"/>
  <c r="X18" i="15"/>
  <c r="X23" i="15"/>
  <c r="X40" i="15"/>
  <c r="X14" i="15"/>
  <c r="X60" i="15"/>
  <c r="X21" i="15"/>
  <c r="X70" i="15"/>
  <c r="X77" i="15"/>
  <c r="X25" i="15"/>
  <c r="X5" i="15"/>
  <c r="X79" i="15"/>
  <c r="X59" i="15"/>
  <c r="X38" i="15"/>
  <c r="X28" i="15"/>
  <c r="X35" i="15"/>
  <c r="X42" i="15"/>
  <c r="X63" i="15"/>
  <c r="X20" i="15"/>
  <c r="X15" i="15"/>
  <c r="X26" i="15"/>
  <c r="X34" i="15"/>
  <c r="X67" i="15"/>
  <c r="X31" i="15"/>
  <c r="X55" i="15"/>
  <c r="X13" i="15"/>
  <c r="X73" i="15"/>
  <c r="X88" i="15"/>
  <c r="X75" i="15"/>
  <c r="X27" i="15"/>
  <c r="X76" i="15"/>
  <c r="X29" i="15"/>
  <c r="X61" i="15"/>
  <c r="X19" i="15"/>
  <c r="X9" i="15"/>
  <c r="X51" i="15"/>
  <c r="X8" i="15"/>
  <c r="X80" i="15"/>
  <c r="X64" i="15"/>
  <c r="X81" i="15"/>
  <c r="X82" i="15"/>
  <c r="X7" i="15"/>
  <c r="X48" i="15"/>
  <c r="X86" i="15"/>
  <c r="X4" i="15"/>
  <c r="X57" i="15"/>
  <c r="X54" i="15"/>
  <c r="X58" i="15"/>
  <c r="X22" i="15"/>
  <c r="X10" i="15"/>
  <c r="X69" i="15"/>
  <c r="X6" i="15"/>
  <c r="X33" i="15"/>
  <c r="X68" i="15"/>
  <c r="X87" i="15"/>
  <c r="X53" i="15"/>
  <c r="X65" i="15"/>
  <c r="X45" i="15"/>
  <c r="X43" i="15"/>
  <c r="X52" i="15"/>
  <c r="X62" i="15"/>
  <c r="X36" i="15"/>
  <c r="X46" i="15"/>
  <c r="X32" i="15"/>
  <c r="X66" i="15"/>
  <c r="X16" i="15"/>
  <c r="X56" i="15"/>
  <c r="X11" i="15"/>
  <c r="AB24" i="15"/>
  <c r="Y47" i="15"/>
  <c r="AC42" i="15"/>
  <c r="Y13" i="15"/>
  <c r="Y48" i="15"/>
  <c r="AB52" i="15"/>
  <c r="AA83" i="15"/>
  <c r="AA67" i="15"/>
  <c r="AB32" i="15"/>
  <c r="AC7" i="15"/>
  <c r="AC51" i="15"/>
  <c r="Z80" i="15"/>
  <c r="Z53" i="15"/>
  <c r="AA39" i="15"/>
  <c r="AA75" i="15"/>
  <c r="AA87" i="15"/>
  <c r="Z12" i="15"/>
  <c r="AA88" i="15"/>
  <c r="AA76" i="15"/>
  <c r="AC45" i="15"/>
  <c r="Y38" i="15"/>
  <c r="Z65" i="15"/>
  <c r="Z14" i="15"/>
  <c r="AB53" i="15"/>
  <c r="Y88" i="15"/>
  <c r="AB70" i="15"/>
  <c r="AC24" i="15"/>
  <c r="AB5" i="15"/>
  <c r="Y34" i="15"/>
  <c r="Z32" i="15"/>
  <c r="AC5" i="15"/>
  <c r="AA33" i="15"/>
  <c r="AA47" i="15"/>
  <c r="Y19" i="15"/>
  <c r="AA59" i="15"/>
  <c r="AC77" i="15"/>
  <c r="AA14" i="15"/>
  <c r="AA29" i="15"/>
  <c r="Y15" i="15"/>
  <c r="AC58" i="15"/>
  <c r="Y40" i="15"/>
  <c r="Y31" i="15"/>
  <c r="AA11" i="15"/>
  <c r="AB41" i="15"/>
  <c r="AA79" i="15"/>
  <c r="Z70" i="15"/>
  <c r="AC48" i="15"/>
  <c r="AA24" i="15"/>
  <c r="Z13" i="15"/>
  <c r="AB34" i="15"/>
  <c r="AA55" i="15"/>
  <c r="AC50" i="15"/>
  <c r="Z40" i="15"/>
  <c r="AB86" i="15"/>
  <c r="I15" i="1"/>
  <c r="AC55" i="15"/>
  <c r="Z16" i="15"/>
  <c r="AC57" i="15"/>
  <c r="AA74" i="15"/>
  <c r="AA8" i="15"/>
  <c r="AA44" i="15"/>
  <c r="AB6" i="15"/>
  <c r="AB87" i="15"/>
  <c r="AA68" i="15"/>
  <c r="AC25" i="15"/>
  <c r="AB77" i="15"/>
  <c r="AB11" i="15"/>
  <c r="Y72" i="15"/>
  <c r="AA36" i="15"/>
  <c r="Y50" i="15"/>
  <c r="Y83" i="15"/>
  <c r="AC78" i="15"/>
  <c r="AC33" i="15"/>
  <c r="AB4" i="15"/>
  <c r="Y3" i="15"/>
  <c r="AC86" i="15"/>
  <c r="AC4" i="15"/>
  <c r="Y42" i="15"/>
  <c r="AA58" i="15"/>
  <c r="AA28" i="15"/>
  <c r="AA16" i="15"/>
  <c r="AB66" i="15"/>
  <c r="Y26" i="15"/>
  <c r="AC62" i="15"/>
  <c r="AA21" i="15"/>
  <c r="AC82" i="15"/>
  <c r="Y45" i="15"/>
  <c r="Z56" i="15"/>
  <c r="Z34" i="15"/>
  <c r="AA42" i="15"/>
  <c r="Z39" i="15"/>
  <c r="Y24" i="15"/>
  <c r="AC69" i="15"/>
  <c r="AC35" i="15"/>
  <c r="AB45" i="15"/>
  <c r="AC70" i="15"/>
  <c r="AB28" i="15"/>
  <c r="AA60" i="15"/>
  <c r="Z22" i="15"/>
  <c r="Y77" i="15"/>
  <c r="Z17" i="15"/>
  <c r="AB61" i="15"/>
  <c r="AA32" i="15"/>
  <c r="Z38" i="15"/>
  <c r="AC60" i="15"/>
  <c r="AB75" i="15"/>
  <c r="AB3" i="15"/>
  <c r="Z83" i="15"/>
  <c r="AB84" i="15"/>
  <c r="Y86" i="15"/>
  <c r="AB73" i="15"/>
  <c r="AC63" i="15"/>
  <c r="Z57" i="15"/>
  <c r="I16" i="1"/>
  <c r="AC81" i="15"/>
  <c r="AB17" i="15"/>
  <c r="AA80" i="15"/>
  <c r="Y55" i="15"/>
  <c r="Z59" i="15"/>
  <c r="AA82" i="15"/>
  <c r="AB38" i="15"/>
  <c r="AB39" i="15"/>
  <c r="AA53" i="15"/>
  <c r="Y64" i="15"/>
  <c r="AB27" i="15"/>
  <c r="AB49" i="15"/>
  <c r="Z50" i="15"/>
  <c r="AB15" i="15"/>
  <c r="AA65" i="15"/>
  <c r="AA77" i="15"/>
  <c r="Y36" i="15"/>
  <c r="AB80" i="15"/>
  <c r="AC49" i="15"/>
  <c r="Z4" i="15"/>
  <c r="AC80" i="15"/>
  <c r="AA25" i="15"/>
  <c r="Z55" i="15"/>
  <c r="AA70" i="15"/>
  <c r="Z67" i="15"/>
  <c r="AA3" i="15"/>
  <c r="AB83" i="15"/>
  <c r="Z76" i="15"/>
  <c r="AC66" i="15"/>
  <c r="Y79" i="15"/>
  <c r="Y57" i="15"/>
  <c r="AC65" i="15"/>
  <c r="Y75" i="15"/>
  <c r="Z66" i="15"/>
  <c r="Y80" i="15"/>
  <c r="Z73" i="15"/>
  <c r="Z88" i="15"/>
  <c r="Y69" i="15"/>
  <c r="AA7" i="15"/>
  <c r="Y27" i="15"/>
  <c r="Y82" i="15"/>
  <c r="Y54" i="15"/>
  <c r="AC88" i="15"/>
  <c r="Z42" i="15"/>
  <c r="Z28" i="15"/>
  <c r="AB21" i="15"/>
  <c r="AA57" i="15"/>
  <c r="Z60" i="15"/>
  <c r="AA19" i="15"/>
  <c r="AC30" i="15"/>
  <c r="AC29" i="15"/>
  <c r="AC54" i="15"/>
  <c r="AA34" i="15"/>
  <c r="Y11" i="15"/>
  <c r="AC32" i="15"/>
  <c r="AB23" i="15"/>
  <c r="AC8" i="15"/>
  <c r="AC36" i="15"/>
  <c r="AA35" i="15"/>
  <c r="Y43" i="15"/>
  <c r="Y25" i="15"/>
  <c r="Z36" i="15"/>
  <c r="Z69" i="15"/>
  <c r="AC11" i="15"/>
  <c r="AA40" i="15"/>
  <c r="AA78" i="15"/>
  <c r="AC10" i="15"/>
  <c r="AB12" i="15"/>
  <c r="AA63" i="15"/>
  <c r="AC28" i="15"/>
  <c r="AC79" i="15"/>
  <c r="AB78" i="15"/>
  <c r="Y10" i="15"/>
  <c r="AC64" i="15"/>
  <c r="Y62" i="15"/>
  <c r="Z48" i="15"/>
  <c r="AB60" i="15"/>
  <c r="AA46" i="15"/>
  <c r="AC85" i="15"/>
  <c r="AA62" i="15"/>
  <c r="Y85" i="15"/>
  <c r="Z71" i="15"/>
  <c r="Z77" i="15"/>
  <c r="AB76" i="15"/>
  <c r="AB19" i="15"/>
  <c r="Z64" i="15"/>
  <c r="AB40" i="15"/>
  <c r="AB54" i="15"/>
  <c r="AC73" i="15"/>
  <c r="AA10" i="15"/>
  <c r="AB55" i="15"/>
  <c r="Y63" i="15"/>
  <c r="Y65" i="15"/>
  <c r="AA31" i="15"/>
  <c r="AB43" i="15"/>
  <c r="Y59" i="15"/>
  <c r="Y81" i="15"/>
  <c r="Y44" i="15"/>
  <c r="Y29" i="15"/>
  <c r="Y23" i="15"/>
  <c r="AA41" i="15"/>
  <c r="H23" i="1"/>
  <c r="I23" i="1" s="1"/>
  <c r="Z85" i="15"/>
  <c r="Y70" i="15"/>
  <c r="Z7" i="15"/>
  <c r="Z43" i="15"/>
  <c r="AA84" i="15"/>
  <c r="Y60" i="15"/>
  <c r="AB64" i="15"/>
  <c r="Z74" i="15"/>
  <c r="Z52" i="15"/>
  <c r="Y20" i="15"/>
  <c r="AB63" i="15"/>
  <c r="AC23" i="15"/>
  <c r="AA4" i="15"/>
  <c r="AB58" i="15"/>
  <c r="AB48" i="15"/>
  <c r="AB9" i="15"/>
  <c r="Z29" i="15"/>
  <c r="AC22" i="15"/>
  <c r="Z41" i="15"/>
  <c r="AA50" i="15"/>
  <c r="Y32" i="15"/>
  <c r="AA6" i="15"/>
  <c r="AC71" i="15"/>
  <c r="AB68" i="15"/>
  <c r="AC16" i="15"/>
  <c r="AD2" i="15" a="1"/>
  <c r="AB31" i="15"/>
  <c r="AC3" i="15"/>
  <c r="Z54" i="15"/>
  <c r="AC84" i="15"/>
  <c r="AB42" i="15"/>
  <c r="Y49" i="15"/>
  <c r="AC14" i="15"/>
  <c r="Y9" i="15"/>
  <c r="Y16" i="15"/>
  <c r="AB8" i="15"/>
  <c r="Z58" i="15"/>
  <c r="AB85" i="15"/>
  <c r="AA43" i="15"/>
  <c r="AC34" i="15"/>
  <c r="AA5" i="15"/>
  <c r="Y12" i="15"/>
  <c r="AA22" i="15"/>
  <c r="Y61" i="15"/>
  <c r="Z82" i="15"/>
  <c r="AB65" i="15"/>
  <c r="Y74" i="15"/>
  <c r="Y87" i="15"/>
  <c r="Y37" i="15"/>
  <c r="Y56" i="15"/>
  <c r="AC52" i="15"/>
  <c r="AB67" i="15"/>
  <c r="Y22" i="15"/>
  <c r="AB16" i="15"/>
  <c r="AC59" i="15"/>
  <c r="AC46" i="15"/>
  <c r="Z20" i="15"/>
  <c r="Y28" i="15"/>
  <c r="AA71" i="15"/>
  <c r="AB81" i="15"/>
  <c r="Z75" i="15"/>
  <c r="Y71" i="15"/>
  <c r="Z5" i="15"/>
  <c r="AC18" i="15"/>
  <c r="AB22" i="15"/>
  <c r="Y67" i="15"/>
  <c r="Y17" i="15"/>
  <c r="Y68" i="15"/>
  <c r="AC9" i="15"/>
  <c r="Z10" i="15"/>
  <c r="Y18" i="15"/>
  <c r="AA30" i="15"/>
  <c r="Y30" i="15"/>
  <c r="AC75" i="15"/>
  <c r="Z11" i="15"/>
  <c r="AC56" i="15"/>
  <c r="Y7" i="15"/>
  <c r="AA15" i="15"/>
  <c r="Y79" i="18"/>
  <c r="Y58" i="15"/>
  <c r="AC39" i="15"/>
  <c r="AC26" i="15"/>
  <c r="AB47" i="15"/>
  <c r="Z9" i="15"/>
  <c r="AA64" i="15"/>
  <c r="AB79" i="15"/>
  <c r="AC53" i="15"/>
  <c r="AC74" i="15"/>
  <c r="Y35" i="15"/>
  <c r="Y21" i="15"/>
  <c r="AA18" i="15"/>
  <c r="AC6" i="15"/>
  <c r="AC12" i="15"/>
  <c r="AA37" i="15"/>
  <c r="AC43" i="15"/>
  <c r="Y5" i="15"/>
  <c r="AC19" i="15"/>
  <c r="AB25" i="15"/>
  <c r="AB37" i="15"/>
  <c r="Z49" i="15"/>
  <c r="AA26" i="15"/>
  <c r="AC15" i="15"/>
  <c r="Z23" i="15"/>
  <c r="Z8" i="15"/>
  <c r="AA54" i="15"/>
  <c r="AA12" i="15"/>
  <c r="Z15" i="15"/>
  <c r="AA66" i="15"/>
  <c r="Z46" i="15"/>
  <c r="AB51" i="15"/>
  <c r="AB74" i="15"/>
  <c r="AA27" i="15"/>
  <c r="Y53" i="15"/>
  <c r="AC76" i="15"/>
  <c r="Z24" i="15"/>
  <c r="Z3" i="15"/>
  <c r="Z6" i="15"/>
  <c r="AB82" i="15"/>
  <c r="Y76" i="15"/>
  <c r="AC37" i="15"/>
  <c r="Z78" i="15"/>
  <c r="Y41" i="15"/>
  <c r="AC17" i="15"/>
  <c r="AC41" i="15"/>
  <c r="Z33" i="15"/>
  <c r="AB71" i="15"/>
  <c r="Y52" i="15"/>
  <c r="Z26" i="15"/>
  <c r="AA48" i="15"/>
  <c r="Y8" i="15"/>
  <c r="AB30" i="15"/>
  <c r="AA72" i="15"/>
  <c r="AB20" i="15"/>
  <c r="Z37" i="15"/>
  <c r="AB14" i="15"/>
  <c r="AB59" i="15"/>
  <c r="AC38" i="15"/>
  <c r="AC40" i="15"/>
  <c r="AA61" i="15"/>
  <c r="AC72" i="15"/>
  <c r="Y78" i="15"/>
  <c r="AA86" i="15"/>
  <c r="AA69" i="15"/>
  <c r="AC87" i="15"/>
  <c r="AB26" i="15"/>
  <c r="AA49" i="15"/>
  <c r="AC13" i="15"/>
  <c r="Y56" i="17"/>
  <c r="AB33" i="15"/>
  <c r="Z44" i="15"/>
  <c r="AB69" i="15"/>
  <c r="AB57" i="15"/>
  <c r="Z27" i="15"/>
  <c r="Z47" i="15"/>
  <c r="AB18" i="15"/>
  <c r="AC31" i="15"/>
  <c r="Z19" i="15"/>
  <c r="AC68" i="15"/>
  <c r="AB72" i="15"/>
  <c r="AB7" i="15"/>
  <c r="AB35" i="15"/>
  <c r="AB44" i="15"/>
  <c r="AA23" i="15"/>
  <c r="Z81" i="15"/>
  <c r="AB13" i="15"/>
  <c r="AA45" i="15"/>
  <c r="Y84" i="15"/>
  <c r="AB56" i="15"/>
  <c r="AC61" i="15"/>
  <c r="Y46" i="15"/>
  <c r="Y39" i="15"/>
  <c r="AA13" i="15"/>
  <c r="AA52" i="15"/>
  <c r="AB36" i="15"/>
  <c r="H24" i="1"/>
  <c r="I24" i="1" s="1"/>
  <c r="AA20" i="15"/>
  <c r="Y51" i="15"/>
  <c r="Z18" i="15"/>
  <c r="AC47" i="15"/>
  <c r="Z61" i="15"/>
  <c r="Z30" i="15"/>
  <c r="AB88" i="15"/>
  <c r="AC20" i="15"/>
  <c r="Z35" i="15"/>
  <c r="Z84" i="15"/>
  <c r="AA51" i="15"/>
  <c r="Y73" i="15"/>
  <c r="AC21" i="15"/>
  <c r="AA73" i="15"/>
  <c r="AA38" i="15"/>
  <c r="AB29" i="15"/>
  <c r="Z51" i="15"/>
  <c r="Z62" i="15"/>
  <c r="Y33" i="15"/>
  <c r="AC83" i="15"/>
  <c r="Z25" i="15"/>
  <c r="AC44" i="15"/>
  <c r="AB10" i="15"/>
  <c r="Z68" i="15"/>
  <c r="AC27" i="15"/>
  <c r="Y6" i="15"/>
  <c r="AB62" i="15"/>
  <c r="Z72" i="15"/>
  <c r="AB50" i="15"/>
  <c r="Z63" i="15"/>
  <c r="AA9" i="15"/>
  <c r="Z86" i="15"/>
  <c r="Z21" i="15"/>
  <c r="Z79" i="15"/>
  <c r="Z31" i="15"/>
  <c r="Z45" i="15"/>
  <c r="Y14" i="15"/>
  <c r="AC67" i="15"/>
  <c r="AA85" i="15"/>
  <c r="AA17" i="15"/>
  <c r="AA81" i="15"/>
  <c r="AB46" i="15"/>
  <c r="AA56" i="15"/>
  <c r="Z87" i="15"/>
  <c r="Y66" i="15"/>
  <c r="Y4" i="15"/>
  <c r="Y89" i="15" s="1"/>
  <c r="I25" i="1"/>
  <c r="AD46" i="15" l="1"/>
  <c r="AD68" i="15"/>
  <c r="AD72" i="15"/>
  <c r="AD49" i="15"/>
  <c r="AD64" i="15"/>
  <c r="AD36" i="15"/>
  <c r="AD27" i="15"/>
  <c r="AD3" i="15"/>
  <c r="AD45" i="15"/>
  <c r="AD8" i="15"/>
  <c r="AD44" i="15"/>
  <c r="AD76" i="15"/>
  <c r="AD47" i="15"/>
  <c r="AD87" i="15"/>
  <c r="AD58" i="15"/>
  <c r="AD26" i="15"/>
  <c r="AD30" i="15"/>
  <c r="AD54" i="15"/>
  <c r="AD25" i="15"/>
  <c r="AD53" i="15"/>
  <c r="AD63" i="15"/>
  <c r="AD11" i="15"/>
  <c r="AD2" i="15"/>
  <c r="AD84" i="15"/>
  <c r="AD41" i="15"/>
  <c r="AD18" i="15"/>
  <c r="AD59" i="15"/>
  <c r="AD15" i="15"/>
  <c r="AD34" i="15"/>
  <c r="AD4" i="15"/>
  <c r="AD21" i="15"/>
  <c r="AD50" i="15"/>
  <c r="AD65" i="15"/>
  <c r="AD33" i="15"/>
  <c r="AD6" i="15"/>
  <c r="AD31" i="15"/>
  <c r="AD9" i="15"/>
  <c r="AD7" i="15"/>
  <c r="AD40" i="15"/>
  <c r="AD35" i="15"/>
  <c r="AD5" i="15"/>
  <c r="AD69" i="15"/>
  <c r="AD10" i="15"/>
  <c r="AD48" i="15"/>
  <c r="AD32" i="15"/>
  <c r="AD29" i="15"/>
  <c r="AD79" i="15"/>
  <c r="AD67" i="15"/>
  <c r="AD12" i="15"/>
  <c r="AD74" i="15"/>
  <c r="AD20" i="15"/>
  <c r="AD16" i="15"/>
  <c r="AD73" i="15"/>
  <c r="AD22" i="15"/>
  <c r="AD13" i="15"/>
  <c r="AD60" i="15"/>
  <c r="AD51" i="15"/>
  <c r="AD19" i="15"/>
  <c r="AD85" i="15"/>
  <c r="AD42" i="15"/>
  <c r="AD81" i="15"/>
  <c r="AD14" i="15"/>
  <c r="AD86" i="15"/>
  <c r="AD71" i="15"/>
  <c r="AD28" i="15"/>
  <c r="AD80" i="15"/>
  <c r="AD88" i="15"/>
  <c r="AD55" i="15"/>
  <c r="AD78" i="15"/>
  <c r="AD56" i="15"/>
  <c r="AD39" i="15"/>
  <c r="AD57" i="15"/>
  <c r="AD24" i="15"/>
  <c r="AD77" i="15"/>
  <c r="AD17" i="15"/>
  <c r="AD83" i="15"/>
  <c r="AD62" i="15"/>
  <c r="AD43" i="15"/>
  <c r="AD38" i="15"/>
  <c r="AD23" i="15"/>
  <c r="AD66" i="15"/>
  <c r="AD61" i="15"/>
  <c r="AD82" i="15"/>
  <c r="AD37" i="15"/>
  <c r="AD52" i="15"/>
  <c r="AD70" i="15"/>
  <c r="AD75" i="15"/>
  <c r="W11" i="15"/>
  <c r="W4" i="15"/>
  <c r="W26" i="15"/>
  <c r="W56" i="15"/>
  <c r="W7" i="15"/>
  <c r="W37" i="15"/>
  <c r="W66" i="15"/>
  <c r="W41" i="15"/>
  <c r="W87" i="15"/>
  <c r="W62" i="15"/>
  <c r="W86" i="15"/>
  <c r="W23" i="15"/>
  <c r="W74" i="15"/>
  <c r="W42" i="15"/>
  <c r="W29" i="15"/>
  <c r="W39" i="15"/>
  <c r="W30" i="15"/>
  <c r="W32" i="15"/>
  <c r="W31" i="15"/>
  <c r="W40" i="15"/>
  <c r="W10" i="15"/>
  <c r="W61" i="15"/>
  <c r="W44" i="15"/>
  <c r="W3" i="15"/>
  <c r="W15" i="15"/>
  <c r="W73" i="15"/>
  <c r="W18" i="15"/>
  <c r="W76" i="15"/>
  <c r="W5" i="15"/>
  <c r="W12" i="15"/>
  <c r="W81" i="15"/>
  <c r="W46" i="15"/>
  <c r="W36" i="15"/>
  <c r="W84" i="15"/>
  <c r="W19" i="15"/>
  <c r="W68" i="15"/>
  <c r="W83" i="15"/>
  <c r="W59" i="15"/>
  <c r="W17" i="15"/>
  <c r="W78" i="15"/>
  <c r="W50" i="15"/>
  <c r="W54" i="15"/>
  <c r="W67" i="15"/>
  <c r="W34" i="15"/>
  <c r="W8" i="15"/>
  <c r="W82" i="15"/>
  <c r="W72" i="15"/>
  <c r="W77" i="15"/>
  <c r="W27" i="15"/>
  <c r="W88" i="15"/>
  <c r="W21" i="15"/>
  <c r="W6" i="15"/>
  <c r="W69" i="15"/>
  <c r="W16" i="15"/>
  <c r="W53" i="15"/>
  <c r="W35" i="15"/>
  <c r="W64" i="15"/>
  <c r="W38" i="15"/>
  <c r="W33" i="15"/>
  <c r="W71" i="15"/>
  <c r="W9" i="15"/>
  <c r="W65" i="15"/>
  <c r="W85" i="15"/>
  <c r="W80" i="15"/>
  <c r="W49" i="15"/>
  <c r="W14" i="15"/>
  <c r="W52" i="15"/>
  <c r="W20" i="15"/>
  <c r="W25" i="15"/>
  <c r="W28" i="15"/>
  <c r="W24" i="15"/>
  <c r="W75" i="15"/>
  <c r="W43" i="15"/>
  <c r="W63" i="15"/>
  <c r="W55" i="15"/>
  <c r="W57" i="15"/>
  <c r="W60" i="15"/>
  <c r="W51" i="15"/>
  <c r="W79" i="15"/>
  <c r="W48" i="15"/>
  <c r="W45" i="15"/>
  <c r="W13" i="15"/>
  <c r="W22" i="15"/>
  <c r="W58" i="15"/>
  <c r="W70" i="15"/>
  <c r="W47" i="15"/>
  <c r="AC16" i="14"/>
  <c r="Y13" i="14"/>
  <c r="AC32" i="14"/>
  <c r="Y28" i="14"/>
  <c r="AB14" i="14"/>
  <c r="AA18" i="14"/>
  <c r="AB12" i="14"/>
  <c r="Z23" i="14"/>
  <c r="Y22" i="14"/>
  <c r="AC15" i="14"/>
  <c r="AA10" i="14"/>
  <c r="Y7" i="14"/>
  <c r="Z11" i="14"/>
  <c r="Y19" i="14"/>
  <c r="Z21" i="14"/>
  <c r="AC20" i="14"/>
  <c r="AA25" i="14"/>
  <c r="Z5" i="14"/>
  <c r="Y16" i="14"/>
  <c r="AB13" i="14"/>
  <c r="Y32" i="14"/>
  <c r="AC28" i="14"/>
  <c r="Z14" i="14"/>
  <c r="AB18" i="14"/>
  <c r="AB23" i="14"/>
  <c r="Z22" i="14"/>
  <c r="AB29" i="14"/>
  <c r="Z10" i="14"/>
  <c r="Z7" i="14"/>
  <c r="AB8" i="14"/>
  <c r="AC6" i="14"/>
  <c r="Y25" i="14"/>
  <c r="Z31" i="14"/>
  <c r="AB5" i="14"/>
  <c r="AA16" i="14"/>
  <c r="Z3" i="14"/>
  <c r="Z28" i="14"/>
  <c r="AC14" i="14"/>
  <c r="AA23" i="14"/>
  <c r="AC10" i="14"/>
  <c r="AA8" i="14"/>
  <c r="Y20" i="14"/>
  <c r="AC24" i="14"/>
  <c r="AB31" i="14"/>
  <c r="AA3" i="14"/>
  <c r="AB17" i="14"/>
  <c r="Y4" i="14"/>
  <c r="AB10" i="14"/>
  <c r="Y11" i="14"/>
  <c r="Y27" i="14"/>
  <c r="Z30" i="14"/>
  <c r="AB24" i="14"/>
  <c r="I27" i="1"/>
  <c r="AB16" i="14"/>
  <c r="Y17" i="14"/>
  <c r="AC12" i="14"/>
  <c r="AA34" i="14"/>
  <c r="AA19" i="14"/>
  <c r="AB26" i="14"/>
  <c r="AA30" i="14"/>
  <c r="AA13" i="14"/>
  <c r="AB32" i="14"/>
  <c r="AA17" i="14"/>
  <c r="Y12" i="14"/>
  <c r="AA15" i="14"/>
  <c r="AC7" i="14"/>
  <c r="AA27" i="14"/>
  <c r="Y26" i="14"/>
  <c r="Z25" i="14"/>
  <c r="Z32" i="14"/>
  <c r="AC18" i="14"/>
  <c r="AA7" i="14"/>
  <c r="AC30" i="14"/>
  <c r="Y15" i="14"/>
  <c r="AB20" i="14"/>
  <c r="AB9" i="14"/>
  <c r="AC11" i="14"/>
  <c r="Z20" i="14"/>
  <c r="Y9" i="14"/>
  <c r="AC4" i="14"/>
  <c r="AC22" i="14"/>
  <c r="Y29" i="14"/>
  <c r="Y33" i="14"/>
  <c r="Z6" i="14"/>
  <c r="AA14" i="14"/>
  <c r="AB33" i="14"/>
  <c r="AB6" i="14"/>
  <c r="Y14" i="14"/>
  <c r="Z15" i="14"/>
  <c r="Y10" i="14"/>
  <c r="AC8" i="14"/>
  <c r="AC21" i="14"/>
  <c r="AA31" i="14"/>
  <c r="AA29" i="14"/>
  <c r="Y8" i="14"/>
  <c r="AB21" i="14"/>
  <c r="AC31" i="14"/>
  <c r="AC3" i="14"/>
  <c r="AA28" i="14"/>
  <c r="AC23" i="14"/>
  <c r="AB15" i="14"/>
  <c r="AC27" i="14"/>
  <c r="AA20" i="14"/>
  <c r="AB25" i="14"/>
  <c r="AB28" i="14"/>
  <c r="AB27" i="14"/>
  <c r="AB30" i="14"/>
  <c r="Y5" i="14"/>
  <c r="AA11" i="14"/>
  <c r="AA26" i="14"/>
  <c r="AA5" i="14"/>
  <c r="Z16" i="14"/>
  <c r="AC9" i="14"/>
  <c r="AB22" i="14"/>
  <c r="AC34" i="14"/>
  <c r="Z8" i="14"/>
  <c r="AC26" i="14"/>
  <c r="Y31" i="14"/>
  <c r="Y3" i="14"/>
  <c r="AA9" i="14"/>
  <c r="AB4" i="14"/>
  <c r="AA22" i="14"/>
  <c r="Z29" i="14"/>
  <c r="Z33" i="14"/>
  <c r="Y6" i="14"/>
  <c r="AA24" i="14"/>
  <c r="Z9" i="14"/>
  <c r="Y34" i="14"/>
  <c r="AA6" i="14"/>
  <c r="Z13" i="14"/>
  <c r="Z12" i="14"/>
  <c r="Z34" i="14"/>
  <c r="Y21" i="14"/>
  <c r="Z24" i="14"/>
  <c r="AB11" i="14"/>
  <c r="AA21" i="14"/>
  <c r="AC25" i="14"/>
  <c r="AC29" i="14"/>
  <c r="AB3" i="14"/>
  <c r="Z18" i="14"/>
  <c r="AA33" i="14"/>
  <c r="Y24" i="14"/>
  <c r="Z26" i="14"/>
  <c r="Y18" i="14"/>
  <c r="AB19" i="14"/>
  <c r="Z27" i="14"/>
  <c r="AA4" i="14"/>
  <c r="Z19" i="14"/>
  <c r="AC17" i="14"/>
  <c r="AC33" i="14"/>
  <c r="AC5" i="14"/>
  <c r="Y30" i="14"/>
  <c r="Z4" i="14"/>
  <c r="AC19" i="14"/>
  <c r="Y23" i="14"/>
  <c r="AB7" i="14"/>
  <c r="AC13" i="14"/>
  <c r="AA32" i="14"/>
  <c r="Z17" i="14"/>
  <c r="AA12" i="14"/>
  <c r="AB34" i="14"/>
  <c r="W5" i="14" l="1"/>
  <c r="W31" i="14"/>
  <c r="W24" i="14"/>
  <c r="W25" i="14"/>
  <c r="W30" i="14"/>
  <c r="W20" i="14"/>
  <c r="W6" i="14"/>
  <c r="W21" i="14"/>
  <c r="W26" i="14"/>
  <c r="W27" i="14"/>
  <c r="W8" i="14"/>
  <c r="W19" i="14"/>
  <c r="W11" i="14"/>
  <c r="W33" i="14"/>
  <c r="W7" i="14"/>
  <c r="W10" i="14"/>
  <c r="W34" i="14"/>
  <c r="W29" i="14"/>
  <c r="W15" i="14"/>
  <c r="W22" i="14"/>
  <c r="W23" i="14"/>
  <c r="W12" i="14"/>
  <c r="W4" i="14"/>
  <c r="W18" i="14"/>
  <c r="W14" i="14"/>
  <c r="W17" i="14"/>
  <c r="W28" i="14"/>
  <c r="W9" i="14"/>
  <c r="W32" i="14"/>
  <c r="W3" i="14"/>
  <c r="W13" i="14"/>
  <c r="W16" i="14"/>
  <c r="Y114" i="14" l="1"/>
  <c r="D15" i="1"/>
  <c r="AD2" i="14" s="1" a="1"/>
  <c r="D16" i="1"/>
  <c r="D27" i="1"/>
  <c r="C24" i="1"/>
  <c r="D24" i="1"/>
  <c r="D25" i="1"/>
  <c r="C23" i="1"/>
  <c r="D23" i="1" s="1"/>
  <c r="AD9" i="14" l="1"/>
  <c r="AD73" i="14"/>
  <c r="AD18" i="14"/>
  <c r="AD82" i="14"/>
  <c r="AD35" i="14"/>
  <c r="AD99" i="14"/>
  <c r="AD52" i="14"/>
  <c r="AD5" i="14"/>
  <c r="AD69" i="14"/>
  <c r="AD22" i="14"/>
  <c r="AD86" i="14"/>
  <c r="AD8" i="14"/>
  <c r="AD16" i="14"/>
  <c r="AD56" i="14"/>
  <c r="AD17" i="14"/>
  <c r="AD81" i="14"/>
  <c r="AD26" i="14"/>
  <c r="AD90" i="14"/>
  <c r="AD43" i="14"/>
  <c r="AD107" i="14"/>
  <c r="AD60" i="14"/>
  <c r="AD13" i="14"/>
  <c r="AD77" i="14"/>
  <c r="AD30" i="14"/>
  <c r="AD94" i="14"/>
  <c r="AD40" i="14"/>
  <c r="AD48" i="14"/>
  <c r="AD88" i="14"/>
  <c r="AD25" i="14"/>
  <c r="AD89" i="14"/>
  <c r="AD34" i="14"/>
  <c r="AD98" i="14"/>
  <c r="AD51" i="14"/>
  <c r="AD4" i="14"/>
  <c r="AD68" i="14"/>
  <c r="AD21" i="14"/>
  <c r="AD85" i="14"/>
  <c r="AD38" i="14"/>
  <c r="AD102" i="14"/>
  <c r="AD72" i="14"/>
  <c r="AD80" i="14"/>
  <c r="AD31" i="14"/>
  <c r="AD33" i="14"/>
  <c r="AD97" i="14"/>
  <c r="AD42" i="14"/>
  <c r="AD106" i="14"/>
  <c r="AD59" i="14"/>
  <c r="AD12" i="14"/>
  <c r="AD76" i="14"/>
  <c r="AD29" i="14"/>
  <c r="AD93" i="14"/>
  <c r="AD46" i="14"/>
  <c r="AD110" i="14"/>
  <c r="AD104" i="14"/>
  <c r="AD112" i="14"/>
  <c r="AD63" i="14"/>
  <c r="AD41" i="14"/>
  <c r="AD105" i="14"/>
  <c r="AD50" i="14"/>
  <c r="AD3" i="14"/>
  <c r="AD67" i="14"/>
  <c r="AD20" i="14"/>
  <c r="AD84" i="14"/>
  <c r="AD37" i="14"/>
  <c r="AD101" i="14"/>
  <c r="AD54" i="14"/>
  <c r="AD7" i="14"/>
  <c r="AD15" i="14"/>
  <c r="AD23" i="14"/>
  <c r="AD95" i="14"/>
  <c r="AD49" i="14"/>
  <c r="AD74" i="14"/>
  <c r="AD36" i="14"/>
  <c r="AD109" i="14"/>
  <c r="AD103" i="14"/>
  <c r="AD64" i="14"/>
  <c r="AD57" i="14"/>
  <c r="AD11" i="14"/>
  <c r="AD44" i="14"/>
  <c r="AD6" i="14"/>
  <c r="AD47" i="14"/>
  <c r="AD96" i="14"/>
  <c r="AD65" i="14"/>
  <c r="AD19" i="14"/>
  <c r="AD92" i="14"/>
  <c r="AD14" i="14"/>
  <c r="AD79" i="14"/>
  <c r="AD113" i="14"/>
  <c r="AD27" i="14"/>
  <c r="AD100" i="14"/>
  <c r="AD62" i="14"/>
  <c r="AD111" i="14"/>
  <c r="AD2" i="14"/>
  <c r="AD75" i="14"/>
  <c r="AD108" i="14"/>
  <c r="AD70" i="14"/>
  <c r="AD55" i="14"/>
  <c r="AD10" i="14"/>
  <c r="AD83" i="14"/>
  <c r="AD45" i="14"/>
  <c r="AD78" i="14"/>
  <c r="AD87" i="14"/>
  <c r="AD58" i="14"/>
  <c r="AD91" i="14"/>
  <c r="AD53" i="14"/>
  <c r="AD39" i="14"/>
  <c r="AD24" i="14"/>
  <c r="AD66" i="14"/>
  <c r="AD28" i="14"/>
  <c r="AD61" i="14"/>
  <c r="AD71" i="14"/>
  <c r="AD32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<sst xmlns="http://schemas.openxmlformats.org/spreadsheetml/2006/main" count="1825" uniqueCount="164">
  <si>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</si>
  <si>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</si>
  <si>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</si>
  <si>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</si>
  <si>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</si>
  <si>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</si>
  <si>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</si>
  <si>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</si>
  <si>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</si>
  <si>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</si>
  <si>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</si>
  <si>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</si>
  <si>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</si>
  <si>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</si>
  <si>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</si>
  <si>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</si>
  <si>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</si>
  <si>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</si>
  <si>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</si>
  <si>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</si>
  <si>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</si>
  <si>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</si>
  <si>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</si>
  <si>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</si>
  <si>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</si>
  <si>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</si>
  <si>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</si>
  <si>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</si>
  <si>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</si>
  <si>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</si>
  <si>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</si>
  <si>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</si>
  <si>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</si>
  <si>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</si>
  <si>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</si>
  <si>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</si>
  <si>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</si>
  <si>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</si>
  <si>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</si>
  <si>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</si>
  <si>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</si>
  <si>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</si>
  <si>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</si>
  <si>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</si>
  <si>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</si>
  <si>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</si>
  <si>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</si>
  <si>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</si>
  <si>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</si>
  <si>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</si>
  <si>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</si>
  <si>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</si>
  <si>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</si>
  <si>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</si>
  <si>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</si>
  <si>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</si>
  <si>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</si>
  <si>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</si>
  <si>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</si>
  <si>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</si>
  <si>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</si>
  <si>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</si>
  <si>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</si>
  <si>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</si>
  <si>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</si>
  <si>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</si>
  <si>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</si>
  <si>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</si>
  <si>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</si>
  <si>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</si>
  <si>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</si>
  <si>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</si>
  <si>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</si>
  <si>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</si>
  <si>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</si>
  <si>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</si>
  <si>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</si>
  <si>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</si>
  <si>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</si>
  <si>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</si>
  <si>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</si>
  <si>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</si>
  <si>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</si>
  <si>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</si>
  <si>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</si>
  <si>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</si>
  <si>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</si>
  <si>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</si>
  <si>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</si>
  <si>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</si>
  <si>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</si>
  <si>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</si>
  <si>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</si>
  <si>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</si>
  <si>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</si>
  <si>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</si>
  <si>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</si>
  <si>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</si>
  <si>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</si>
  <si>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</si>
  <si>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</si>
  <si>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</si>
  <si>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</si>
  <si>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</si>
  <si>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</si>
  <si>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</si>
  <si>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</si>
  <si>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</si>
  <si>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</si>
  <si>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</si>
  <si>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</si>
  <si>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</si>
  <si>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</si>
  <si>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</si>
  <si>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</si>
  <si>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</si>
  <si>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</si>
  <si>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</si>
  <si>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</si>
  <si>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</si>
  <si>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</si>
  <si>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</si>
  <si>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</si>
  <si>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</si>
  <si>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</si>
  <si>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</si>
  <si>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</si>
  <si>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</si>
  <si>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</si>
  <si>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</si>
  <si>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</si>
  <si>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</si>
  <si>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</si>
  <si>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</si>
  <si>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</si>
  <si>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</si>
  <si>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</si>
  <si>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</si>
  <si>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</si>
  <si>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</si>
  <si>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</si>
  <si>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</si>
  <si>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</si>
  <si>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</si>
  <si>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</si>
  <si>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</si>
  <si>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</si>
  <si>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55Y</t>
  </si>
  <si>
    <t>6L</t>
  </si>
  <si>
    <t>12M</t>
  </si>
  <si>
    <t>X1S</t>
  </si>
  <si>
    <t>1L</t>
  </si>
  <si>
    <t>BasSw</t>
  </si>
  <si>
    <t>12L</t>
  </si>
  <si>
    <t>Extrapolation</t>
  </si>
  <si>
    <t>NullCalendar</t>
  </si>
  <si>
    <t>CurveCalendar</t>
  </si>
  <si>
    <t>FirstLiborFixingDate</t>
  </si>
  <si>
    <t>LiborSettlementDate</t>
  </si>
  <si>
    <t>Instruments List</t>
  </si>
  <si>
    <t>CheckExtrapolation</t>
  </si>
  <si>
    <t>Fixed Leg Freq</t>
  </si>
  <si>
    <t>ON Leg Freq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</si>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</sst>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08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4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5" fillId="3" borderId="0" xfId="0" applyFont="1" applyFill="1"/>
    <xf numFmtId="166" fontId="5" fillId="11" borderId="6" xfId="0" applyNumberFormat="1" applyFont="1" applyFill="1" applyBorder="1"/>
    <xf numFmtId="168" fontId="5" fillId="11" borderId="6" xfId="0" applyNumberFormat="1" applyFont="1" applyFill="1" applyBorder="1" applyAlignment="1">
      <alignment horizontal="center"/>
    </xf>
    <xf numFmtId="167" fontId="5" fillId="11" borderId="6" xfId="0" applyNumberFormat="1" applyFont="1" applyFill="1" applyBorder="1" applyAlignment="1">
      <alignment horizontal="center"/>
    </xf>
    <xf numFmtId="167" fontId="5" fillId="12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167" fontId="5" fillId="12" borderId="6" xfId="0" applyNumberFormat="1" applyFont="1" applyFill="1" applyBorder="1" applyAlignment="1">
      <alignment horizontal="center"/>
    </xf>
    <xf numFmtId="166" fontId="5" fillId="11" borderId="1" xfId="0" applyNumberFormat="1" applyFont="1" applyFill="1" applyBorder="1"/>
    <xf numFmtId="0" fontId="5" fillId="11" borderId="1" xfId="0" applyFont="1" applyFill="1" applyBorder="1" applyAlignment="1">
      <alignment horizontal="center"/>
    </xf>
    <xf numFmtId="167" fontId="5" fillId="11" borderId="1" xfId="0" applyNumberFormat="1" applyFont="1" applyFill="1" applyBorder="1" applyAlignment="1">
      <alignment horizontal="center"/>
    </xf>
    <xf numFmtId="167" fontId="5" fillId="12" borderId="1" xfId="0" applyNumberFormat="1" applyFont="1" applyFill="1" applyBorder="1" applyAlignment="1">
      <alignment horizontal="center"/>
    </xf>
    <xf numFmtId="168" fontId="5" fillId="0" borderId="6" xfId="0" applyNumberFormat="1" applyFont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166" fontId="5" fillId="11" borderId="8" xfId="0" applyNumberFormat="1" applyFont="1" applyFill="1" applyBorder="1"/>
    <xf numFmtId="168" fontId="5" fillId="11" borderId="8" xfId="0" applyNumberFormat="1" applyFont="1" applyFill="1" applyBorder="1" applyAlignment="1"/>
    <xf numFmtId="167" fontId="5" fillId="11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/>
    <xf numFmtId="0" fontId="5" fillId="11" borderId="1" xfId="0" applyFont="1" applyFill="1" applyBorder="1" applyAlignment="1"/>
    <xf numFmtId="164" fontId="5" fillId="11" borderId="8" xfId="0" applyNumberFormat="1" applyFont="1" applyFill="1" applyBorder="1" applyAlignment="1">
      <alignment horizontal="center"/>
    </xf>
    <xf numFmtId="164" fontId="5" fillId="11" borderId="6" xfId="0" applyNumberFormat="1" applyFont="1" applyFill="1" applyBorder="1" applyAlignment="1">
      <alignment horizontal="center"/>
    </xf>
    <xf numFmtId="164" fontId="5" fillId="11" borderId="1" xfId="0" applyNumberFormat="1" applyFont="1" applyFill="1" applyBorder="1" applyAlignment="1">
      <alignment horizontal="center"/>
    </xf>
    <xf numFmtId="166" fontId="5" fillId="11" borderId="8" xfId="0" applyNumberFormat="1" applyFont="1" applyFill="1" applyBorder="1" applyAlignment="1"/>
    <xf numFmtId="0" fontId="3" fillId="3" borderId="6" xfId="1" applyNumberFormat="1" applyFont="1" applyFill="1" applyBorder="1" applyAlignment="1">
      <alignment horizontal="center"/>
    </xf>
    <xf numFmtId="166" fontId="5" fillId="11" borderId="6" xfId="0" applyNumberFormat="1" applyFont="1" applyFill="1" applyBorder="1" applyAlignment="1"/>
    <xf numFmtId="0" fontId="3" fillId="9" borderId="1" xfId="1" applyNumberFormat="1" applyFont="1" applyFill="1" applyBorder="1" applyAlignment="1">
      <alignment horizontal="center"/>
    </xf>
    <xf numFmtId="0" fontId="5" fillId="3" borderId="2" xfId="0" applyFont="1" applyFill="1" applyBorder="1"/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10" borderId="8" xfId="1" applyNumberFormat="1" applyFont="1" applyFill="1" applyBorder="1" applyAlignment="1">
      <alignment horizontal="center" vertical="center"/>
    </xf>
    <xf numFmtId="168" fontId="3" fillId="10" borderId="8" xfId="1" applyNumberFormat="1" applyFont="1" applyFill="1" applyBorder="1" applyAlignment="1">
      <alignment horizontal="right"/>
    </xf>
    <xf numFmtId="168" fontId="3" fillId="10" borderId="1" xfId="1" applyNumberFormat="1" applyFont="1" applyFill="1" applyBorder="1" applyAlignment="1">
      <alignment horizontal="right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8" fontId="3" fillId="10" borderId="6" xfId="1" applyNumberFormat="1" applyFont="1" applyFill="1" applyBorder="1" applyAlignment="1">
      <alignment horizontal="righ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68" fontId="5" fillId="11" borderId="8" xfId="0" applyNumberFormat="1" applyFont="1" applyFill="1" applyBorder="1" applyAlignment="1">
      <alignment horizontal="center"/>
    </xf>
    <xf numFmtId="168" fontId="5" fillId="11" borderId="1" xfId="0" applyNumberFormat="1" applyFont="1" applyFill="1" applyBorder="1" applyAlignment="1">
      <alignment horizontal="center"/>
    </xf>
    <xf numFmtId="0" fontId="5" fillId="3" borderId="1" xfId="0" applyFont="1" applyFill="1" applyBorder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60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8" customWidth="1"/>
    <col min="3" max="3" width="20.28515625" style="48" bestFit="1" customWidth="1"/>
    <col min="4" max="4" width="30.7109375" style="48" customWidth="1"/>
    <col min="5" max="7" width="2.7109375" style="48" customWidth="1"/>
    <col min="8" max="8" width="20.28515625" style="48" bestFit="1" customWidth="1"/>
    <col min="9" max="9" width="30.7109375" style="48" customWidth="1"/>
    <col min="10" max="10" width="2.7109375" style="48" customWidth="1"/>
    <col min="11" max="13" width="9.140625" style="48"/>
    <col min="14" max="14" width="9.7109375" style="48" bestFit="1" customWidth="1"/>
    <col min="15" max="16384" width="9.140625" style="48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1" t="s">
        <v>21</v>
      </c>
      <c r="D3" s="80" t="s">
        <v>35</v>
      </c>
      <c r="E3" s="86"/>
      <c r="G3" s="88"/>
      <c r="H3" s="11" t="s">
        <v>30</v>
      </c>
      <c r="I3" s="12">
        <f>_xll.qlSettingsEvaluationDate(Trigger)</f>
        <v>42571</v>
      </c>
      <c r="J3" s="86"/>
    </row>
    <row r="4" spans="1:10" ht="11.25" customHeight="1" x14ac:dyDescent="0.2">
      <c r="B4" s="88"/>
      <c r="C4" s="13" t="s">
        <v>18</v>
      </c>
      <c r="D4" s="15" t="b">
        <v>1</v>
      </c>
      <c r="E4" s="86"/>
      <c r="G4" s="88"/>
      <c r="H4" s="17" t="s">
        <v>31</v>
      </c>
      <c r="I4" s="81">
        <f>_xll.qlCalendarAdvance(LocalCalendar,Evaluationdate,"2D","F",,Trigger)</f>
        <v>42573</v>
      </c>
      <c r="J4" s="86"/>
    </row>
    <row r="5" spans="1:10" ht="11.25" customHeight="1" x14ac:dyDescent="0.2">
      <c r="A5" s="50"/>
      <c r="B5" s="89"/>
      <c r="C5" s="19" t="s">
        <v>17</v>
      </c>
      <c r="D5" s="20"/>
      <c r="E5" s="86"/>
      <c r="G5" s="88"/>
      <c r="H5" s="11" t="s">
        <v>157</v>
      </c>
      <c r="I5" s="12">
        <f>_xll.qlCalendarAdjust(LiborCalendar,Evaluationdate,,Trigger)</f>
        <v>42571</v>
      </c>
      <c r="J5" s="86"/>
    </row>
    <row r="6" spans="1:10" ht="11.25" customHeight="1" x14ac:dyDescent="0.2">
      <c r="A6" s="50"/>
      <c r="B6" s="89"/>
      <c r="C6" s="13" t="s">
        <v>19</v>
      </c>
      <c r="D6" s="15" t="b">
        <v>1</v>
      </c>
      <c r="E6" s="86"/>
      <c r="G6" s="88"/>
      <c r="H6" s="17" t="s">
        <v>158</v>
      </c>
      <c r="I6" s="81">
        <f>_xll.qlCalendarAdjust(JoinCalendar,_xll.qlCalendarAdvance(LiborCalendar,I5,"2D","F",,Trigger),,Trigger)</f>
        <v>42573</v>
      </c>
      <c r="J6" s="86"/>
    </row>
    <row r="7" spans="1:10" ht="11.25" customHeight="1" x14ac:dyDescent="0.2">
      <c r="A7" s="50"/>
      <c r="B7" s="89"/>
      <c r="C7" s="13" t="s">
        <v>20</v>
      </c>
      <c r="D7" s="16" t="str">
        <f>Currency&amp;"ON"</f>
        <v>USDON</v>
      </c>
      <c r="E7" s="86"/>
      <c r="G7" s="88"/>
      <c r="H7" s="13" t="s">
        <v>36</v>
      </c>
      <c r="I7" s="14" t="s">
        <v>37</v>
      </c>
      <c r="J7" s="86"/>
    </row>
    <row r="8" spans="1:10" ht="11.25" customHeight="1" x14ac:dyDescent="0.2">
      <c r="A8" s="50"/>
      <c r="B8" s="89"/>
      <c r="C8" s="13" t="s">
        <v>42</v>
      </c>
      <c r="D8" s="16" t="s">
        <v>43</v>
      </c>
      <c r="E8" s="86"/>
      <c r="G8" s="88"/>
      <c r="H8" s="13" t="s">
        <v>38</v>
      </c>
      <c r="I8" s="14" t="s">
        <v>44</v>
      </c>
      <c r="J8" s="86"/>
    </row>
    <row r="9" spans="1:10" ht="11.25" customHeight="1" x14ac:dyDescent="0.2">
      <c r="A9" s="50"/>
      <c r="B9" s="89"/>
      <c r="C9" s="17" t="s">
        <v>99</v>
      </c>
      <c r="D9" s="18" t="s">
        <v>100</v>
      </c>
      <c r="E9" s="86"/>
      <c r="G9" s="88"/>
      <c r="H9" s="13" t="s">
        <v>39</v>
      </c>
      <c r="I9" s="14" t="s">
        <v>40</v>
      </c>
      <c r="J9" s="86" t="s">
        <v>45</v>
      </c>
    </row>
    <row r="10" spans="1:10" ht="11.25" customHeight="1" x14ac:dyDescent="0.2">
      <c r="B10" s="90"/>
      <c r="C10" s="17" t="s">
        <v>104</v>
      </c>
      <c r="D10" s="147" t="s">
        <v>105</v>
      </c>
      <c r="E10" s="86"/>
      <c r="G10" s="88"/>
      <c r="H10" s="13" t="s">
        <v>41</v>
      </c>
      <c r="I10" s="82" t="str">
        <f>I7&amp;"("&amp;I8&amp;","&amp;I9&amp;")"</f>
        <v>JoinHolidays(UnitedKingdom::Exchange,UnitedStates::Settlement)</v>
      </c>
      <c r="J10" s="86"/>
    </row>
    <row r="11" spans="1:10" ht="11.25" customHeight="1" x14ac:dyDescent="0.2">
      <c r="B11" s="90"/>
      <c r="C11" s="161"/>
      <c r="D11" s="161"/>
      <c r="E11" s="86"/>
      <c r="G11" s="88"/>
      <c r="H11" s="19" t="s">
        <v>156</v>
      </c>
      <c r="I11" s="96" t="s">
        <v>155</v>
      </c>
      <c r="J11" s="86"/>
    </row>
    <row r="12" spans="1:10" ht="11.25" customHeight="1" x14ac:dyDescent="0.2">
      <c r="B12" s="91"/>
      <c r="C12" s="92"/>
      <c r="D12" s="93"/>
      <c r="E12" s="87"/>
      <c r="G12" s="94"/>
      <c r="H12" s="92"/>
      <c r="I12" s="95"/>
      <c r="J12" s="87"/>
    </row>
    <row r="13" spans="1:10" ht="11.25" customHeight="1" x14ac:dyDescent="0.2"/>
    <row r="14" spans="1:10" x14ac:dyDescent="0.2">
      <c r="B14" s="37"/>
      <c r="C14" s="38"/>
      <c r="D14" s="38"/>
      <c r="E14" s="39"/>
      <c r="G14" s="37"/>
      <c r="H14" s="38"/>
      <c r="I14" s="38"/>
      <c r="J14" s="39"/>
    </row>
    <row r="15" spans="1:10" x14ac:dyDescent="0.2">
      <c r="B15" s="22"/>
      <c r="C15" s="21" t="s">
        <v>10</v>
      </c>
      <c r="D15" s="41" t="str">
        <f>_xll.qlPiecewiseYieldCurve($D$17,$D$18,LocalCalendar,_xll.ohPack(USDON!X3:X56),,,,D19,D20,D21,Permanent,,ObjectOverwrite)</f>
        <v>_USDON#0024</v>
      </c>
      <c r="E15" s="42"/>
      <c r="G15" s="22"/>
      <c r="H15" s="21" t="s">
        <v>10</v>
      </c>
      <c r="I15" s="41" t="str">
        <f>_xll.qlPiecewiseYieldCurve(I17,I18,CurveCalendar,_xll.ohPack(USD3M!X3:X88),,,,I19,I20,I21,Permanent,,ObjectOverwrite)</f>
        <v>_USD3M#0002</v>
      </c>
      <c r="J15" s="42"/>
    </row>
    <row r="16" spans="1:10" x14ac:dyDescent="0.2">
      <c r="B16" s="22"/>
      <c r="C16" s="23" t="s">
        <v>11</v>
      </c>
      <c r="D16" s="43" t="str">
        <f>_xll.ohRangeRetrieveError(YieldCurve_ON)</f>
        <v/>
      </c>
      <c r="E16" s="42"/>
      <c r="G16" s="22"/>
      <c r="H16" s="23" t="s">
        <v>11</v>
      </c>
      <c r="I16" s="43" t="str">
        <f>_xll.ohRangeRetrieveError(YieldCurve_3M)</f>
        <v/>
      </c>
      <c r="J16" s="42"/>
    </row>
    <row r="17" spans="1:10" x14ac:dyDescent="0.2">
      <c r="B17" s="22"/>
      <c r="C17" s="21" t="s">
        <v>12</v>
      </c>
      <c r="D17" s="24" t="str">
        <f>"_"&amp;Currency&amp;"ON"</f>
        <v>_USDON</v>
      </c>
      <c r="E17" s="42"/>
      <c r="G17" s="22"/>
      <c r="H17" s="21" t="s">
        <v>12</v>
      </c>
      <c r="I17" s="24" t="str">
        <f>"_"&amp;Currency&amp;"3M"</f>
        <v>_USD3M</v>
      </c>
      <c r="J17" s="42"/>
    </row>
    <row r="18" spans="1:10" x14ac:dyDescent="0.2">
      <c r="B18" s="22"/>
      <c r="C18" s="25" t="s">
        <v>13</v>
      </c>
      <c r="D18" s="26">
        <v>0</v>
      </c>
      <c r="E18" s="42"/>
      <c r="G18" s="22"/>
      <c r="H18" s="25" t="s">
        <v>13</v>
      </c>
      <c r="I18" s="26">
        <f>LiborSettlementDate-Evaluationdate</f>
        <v>2</v>
      </c>
      <c r="J18" s="42"/>
    </row>
    <row r="19" spans="1:10" x14ac:dyDescent="0.2">
      <c r="B19" s="22"/>
      <c r="C19" s="25" t="s">
        <v>14</v>
      </c>
      <c r="D19" s="27"/>
      <c r="E19" s="42"/>
      <c r="G19" s="22"/>
      <c r="H19" s="25" t="s">
        <v>14</v>
      </c>
      <c r="I19" s="27"/>
      <c r="J19" s="42"/>
    </row>
    <row r="20" spans="1:10" x14ac:dyDescent="0.2">
      <c r="B20" s="22"/>
      <c r="C20" s="25" t="s">
        <v>15</v>
      </c>
      <c r="D20" s="28" t="s">
        <v>32</v>
      </c>
      <c r="E20" s="42"/>
      <c r="G20" s="22"/>
      <c r="H20" s="25" t="s">
        <v>15</v>
      </c>
      <c r="I20" s="28" t="s">
        <v>32</v>
      </c>
      <c r="J20" s="42"/>
    </row>
    <row r="21" spans="1:10" x14ac:dyDescent="0.2">
      <c r="B21" s="22"/>
      <c r="C21" s="23" t="s">
        <v>16</v>
      </c>
      <c r="D21" s="29" t="s">
        <v>46</v>
      </c>
      <c r="E21" s="42"/>
      <c r="G21" s="22"/>
      <c r="H21" s="23" t="s">
        <v>16</v>
      </c>
      <c r="I21" s="29" t="s">
        <v>46</v>
      </c>
      <c r="J21" s="42"/>
    </row>
    <row r="22" spans="1:10" x14ac:dyDescent="0.2">
      <c r="B22" s="22"/>
      <c r="C22" s="30"/>
      <c r="D22" s="30"/>
      <c r="E22" s="42"/>
      <c r="G22" s="22"/>
      <c r="H22" s="30"/>
      <c r="I22" s="30"/>
      <c r="J22" s="42"/>
    </row>
    <row r="23" spans="1:10" x14ac:dyDescent="0.2">
      <c r="B23" s="22"/>
      <c r="C23" s="31">
        <f>_xll.qlTermStructureReferenceDate(YieldCurve_ON)</f>
        <v>42571</v>
      </c>
      <c r="D23" s="32">
        <f>_xll.qlYieldTSDiscount(YieldCurve_ON,C23,,Trigger)</f>
        <v>1</v>
      </c>
      <c r="E23" s="42"/>
      <c r="G23" s="22"/>
      <c r="H23" s="31">
        <f>_xll.qlTermStructureReferenceDate(YieldCurve_3M)</f>
        <v>42573</v>
      </c>
      <c r="I23" s="32">
        <f>_xll.qlYieldTSDiscount(YieldCurve_3M,H23,,Trigger)</f>
        <v>1</v>
      </c>
      <c r="J23" s="42"/>
    </row>
    <row r="24" spans="1:10" x14ac:dyDescent="0.2">
      <c r="B24" s="22"/>
      <c r="C24" s="33">
        <f>_xll.qlTermStructureMaxDate(YieldCurve_ON,Trigger)</f>
        <v>60835</v>
      </c>
      <c r="D24" s="34">
        <f>_xll.qlYieldTSDiscount(YieldCurve_ON,C24,,Trigger)</f>
        <v>0.47485673829200542</v>
      </c>
      <c r="E24" s="42"/>
      <c r="G24" s="22"/>
      <c r="H24" s="33">
        <f>_xll.qlTermStructureMaxDate(YieldCurve_3M,Trigger)</f>
        <v>60835</v>
      </c>
      <c r="I24" s="34">
        <f>_xll.qlYieldTSDiscount(YieldCurve_3M,H24,,Trigger)</f>
        <v>0.39164696844760938</v>
      </c>
      <c r="J24" s="42"/>
    </row>
    <row r="25" spans="1:10" x14ac:dyDescent="0.2">
      <c r="B25" s="22"/>
      <c r="C25" s="33" t="str">
        <f>[1]Libor!$D$6</f>
        <v>USDON#0000</v>
      </c>
      <c r="D25" s="34" t="b">
        <f>_xll.qlRelinkableHandleLinkTo(C25,D15,Trigger)</f>
        <v>1</v>
      </c>
      <c r="E25" s="42"/>
      <c r="G25" s="22"/>
      <c r="H25" s="33" t="str">
        <f>[1]Libor!$D$10</f>
        <v>USD3M#0000</v>
      </c>
      <c r="I25" s="34" t="b">
        <f>_xll.qlRelinkableHandleLinkTo(H25,I15,Trigger)</f>
        <v>1</v>
      </c>
      <c r="J25" s="42"/>
    </row>
    <row r="26" spans="1:10" x14ac:dyDescent="0.2">
      <c r="B26" s="22"/>
      <c r="C26" s="35" t="s">
        <v>154</v>
      </c>
      <c r="D26" s="36" t="b">
        <v>1</v>
      </c>
      <c r="E26" s="42"/>
      <c r="G26" s="22"/>
      <c r="H26" s="35" t="s">
        <v>154</v>
      </c>
      <c r="I26" s="36" t="b">
        <v>1</v>
      </c>
      <c r="J26" s="42"/>
    </row>
    <row r="27" spans="1:10" x14ac:dyDescent="0.2">
      <c r="B27" s="22"/>
      <c r="C27" s="193" t="s">
        <v>160</v>
      </c>
      <c r="D27" s="194" t="b">
        <f>_xll.qlExtrapolatorEnableExtrapolation(YieldCurve_ON,D26,Trigger)</f>
        <v>1</v>
      </c>
      <c r="E27" s="42"/>
      <c r="G27" s="22"/>
      <c r="H27" s="193" t="s">
        <v>160</v>
      </c>
      <c r="I27" s="194" t="b">
        <f>_xll.qlExtrapolatorEnableExtrapolation(YieldCurve_3M,I26,Trigger)</f>
        <v>1</v>
      </c>
      <c r="J27" s="42"/>
    </row>
    <row r="28" spans="1:10" x14ac:dyDescent="0.2">
      <c r="B28" s="44"/>
      <c r="C28" s="45"/>
      <c r="D28" s="45"/>
      <c r="E28" s="46"/>
      <c r="G28" s="44"/>
      <c r="H28" s="45"/>
      <c r="I28" s="45"/>
      <c r="J28" s="46"/>
    </row>
    <row r="29" spans="1:10" x14ac:dyDescent="0.2">
      <c r="A29" s="50"/>
      <c r="B29" s="50"/>
      <c r="C29" s="50"/>
      <c r="D29" s="50"/>
      <c r="E29" s="50"/>
      <c r="G29" s="50"/>
      <c r="H29" s="50"/>
      <c r="I29" s="50"/>
      <c r="J29" s="50"/>
    </row>
    <row r="30" spans="1:10" x14ac:dyDescent="0.2">
      <c r="B30" s="37"/>
      <c r="C30" s="47"/>
      <c r="D30" s="47"/>
      <c r="E30" s="39"/>
      <c r="F30" s="49"/>
      <c r="G30" s="37"/>
      <c r="H30" s="38"/>
      <c r="I30" s="38"/>
      <c r="J30" s="39"/>
    </row>
    <row r="31" spans="1:10" x14ac:dyDescent="0.2">
      <c r="B31" s="40"/>
      <c r="C31" s="21" t="s">
        <v>10</v>
      </c>
      <c r="D31" s="41" t="str">
        <f>_xll.qlPiecewiseYieldCurve(D33,D34,CurveCalendar,_xll.ohPack(USD6M!X3:X66),,,,D35,D36,D37,Permanent,,ObjectOverwrite)</f>
        <v>_USD6M#0002</v>
      </c>
      <c r="E31" s="42"/>
      <c r="F31" s="49"/>
      <c r="G31" s="22"/>
      <c r="H31" s="21" t="s">
        <v>10</v>
      </c>
      <c r="I31" s="41" t="str">
        <f>_xll.qlPiecewiseYieldCurve(I33,I34,CurveCalendar,_xll.ohPack(USD1M!X3:X55),,,,I35,I36,I37,Permanent,,ObjectOverwrite)</f>
        <v>_USD1M#0002</v>
      </c>
      <c r="J31" s="42"/>
    </row>
    <row r="32" spans="1:10" x14ac:dyDescent="0.2">
      <c r="B32" s="40"/>
      <c r="C32" s="23" t="s">
        <v>11</v>
      </c>
      <c r="D32" s="43" t="str">
        <f>_xll.ohRangeRetrieveError(YieldCurve_6M)</f>
        <v/>
      </c>
      <c r="E32" s="42"/>
      <c r="F32" s="49"/>
      <c r="G32" s="22"/>
      <c r="H32" s="23" t="s">
        <v>11</v>
      </c>
      <c r="I32" s="43" t="str">
        <f>_xll.ohRangeRetrieveError(YieldCurve_1M)</f>
        <v/>
      </c>
      <c r="J32" s="42"/>
    </row>
    <row r="33" spans="2:10" x14ac:dyDescent="0.2">
      <c r="B33" s="22"/>
      <c r="C33" s="21" t="s">
        <v>12</v>
      </c>
      <c r="D33" s="24" t="str">
        <f>"_"&amp;Currency&amp;"6M"</f>
        <v>_USD6M</v>
      </c>
      <c r="E33" s="42"/>
      <c r="F33" s="49"/>
      <c r="G33" s="22"/>
      <c r="H33" s="21" t="s">
        <v>12</v>
      </c>
      <c r="I33" s="24" t="str">
        <f>"_"&amp;Currency&amp;"1M"</f>
        <v>_USD1M</v>
      </c>
      <c r="J33" s="42"/>
    </row>
    <row r="34" spans="2:10" x14ac:dyDescent="0.2">
      <c r="B34" s="22"/>
      <c r="C34" s="25" t="s">
        <v>13</v>
      </c>
      <c r="D34" s="26">
        <f>LiborSettlementDate-Evaluationdate</f>
        <v>2</v>
      </c>
      <c r="E34" s="42"/>
      <c r="F34" s="49"/>
      <c r="G34" s="22"/>
      <c r="H34" s="25" t="s">
        <v>13</v>
      </c>
      <c r="I34" s="26">
        <f>LiborSettlementDate-Evaluationdate</f>
        <v>2</v>
      </c>
      <c r="J34" s="42"/>
    </row>
    <row r="35" spans="2:10" x14ac:dyDescent="0.2">
      <c r="B35" s="22"/>
      <c r="C35" s="25" t="s">
        <v>14</v>
      </c>
      <c r="D35" s="27"/>
      <c r="E35" s="42"/>
      <c r="F35" s="49"/>
      <c r="G35" s="22"/>
      <c r="H35" s="25" t="s">
        <v>14</v>
      </c>
      <c r="I35" s="27"/>
      <c r="J35" s="42"/>
    </row>
    <row r="36" spans="2:10" x14ac:dyDescent="0.2">
      <c r="B36" s="22"/>
      <c r="C36" s="25" t="s">
        <v>15</v>
      </c>
      <c r="D36" s="28" t="s">
        <v>32</v>
      </c>
      <c r="E36" s="42"/>
      <c r="F36" s="49"/>
      <c r="G36" s="22"/>
      <c r="H36" s="25" t="s">
        <v>15</v>
      </c>
      <c r="I36" s="28" t="s">
        <v>32</v>
      </c>
      <c r="J36" s="42"/>
    </row>
    <row r="37" spans="2:10" x14ac:dyDescent="0.2">
      <c r="B37" s="22"/>
      <c r="C37" s="23" t="s">
        <v>16</v>
      </c>
      <c r="D37" s="29" t="s">
        <v>46</v>
      </c>
      <c r="E37" s="42"/>
      <c r="F37" s="49"/>
      <c r="G37" s="22"/>
      <c r="H37" s="23" t="s">
        <v>16</v>
      </c>
      <c r="I37" s="29" t="s">
        <v>46</v>
      </c>
      <c r="J37" s="42"/>
    </row>
    <row r="38" spans="2:10" x14ac:dyDescent="0.2">
      <c r="B38" s="22"/>
      <c r="C38" s="30"/>
      <c r="D38" s="30"/>
      <c r="E38" s="42"/>
      <c r="F38" s="49"/>
      <c r="G38" s="22"/>
      <c r="H38" s="30"/>
      <c r="I38" s="30"/>
      <c r="J38" s="42"/>
    </row>
    <row r="39" spans="2:10" x14ac:dyDescent="0.2">
      <c r="B39" s="22"/>
      <c r="C39" s="31">
        <f>_xll.qlTermStructureReferenceDate(YieldCurve_6M)</f>
        <v>42573</v>
      </c>
      <c r="D39" s="32">
        <f>_xll.qlYieldTSDiscount(YieldCurve_6M,C39,,Trigger)</f>
        <v>1</v>
      </c>
      <c r="E39" s="42"/>
      <c r="F39" s="49"/>
      <c r="G39" s="22"/>
      <c r="H39" s="31">
        <f>_xll.qlTermStructureReferenceDate(YieldCurve_1M)</f>
        <v>42573</v>
      </c>
      <c r="I39" s="32">
        <f>_xll.qlYieldTSDiscount(YieldCurve_1M,H39,,Trigger)</f>
        <v>1</v>
      </c>
      <c r="J39" s="42"/>
    </row>
    <row r="40" spans="2:10" x14ac:dyDescent="0.2">
      <c r="B40" s="22"/>
      <c r="C40" s="33">
        <f>_xll.qlTermStructureMaxDate(YieldCurve_6M,Trigger)</f>
        <v>64488</v>
      </c>
      <c r="D40" s="34">
        <f>_xll.qlYieldTSDiscount(YieldCurve_6M,C40,,Trigger)</f>
        <v>0.29647019301067462</v>
      </c>
      <c r="E40" s="42"/>
      <c r="F40" s="49"/>
      <c r="G40" s="22"/>
      <c r="H40" s="33">
        <f>_xll.qlTermStructureMaxDate(YieldCurve_1M,Trigger)</f>
        <v>60835</v>
      </c>
      <c r="I40" s="34">
        <f>_xll.qlYieldTSDiscount(YieldCurve_1M,H40,,Trigger)</f>
        <v>0.42026483455150238</v>
      </c>
      <c r="J40" s="42"/>
    </row>
    <row r="41" spans="2:10" x14ac:dyDescent="0.2">
      <c r="B41" s="22"/>
      <c r="C41" s="33" t="str">
        <f>[1]Libor!$D$11</f>
        <v>USD6M#0000</v>
      </c>
      <c r="D41" s="34" t="b">
        <f>_xll.qlRelinkableHandleLinkTo(C41,D31,Trigger)</f>
        <v>1</v>
      </c>
      <c r="E41" s="42"/>
      <c r="F41" s="49"/>
      <c r="G41" s="22"/>
      <c r="H41" s="33" t="str">
        <f>[1]Libor!$D$8</f>
        <v>USD1M#0000</v>
      </c>
      <c r="I41" s="34" t="b">
        <f>_xll.qlRelinkableHandleLinkTo(H41,I31,Trigger)</f>
        <v>1</v>
      </c>
      <c r="J41" s="42"/>
    </row>
    <row r="42" spans="2:10" x14ac:dyDescent="0.2">
      <c r="B42" s="22"/>
      <c r="C42" s="35" t="s">
        <v>154</v>
      </c>
      <c r="D42" s="36" t="b">
        <v>0</v>
      </c>
      <c r="E42" s="42"/>
      <c r="F42" s="49"/>
      <c r="G42" s="22"/>
      <c r="H42" s="35" t="s">
        <v>154</v>
      </c>
      <c r="I42" s="36" t="b">
        <v>1</v>
      </c>
      <c r="J42" s="42"/>
    </row>
    <row r="43" spans="2:10" x14ac:dyDescent="0.2">
      <c r="B43" s="22"/>
      <c r="C43" s="193" t="s">
        <v>160</v>
      </c>
      <c r="D43" s="194" t="b">
        <f>_xll.qlExtrapolatorEnableExtrapolation(YieldCurve_6M,D42,Trigger)</f>
        <v>1</v>
      </c>
      <c r="E43" s="42"/>
      <c r="F43" s="49"/>
      <c r="G43" s="22"/>
      <c r="H43" s="193" t="s">
        <v>160</v>
      </c>
      <c r="I43" s="194" t="b">
        <f>_xll.qlExtrapolatorEnableExtrapolation(YieldCurve_1M,I42,Trigger)</f>
        <v>1</v>
      </c>
      <c r="J43" s="42"/>
    </row>
    <row r="44" spans="2:10" x14ac:dyDescent="0.2">
      <c r="B44" s="44"/>
      <c r="C44" s="45"/>
      <c r="D44" s="45"/>
      <c r="E44" s="46"/>
      <c r="F44" s="49"/>
      <c r="G44" s="44"/>
      <c r="H44" s="45"/>
      <c r="I44" s="45"/>
      <c r="J44" s="46"/>
    </row>
    <row r="45" spans="2:10" x14ac:dyDescent="0.2">
      <c r="F45" s="49"/>
    </row>
    <row r="46" spans="2:10" x14ac:dyDescent="0.2">
      <c r="B46" s="37"/>
      <c r="C46" s="38"/>
      <c r="D46" s="38"/>
      <c r="E46" s="39"/>
      <c r="F46" s="49"/>
    </row>
    <row r="47" spans="2:10" x14ac:dyDescent="0.2">
      <c r="B47" s="22"/>
      <c r="C47" s="21" t="s">
        <v>10</v>
      </c>
      <c r="D47" s="41" t="str">
        <f>_xll.qlPiecewiseYieldCurve(D49,D50,CurveCalendar,_xll.ohPack(USD1Y!X3:X78),,,,D51,D52,D53,Permanent,,ObjectOverwrite)</f>
        <v>_USD1Y#0002</v>
      </c>
      <c r="E47" s="42"/>
      <c r="F47" s="49"/>
    </row>
    <row r="48" spans="2:10" x14ac:dyDescent="0.2">
      <c r="B48" s="22"/>
      <c r="C48" s="23" t="s">
        <v>11</v>
      </c>
      <c r="D48" s="43" t="str">
        <f>_xll.ohRangeRetrieveError(YieldCurve_1Y)</f>
        <v/>
      </c>
      <c r="E48" s="42"/>
    </row>
    <row r="49" spans="2:5" x14ac:dyDescent="0.2">
      <c r="B49" s="22"/>
      <c r="C49" s="21" t="s">
        <v>12</v>
      </c>
      <c r="D49" s="24" t="str">
        <f>"_"&amp;Currency&amp;"1Y"</f>
        <v>_USD1Y</v>
      </c>
      <c r="E49" s="42"/>
    </row>
    <row r="50" spans="2:5" x14ac:dyDescent="0.2">
      <c r="B50" s="22"/>
      <c r="C50" s="25" t="s">
        <v>13</v>
      </c>
      <c r="D50" s="26">
        <f>LiborSettlementDate-Evaluationdate</f>
        <v>2</v>
      </c>
      <c r="E50" s="42"/>
    </row>
    <row r="51" spans="2:5" x14ac:dyDescent="0.2">
      <c r="B51" s="22"/>
      <c r="C51" s="25" t="s">
        <v>14</v>
      </c>
      <c r="D51" s="27"/>
      <c r="E51" s="42"/>
    </row>
    <row r="52" spans="2:5" x14ac:dyDescent="0.2">
      <c r="B52" s="22"/>
      <c r="C52" s="25" t="s">
        <v>15</v>
      </c>
      <c r="D52" s="28" t="s">
        <v>32</v>
      </c>
      <c r="E52" s="42"/>
    </row>
    <row r="53" spans="2:5" x14ac:dyDescent="0.2">
      <c r="B53" s="22"/>
      <c r="C53" s="23" t="s">
        <v>16</v>
      </c>
      <c r="D53" s="29" t="s">
        <v>46</v>
      </c>
      <c r="E53" s="42"/>
    </row>
    <row r="54" spans="2:5" x14ac:dyDescent="0.2">
      <c r="B54" s="22"/>
      <c r="C54" s="30"/>
      <c r="D54" s="30"/>
      <c r="E54" s="42"/>
    </row>
    <row r="55" spans="2:5" x14ac:dyDescent="0.2">
      <c r="B55" s="22"/>
      <c r="C55" s="31">
        <f>_xll.qlTermStructureReferenceDate(YieldCurve_1Y)</f>
        <v>42573</v>
      </c>
      <c r="D55" s="32">
        <f>_xll.qlYieldTSDiscount(YieldCurve_1Y,C55,,Trigger)</f>
        <v>1</v>
      </c>
      <c r="E55" s="42"/>
    </row>
    <row r="56" spans="2:5" x14ac:dyDescent="0.2">
      <c r="B56" s="22"/>
      <c r="C56" s="33">
        <f>_xll.qlTermStructureMaxDate(YieldCurve_1Y,Trigger)</f>
        <v>64488</v>
      </c>
      <c r="D56" s="34">
        <f>_xll.qlYieldTSDiscount(YieldCurve_1Y,C56,,Trigger)</f>
        <v>0.26272059492491956</v>
      </c>
      <c r="E56" s="42"/>
    </row>
    <row r="57" spans="2:5" x14ac:dyDescent="0.2">
      <c r="B57" s="22"/>
      <c r="C57" s="33" t="str">
        <f>[1]Libor!$D$12</f>
        <v>USD1Y#0000</v>
      </c>
      <c r="D57" s="34" t="b">
        <f>_xll.qlRelinkableHandleLinkTo(C57,D47,Trigger)</f>
        <v>1</v>
      </c>
      <c r="E57" s="42"/>
    </row>
    <row r="58" spans="2:5" x14ac:dyDescent="0.2">
      <c r="B58" s="22"/>
      <c r="C58" s="35" t="s">
        <v>154</v>
      </c>
      <c r="D58" s="36" t="b">
        <v>0</v>
      </c>
      <c r="E58" s="42"/>
    </row>
    <row r="59" spans="2:5" x14ac:dyDescent="0.2">
      <c r="B59" s="22"/>
      <c r="C59" s="193" t="s">
        <v>160</v>
      </c>
      <c r="D59" s="194" t="b">
        <f>_xll.qlExtrapolatorEnableExtrapolation(YieldCurve_1Y,D58,Trigger)</f>
        <v>1</v>
      </c>
      <c r="E59" s="42"/>
    </row>
    <row r="60" spans="2:5" x14ac:dyDescent="0.2">
      <c r="B60" s="44"/>
      <c r="C60" s="45"/>
      <c r="D60" s="45"/>
      <c r="E60" s="46"/>
    </row>
  </sheetData>
  <dataValidations count="7">
    <dataValidation type="list" allowBlank="1" showInputMessage="1" showErrorMessage="1" sqref="D36 D20 I20 I36 D52">
      <formula1>"Discount,ZeroYield,ForwardRate"</formula1>
    </dataValidation>
    <dataValidation type="list" allowBlank="1" showInputMessage="1" showErrorMessage="1" sqref="D37 D21 I21 I37 D5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  <dataValidation type="list" allowBlank="1" showInputMessage="1" showErrorMessage="1" sqref="D26 I26 D42 I42 D58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F117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4" hidden="1" customWidth="1" outlineLevel="1"/>
    <col min="8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9.140625" style="48" customWidth="1"/>
    <col min="32" max="32" width="9.140625" style="48"/>
    <col min="33" max="33" width="9.140625" style="48" customWidth="1"/>
    <col min="34" max="16384" width="9.140625" style="48"/>
  </cols>
  <sheetData>
    <row r="1" spans="1:32" ht="18" customHeight="1" x14ac:dyDescent="0.2">
      <c r="G1" s="52" t="s">
        <v>103</v>
      </c>
      <c r="H1" s="48" t="str">
        <f>_xll.qlInterestRateIndexDayCounter(G3)</f>
        <v>Actual/360</v>
      </c>
      <c r="L1" s="68" t="s">
        <v>159</v>
      </c>
      <c r="M1" s="108"/>
      <c r="N1" s="108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USDFedFunds</v>
      </c>
      <c r="X1" s="67"/>
      <c r="Y1" s="67"/>
      <c r="Z1" s="69"/>
      <c r="AA1" s="69"/>
      <c r="AB1" s="67"/>
      <c r="AC1" s="67"/>
      <c r="AD1" s="71" t="s">
        <v>32</v>
      </c>
    </row>
    <row r="2" spans="1:32" ht="21.75" customHeight="1" x14ac:dyDescent="0.2">
      <c r="A2" s="66" t="s">
        <v>9</v>
      </c>
      <c r="B2" s="66" t="s">
        <v>29</v>
      </c>
      <c r="C2" s="66" t="s">
        <v>106</v>
      </c>
      <c r="D2" s="66"/>
      <c r="E2" s="66"/>
      <c r="F2" s="66" t="s">
        <v>146</v>
      </c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113">_xll.qlPiecewiseYieldCurveData(YieldCurve_ON,Trigger)</f>
        <v>1</v>
      </c>
    </row>
    <row r="3" spans="1:32" ht="11.25" customHeight="1" x14ac:dyDescent="0.2">
      <c r="A3" s="55" t="s">
        <v>26</v>
      </c>
      <c r="B3" s="56" t="s">
        <v>47</v>
      </c>
      <c r="C3" s="195"/>
      <c r="D3" s="131"/>
      <c r="E3" s="131"/>
      <c r="F3" s="131"/>
      <c r="G3" s="57" t="str">
        <f>Currency&amp;Tenor</f>
        <v>USDFedFunds</v>
      </c>
      <c r="H3" s="59" t="str">
        <f>Currency&amp;$B3&amp;"D"&amp;QuoteSuffix</f>
        <v>USDOND_Quote</v>
      </c>
      <c r="I3" s="196"/>
      <c r="J3" s="173" t="str">
        <f>IF(P3,_xll.qlDepositRateHelper(,H3,G3,Permanent,Trigger,ObjectOverwrite),"--")</f>
        <v>obj_002c1#0004</v>
      </c>
      <c r="K3" s="51"/>
      <c r="L3" s="162" t="str">
        <f>A3</f>
        <v>Dp</v>
      </c>
      <c r="M3" s="163" t="str">
        <f>H3</f>
        <v>USDOND_Quote</v>
      </c>
      <c r="N3" s="164">
        <f>IFERROR(_xll.qlQuoteValue(H3,Trigger),"--")</f>
        <v>4.1740000000000006E-3</v>
      </c>
      <c r="O3" s="165"/>
      <c r="P3" s="101" t="b">
        <v>1</v>
      </c>
      <c r="Q3" s="98">
        <v>70</v>
      </c>
      <c r="R3" s="98">
        <v>1</v>
      </c>
      <c r="S3" s="172" t="str">
        <f>J3</f>
        <v>obj_002c1#0004</v>
      </c>
      <c r="T3" s="102">
        <f>IFERROR(_xll.qlRateHelperEarliestDate(S3,Trigger),"--")</f>
        <v>42571</v>
      </c>
      <c r="U3" s="102">
        <f>IFERROR(_xll.qlRateHelperPillarDate(S3,Trigger),"--")</f>
        <v>42572</v>
      </c>
      <c r="W3" s="3" t="str">
        <f>IFERROR(INDEX($L$3:$L$113,MATCH(Y3,$M$3:$M$113,0),1),"")</f>
        <v>Dp</v>
      </c>
      <c r="X3" s="3" t="str">
        <f t="array" ref="X3:X113">_xll.qlRateHelperSelection(_xll.ohFilter(RateHelpers,IncludeFlag),_xll.ohFilter(Priority,IncludeFlag),,,,,_xll.ohFilter(MinDistance,IncludeFlag),Trigger)</f>
        <v>obj_002c1</v>
      </c>
      <c r="Y3" s="3" t="str">
        <f>IFERROR(_xll.qlRateHelperQuoteName(X3,Trigger),"")</f>
        <v>USDOND_Quote</v>
      </c>
      <c r="Z3" s="70">
        <f>IFERROR(_xll.qlRateHelperRate(X3,Trigger),"")</f>
        <v>4.1740000000000006E-3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42571</v>
      </c>
      <c r="AC3" s="4">
        <f>IFERROR(_xll.qlRateHelperPillarDate(X3,Trigger),"")</f>
        <v>42572</v>
      </c>
      <c r="AD3" s="76">
        <v>0.99998840568998515</v>
      </c>
    </row>
    <row r="4" spans="1:32" ht="11.25" customHeight="1" x14ac:dyDescent="0.2">
      <c r="A4" s="55" t="s">
        <v>26</v>
      </c>
      <c r="B4" s="56" t="s">
        <v>101</v>
      </c>
      <c r="C4" s="57">
        <v>1</v>
      </c>
      <c r="D4" s="131"/>
      <c r="E4" s="131"/>
      <c r="F4" s="58" t="s">
        <v>27</v>
      </c>
      <c r="G4" s="57" t="str">
        <f>_xll.qlOvernightIndex(,,C4,Currency,LocalCalendar,F4,,Permanent,Trigger,ObjectOverwrite)</f>
        <v>obj_00276#0004</v>
      </c>
      <c r="H4" s="59" t="str">
        <f>Currency&amp;$B4&amp;"D"&amp;QuoteSuffix</f>
        <v>USDTND_Quote</v>
      </c>
      <c r="I4" s="196"/>
      <c r="J4" s="173" t="str">
        <f>IF(P4,_xll.qlDepositRateHelper(,H4,G4,Permanent,Trigger,ObjectOverwrite),"--")</f>
        <v>--</v>
      </c>
      <c r="K4" s="50"/>
      <c r="L4" s="162" t="str">
        <f>A4</f>
        <v>Dp</v>
      </c>
      <c r="M4" s="166" t="str">
        <f t="shared" ref="M4:M5" si="0">H4</f>
        <v>USDTND_Quote</v>
      </c>
      <c r="N4" s="164">
        <f>IFERROR(_xll.qlQuoteValue(H4,Trigger),"--")</f>
        <v>4.1740000000000006E-3</v>
      </c>
      <c r="O4" s="167"/>
      <c r="P4" s="101" t="b">
        <v>0</v>
      </c>
      <c r="Q4" s="98">
        <v>70</v>
      </c>
      <c r="R4" s="98">
        <v>1</v>
      </c>
      <c r="S4" s="98" t="str">
        <f t="shared" ref="S4:S5" si="1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>IFERROR(INDEX($L$3:$L$113,MATCH(Y4,$M$3:$M$113,0),1),"")</f>
        <v>OIS</v>
      </c>
      <c r="X4" s="3" t="str">
        <v>obj_002c3</v>
      </c>
      <c r="Y4" s="3" t="str">
        <f>IFERROR(_xll.qlRateHelperQuoteName(X4,Trigger),"")</f>
        <v>USDOIS1M_Quote</v>
      </c>
      <c r="Z4" s="70">
        <f>IFERROR(_xll.qlRateHelperRate(X4,Trigger),"")</f>
        <v>3.9199999999999999E-3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42573</v>
      </c>
      <c r="AC4" s="4">
        <f>IFERROR(_xll.qlRateHelperPillarDate(X4,Trigger),"")</f>
        <v>42604</v>
      </c>
      <c r="AD4" s="76">
        <v>0.99963943294241664</v>
      </c>
    </row>
    <row r="5" spans="1:32" ht="11.25" customHeight="1" x14ac:dyDescent="0.2">
      <c r="A5" s="1" t="s">
        <v>26</v>
      </c>
      <c r="B5" s="8" t="s">
        <v>102</v>
      </c>
      <c r="C5" s="6">
        <v>2</v>
      </c>
      <c r="D5" s="126"/>
      <c r="E5" s="126"/>
      <c r="F5" s="9" t="s">
        <v>27</v>
      </c>
      <c r="G5" s="6" t="str">
        <f>_xll.qlOvernightIndex(,,C5,Currency,LocalCalendar,F5,,Permanent,Trigger,ObjectOverwrite)</f>
        <v>obj_00272#0004</v>
      </c>
      <c r="H5" s="2" t="str">
        <f>Currency&amp;$B5&amp;"D"&amp;QuoteSuffix</f>
        <v>USDSND_Quote</v>
      </c>
      <c r="I5" s="197"/>
      <c r="J5" s="174" t="str">
        <f>IF(P5,_xll.qlDepositRateHelper(,H5,G5,Permanent,Trigger,ObjectOverwrite),"--")</f>
        <v>--</v>
      </c>
      <c r="K5" s="50"/>
      <c r="L5" s="168" t="str">
        <f>A5</f>
        <v>Dp</v>
      </c>
      <c r="M5" s="169" t="str">
        <f t="shared" si="0"/>
        <v>USDSND_Quote</v>
      </c>
      <c r="N5" s="170">
        <f>IFERROR(_xll.qlQuoteValue(H5,Trigger),"--")</f>
        <v>4.1740000000000006E-3</v>
      </c>
      <c r="O5" s="171"/>
      <c r="P5" s="103" t="b">
        <v>0</v>
      </c>
      <c r="Q5" s="99">
        <v>70</v>
      </c>
      <c r="R5" s="99">
        <v>1</v>
      </c>
      <c r="S5" s="99" t="str">
        <f t="shared" si="1"/>
        <v>--</v>
      </c>
      <c r="T5" s="104" t="str">
        <f>IFERROR(_xll.qlRateHelperEarliestDate(S5,Trigger),"--")</f>
        <v>--</v>
      </c>
      <c r="U5" s="104" t="str">
        <f>IFERROR(_xll.qlRateHelperPillarDate(S5,Trigger),"--")</f>
        <v>--</v>
      </c>
      <c r="W5" s="3" t="str">
        <f>IFERROR(INDEX($L$3:$L$113,MATCH(Y5,$M$3:$M$113,0),1),"")</f>
        <v>OIS</v>
      </c>
      <c r="X5" s="3" t="str">
        <v>obj_002be</v>
      </c>
      <c r="Y5" s="3" t="str">
        <f>IFERROR(_xll.qlRateHelperQuoteName(X5,Trigger),"")</f>
        <v>USDOIS2M_Quote</v>
      </c>
      <c r="Z5" s="70">
        <f>IFERROR(_xll.qlRateHelperRate(X5,Trigger),"")</f>
        <v>3.9500000000000004E-3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42573</v>
      </c>
      <c r="AC5" s="4">
        <f>IFERROR(_xll.qlRateHelperPillarDate(X5,Trigger),"")</f>
        <v>42635</v>
      </c>
      <c r="AD5" s="76">
        <v>0.99929706719774136</v>
      </c>
      <c r="AE5" s="79"/>
      <c r="AF5" s="79"/>
    </row>
    <row r="6" spans="1:32" ht="11.25" customHeight="1" x14ac:dyDescent="0.2">
      <c r="K6" s="50"/>
      <c r="L6" s="162" t="str">
        <f t="shared" ref="L6:L37" si="2">A8</f>
        <v>OIS</v>
      </c>
      <c r="M6" s="163" t="str">
        <f>H8</f>
        <v>USDOISSW_Quote</v>
      </c>
      <c r="N6" s="164">
        <f>IFERROR(_xll.qlQuoteValue(H8,Trigger),"--")</f>
        <v>3.8600000000000001E-3</v>
      </c>
      <c r="O6" s="167"/>
      <c r="P6" s="101" t="b">
        <v>0</v>
      </c>
      <c r="Q6" s="98">
        <v>50</v>
      </c>
      <c r="R6" s="98">
        <v>1</v>
      </c>
      <c r="S6" s="172" t="str">
        <f>J8</f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>IFERROR(INDEX($L$3:$L$113,MATCH(Y6,$M$3:$M$113,0),1),"")</f>
        <v>OIS</v>
      </c>
      <c r="X6" s="3" t="str">
        <v>obj_0029f</v>
      </c>
      <c r="Y6" s="3" t="str">
        <f>IFERROR(_xll.qlRateHelperQuoteName(X6,Trigger),"")</f>
        <v>USDOIS3M_Quote</v>
      </c>
      <c r="Z6" s="70">
        <f>IFERROR(_xll.qlRateHelperRate(X6,Trigger),"")</f>
        <v>4.1099999999999999E-3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42573</v>
      </c>
      <c r="AC6" s="4">
        <f>IFERROR(_xll.qlRateHelperPillarDate(X6,Trigger),"")</f>
        <v>42667</v>
      </c>
      <c r="AD6" s="76">
        <v>0.99890487537037798</v>
      </c>
    </row>
    <row r="7" spans="1:32" ht="11.25" customHeight="1" x14ac:dyDescent="0.2">
      <c r="A7" s="66" t="s">
        <v>9</v>
      </c>
      <c r="B7" s="66" t="s">
        <v>29</v>
      </c>
      <c r="C7" s="66" t="s">
        <v>106</v>
      </c>
      <c r="D7" s="66"/>
      <c r="E7" s="66"/>
      <c r="F7" s="66"/>
      <c r="G7" s="66" t="s">
        <v>4</v>
      </c>
      <c r="H7" s="66" t="s">
        <v>1</v>
      </c>
      <c r="I7" s="66"/>
      <c r="J7" s="66" t="s">
        <v>24</v>
      </c>
      <c r="K7" s="50"/>
      <c r="L7" s="162" t="str">
        <f t="shared" si="2"/>
        <v>OIS</v>
      </c>
      <c r="M7" s="166" t="str">
        <f t="shared" ref="M7:M58" si="3">H9</f>
        <v>USDOIS2W_Quote</v>
      </c>
      <c r="N7" s="164">
        <f>IFERROR(_xll.qlQuoteValue(H9,Trigger),"--")</f>
        <v>3.82E-3</v>
      </c>
      <c r="O7" s="167"/>
      <c r="P7" s="101" t="b">
        <v>0</v>
      </c>
      <c r="Q7" s="98">
        <v>50</v>
      </c>
      <c r="R7" s="98">
        <v>1</v>
      </c>
      <c r="S7" s="98" t="str">
        <f t="shared" ref="S7:S58" si="4">J9</f>
        <v>--</v>
      </c>
      <c r="T7" s="102" t="str">
        <f>IFERROR(_xll.qlRateHelperEarliestDate(S7,Trigger),"--")</f>
        <v>--</v>
      </c>
      <c r="U7" s="102" t="str">
        <f>IFERROR(_xll.qlRateHelperPillarDate(S7,Trigger),"--")</f>
        <v>--</v>
      </c>
      <c r="W7" s="3" t="str">
        <f>IFERROR(INDEX($L$3:$L$113,MATCH(Y7,$M$3:$M$113,0),1),"")</f>
        <v>OIS</v>
      </c>
      <c r="X7" s="3" t="str">
        <v>obj_002c4</v>
      </c>
      <c r="Y7" s="3" t="str">
        <f>IFERROR(_xll.qlRateHelperQuoteName(X7,Trigger),"")</f>
        <v>USDOIS4M_Quote</v>
      </c>
      <c r="Z7" s="70">
        <f>IFERROR(_xll.qlRateHelperRate(X7,Trigger),"")</f>
        <v>4.1900000000000001E-3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42573</v>
      </c>
      <c r="AC7" s="4">
        <f>IFERROR(_xll.qlRateHelperPillarDate(X7,Trigger),"")</f>
        <v>42696</v>
      </c>
      <c r="AD7" s="76">
        <v>0.99854736302336133</v>
      </c>
    </row>
    <row r="8" spans="1:32" ht="11.25" customHeight="1" x14ac:dyDescent="0.2">
      <c r="A8" s="55" t="s">
        <v>98</v>
      </c>
      <c r="B8" s="56" t="s">
        <v>48</v>
      </c>
      <c r="C8" s="57">
        <f>IF(B8="O/N",0,IF(B8="T/N",1,2))</f>
        <v>2</v>
      </c>
      <c r="D8" s="198"/>
      <c r="E8" s="198"/>
      <c r="F8" s="198"/>
      <c r="G8" s="63" t="str">
        <f t="shared" ref="G8:G39" si="5">Currency&amp;Tenor</f>
        <v>USDFedFunds</v>
      </c>
      <c r="H8" s="59" t="str">
        <f t="shared" ref="H8:H39" si="6">Currency&amp;$A8&amp;IF($B8="1W","SW",$B8)&amp;QuoteSuffix</f>
        <v>USDOISSW_Quote</v>
      </c>
      <c r="I8" s="196"/>
      <c r="J8" s="173" t="str">
        <f>IF(P6,_xll.qlOISRateHelper(,C8,B8,H8,$G8,,Permanent,Trigger,ObjectOverwrite),"--")</f>
        <v>--</v>
      </c>
      <c r="K8" s="50"/>
      <c r="L8" s="162" t="str">
        <f t="shared" si="2"/>
        <v>OIS</v>
      </c>
      <c r="M8" s="166" t="str">
        <f t="shared" si="3"/>
        <v>USDOIS3W_Quote</v>
      </c>
      <c r="N8" s="164">
        <f>IFERROR(_xll.qlQuoteValue(H10,Trigger),"--")</f>
        <v>3.8600000000000001E-3</v>
      </c>
      <c r="O8" s="167"/>
      <c r="P8" s="101" t="b">
        <v>0</v>
      </c>
      <c r="Q8" s="98">
        <v>50</v>
      </c>
      <c r="R8" s="98">
        <v>1</v>
      </c>
      <c r="S8" s="98" t="str">
        <f t="shared" si="4"/>
        <v>--</v>
      </c>
      <c r="T8" s="102" t="str">
        <f>IFERROR(_xll.qlRateHelperEarliestDate(S8,Trigger),"--")</f>
        <v>--</v>
      </c>
      <c r="U8" s="102" t="str">
        <f>IFERROR(_xll.qlRateHelperPillarDate(S8,Trigger),"--")</f>
        <v>--</v>
      </c>
      <c r="W8" s="3" t="str">
        <f>IFERROR(INDEX($L$3:$L$113,MATCH(Y8,$M$3:$M$113,0),1),"")</f>
        <v>OIS</v>
      </c>
      <c r="X8" s="3" t="str">
        <v>obj_002a0</v>
      </c>
      <c r="Y8" s="3" t="str">
        <f>IFERROR(_xll.qlRateHelperQuoteName(X8,Trigger),"")</f>
        <v>USDOIS5M_Quote</v>
      </c>
      <c r="Z8" s="70">
        <f>IFERROR(_xll.qlRateHelperRate(X8,Trigger),"")</f>
        <v>4.2800000000000008E-3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42573</v>
      </c>
      <c r="AC8" s="4">
        <f>IFERROR(_xll.qlRateHelperPillarDate(X8,Trigger),"")</f>
        <v>42726</v>
      </c>
      <c r="AD8" s="76">
        <v>0.9981612115420172</v>
      </c>
    </row>
    <row r="9" spans="1:32" ht="11.25" customHeight="1" x14ac:dyDescent="0.2">
      <c r="A9" s="60" t="s">
        <v>98</v>
      </c>
      <c r="B9" s="61" t="s">
        <v>49</v>
      </c>
      <c r="C9" s="62">
        <f t="shared" ref="C9:C22" si="7">IF(B9="O/N",0,IF(B9="T/N",1,2))</f>
        <v>2</v>
      </c>
      <c r="D9" s="198"/>
      <c r="E9" s="198"/>
      <c r="F9" s="198"/>
      <c r="G9" s="63" t="str">
        <f t="shared" si="5"/>
        <v>USDFedFunds</v>
      </c>
      <c r="H9" s="65" t="str">
        <f t="shared" si="6"/>
        <v>USDOIS2W_Quote</v>
      </c>
      <c r="I9" s="200"/>
      <c r="J9" s="175" t="str">
        <f>IF(P7,_xll.qlOISRateHelper(,C9,B9,H9,$G9,,Permanent,Trigger,ObjectOverwrite),"--")</f>
        <v>--</v>
      </c>
      <c r="K9" s="50"/>
      <c r="L9" s="162" t="str">
        <f t="shared" si="2"/>
        <v>OIS</v>
      </c>
      <c r="M9" s="166" t="str">
        <f t="shared" si="3"/>
        <v>USDOIS1M_Quote</v>
      </c>
      <c r="N9" s="164">
        <f>IFERROR(_xll.qlQuoteValue(H11,Trigger),"--")</f>
        <v>3.9100000000000003E-3</v>
      </c>
      <c r="O9" s="167"/>
      <c r="P9" s="101" t="b">
        <v>1</v>
      </c>
      <c r="Q9" s="98">
        <v>50</v>
      </c>
      <c r="R9" s="98">
        <v>1</v>
      </c>
      <c r="S9" s="98" t="str">
        <f t="shared" si="4"/>
        <v>obj_002c3#0004</v>
      </c>
      <c r="T9" s="102">
        <f>IFERROR(_xll.qlRateHelperEarliestDate(S9,Trigger),"--")</f>
        <v>42573</v>
      </c>
      <c r="U9" s="102">
        <f>IFERROR(_xll.qlRateHelperPillarDate(S9,Trigger),"--")</f>
        <v>42604</v>
      </c>
      <c r="W9" s="3" t="str">
        <f>IFERROR(INDEX($L$3:$L$113,MATCH(Y9,$M$3:$M$113,0),1),"")</f>
        <v>OIS</v>
      </c>
      <c r="X9" s="3" t="str">
        <v>obj_002bc</v>
      </c>
      <c r="Y9" s="3" t="str">
        <f>IFERROR(_xll.qlRateHelperQuoteName(X9,Trigger),"")</f>
        <v>USDOIS6M_Quote</v>
      </c>
      <c r="Z9" s="70">
        <f>IFERROR(_xll.qlRateHelperRate(X9,Trigger),"")</f>
        <v>4.4100000000000007E-3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42573</v>
      </c>
      <c r="AC9" s="4">
        <f>IFERROR(_xll.qlRateHelperPillarDate(X9,Trigger),"")</f>
        <v>42758</v>
      </c>
      <c r="AD9" s="76">
        <v>0.99771579336908933</v>
      </c>
    </row>
    <row r="10" spans="1:32" ht="11.25" customHeight="1" x14ac:dyDescent="0.2">
      <c r="A10" s="60" t="s">
        <v>98</v>
      </c>
      <c r="B10" s="61" t="s">
        <v>50</v>
      </c>
      <c r="C10" s="62">
        <f t="shared" si="7"/>
        <v>2</v>
      </c>
      <c r="D10" s="198"/>
      <c r="E10" s="198"/>
      <c r="F10" s="198"/>
      <c r="G10" s="63" t="str">
        <f t="shared" si="5"/>
        <v>USDFedFunds</v>
      </c>
      <c r="H10" s="65" t="str">
        <f t="shared" si="6"/>
        <v>USDOIS3W_Quote</v>
      </c>
      <c r="I10" s="200"/>
      <c r="J10" s="175" t="str">
        <f>IF(P8,_xll.qlOISRateHelper(,C10,B10,H10,$G10,,Permanent,Trigger,ObjectOverwrite),"--")</f>
        <v>--</v>
      </c>
      <c r="K10" s="50"/>
      <c r="L10" s="162" t="str">
        <f t="shared" si="2"/>
        <v>OIS</v>
      </c>
      <c r="M10" s="166" t="str">
        <f t="shared" si="3"/>
        <v>USDOIS2M_Quote</v>
      </c>
      <c r="N10" s="164">
        <f>IFERROR(_xll.qlQuoteValue(H12,Trigger),"--")</f>
        <v>3.9300000000000003E-3</v>
      </c>
      <c r="O10" s="167"/>
      <c r="P10" s="101" t="b">
        <v>1</v>
      </c>
      <c r="Q10" s="98">
        <v>50</v>
      </c>
      <c r="R10" s="98">
        <v>1</v>
      </c>
      <c r="S10" s="98" t="str">
        <f t="shared" si="4"/>
        <v>obj_002be#0004</v>
      </c>
      <c r="T10" s="102">
        <f>IFERROR(_xll.qlRateHelperEarliestDate(S10,Trigger),"--")</f>
        <v>42573</v>
      </c>
      <c r="U10" s="102">
        <f>IFERROR(_xll.qlRateHelperPillarDate(S10,Trigger),"--")</f>
        <v>42635</v>
      </c>
      <c r="W10" s="3" t="str">
        <f>IFERROR(INDEX($L$3:$L$113,MATCH(Y10,$M$3:$M$113,0),1),"")</f>
        <v>OIS</v>
      </c>
      <c r="X10" s="3" t="str">
        <v>obj_002b0</v>
      </c>
      <c r="Y10" s="3" t="str">
        <f>IFERROR(_xll.qlRateHelperQuoteName(X10,Trigger),"")</f>
        <v>USDOIS7M_Quote</v>
      </c>
      <c r="Z10" s="70">
        <f>IFERROR(_xll.qlRateHelperRate(X10,Trigger),"")</f>
        <v>4.5199999999999997E-3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42573</v>
      </c>
      <c r="AC10" s="4">
        <f>IFERROR(_xll.qlRateHelperPillarDate(X10,Trigger),"")</f>
        <v>42788</v>
      </c>
      <c r="AD10" s="76">
        <v>0.99728475200248989</v>
      </c>
    </row>
    <row r="11" spans="1:32" ht="11.25" customHeight="1" x14ac:dyDescent="0.2">
      <c r="A11" s="60" t="s">
        <v>98</v>
      </c>
      <c r="B11" s="61" t="s">
        <v>2</v>
      </c>
      <c r="C11" s="62">
        <f t="shared" si="7"/>
        <v>2</v>
      </c>
      <c r="D11" s="198"/>
      <c r="E11" s="198"/>
      <c r="F11" s="198"/>
      <c r="G11" s="63" t="str">
        <f t="shared" si="5"/>
        <v>USDFedFunds</v>
      </c>
      <c r="H11" s="65" t="str">
        <f t="shared" si="6"/>
        <v>USDOIS1M_Quote</v>
      </c>
      <c r="I11" s="200"/>
      <c r="J11" s="175" t="str">
        <f>IF(P9,_xll.qlOISRateHelper(,C11,B11,H11,$G11,,Permanent,Trigger,ObjectOverwrite),"--")</f>
        <v>obj_002c3#0004</v>
      </c>
      <c r="K11" s="50"/>
      <c r="L11" s="162" t="str">
        <f t="shared" si="2"/>
        <v>OIS</v>
      </c>
      <c r="M11" s="166" t="str">
        <f t="shared" si="3"/>
        <v>USDOIS3M_Quote</v>
      </c>
      <c r="N11" s="164">
        <f>IFERROR(_xll.qlQuoteValue(H13,Trigger),"--")</f>
        <v>4.0800000000000003E-3</v>
      </c>
      <c r="O11" s="167"/>
      <c r="P11" s="101" t="b">
        <v>1</v>
      </c>
      <c r="Q11" s="98">
        <v>50</v>
      </c>
      <c r="R11" s="98">
        <v>1</v>
      </c>
      <c r="S11" s="98" t="str">
        <f t="shared" si="4"/>
        <v>obj_0029f#0004</v>
      </c>
      <c r="T11" s="102">
        <f>IFERROR(_xll.qlRateHelperEarliestDate(S11,Trigger),"--")</f>
        <v>42573</v>
      </c>
      <c r="U11" s="102">
        <f>IFERROR(_xll.qlRateHelperPillarDate(S11,Trigger),"--")</f>
        <v>42667</v>
      </c>
      <c r="W11" s="3" t="str">
        <f>IFERROR(INDEX($L$3:$L$113,MATCH(Y11,$M$3:$M$113,0),1),"")</f>
        <v>OIS</v>
      </c>
      <c r="X11" s="3" t="str">
        <v>obj_002af</v>
      </c>
      <c r="Y11" s="3" t="str">
        <f>IFERROR(_xll.qlRateHelperQuoteName(X11,Trigger),"")</f>
        <v>USDOIS8M_Quote</v>
      </c>
      <c r="Z11" s="70">
        <f>IFERROR(_xll.qlRateHelperRate(X11,Trigger),"")</f>
        <v>4.6099999999999995E-3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42573</v>
      </c>
      <c r="AC11" s="4">
        <f>IFERROR(_xll.qlRateHelperPillarDate(X11,Trigger),"")</f>
        <v>42816</v>
      </c>
      <c r="AD11" s="76">
        <v>0.99687484149778138</v>
      </c>
    </row>
    <row r="12" spans="1:32" ht="11.25" customHeight="1" x14ac:dyDescent="0.2">
      <c r="A12" s="60" t="s">
        <v>98</v>
      </c>
      <c r="B12" s="61" t="s">
        <v>51</v>
      </c>
      <c r="C12" s="62">
        <f t="shared" si="7"/>
        <v>2</v>
      </c>
      <c r="D12" s="198"/>
      <c r="E12" s="198"/>
      <c r="F12" s="198"/>
      <c r="G12" s="63" t="str">
        <f t="shared" si="5"/>
        <v>USDFedFunds</v>
      </c>
      <c r="H12" s="65" t="str">
        <f t="shared" si="6"/>
        <v>USDOIS2M_Quote</v>
      </c>
      <c r="I12" s="200"/>
      <c r="J12" s="175" t="str">
        <f>IF(P10,_xll.qlOISRateHelper(,C12,B12,H12,$G12,,Permanent,Trigger,ObjectOverwrite),"--")</f>
        <v>obj_002be#0004</v>
      </c>
      <c r="K12" s="50"/>
      <c r="L12" s="162" t="str">
        <f t="shared" si="2"/>
        <v>OIS</v>
      </c>
      <c r="M12" s="166" t="str">
        <f t="shared" si="3"/>
        <v>USDOIS4M_Quote</v>
      </c>
      <c r="N12" s="164">
        <f>IFERROR(_xll.qlQuoteValue(H14,Trigger),"--")</f>
        <v>4.1600000000000005E-3</v>
      </c>
      <c r="O12" s="167"/>
      <c r="P12" s="101" t="b">
        <v>1</v>
      </c>
      <c r="Q12" s="98">
        <v>50</v>
      </c>
      <c r="R12" s="98">
        <v>1</v>
      </c>
      <c r="S12" s="98" t="str">
        <f t="shared" si="4"/>
        <v>obj_002c4#0004</v>
      </c>
      <c r="T12" s="102">
        <f>IFERROR(_xll.qlRateHelperEarliestDate(S12,Trigger),"--")</f>
        <v>42573</v>
      </c>
      <c r="U12" s="102">
        <f>IFERROR(_xll.qlRateHelperPillarDate(S12,Trigger),"--")</f>
        <v>42696</v>
      </c>
      <c r="W12" s="3" t="str">
        <f>IFERROR(INDEX($L$3:$L$113,MATCH(Y12,$M$3:$M$113,0),1),"")</f>
        <v>OIS</v>
      </c>
      <c r="X12" s="3" t="str">
        <v>obj_002ad</v>
      </c>
      <c r="Y12" s="3" t="str">
        <f>IFERROR(_xll.qlRateHelperQuoteName(X12,Trigger),"")</f>
        <v>USDOIS9M_Quote</v>
      </c>
      <c r="Z12" s="70">
        <f>IFERROR(_xll.qlRateHelperRate(X12,Trigger),"")</f>
        <v>4.7199999999999994E-3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42573</v>
      </c>
      <c r="AC12" s="4">
        <f>IFERROR(_xll.qlRateHelperPillarDate(X12,Trigger),"")</f>
        <v>42849</v>
      </c>
      <c r="AD12" s="76">
        <v>0.99637133106247411</v>
      </c>
    </row>
    <row r="13" spans="1:32" ht="11.25" customHeight="1" x14ac:dyDescent="0.2">
      <c r="A13" s="60" t="s">
        <v>98</v>
      </c>
      <c r="B13" s="61" t="s">
        <v>0</v>
      </c>
      <c r="C13" s="62">
        <f t="shared" si="7"/>
        <v>2</v>
      </c>
      <c r="D13" s="198"/>
      <c r="E13" s="198"/>
      <c r="F13" s="198"/>
      <c r="G13" s="63" t="str">
        <f t="shared" si="5"/>
        <v>USDFedFunds</v>
      </c>
      <c r="H13" s="65" t="str">
        <f t="shared" si="6"/>
        <v>USDOIS3M_Quote</v>
      </c>
      <c r="I13" s="200"/>
      <c r="J13" s="175" t="str">
        <f>IF(P11,_xll.qlOISRateHelper(,C13,B13,H13,$G13,,Permanent,Trigger,ObjectOverwrite),"--")</f>
        <v>obj_0029f#0004</v>
      </c>
      <c r="K13" s="50"/>
      <c r="L13" s="162" t="str">
        <f t="shared" si="2"/>
        <v>OIS</v>
      </c>
      <c r="M13" s="166" t="str">
        <f t="shared" si="3"/>
        <v>USDOIS5M_Quote</v>
      </c>
      <c r="N13" s="164">
        <f>IFERROR(_xll.qlQuoteValue(H15,Trigger),"--")</f>
        <v>4.2500000000000003E-3</v>
      </c>
      <c r="O13" s="167"/>
      <c r="P13" s="101" t="b">
        <v>1</v>
      </c>
      <c r="Q13" s="98">
        <v>50</v>
      </c>
      <c r="R13" s="98">
        <v>1</v>
      </c>
      <c r="S13" s="98" t="str">
        <f t="shared" si="4"/>
        <v>obj_002a0#0004</v>
      </c>
      <c r="T13" s="102">
        <f>IFERROR(_xll.qlRateHelperEarliestDate(S13,Trigger),"--")</f>
        <v>42573</v>
      </c>
      <c r="U13" s="102">
        <f>IFERROR(_xll.qlRateHelperPillarDate(S13,Trigger),"--")</f>
        <v>42726</v>
      </c>
      <c r="W13" s="3" t="str">
        <f>IFERROR(INDEX($L$3:$L$113,MATCH(Y13,$M$3:$M$113,0),1),"")</f>
        <v>OIS</v>
      </c>
      <c r="X13" s="3" t="str">
        <v>obj_0029e</v>
      </c>
      <c r="Y13" s="3" t="str">
        <f>IFERROR(_xll.qlRateHelperQuoteName(X13,Trigger),"")</f>
        <v>USDOIS10M_Quote</v>
      </c>
      <c r="Z13" s="70">
        <f>IFERROR(_xll.qlRateHelperRate(X13,Trigger),"")</f>
        <v>4.7999999999999996E-3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42573</v>
      </c>
      <c r="AC13" s="4">
        <f>IFERROR(_xll.qlRateHelperPillarDate(X13,Trigger),"")</f>
        <v>42877</v>
      </c>
      <c r="AD13" s="76">
        <v>0.99593999002623923</v>
      </c>
    </row>
    <row r="14" spans="1:32" ht="11.25" customHeight="1" x14ac:dyDescent="0.2">
      <c r="A14" s="60" t="s">
        <v>98</v>
      </c>
      <c r="B14" s="61" t="s">
        <v>52</v>
      </c>
      <c r="C14" s="62">
        <f t="shared" si="7"/>
        <v>2</v>
      </c>
      <c r="D14" s="198"/>
      <c r="E14" s="198"/>
      <c r="F14" s="198"/>
      <c r="G14" s="63" t="str">
        <f t="shared" si="5"/>
        <v>USDFedFunds</v>
      </c>
      <c r="H14" s="65" t="str">
        <f t="shared" si="6"/>
        <v>USDOIS4M_Quote</v>
      </c>
      <c r="I14" s="200"/>
      <c r="J14" s="175" t="str">
        <f>IF(P12,_xll.qlOISRateHelper(,C14,B14,H14,$G14,,Permanent,Trigger,ObjectOverwrite),"--")</f>
        <v>obj_002c4#0004</v>
      </c>
      <c r="K14" s="50"/>
      <c r="L14" s="162" t="str">
        <f t="shared" si="2"/>
        <v>OIS</v>
      </c>
      <c r="M14" s="166" t="str">
        <f t="shared" si="3"/>
        <v>USDOIS6M_Quote</v>
      </c>
      <c r="N14" s="164">
        <f>IFERROR(_xll.qlQuoteValue(H16,Trigger),"--")</f>
        <v>4.3900000000000007E-3</v>
      </c>
      <c r="O14" s="167"/>
      <c r="P14" s="101" t="b">
        <v>1</v>
      </c>
      <c r="Q14" s="98">
        <v>50</v>
      </c>
      <c r="R14" s="98">
        <v>1</v>
      </c>
      <c r="S14" s="98" t="str">
        <f t="shared" si="4"/>
        <v>obj_002bc#0004</v>
      </c>
      <c r="T14" s="102">
        <f>IFERROR(_xll.qlRateHelperEarliestDate(S14,Trigger),"--")</f>
        <v>42573</v>
      </c>
      <c r="U14" s="102">
        <f>IFERROR(_xll.qlRateHelperPillarDate(S14,Trigger),"--")</f>
        <v>42758</v>
      </c>
      <c r="W14" s="3" t="str">
        <f>IFERROR(INDEX($L$3:$L$113,MATCH(Y14,$M$3:$M$113,0),1),"")</f>
        <v>OIS</v>
      </c>
      <c r="X14" s="3" t="str">
        <v>obj_002a9</v>
      </c>
      <c r="Y14" s="3" t="str">
        <f>IFERROR(_xll.qlRateHelperQuoteName(X14,Trigger),"")</f>
        <v>USDOIS11M_Quote</v>
      </c>
      <c r="Z14" s="70">
        <f>IFERROR(_xll.qlRateHelperRate(X14,Trigger),"")</f>
        <v>4.8799999999999998E-3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42573</v>
      </c>
      <c r="AC14" s="4">
        <f>IFERROR(_xll.qlRateHelperPillarDate(X14,Trigger),"")</f>
        <v>42908</v>
      </c>
      <c r="AD14" s="76">
        <v>0.99545638871837661</v>
      </c>
    </row>
    <row r="15" spans="1:32" ht="11.25" customHeight="1" x14ac:dyDescent="0.2">
      <c r="A15" s="60" t="s">
        <v>98</v>
      </c>
      <c r="B15" s="61" t="s">
        <v>53</v>
      </c>
      <c r="C15" s="62">
        <f t="shared" si="7"/>
        <v>2</v>
      </c>
      <c r="D15" s="198"/>
      <c r="E15" s="198"/>
      <c r="F15" s="198"/>
      <c r="G15" s="63" t="str">
        <f t="shared" si="5"/>
        <v>USDFedFunds</v>
      </c>
      <c r="H15" s="65" t="str">
        <f t="shared" si="6"/>
        <v>USDOIS5M_Quote</v>
      </c>
      <c r="I15" s="200"/>
      <c r="J15" s="175" t="str">
        <f>IF(P13,_xll.qlOISRateHelper(,C15,B15,H15,$G15,,Permanent,Trigger,ObjectOverwrite),"--")</f>
        <v>obj_002a0#0004</v>
      </c>
      <c r="K15" s="50"/>
      <c r="L15" s="162" t="str">
        <f t="shared" si="2"/>
        <v>OIS</v>
      </c>
      <c r="M15" s="166" t="str">
        <f t="shared" si="3"/>
        <v>USDOIS7M_Quote</v>
      </c>
      <c r="N15" s="164">
        <f>IFERROR(_xll.qlQuoteValue(H17,Trigger),"--")</f>
        <v>4.4900000000000001E-3</v>
      </c>
      <c r="O15" s="167"/>
      <c r="P15" s="101" t="b">
        <v>1</v>
      </c>
      <c r="Q15" s="98">
        <v>50</v>
      </c>
      <c r="R15" s="98">
        <v>1</v>
      </c>
      <c r="S15" s="98" t="str">
        <f t="shared" si="4"/>
        <v>obj_002b0#0004</v>
      </c>
      <c r="T15" s="102">
        <f>IFERROR(_xll.qlRateHelperEarliestDate(S15,Trigger),"--")</f>
        <v>42573</v>
      </c>
      <c r="U15" s="102">
        <f>IFERROR(_xll.qlRateHelperPillarDate(S15,Trigger),"--")</f>
        <v>42788</v>
      </c>
      <c r="W15" s="3" t="str">
        <f>IFERROR(INDEX($L$3:$L$113,MATCH(Y15,$M$3:$M$113,0),1),"")</f>
        <v>OIS</v>
      </c>
      <c r="X15" s="3" t="str">
        <v>obj_002a5</v>
      </c>
      <c r="Y15" s="3" t="str">
        <f>IFERROR(_xll.qlRateHelperQuoteName(X15,Trigger),"")</f>
        <v>USDOIS1Y_Quote</v>
      </c>
      <c r="Z15" s="70">
        <f>IFERROR(_xll.qlRateHelperRate(X15,Trigger),"")</f>
        <v>4.96E-3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42573</v>
      </c>
      <c r="AC15" s="4">
        <f>IFERROR(_xll.qlRateHelperPillarDate(X15,Trigger),"")</f>
        <v>42940</v>
      </c>
      <c r="AD15" s="76">
        <v>0.9949459777242261</v>
      </c>
    </row>
    <row r="16" spans="1:32" ht="11.25" customHeight="1" x14ac:dyDescent="0.2">
      <c r="A16" s="60" t="s">
        <v>98</v>
      </c>
      <c r="B16" s="61" t="s">
        <v>3</v>
      </c>
      <c r="C16" s="62">
        <f t="shared" si="7"/>
        <v>2</v>
      </c>
      <c r="D16" s="198"/>
      <c r="E16" s="198"/>
      <c r="F16" s="198"/>
      <c r="G16" s="63" t="str">
        <f t="shared" si="5"/>
        <v>USDFedFunds</v>
      </c>
      <c r="H16" s="65" t="str">
        <f t="shared" si="6"/>
        <v>USDOIS6M_Quote</v>
      </c>
      <c r="I16" s="200"/>
      <c r="J16" s="175" t="str">
        <f>IF(P14,_xll.qlOISRateHelper(,C16,B16,H16,$G16,,Permanent,Trigger,ObjectOverwrite),"--")</f>
        <v>obj_002bc#0004</v>
      </c>
      <c r="K16" s="50"/>
      <c r="L16" s="162" t="str">
        <f t="shared" si="2"/>
        <v>OIS</v>
      </c>
      <c r="M16" s="166" t="str">
        <f t="shared" si="3"/>
        <v>USDOIS8M_Quote</v>
      </c>
      <c r="N16" s="164">
        <f>IFERROR(_xll.qlQuoteValue(H18,Trigger),"--")</f>
        <v>4.5799999999999999E-3</v>
      </c>
      <c r="O16" s="167"/>
      <c r="P16" s="101" t="b">
        <v>1</v>
      </c>
      <c r="Q16" s="98">
        <v>50</v>
      </c>
      <c r="R16" s="98">
        <v>1</v>
      </c>
      <c r="S16" s="98" t="str">
        <f t="shared" si="4"/>
        <v>obj_002af#0004</v>
      </c>
      <c r="T16" s="102">
        <f>IFERROR(_xll.qlRateHelperEarliestDate(S16,Trigger),"--")</f>
        <v>42573</v>
      </c>
      <c r="U16" s="102">
        <f>IFERROR(_xll.qlRateHelperPillarDate(S16,Trigger),"--")</f>
        <v>42816</v>
      </c>
      <c r="W16" s="3" t="str">
        <f>IFERROR(INDEX($L$3:$L$113,MATCH(Y16,$M$3:$M$113,0),1),"")</f>
        <v>OIS</v>
      </c>
      <c r="X16" s="3" t="str">
        <v>obj_002b2</v>
      </c>
      <c r="Y16" s="3" t="str">
        <f>IFERROR(_xll.qlRateHelperQuoteName(X16,Trigger),"")</f>
        <v>USDOIS15M_Quote</v>
      </c>
      <c r="Z16" s="70">
        <f>IFERROR(_xll.qlRateHelperRate(X16,Trigger),"")</f>
        <v>5.1999999999999998E-3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42573</v>
      </c>
      <c r="AC16" s="4">
        <f>IFERROR(_xll.qlRateHelperPillarDate(X16,Trigger),"")</f>
        <v>43031</v>
      </c>
      <c r="AD16" s="76">
        <v>0.99339751257778919</v>
      </c>
    </row>
    <row r="17" spans="1:30" ht="11.25" customHeight="1" x14ac:dyDescent="0.2">
      <c r="A17" s="60" t="s">
        <v>98</v>
      </c>
      <c r="B17" s="61" t="s">
        <v>54</v>
      </c>
      <c r="C17" s="62">
        <f t="shared" si="7"/>
        <v>2</v>
      </c>
      <c r="D17" s="198"/>
      <c r="E17" s="198"/>
      <c r="F17" s="198"/>
      <c r="G17" s="63" t="str">
        <f t="shared" si="5"/>
        <v>USDFedFunds</v>
      </c>
      <c r="H17" s="65" t="str">
        <f t="shared" si="6"/>
        <v>USDOIS7M_Quote</v>
      </c>
      <c r="I17" s="200"/>
      <c r="J17" s="175" t="str">
        <f>IF(P15,_xll.qlOISRateHelper(,C17,B17,H17,$G17,,Permanent,Trigger,ObjectOverwrite),"--")</f>
        <v>obj_002b0#0004</v>
      </c>
      <c r="K17" s="50"/>
      <c r="L17" s="162" t="str">
        <f t="shared" si="2"/>
        <v>OIS</v>
      </c>
      <c r="M17" s="166" t="str">
        <f t="shared" si="3"/>
        <v>USDOIS9M_Quote</v>
      </c>
      <c r="N17" s="164">
        <f>IFERROR(_xll.qlQuoteValue(H19,Trigger),"--")</f>
        <v>4.6800000000000001E-3</v>
      </c>
      <c r="O17" s="167"/>
      <c r="P17" s="101" t="b">
        <v>1</v>
      </c>
      <c r="Q17" s="98">
        <v>50</v>
      </c>
      <c r="R17" s="98">
        <v>1</v>
      </c>
      <c r="S17" s="98" t="str">
        <f t="shared" si="4"/>
        <v>obj_002ad#0004</v>
      </c>
      <c r="T17" s="102">
        <f>IFERROR(_xll.qlRateHelperEarliestDate(S17,Trigger),"--")</f>
        <v>42573</v>
      </c>
      <c r="U17" s="102">
        <f>IFERROR(_xll.qlRateHelperPillarDate(S17,Trigger),"--")</f>
        <v>42849</v>
      </c>
      <c r="W17" s="3" t="str">
        <f>IFERROR(INDEX($L$3:$L$113,MATCH(Y17,$M$3:$M$113,0),1),"")</f>
        <v>OIS</v>
      </c>
      <c r="X17" s="3" t="str">
        <v>obj_002c0</v>
      </c>
      <c r="Y17" s="3" t="str">
        <f>IFERROR(_xll.qlRateHelperQuoteName(X17,Trigger),"")</f>
        <v>USDOIS18M_Quote</v>
      </c>
      <c r="Z17" s="70">
        <f>IFERROR(_xll.qlRateHelperRate(X17,Trigger),"")</f>
        <v>5.4100000000000007E-3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42573</v>
      </c>
      <c r="AC17" s="4">
        <f>IFERROR(_xll.qlRateHelperPillarDate(X17,Trigger),"")</f>
        <v>43122</v>
      </c>
      <c r="AD17" s="76">
        <v>0.99177794276413911</v>
      </c>
    </row>
    <row r="18" spans="1:30" ht="11.25" customHeight="1" x14ac:dyDescent="0.2">
      <c r="A18" s="60" t="s">
        <v>98</v>
      </c>
      <c r="B18" s="61" t="s">
        <v>55</v>
      </c>
      <c r="C18" s="62">
        <f t="shared" si="7"/>
        <v>2</v>
      </c>
      <c r="D18" s="198"/>
      <c r="E18" s="198"/>
      <c r="F18" s="198"/>
      <c r="G18" s="63" t="str">
        <f t="shared" si="5"/>
        <v>USDFedFunds</v>
      </c>
      <c r="H18" s="65" t="str">
        <f t="shared" si="6"/>
        <v>USDOIS8M_Quote</v>
      </c>
      <c r="I18" s="200"/>
      <c r="J18" s="175" t="str">
        <f>IF(P16,_xll.qlOISRateHelper(,C18,B18,H18,$G18,,Permanent,Trigger,ObjectOverwrite),"--")</f>
        <v>obj_002af#0004</v>
      </c>
      <c r="K18" s="50"/>
      <c r="L18" s="162" t="str">
        <f t="shared" si="2"/>
        <v>OIS</v>
      </c>
      <c r="M18" s="166" t="str">
        <f t="shared" si="3"/>
        <v>USDOIS10M_Quote</v>
      </c>
      <c r="N18" s="164">
        <f>IFERROR(_xll.qlQuoteValue(H20,Trigger),"--")</f>
        <v>4.7599999999999995E-3</v>
      </c>
      <c r="O18" s="167"/>
      <c r="P18" s="101" t="b">
        <v>1</v>
      </c>
      <c r="Q18" s="98">
        <v>50</v>
      </c>
      <c r="R18" s="98">
        <v>1</v>
      </c>
      <c r="S18" s="98" t="str">
        <f t="shared" si="4"/>
        <v>obj_0029e#0004</v>
      </c>
      <c r="T18" s="102">
        <f>IFERROR(_xll.qlRateHelperEarliestDate(S18,Trigger),"--")</f>
        <v>42573</v>
      </c>
      <c r="U18" s="102">
        <f>IFERROR(_xll.qlRateHelperPillarDate(S18,Trigger),"--")</f>
        <v>42877</v>
      </c>
      <c r="W18" s="3" t="str">
        <f>IFERROR(INDEX($L$3:$L$113,MATCH(Y18,$M$3:$M$113,0),1),"")</f>
        <v>OIS</v>
      </c>
      <c r="X18" s="3" t="str">
        <v>obj_002bf</v>
      </c>
      <c r="Y18" s="3" t="str">
        <f>IFERROR(_xll.qlRateHelperQuoteName(X18,Trigger),"")</f>
        <v>USDOIS21M_Quote</v>
      </c>
      <c r="Z18" s="70">
        <f>IFERROR(_xll.qlRateHelperRate(X18,Trigger),"")</f>
        <v>5.6200000000000009E-3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42573</v>
      </c>
      <c r="AC18" s="4">
        <f>IFERROR(_xll.qlRateHelperPillarDate(X18,Trigger),"")</f>
        <v>43213</v>
      </c>
      <c r="AD18" s="76">
        <v>0.99005788591057009</v>
      </c>
    </row>
    <row r="19" spans="1:30" ht="11.25" customHeight="1" x14ac:dyDescent="0.2">
      <c r="A19" s="60" t="s">
        <v>98</v>
      </c>
      <c r="B19" s="61" t="s">
        <v>56</v>
      </c>
      <c r="C19" s="62">
        <f t="shared" si="7"/>
        <v>2</v>
      </c>
      <c r="D19" s="198"/>
      <c r="E19" s="198"/>
      <c r="F19" s="198"/>
      <c r="G19" s="63" t="str">
        <f t="shared" si="5"/>
        <v>USDFedFunds</v>
      </c>
      <c r="H19" s="65" t="str">
        <f t="shared" si="6"/>
        <v>USDOIS9M_Quote</v>
      </c>
      <c r="I19" s="200"/>
      <c r="J19" s="175" t="str">
        <f>IF(P17,_xll.qlOISRateHelper(,C19,B19,H19,$G19,,Permanent,Trigger,ObjectOverwrite),"--")</f>
        <v>obj_002ad#0004</v>
      </c>
      <c r="K19" s="50"/>
      <c r="L19" s="162" t="str">
        <f t="shared" si="2"/>
        <v>OIS</v>
      </c>
      <c r="M19" s="166" t="str">
        <f t="shared" si="3"/>
        <v>USDOIS11M_Quote</v>
      </c>
      <c r="N19" s="164">
        <f>IFERROR(_xll.qlQuoteValue(H21,Trigger),"--")</f>
        <v>4.8399999999999997E-3</v>
      </c>
      <c r="O19" s="167"/>
      <c r="P19" s="101" t="b">
        <v>1</v>
      </c>
      <c r="Q19" s="98">
        <v>50</v>
      </c>
      <c r="R19" s="98">
        <v>1</v>
      </c>
      <c r="S19" s="98" t="str">
        <f t="shared" si="4"/>
        <v>obj_002a9#0004</v>
      </c>
      <c r="T19" s="102">
        <f>IFERROR(_xll.qlRateHelperEarliestDate(S19,Trigger),"--")</f>
        <v>42573</v>
      </c>
      <c r="U19" s="102">
        <f>IFERROR(_xll.qlRateHelperPillarDate(S19,Trigger),"--")</f>
        <v>42908</v>
      </c>
      <c r="W19" s="3" t="str">
        <f>IFERROR(INDEX($L$3:$L$113,MATCH(Y19,$M$3:$M$113,0),1),"")</f>
        <v>OIS</v>
      </c>
      <c r="X19" s="3" t="str">
        <v>obj_002c9</v>
      </c>
      <c r="Y19" s="3" t="str">
        <f>IFERROR(_xll.qlRateHelperQuoteName(X19,Trigger),"")</f>
        <v>USDOIS2Y_Quote</v>
      </c>
      <c r="Z19" s="70">
        <f>IFERROR(_xll.qlRateHelperRate(X19,Trigger),"")</f>
        <v>5.8099999999999992E-3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42573</v>
      </c>
      <c r="AC19" s="4">
        <f>IFERROR(_xll.qlRateHelperPillarDate(X19,Trigger),"")</f>
        <v>43304</v>
      </c>
      <c r="AD19" s="76">
        <v>0.98827813459114344</v>
      </c>
    </row>
    <row r="20" spans="1:30" ht="11.25" customHeight="1" x14ac:dyDescent="0.2">
      <c r="A20" s="60" t="s">
        <v>98</v>
      </c>
      <c r="B20" s="61" t="s">
        <v>57</v>
      </c>
      <c r="C20" s="62">
        <f t="shared" si="7"/>
        <v>2</v>
      </c>
      <c r="D20" s="198"/>
      <c r="E20" s="198"/>
      <c r="F20" s="198"/>
      <c r="G20" s="63" t="str">
        <f t="shared" si="5"/>
        <v>USDFedFunds</v>
      </c>
      <c r="H20" s="65" t="str">
        <f t="shared" si="6"/>
        <v>USDOIS10M_Quote</v>
      </c>
      <c r="I20" s="200"/>
      <c r="J20" s="175" t="str">
        <f>IF(P18,_xll.qlOISRateHelper(,C20,B20,H20,$G20,,Permanent,Trigger,ObjectOverwrite),"--")</f>
        <v>obj_0029e#0004</v>
      </c>
      <c r="K20" s="50"/>
      <c r="L20" s="162" t="str">
        <f t="shared" si="2"/>
        <v>OIS</v>
      </c>
      <c r="M20" s="166" t="str">
        <f t="shared" si="3"/>
        <v>USDOIS1Y_Quote</v>
      </c>
      <c r="N20" s="164">
        <f>IFERROR(_xll.qlQuoteValue(H22,Trigger),"--")</f>
        <v>4.9199999999999999E-3</v>
      </c>
      <c r="O20" s="167"/>
      <c r="P20" s="101" t="b">
        <v>1</v>
      </c>
      <c r="Q20" s="98">
        <v>50</v>
      </c>
      <c r="R20" s="98">
        <v>1</v>
      </c>
      <c r="S20" s="98" t="str">
        <f t="shared" si="4"/>
        <v>obj_002a5#0004</v>
      </c>
      <c r="T20" s="102">
        <f>IFERROR(_xll.qlRateHelperEarliestDate(S20,Trigger),"--")</f>
        <v>42573</v>
      </c>
      <c r="U20" s="102">
        <f>IFERROR(_xll.qlRateHelperPillarDate(S20,Trigger),"--")</f>
        <v>42940</v>
      </c>
      <c r="W20" s="3" t="str">
        <f>IFERROR(INDEX($L$3:$L$113,MATCH(Y20,$M$3:$M$113,0),1),"")</f>
        <v>OIS</v>
      </c>
      <c r="X20" s="3" t="str">
        <v>obj_002c6</v>
      </c>
      <c r="Y20" s="3" t="str">
        <f>IFERROR(_xll.qlRateHelperQuoteName(X20,Trigger),"")</f>
        <v>USDOIS3Y_Quote</v>
      </c>
      <c r="Z20" s="70">
        <f>IFERROR(_xll.qlRateHelperRate(X20,Trigger),"")</f>
        <v>6.4700000000000001E-3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42573</v>
      </c>
      <c r="AC20" s="4">
        <f>IFERROR(_xll.qlRateHelperPillarDate(X20,Trigger),"")</f>
        <v>43668</v>
      </c>
      <c r="AD20" s="76">
        <v>0.98053464214999575</v>
      </c>
    </row>
    <row r="21" spans="1:30" ht="11.25" customHeight="1" x14ac:dyDescent="0.2">
      <c r="A21" s="60" t="s">
        <v>98</v>
      </c>
      <c r="B21" s="61" t="s">
        <v>58</v>
      </c>
      <c r="C21" s="62">
        <f t="shared" si="7"/>
        <v>2</v>
      </c>
      <c r="D21" s="198"/>
      <c r="E21" s="198"/>
      <c r="F21" s="198"/>
      <c r="G21" s="63" t="str">
        <f t="shared" si="5"/>
        <v>USDFedFunds</v>
      </c>
      <c r="H21" s="65" t="str">
        <f t="shared" si="6"/>
        <v>USDOIS11M_Quote</v>
      </c>
      <c r="I21" s="200"/>
      <c r="J21" s="175" t="str">
        <f>IF(P19,_xll.qlOISRateHelper(,C21,B21,H21,$G21,,Permanent,Trigger,ObjectOverwrite),"--")</f>
        <v>obj_002a9#0004</v>
      </c>
      <c r="K21" s="50"/>
      <c r="L21" s="162" t="str">
        <f t="shared" si="2"/>
        <v>OIS</v>
      </c>
      <c r="M21" s="166" t="str">
        <f t="shared" si="3"/>
        <v>USDOIS13M_Quote</v>
      </c>
      <c r="N21" s="164" t="str">
        <f>IFERROR(_xll.qlQuoteValue(H23,Trigger),"--")</f>
        <v>--</v>
      </c>
      <c r="O21" s="167"/>
      <c r="P21" s="101" t="b">
        <v>0</v>
      </c>
      <c r="Q21" s="98">
        <v>50</v>
      </c>
      <c r="R21" s="98">
        <v>1</v>
      </c>
      <c r="S21" s="98" t="str">
        <f t="shared" si="4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>IFERROR(INDEX($L$3:$L$113,MATCH(Y21,$M$3:$M$113,0),1),"")</f>
        <v>OIS</v>
      </c>
      <c r="X21" s="3" t="str">
        <v>obj_002ba</v>
      </c>
      <c r="Y21" s="3" t="str">
        <f>IFERROR(_xll.qlRateHelperQuoteName(X21,Trigger),"")</f>
        <v>USDOIS4Y_Quote</v>
      </c>
      <c r="Z21" s="70">
        <f>IFERROR(_xll.qlRateHelperRate(X21,Trigger),"")</f>
        <v>7.0700000000000008E-3</v>
      </c>
      <c r="AA21" s="106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42573</v>
      </c>
      <c r="AC21" s="4">
        <f>IFERROR(_xll.qlRateHelperPillarDate(X21,Trigger),"")</f>
        <v>44034</v>
      </c>
      <c r="AD21" s="76">
        <v>0.97174689902336797</v>
      </c>
    </row>
    <row r="22" spans="1:30" ht="11.25" customHeight="1" x14ac:dyDescent="0.2">
      <c r="A22" s="60" t="s">
        <v>98</v>
      </c>
      <c r="B22" s="61" t="s">
        <v>28</v>
      </c>
      <c r="C22" s="62">
        <f t="shared" si="7"/>
        <v>2</v>
      </c>
      <c r="D22" s="198"/>
      <c r="E22" s="198"/>
      <c r="F22" s="198"/>
      <c r="G22" s="63" t="str">
        <f t="shared" si="5"/>
        <v>USDFedFunds</v>
      </c>
      <c r="H22" s="65" t="str">
        <f t="shared" si="6"/>
        <v>USDOIS1Y_Quote</v>
      </c>
      <c r="I22" s="200"/>
      <c r="J22" s="175" t="str">
        <f>IF(P20,_xll.qlOISRateHelper(,C22,B22,H22,$G22,,Permanent,Trigger,ObjectOverwrite),"--")</f>
        <v>obj_002a5#0004</v>
      </c>
      <c r="L22" s="162" t="str">
        <f t="shared" si="2"/>
        <v>OIS</v>
      </c>
      <c r="M22" s="166" t="str">
        <f t="shared" si="3"/>
        <v>USDOIS14M_Quote</v>
      </c>
      <c r="N22" s="164" t="str">
        <f>IFERROR(_xll.qlQuoteValue(H24,Trigger),"--")</f>
        <v>--</v>
      </c>
      <c r="O22" s="167"/>
      <c r="P22" s="101" t="b">
        <v>0</v>
      </c>
      <c r="Q22" s="98">
        <v>50</v>
      </c>
      <c r="R22" s="98">
        <v>1</v>
      </c>
      <c r="S22" s="98" t="str">
        <f t="shared" si="4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>IFERROR(INDEX($L$3:$L$113,MATCH(Y22,$M$3:$M$113,0),1),"")</f>
        <v>OIS</v>
      </c>
      <c r="X22" s="3" t="str">
        <v>obj_002a2</v>
      </c>
      <c r="Y22" s="3" t="str">
        <f>IFERROR(_xll.qlRateHelperQuoteName(X22,Trigger),"")</f>
        <v>USDOIS5Y_Quote</v>
      </c>
      <c r="Z22" s="70">
        <f>IFERROR(_xll.qlRateHelperRate(X22,Trigger),"")</f>
        <v>7.6600000000000001E-3</v>
      </c>
      <c r="AA22" s="106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42573</v>
      </c>
      <c r="AC22" s="4">
        <f>IFERROR(_xll.qlRateHelperPillarDate(X22,Trigger),"")</f>
        <v>44399</v>
      </c>
      <c r="AD22" s="76">
        <v>0.96192042616398843</v>
      </c>
    </row>
    <row r="23" spans="1:30" ht="11.25" customHeight="1" x14ac:dyDescent="0.2">
      <c r="A23" s="60" t="s">
        <v>98</v>
      </c>
      <c r="B23" s="61" t="s">
        <v>59</v>
      </c>
      <c r="C23" s="62">
        <f t="shared" ref="C23:C61" si="8">IF(B23="O/N",0,IF(B23="T/N",1,2))</f>
        <v>2</v>
      </c>
      <c r="D23" s="198"/>
      <c r="E23" s="198"/>
      <c r="F23" s="198"/>
      <c r="G23" s="63" t="str">
        <f t="shared" si="5"/>
        <v>USDFedFunds</v>
      </c>
      <c r="H23" s="65" t="str">
        <f t="shared" si="6"/>
        <v>USDOIS13M_Quote</v>
      </c>
      <c r="I23" s="200"/>
      <c r="J23" s="175" t="str">
        <f>IF(P21,_xll.qlOISRateHelper(,C23,B23,H23,$G23,,Permanent,Trigger,ObjectOverwrite),"--")</f>
        <v>--</v>
      </c>
      <c r="L23" s="162" t="str">
        <f t="shared" si="2"/>
        <v>OIS</v>
      </c>
      <c r="M23" s="166" t="str">
        <f t="shared" si="3"/>
        <v>USDOIS15M_Quote</v>
      </c>
      <c r="N23" s="164">
        <f>IFERROR(_xll.qlQuoteValue(H25,Trigger),"--")</f>
        <v>5.1500000000000001E-3</v>
      </c>
      <c r="O23" s="167"/>
      <c r="P23" s="101" t="b">
        <v>1</v>
      </c>
      <c r="Q23" s="98">
        <v>50</v>
      </c>
      <c r="R23" s="98">
        <v>1</v>
      </c>
      <c r="S23" s="98" t="str">
        <f t="shared" si="4"/>
        <v>obj_002b2#0004</v>
      </c>
      <c r="T23" s="102">
        <f>IFERROR(_xll.qlRateHelperEarliestDate(S23,Trigger),"--")</f>
        <v>42573</v>
      </c>
      <c r="U23" s="102">
        <f>IFERROR(_xll.qlRateHelperPillarDate(S23,Trigger),"--")</f>
        <v>43031</v>
      </c>
      <c r="W23" s="3" t="str">
        <f>IFERROR(INDEX($L$3:$L$113,MATCH(Y23,$M$3:$M$113,0),1),"")</f>
        <v>OIS</v>
      </c>
      <c r="X23" s="3" t="str">
        <v>obj_002bb</v>
      </c>
      <c r="Y23" s="3" t="str">
        <f>IFERROR(_xll.qlRateHelperQuoteName(X23,Trigger),"")</f>
        <v>USDOIS6Y_Quote</v>
      </c>
      <c r="Z23" s="70">
        <f>IFERROR(_xll.qlRateHelperRate(X23,Trigger),"")</f>
        <v>8.3000000000000001E-3</v>
      </c>
      <c r="AA23" s="106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42573</v>
      </c>
      <c r="AC23" s="4">
        <f>IFERROR(_xll.qlRateHelperPillarDate(X23,Trigger),"")</f>
        <v>44764</v>
      </c>
      <c r="AD23" s="76">
        <v>0.95074003428960807</v>
      </c>
    </row>
    <row r="24" spans="1:30" ht="11.25" customHeight="1" x14ac:dyDescent="0.2">
      <c r="A24" s="60" t="s">
        <v>98</v>
      </c>
      <c r="B24" s="61" t="s">
        <v>60</v>
      </c>
      <c r="C24" s="62">
        <f t="shared" si="8"/>
        <v>2</v>
      </c>
      <c r="D24" s="198"/>
      <c r="E24" s="198"/>
      <c r="F24" s="198"/>
      <c r="G24" s="63" t="str">
        <f t="shared" si="5"/>
        <v>USDFedFunds</v>
      </c>
      <c r="H24" s="65" t="str">
        <f t="shared" si="6"/>
        <v>USDOIS14M_Quote</v>
      </c>
      <c r="I24" s="200"/>
      <c r="J24" s="175" t="str">
        <f>IF(P22,_xll.qlOISRateHelper(,C24,B24,H24,$G24,,Permanent,Trigger,ObjectOverwrite),"--")</f>
        <v>--</v>
      </c>
      <c r="L24" s="162" t="str">
        <f t="shared" si="2"/>
        <v>OIS</v>
      </c>
      <c r="M24" s="166" t="str">
        <f t="shared" si="3"/>
        <v>USDOIS16M_Quote</v>
      </c>
      <c r="N24" s="164" t="str">
        <f>IFERROR(_xll.qlQuoteValue(H26,Trigger),"--")</f>
        <v>--</v>
      </c>
      <c r="O24" s="167"/>
      <c r="P24" s="101" t="b">
        <v>0</v>
      </c>
      <c r="Q24" s="98">
        <v>50</v>
      </c>
      <c r="R24" s="98">
        <v>1</v>
      </c>
      <c r="S24" s="98" t="str">
        <f t="shared" si="4"/>
        <v>--</v>
      </c>
      <c r="T24" s="102" t="str">
        <f>IFERROR(_xll.qlRateHelperEarliestDate(S24,Trigger),"--")</f>
        <v>--</v>
      </c>
      <c r="U24" s="102" t="str">
        <f>IFERROR(_xll.qlRateHelperPillarDate(S24,Trigger),"--")</f>
        <v>--</v>
      </c>
      <c r="W24" s="3" t="str">
        <f>IFERROR(INDEX($L$3:$L$113,MATCH(Y24,$M$3:$M$113,0),1),"")</f>
        <v>OIS</v>
      </c>
      <c r="X24" s="3" t="str">
        <v>obj_002b7</v>
      </c>
      <c r="Y24" s="3" t="str">
        <f>IFERROR(_xll.qlRateHelperQuoteName(X24,Trigger),"")</f>
        <v>USDOIS7Y_Quote</v>
      </c>
      <c r="Z24" s="70">
        <f>IFERROR(_xll.qlRateHelperRate(X24,Trigger),"")</f>
        <v>8.9200000000000008E-3</v>
      </c>
      <c r="AA24" s="106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42573</v>
      </c>
      <c r="AC24" s="4">
        <f>IFERROR(_xll.qlRateHelperPillarDate(X24,Trigger),"")</f>
        <v>45131</v>
      </c>
      <c r="AD24" s="76">
        <v>0.93852765315013109</v>
      </c>
    </row>
    <row r="25" spans="1:30" ht="11.25" customHeight="1" x14ac:dyDescent="0.2">
      <c r="A25" s="60" t="s">
        <v>98</v>
      </c>
      <c r="B25" s="61" t="s">
        <v>61</v>
      </c>
      <c r="C25" s="62">
        <f t="shared" si="8"/>
        <v>2</v>
      </c>
      <c r="D25" s="198"/>
      <c r="E25" s="198"/>
      <c r="F25" s="198"/>
      <c r="G25" s="63" t="str">
        <f t="shared" si="5"/>
        <v>USDFedFunds</v>
      </c>
      <c r="H25" s="65" t="str">
        <f t="shared" si="6"/>
        <v>USDOIS15M_Quote</v>
      </c>
      <c r="I25" s="200"/>
      <c r="J25" s="175" t="str">
        <f>IF(P23,_xll.qlOISRateHelper(,C25,B25,H25,$G25,,Permanent,Trigger,ObjectOverwrite),"--")</f>
        <v>obj_002b2#0004</v>
      </c>
      <c r="L25" s="162" t="str">
        <f t="shared" si="2"/>
        <v>OIS</v>
      </c>
      <c r="M25" s="166" t="str">
        <f t="shared" si="3"/>
        <v>USDOIS17M_Quote</v>
      </c>
      <c r="N25" s="164" t="str">
        <f>IFERROR(_xll.qlQuoteValue(H27,Trigger),"--")</f>
        <v>--</v>
      </c>
      <c r="O25" s="167"/>
      <c r="P25" s="101" t="b">
        <v>0</v>
      </c>
      <c r="Q25" s="98">
        <v>50</v>
      </c>
      <c r="R25" s="98">
        <v>1</v>
      </c>
      <c r="S25" s="98" t="str">
        <f t="shared" si="4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>IFERROR(INDEX($L$3:$L$113,MATCH(Y25,$M$3:$M$113,0),1),"")</f>
        <v>OIS</v>
      </c>
      <c r="X25" s="3" t="str">
        <v>obj_002a3</v>
      </c>
      <c r="Y25" s="3" t="str">
        <f>IFERROR(_xll.qlRateHelperQuoteName(X25,Trigger),"")</f>
        <v>USDOIS8Y_Quote</v>
      </c>
      <c r="Z25" s="70">
        <f>IFERROR(_xll.qlRateHelperRate(X25,Trigger),"")</f>
        <v>9.4900000000000002E-3</v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42573</v>
      </c>
      <c r="AC25" s="4">
        <f>IFERROR(_xll.qlRateHelperPillarDate(X25,Trigger),"")</f>
        <v>45495</v>
      </c>
      <c r="AD25" s="76">
        <v>0.9257182873343841</v>
      </c>
    </row>
    <row r="26" spans="1:30" ht="11.25" customHeight="1" x14ac:dyDescent="0.2">
      <c r="A26" s="60" t="s">
        <v>98</v>
      </c>
      <c r="B26" s="61" t="s">
        <v>62</v>
      </c>
      <c r="C26" s="62">
        <f t="shared" si="8"/>
        <v>2</v>
      </c>
      <c r="D26" s="198"/>
      <c r="E26" s="198"/>
      <c r="F26" s="198"/>
      <c r="G26" s="63" t="str">
        <f t="shared" si="5"/>
        <v>USDFedFunds</v>
      </c>
      <c r="H26" s="65" t="str">
        <f t="shared" si="6"/>
        <v>USDOIS16M_Quote</v>
      </c>
      <c r="I26" s="200"/>
      <c r="J26" s="175" t="str">
        <f>IF(P24,_xll.qlOISRateHelper(,C26,B26,H26,$G26,,Permanent,Trigger,ObjectOverwrite),"--")</f>
        <v>--</v>
      </c>
      <c r="L26" s="162" t="str">
        <f t="shared" si="2"/>
        <v>OIS</v>
      </c>
      <c r="M26" s="166" t="str">
        <f t="shared" si="3"/>
        <v>USDOIS18M_Quote</v>
      </c>
      <c r="N26" s="164">
        <f>IFERROR(_xll.qlQuoteValue(H28,Trigger),"--")</f>
        <v>5.3500000000000006E-3</v>
      </c>
      <c r="O26" s="167"/>
      <c r="P26" s="101" t="b">
        <v>1</v>
      </c>
      <c r="Q26" s="98">
        <v>50</v>
      </c>
      <c r="R26" s="98">
        <v>1</v>
      </c>
      <c r="S26" s="98" t="str">
        <f t="shared" si="4"/>
        <v>obj_002c0#0004</v>
      </c>
      <c r="T26" s="102">
        <f>IFERROR(_xll.qlRateHelperEarliestDate(S26,Trigger),"--")</f>
        <v>42573</v>
      </c>
      <c r="U26" s="102">
        <f>IFERROR(_xll.qlRateHelperPillarDate(S26,Trigger),"--")</f>
        <v>43122</v>
      </c>
      <c r="W26" s="3" t="str">
        <f>IFERROR(INDEX($L$3:$L$113,MATCH(Y26,$M$3:$M$113,0),1),"")</f>
        <v>OIS</v>
      </c>
      <c r="X26" s="3" t="str">
        <v>obj_002a1</v>
      </c>
      <c r="Y26" s="3" t="str">
        <f>IFERROR(_xll.qlRateHelperQuoteName(X26,Trigger),"")</f>
        <v>USDOIS9Y_Quote</v>
      </c>
      <c r="Z26" s="70">
        <f>IFERROR(_xll.qlRateHelperRate(X26,Trigger),"")</f>
        <v>1.0019999999999999E-2</v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42573</v>
      </c>
      <c r="AC26" s="4">
        <f>IFERROR(_xll.qlRateHelperPillarDate(X26,Trigger),"")</f>
        <v>45860</v>
      </c>
      <c r="AD26" s="76">
        <v>0.91230283819961322</v>
      </c>
    </row>
    <row r="27" spans="1:30" ht="11.25" customHeight="1" x14ac:dyDescent="0.2">
      <c r="A27" s="60" t="s">
        <v>98</v>
      </c>
      <c r="B27" s="61" t="s">
        <v>63</v>
      </c>
      <c r="C27" s="62">
        <f t="shared" si="8"/>
        <v>2</v>
      </c>
      <c r="D27" s="198"/>
      <c r="E27" s="198"/>
      <c r="F27" s="198"/>
      <c r="G27" s="63" t="str">
        <f t="shared" si="5"/>
        <v>USDFedFunds</v>
      </c>
      <c r="H27" s="65" t="str">
        <f t="shared" si="6"/>
        <v>USDOIS17M_Quote</v>
      </c>
      <c r="I27" s="200"/>
      <c r="J27" s="175" t="str">
        <f>IF(P25,_xll.qlOISRateHelper(,C27,B27,H27,$G27,,Permanent,Trigger,ObjectOverwrite),"--")</f>
        <v>--</v>
      </c>
      <c r="L27" s="162" t="str">
        <f t="shared" si="2"/>
        <v>OIS</v>
      </c>
      <c r="M27" s="166" t="str">
        <f t="shared" si="3"/>
        <v>USDOIS19M_Quote</v>
      </c>
      <c r="N27" s="164" t="str">
        <f>IFERROR(_xll.qlQuoteValue(H29,Trigger),"--")</f>
        <v>--</v>
      </c>
      <c r="O27" s="167"/>
      <c r="P27" s="101" t="b">
        <v>0</v>
      </c>
      <c r="Q27" s="98">
        <v>50</v>
      </c>
      <c r="R27" s="98">
        <v>1</v>
      </c>
      <c r="S27" s="98" t="str">
        <f t="shared" si="4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>IFERROR(INDEX($L$3:$L$113,MATCH(Y27,$M$3:$M$113,0),1),"")</f>
        <v>OIS</v>
      </c>
      <c r="X27" s="3" t="str">
        <v>obj_0029d</v>
      </c>
      <c r="Y27" s="3" t="str">
        <f>IFERROR(_xll.qlRateHelperQuoteName(X27,Trigger),"")</f>
        <v>USDOIS10Y_Quote</v>
      </c>
      <c r="Z27" s="70">
        <f>IFERROR(_xll.qlRateHelperRate(X27,Trigger),"")</f>
        <v>1.0539999999999999E-2</v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42573</v>
      </c>
      <c r="AC27" s="4">
        <f>IFERROR(_xll.qlRateHelperPillarDate(X27,Trigger),"")</f>
        <v>46225</v>
      </c>
      <c r="AD27" s="76">
        <v>0.89815485653295013</v>
      </c>
    </row>
    <row r="28" spans="1:30" ht="11.25" customHeight="1" x14ac:dyDescent="0.2">
      <c r="A28" s="60" t="s">
        <v>98</v>
      </c>
      <c r="B28" s="61" t="s">
        <v>64</v>
      </c>
      <c r="C28" s="62">
        <f t="shared" si="8"/>
        <v>2</v>
      </c>
      <c r="D28" s="198"/>
      <c r="E28" s="198"/>
      <c r="F28" s="198"/>
      <c r="G28" s="63" t="str">
        <f t="shared" si="5"/>
        <v>USDFedFunds</v>
      </c>
      <c r="H28" s="65" t="str">
        <f t="shared" si="6"/>
        <v>USDOIS18M_Quote</v>
      </c>
      <c r="I28" s="200"/>
      <c r="J28" s="175" t="str">
        <f>IF(P26,_xll.qlOISRateHelper(,C28,B28,H28,$G28,,Permanent,Trigger,ObjectOverwrite),"--")</f>
        <v>obj_002c0#0004</v>
      </c>
      <c r="L28" s="162" t="str">
        <f t="shared" si="2"/>
        <v>OIS</v>
      </c>
      <c r="M28" s="166" t="str">
        <f t="shared" si="3"/>
        <v>USDOIS20M_Quote</v>
      </c>
      <c r="N28" s="164" t="str">
        <f>IFERROR(_xll.qlQuoteValue(H30,Trigger),"--")</f>
        <v>--</v>
      </c>
      <c r="O28" s="167"/>
      <c r="P28" s="101" t="b">
        <v>0</v>
      </c>
      <c r="Q28" s="98">
        <v>50</v>
      </c>
      <c r="R28" s="98">
        <v>1</v>
      </c>
      <c r="S28" s="98" t="str">
        <f t="shared" si="4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>IFERROR(INDEX($L$3:$L$113,MATCH(Y28,$M$3:$M$113,0),1),"")</f>
        <v>OIS</v>
      </c>
      <c r="X28" s="3" t="str">
        <v>obj_002bd</v>
      </c>
      <c r="Y28" s="3" t="str">
        <f>IFERROR(_xll.qlRateHelperQuoteName(X28,Trigger),"")</f>
        <v>USDOIS12Y_Quote</v>
      </c>
      <c r="Z28" s="70">
        <f>IFERROR(_xll.qlRateHelperRate(X28,Trigger),"")</f>
        <v>1.1480000000000001E-2</v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42573</v>
      </c>
      <c r="AC28" s="4">
        <f>IFERROR(_xll.qlRateHelperPillarDate(X28,Trigger),"")</f>
        <v>46958</v>
      </c>
      <c r="AD28" s="76">
        <v>0.86859706284166904</v>
      </c>
    </row>
    <row r="29" spans="1:30" ht="11.25" customHeight="1" x14ac:dyDescent="0.2">
      <c r="A29" s="60" t="s">
        <v>98</v>
      </c>
      <c r="B29" s="61" t="s">
        <v>65</v>
      </c>
      <c r="C29" s="62">
        <f t="shared" si="8"/>
        <v>2</v>
      </c>
      <c r="D29" s="198"/>
      <c r="E29" s="198"/>
      <c r="F29" s="198"/>
      <c r="G29" s="63" t="str">
        <f t="shared" si="5"/>
        <v>USDFedFunds</v>
      </c>
      <c r="H29" s="65" t="str">
        <f t="shared" si="6"/>
        <v>USDOIS19M_Quote</v>
      </c>
      <c r="I29" s="200"/>
      <c r="J29" s="175" t="str">
        <f>IF(P27,_xll.qlOISRateHelper(,C29,B29,H29,$G29,,Permanent,Trigger,ObjectOverwrite),"--")</f>
        <v>--</v>
      </c>
      <c r="L29" s="162" t="str">
        <f t="shared" si="2"/>
        <v>OIS</v>
      </c>
      <c r="M29" s="166" t="str">
        <f t="shared" si="3"/>
        <v>USDOIS21M_Quote</v>
      </c>
      <c r="N29" s="164">
        <f>IFERROR(_xll.qlQuoteValue(H31,Trigger),"--")</f>
        <v>5.5499999999999994E-3</v>
      </c>
      <c r="O29" s="167"/>
      <c r="P29" s="101" t="b">
        <v>1</v>
      </c>
      <c r="Q29" s="98">
        <v>50</v>
      </c>
      <c r="R29" s="98">
        <v>1</v>
      </c>
      <c r="S29" s="98" t="str">
        <f t="shared" si="4"/>
        <v>obj_002bf#0004</v>
      </c>
      <c r="T29" s="102">
        <f>IFERROR(_xll.qlRateHelperEarliestDate(S29,Trigger),"--")</f>
        <v>42573</v>
      </c>
      <c r="U29" s="102">
        <f>IFERROR(_xll.qlRateHelperPillarDate(S29,Trigger),"--")</f>
        <v>43213</v>
      </c>
      <c r="W29" s="3" t="str">
        <f>IFERROR(INDEX($L$3:$L$113,MATCH(Y29,$M$3:$M$113,0),1),"")</f>
        <v>OIS</v>
      </c>
      <c r="X29" s="3" t="str">
        <v>obj_002ab</v>
      </c>
      <c r="Y29" s="3" t="str">
        <f>IFERROR(_xll.qlRateHelperQuoteName(X29,Trigger),"")</f>
        <v>USDOIS15Y_Quote</v>
      </c>
      <c r="Z29" s="70">
        <f>IFERROR(_xll.qlRateHelperRate(X29,Trigger),"")</f>
        <v>1.2540000000000001E-2</v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42573</v>
      </c>
      <c r="AC29" s="4">
        <f>IFERROR(_xll.qlRateHelperPillarDate(X29,Trigger),"")</f>
        <v>48051</v>
      </c>
      <c r="AD29" s="76">
        <v>0.8245168184622802</v>
      </c>
    </row>
    <row r="30" spans="1:30" ht="11.25" customHeight="1" x14ac:dyDescent="0.2">
      <c r="A30" s="60" t="s">
        <v>98</v>
      </c>
      <c r="B30" s="61" t="s">
        <v>66</v>
      </c>
      <c r="C30" s="62">
        <f t="shared" si="8"/>
        <v>2</v>
      </c>
      <c r="D30" s="198"/>
      <c r="E30" s="198"/>
      <c r="F30" s="198"/>
      <c r="G30" s="63" t="str">
        <f t="shared" si="5"/>
        <v>USDFedFunds</v>
      </c>
      <c r="H30" s="65" t="str">
        <f t="shared" si="6"/>
        <v>USDOIS20M_Quote</v>
      </c>
      <c r="I30" s="200"/>
      <c r="J30" s="175" t="str">
        <f>IF(P28,_xll.qlOISRateHelper(,C30,B30,H30,$G30,,Permanent,Trigger,ObjectOverwrite),"--")</f>
        <v>--</v>
      </c>
      <c r="L30" s="162" t="str">
        <f t="shared" si="2"/>
        <v>OIS</v>
      </c>
      <c r="M30" s="166" t="str">
        <f t="shared" si="3"/>
        <v>USDOIS22M_Quote</v>
      </c>
      <c r="N30" s="164" t="str">
        <f>IFERROR(_xll.qlQuoteValue(H32,Trigger),"--")</f>
        <v>--</v>
      </c>
      <c r="O30" s="167"/>
      <c r="P30" s="101" t="b">
        <v>0</v>
      </c>
      <c r="Q30" s="98">
        <v>50</v>
      </c>
      <c r="R30" s="98">
        <v>1</v>
      </c>
      <c r="S30" s="98" t="str">
        <f t="shared" si="4"/>
        <v>--</v>
      </c>
      <c r="T30" s="102" t="str">
        <f>IFERROR(_xll.qlRateHelperEarliestDate(S30,Trigger),"--")</f>
        <v>--</v>
      </c>
      <c r="U30" s="102" t="str">
        <f>IFERROR(_xll.qlRateHelperPillarDate(S30,Trigger),"--")</f>
        <v>--</v>
      </c>
      <c r="W30" s="3" t="str">
        <f>IFERROR(INDEX($L$3:$L$113,MATCH(Y30,$M$3:$M$113,0),1),"")</f>
        <v>OIS</v>
      </c>
      <c r="X30" s="3" t="str">
        <v>obj_002b8</v>
      </c>
      <c r="Y30" s="3" t="str">
        <f>IFERROR(_xll.qlRateHelperQuoteName(X30,Trigger),"")</f>
        <v>USDOIS20Y_Quote</v>
      </c>
      <c r="Z30" s="70">
        <f>IFERROR(_xll.qlRateHelperRate(X30,Trigger),"")</f>
        <v>1.3679999999999999E-2</v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42573</v>
      </c>
      <c r="AC30" s="4">
        <f>IFERROR(_xll.qlRateHelperPillarDate(X30,Trigger),"")</f>
        <v>49878</v>
      </c>
      <c r="AD30" s="76">
        <v>0.75429122352135314</v>
      </c>
    </row>
    <row r="31" spans="1:30" ht="11.25" customHeight="1" x14ac:dyDescent="0.2">
      <c r="A31" s="60" t="s">
        <v>98</v>
      </c>
      <c r="B31" s="61" t="s">
        <v>67</v>
      </c>
      <c r="C31" s="62">
        <f t="shared" si="8"/>
        <v>2</v>
      </c>
      <c r="D31" s="198"/>
      <c r="E31" s="198"/>
      <c r="F31" s="198"/>
      <c r="G31" s="63" t="str">
        <f t="shared" si="5"/>
        <v>USDFedFunds</v>
      </c>
      <c r="H31" s="65" t="str">
        <f t="shared" si="6"/>
        <v>USDOIS21M_Quote</v>
      </c>
      <c r="I31" s="200"/>
      <c r="J31" s="175" t="str">
        <f>IF(P29,_xll.qlOISRateHelper(,C31,B31,H31,$G31,,Permanent,Trigger,ObjectOverwrite),"--")</f>
        <v>obj_002bf#0004</v>
      </c>
      <c r="L31" s="162" t="str">
        <f t="shared" si="2"/>
        <v>OIS</v>
      </c>
      <c r="M31" s="166" t="str">
        <f t="shared" si="3"/>
        <v>USDOIS23M_Quote</v>
      </c>
      <c r="N31" s="164" t="str">
        <f>IFERROR(_xll.qlQuoteValue(H33,Trigger),"--")</f>
        <v>--</v>
      </c>
      <c r="O31" s="167"/>
      <c r="P31" s="101" t="b">
        <v>0</v>
      </c>
      <c r="Q31" s="98">
        <v>50</v>
      </c>
      <c r="R31" s="98">
        <v>1</v>
      </c>
      <c r="S31" s="98" t="str">
        <f t="shared" si="4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>IFERROR(INDEX($L$3:$L$113,MATCH(Y31,$M$3:$M$113,0),1),"")</f>
        <v>OIS</v>
      </c>
      <c r="X31" s="3" t="str">
        <v>obj_002b6</v>
      </c>
      <c r="Y31" s="3" t="str">
        <f>IFERROR(_xll.qlRateHelperQuoteName(X31,Trigger),"")</f>
        <v>USDOIS25Y_Quote</v>
      </c>
      <c r="Z31" s="70">
        <f>IFERROR(_xll.qlRateHelperRate(X31,Trigger),"")</f>
        <v>1.4180000000000002E-2</v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42573</v>
      </c>
      <c r="AC31" s="4">
        <f>IFERROR(_xll.qlRateHelperPillarDate(X31,Trigger),"")</f>
        <v>51704</v>
      </c>
      <c r="AD31" s="76">
        <v>0.69372169365587355</v>
      </c>
    </row>
    <row r="32" spans="1:30" ht="11.25" customHeight="1" x14ac:dyDescent="0.2">
      <c r="A32" s="60" t="s">
        <v>98</v>
      </c>
      <c r="B32" s="61" t="s">
        <v>68</v>
      </c>
      <c r="C32" s="62">
        <f t="shared" si="8"/>
        <v>2</v>
      </c>
      <c r="D32" s="198"/>
      <c r="E32" s="198"/>
      <c r="F32" s="198"/>
      <c r="G32" s="63" t="str">
        <f t="shared" si="5"/>
        <v>USDFedFunds</v>
      </c>
      <c r="H32" s="65" t="str">
        <f t="shared" si="6"/>
        <v>USDOIS22M_Quote</v>
      </c>
      <c r="I32" s="200"/>
      <c r="J32" s="175" t="str">
        <f>IF(P30,_xll.qlOISRateHelper(,C32,B32,H32,$G32,,Permanent,Trigger,ObjectOverwrite),"--")</f>
        <v>--</v>
      </c>
      <c r="L32" s="162" t="str">
        <f t="shared" si="2"/>
        <v>OIS</v>
      </c>
      <c r="M32" s="166" t="str">
        <f t="shared" si="3"/>
        <v>USDOIS2Y_Quote</v>
      </c>
      <c r="N32" s="164">
        <f>IFERROR(_xll.qlQuoteValue(H34,Trigger),"--")</f>
        <v>5.7299999999999999E-3</v>
      </c>
      <c r="O32" s="167"/>
      <c r="P32" s="101" t="b">
        <v>1</v>
      </c>
      <c r="Q32" s="98">
        <v>50</v>
      </c>
      <c r="R32" s="98">
        <v>1</v>
      </c>
      <c r="S32" s="98" t="str">
        <f t="shared" si="4"/>
        <v>obj_002c9#0004</v>
      </c>
      <c r="T32" s="102">
        <f>IFERROR(_xll.qlRateHelperEarliestDate(S32,Trigger),"--")</f>
        <v>42573</v>
      </c>
      <c r="U32" s="102">
        <f>IFERROR(_xll.qlRateHelperPillarDate(S32,Trigger),"--")</f>
        <v>43304</v>
      </c>
      <c r="W32" s="3" t="str">
        <f>IFERROR(INDEX($L$3:$L$113,MATCH(Y32,$M$3:$M$113,0),1),"")</f>
        <v>OIS</v>
      </c>
      <c r="X32" s="3" t="str">
        <v>obj_002b1</v>
      </c>
      <c r="Y32" s="3" t="str">
        <f>IFERROR(_xll.qlRateHelperQuoteName(X32,Trigger),"")</f>
        <v>USDOIS30Y_Quote</v>
      </c>
      <c r="Z32" s="70">
        <f>IFERROR(_xll.qlRateHelperRate(X32,Trigger),"")</f>
        <v>1.4460000000000002E-2</v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42573</v>
      </c>
      <c r="AC32" s="4">
        <f>IFERROR(_xll.qlRateHelperPillarDate(X32,Trigger),"")</f>
        <v>53531</v>
      </c>
      <c r="AD32" s="76">
        <v>0.63919847449619027</v>
      </c>
    </row>
    <row r="33" spans="1:30" ht="11.25" customHeight="1" x14ac:dyDescent="0.2">
      <c r="A33" s="60" t="s">
        <v>98</v>
      </c>
      <c r="B33" s="61" t="s">
        <v>69</v>
      </c>
      <c r="C33" s="62">
        <f t="shared" si="8"/>
        <v>2</v>
      </c>
      <c r="D33" s="198"/>
      <c r="E33" s="198"/>
      <c r="F33" s="198"/>
      <c r="G33" s="63" t="str">
        <f t="shared" si="5"/>
        <v>USDFedFunds</v>
      </c>
      <c r="H33" s="65" t="str">
        <f t="shared" si="6"/>
        <v>USDOIS23M_Quote</v>
      </c>
      <c r="I33" s="200"/>
      <c r="J33" s="175" t="str">
        <f>IF(P31,_xll.qlOISRateHelper(,C33,B33,H33,$G33,,Permanent,Trigger,ObjectOverwrite),"--")</f>
        <v>--</v>
      </c>
      <c r="L33" s="162" t="str">
        <f t="shared" si="2"/>
        <v>OIS</v>
      </c>
      <c r="M33" s="166" t="str">
        <f t="shared" si="3"/>
        <v>USDOIS27M_Quote</v>
      </c>
      <c r="N33" s="164" t="str">
        <f>IFERROR(_xll.qlQuoteValue(H35,Trigger),"--")</f>
        <v>--</v>
      </c>
      <c r="O33" s="167"/>
      <c r="P33" s="101" t="b">
        <v>0</v>
      </c>
      <c r="Q33" s="98">
        <v>50</v>
      </c>
      <c r="R33" s="98">
        <v>1</v>
      </c>
      <c r="S33" s="98" t="str">
        <f t="shared" si="4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>IFERROR(INDEX($L$3:$L$113,MATCH(Y33,$M$3:$M$113,0),1),"")</f>
        <v>OIS</v>
      </c>
      <c r="X33" s="3" t="str">
        <v>obj_002c8</v>
      </c>
      <c r="Y33" s="3" t="str">
        <f>IFERROR(_xll.qlRateHelperQuoteName(X33,Trigger),"")</f>
        <v>USDOIS40Y_Quote</v>
      </c>
      <c r="Z33" s="70">
        <f>IFERROR(_xll.qlRateHelperRate(X33,Trigger),"")</f>
        <v>1.464E-2</v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42573</v>
      </c>
      <c r="AC33" s="4">
        <f>IFERROR(_xll.qlRateHelperPillarDate(X33,Trigger),"")</f>
        <v>57185</v>
      </c>
      <c r="AD33" s="76">
        <v>0.54749572594719853</v>
      </c>
    </row>
    <row r="34" spans="1:30" ht="11.25" customHeight="1" x14ac:dyDescent="0.2">
      <c r="A34" s="60" t="s">
        <v>98</v>
      </c>
      <c r="B34" s="61" t="s">
        <v>70</v>
      </c>
      <c r="C34" s="62">
        <f t="shared" si="8"/>
        <v>2</v>
      </c>
      <c r="D34" s="198"/>
      <c r="E34" s="198"/>
      <c r="F34" s="198"/>
      <c r="G34" s="63" t="str">
        <f t="shared" si="5"/>
        <v>USDFedFunds</v>
      </c>
      <c r="H34" s="65" t="str">
        <f t="shared" si="6"/>
        <v>USDOIS2Y_Quote</v>
      </c>
      <c r="I34" s="200"/>
      <c r="J34" s="175" t="str">
        <f>IF(P32,_xll.qlOISRateHelper(,C34,B34,H34,$G34,,Permanent,Trigger,ObjectOverwrite),"--")</f>
        <v>obj_002c9#0004</v>
      </c>
      <c r="L34" s="162" t="str">
        <f t="shared" si="2"/>
        <v>OIS</v>
      </c>
      <c r="M34" s="166" t="str">
        <f t="shared" si="3"/>
        <v>USDOIS30M_Quote</v>
      </c>
      <c r="N34" s="164" t="str">
        <f>IFERROR(_xll.qlQuoteValue(H36,Trigger),"--")</f>
        <v>--</v>
      </c>
      <c r="O34" s="167"/>
      <c r="P34" s="101" t="b">
        <v>0</v>
      </c>
      <c r="Q34" s="98">
        <v>50</v>
      </c>
      <c r="R34" s="98">
        <v>1</v>
      </c>
      <c r="S34" s="98" t="str">
        <f t="shared" si="4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>IFERROR(INDEX($L$3:$L$113,MATCH(Y34,$M$3:$M$113,0),1),"")</f>
        <v>OIS</v>
      </c>
      <c r="X34" s="3" t="str">
        <v>obj_00287</v>
      </c>
      <c r="Y34" s="3" t="str">
        <f>IFERROR(_xll.qlRateHelperQuoteName(X34,Trigger),"")</f>
        <v>USDOIS50Y_Quote</v>
      </c>
      <c r="Z34" s="70">
        <f>IFERROR(_xll.qlRateHelperRate(X34,Trigger),"")</f>
        <v>1.4569999999999998E-2</v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>
        <f>IFERROR(_xll.qlRateHelperEarliestDate(X34,Trigger),"")</f>
        <v>42573</v>
      </c>
      <c r="AC34" s="4">
        <f>IFERROR(_xll.qlRateHelperPillarDate(X34,Trigger),"")</f>
        <v>60835</v>
      </c>
      <c r="AD34" s="76">
        <v>0.47485673829200542</v>
      </c>
    </row>
    <row r="35" spans="1:30" ht="11.25" customHeight="1" x14ac:dyDescent="0.2">
      <c r="A35" s="60" t="s">
        <v>98</v>
      </c>
      <c r="B35" s="61" t="s">
        <v>71</v>
      </c>
      <c r="C35" s="62">
        <f t="shared" si="8"/>
        <v>2</v>
      </c>
      <c r="D35" s="198"/>
      <c r="E35" s="198"/>
      <c r="F35" s="198"/>
      <c r="G35" s="63" t="str">
        <f t="shared" si="5"/>
        <v>USDFedFunds</v>
      </c>
      <c r="H35" s="65" t="str">
        <f t="shared" si="6"/>
        <v>USDOIS27M_Quote</v>
      </c>
      <c r="I35" s="200"/>
      <c r="J35" s="175" t="str">
        <f>IF(P33,_xll.qlOISRateHelper(,C35,B35,H35,$G35,,Permanent,Trigger,ObjectOverwrite),"--")</f>
        <v>--</v>
      </c>
      <c r="L35" s="162" t="str">
        <f t="shared" si="2"/>
        <v>OIS</v>
      </c>
      <c r="M35" s="166" t="str">
        <f t="shared" si="3"/>
        <v>USDOIS33M_Quote</v>
      </c>
      <c r="N35" s="164" t="str">
        <f>IFERROR(_xll.qlQuoteValue(H37,Trigger),"--")</f>
        <v>--</v>
      </c>
      <c r="O35" s="167"/>
      <c r="P35" s="101" t="b">
        <v>0</v>
      </c>
      <c r="Q35" s="98">
        <v>50</v>
      </c>
      <c r="R35" s="98">
        <v>1</v>
      </c>
      <c r="S35" s="98" t="str">
        <f t="shared" si="4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98" si="9">IFERROR(INDEX($L$3:$L$113,MATCH(Y35,$M$3:$M$113,0),1),"")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98</v>
      </c>
      <c r="B36" s="61" t="s">
        <v>72</v>
      </c>
      <c r="C36" s="62">
        <f t="shared" si="8"/>
        <v>2</v>
      </c>
      <c r="D36" s="198"/>
      <c r="E36" s="198"/>
      <c r="F36" s="198"/>
      <c r="G36" s="63" t="str">
        <f t="shared" si="5"/>
        <v>USDFedFunds</v>
      </c>
      <c r="H36" s="65" t="str">
        <f t="shared" si="6"/>
        <v>USDOIS30M_Quote</v>
      </c>
      <c r="I36" s="200"/>
      <c r="J36" s="175" t="str">
        <f>IF(P34,_xll.qlOISRateHelper(,C36,B36,H36,$G36,,Permanent,Trigger,ObjectOverwrite),"--")</f>
        <v>--</v>
      </c>
      <c r="L36" s="162" t="str">
        <f t="shared" si="2"/>
        <v>OIS</v>
      </c>
      <c r="M36" s="166" t="str">
        <f t="shared" si="3"/>
        <v>USDOIS3Y_Quote</v>
      </c>
      <c r="N36" s="164">
        <f>IFERROR(_xll.qlQuoteValue(H38,Trigger),"--")</f>
        <v>6.3699999999999998E-3</v>
      </c>
      <c r="O36" s="167"/>
      <c r="P36" s="101" t="b">
        <v>1</v>
      </c>
      <c r="Q36" s="98">
        <v>50</v>
      </c>
      <c r="R36" s="98">
        <v>1</v>
      </c>
      <c r="S36" s="98" t="str">
        <f t="shared" si="4"/>
        <v>obj_002c6#0004</v>
      </c>
      <c r="T36" s="102">
        <f>IFERROR(_xll.qlRateHelperEarliestDate(S36,Trigger),"--")</f>
        <v>42573</v>
      </c>
      <c r="U36" s="102">
        <f>IFERROR(_xll.qlRateHelperPillarDate(S36,Trigger),"--")</f>
        <v>43668</v>
      </c>
      <c r="W36" s="3" t="str">
        <f t="shared" si="9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98</v>
      </c>
      <c r="B37" s="61" t="s">
        <v>73</v>
      </c>
      <c r="C37" s="62">
        <f t="shared" si="8"/>
        <v>2</v>
      </c>
      <c r="D37" s="198"/>
      <c r="E37" s="198"/>
      <c r="F37" s="198"/>
      <c r="G37" s="63" t="str">
        <f t="shared" si="5"/>
        <v>USDFedFunds</v>
      </c>
      <c r="H37" s="65" t="str">
        <f t="shared" si="6"/>
        <v>USDOIS33M_Quote</v>
      </c>
      <c r="I37" s="200"/>
      <c r="J37" s="175" t="str">
        <f>IF(P35,_xll.qlOISRateHelper(,C37,B37,H37,$G37,,Permanent,Trigger,ObjectOverwrite),"--")</f>
        <v>--</v>
      </c>
      <c r="L37" s="162" t="str">
        <f t="shared" si="2"/>
        <v>OIS</v>
      </c>
      <c r="M37" s="166" t="str">
        <f t="shared" si="3"/>
        <v>USDOIS39M_Quote</v>
      </c>
      <c r="N37" s="164" t="str">
        <f>IFERROR(_xll.qlQuoteValue(H39,Trigger),"--")</f>
        <v>--</v>
      </c>
      <c r="O37" s="167"/>
      <c r="P37" s="101" t="b">
        <v>0</v>
      </c>
      <c r="Q37" s="98">
        <v>50</v>
      </c>
      <c r="R37" s="98">
        <v>1</v>
      </c>
      <c r="S37" s="98" t="str">
        <f t="shared" si="4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9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98</v>
      </c>
      <c r="B38" s="61" t="s">
        <v>74</v>
      </c>
      <c r="C38" s="62">
        <f t="shared" si="8"/>
        <v>2</v>
      </c>
      <c r="D38" s="198"/>
      <c r="E38" s="198"/>
      <c r="F38" s="198"/>
      <c r="G38" s="63" t="str">
        <f t="shared" si="5"/>
        <v>USDFedFunds</v>
      </c>
      <c r="H38" s="65" t="str">
        <f t="shared" si="6"/>
        <v>USDOIS3Y_Quote</v>
      </c>
      <c r="I38" s="200"/>
      <c r="J38" s="175" t="str">
        <f>IF(P36,_xll.qlOISRateHelper(,C38,B38,H38,$G38,,Permanent,Trigger,ObjectOverwrite),"--")</f>
        <v>obj_002c6#0004</v>
      </c>
      <c r="L38" s="162" t="str">
        <f t="shared" ref="L38:L55" si="10">A40</f>
        <v>OIS</v>
      </c>
      <c r="M38" s="166" t="str">
        <f t="shared" si="3"/>
        <v>USDOIS42M_Quote</v>
      </c>
      <c r="N38" s="164" t="str">
        <f>IFERROR(_xll.qlQuoteValue(H40,Trigger),"--")</f>
        <v>--</v>
      </c>
      <c r="O38" s="167"/>
      <c r="P38" s="101" t="b">
        <v>0</v>
      </c>
      <c r="Q38" s="98">
        <v>50</v>
      </c>
      <c r="R38" s="98">
        <v>1</v>
      </c>
      <c r="S38" s="98" t="str">
        <f t="shared" si="4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9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98</v>
      </c>
      <c r="B39" s="61" t="s">
        <v>75</v>
      </c>
      <c r="C39" s="62">
        <f t="shared" si="8"/>
        <v>2</v>
      </c>
      <c r="D39" s="198"/>
      <c r="E39" s="198"/>
      <c r="F39" s="198"/>
      <c r="G39" s="63" t="str">
        <f t="shared" si="5"/>
        <v>USDFedFunds</v>
      </c>
      <c r="H39" s="65" t="str">
        <f t="shared" si="6"/>
        <v>USDOIS39M_Quote</v>
      </c>
      <c r="I39" s="200"/>
      <c r="J39" s="175" t="str">
        <f>IF(P37,_xll.qlOISRateHelper(,C39,B39,H39,$G39,,Permanent,Trigger,ObjectOverwrite),"--")</f>
        <v>--</v>
      </c>
      <c r="L39" s="162" t="str">
        <f t="shared" si="10"/>
        <v>OIS</v>
      </c>
      <c r="M39" s="166" t="str">
        <f t="shared" si="3"/>
        <v>USDOIS45M_Quote</v>
      </c>
      <c r="N39" s="164" t="str">
        <f>IFERROR(_xll.qlQuoteValue(H41,Trigger),"--")</f>
        <v>--</v>
      </c>
      <c r="O39" s="167"/>
      <c r="P39" s="101" t="b">
        <v>0</v>
      </c>
      <c r="Q39" s="98">
        <v>50</v>
      </c>
      <c r="R39" s="98">
        <v>1</v>
      </c>
      <c r="S39" s="98" t="str">
        <f t="shared" si="4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9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98</v>
      </c>
      <c r="B40" s="61" t="s">
        <v>76</v>
      </c>
      <c r="C40" s="62">
        <f t="shared" si="8"/>
        <v>2</v>
      </c>
      <c r="D40" s="198"/>
      <c r="E40" s="198"/>
      <c r="F40" s="198"/>
      <c r="G40" s="63" t="str">
        <f t="shared" ref="G40:G61" si="11">Currency&amp;Tenor</f>
        <v>USDFedFunds</v>
      </c>
      <c r="H40" s="65" t="str">
        <f t="shared" ref="H40:H61" si="12">Currency&amp;$A40&amp;IF($B40="1W","SW",$B40)&amp;QuoteSuffix</f>
        <v>USDOIS42M_Quote</v>
      </c>
      <c r="I40" s="200"/>
      <c r="J40" s="175" t="str">
        <f>IF(P38,_xll.qlOISRateHelper(,C40,B40,H40,$G40,,Permanent,Trigger,ObjectOverwrite),"--")</f>
        <v>--</v>
      </c>
      <c r="L40" s="162" t="str">
        <f t="shared" si="10"/>
        <v>OIS</v>
      </c>
      <c r="M40" s="166" t="str">
        <f t="shared" si="3"/>
        <v>USDOIS4Y_Quote</v>
      </c>
      <c r="N40" s="164">
        <f>IFERROR(_xll.qlQuoteValue(H42,Trigger),"--")</f>
        <v>6.9500000000000004E-3</v>
      </c>
      <c r="O40" s="167"/>
      <c r="P40" s="101" t="b">
        <v>1</v>
      </c>
      <c r="Q40" s="98">
        <v>50</v>
      </c>
      <c r="R40" s="98">
        <v>1</v>
      </c>
      <c r="S40" s="98" t="str">
        <f t="shared" si="4"/>
        <v>obj_002ba#0004</v>
      </c>
      <c r="T40" s="102">
        <f>IFERROR(_xll.qlRateHelperEarliestDate(S40,Trigger),"--")</f>
        <v>42573</v>
      </c>
      <c r="U40" s="102">
        <f>IFERROR(_xll.qlRateHelperPillarDate(S40,Trigger),"--")</f>
        <v>44034</v>
      </c>
      <c r="W40" s="3" t="str">
        <f t="shared" si="9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98</v>
      </c>
      <c r="B41" s="61" t="s">
        <v>77</v>
      </c>
      <c r="C41" s="62">
        <f t="shared" si="8"/>
        <v>2</v>
      </c>
      <c r="D41" s="198"/>
      <c r="E41" s="198"/>
      <c r="F41" s="198"/>
      <c r="G41" s="63" t="str">
        <f t="shared" si="11"/>
        <v>USDFedFunds</v>
      </c>
      <c r="H41" s="65" t="str">
        <f t="shared" si="12"/>
        <v>USDOIS45M_Quote</v>
      </c>
      <c r="I41" s="200"/>
      <c r="J41" s="175" t="str">
        <f>IF(P39,_xll.qlOISRateHelper(,C41,B41,H41,$G41,,Permanent,Trigger,ObjectOverwrite),"--")</f>
        <v>--</v>
      </c>
      <c r="L41" s="162" t="str">
        <f t="shared" si="10"/>
        <v>OIS</v>
      </c>
      <c r="M41" s="166" t="str">
        <f t="shared" si="3"/>
        <v>USDOIS51M_Quote</v>
      </c>
      <c r="N41" s="164" t="str">
        <f>IFERROR(_xll.qlQuoteValue(H43,Trigger),"--")</f>
        <v>--</v>
      </c>
      <c r="O41" s="167"/>
      <c r="P41" s="101" t="b">
        <v>0</v>
      </c>
      <c r="Q41" s="98">
        <v>50</v>
      </c>
      <c r="R41" s="98">
        <v>1</v>
      </c>
      <c r="S41" s="98" t="str">
        <f t="shared" si="4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9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98</v>
      </c>
      <c r="B42" s="61" t="s">
        <v>78</v>
      </c>
      <c r="C42" s="62">
        <f t="shared" si="8"/>
        <v>2</v>
      </c>
      <c r="D42" s="198"/>
      <c r="E42" s="198"/>
      <c r="F42" s="198"/>
      <c r="G42" s="63" t="str">
        <f t="shared" si="11"/>
        <v>USDFedFunds</v>
      </c>
      <c r="H42" s="65" t="str">
        <f t="shared" si="12"/>
        <v>USDOIS4Y_Quote</v>
      </c>
      <c r="I42" s="200"/>
      <c r="J42" s="175" t="str">
        <f>IF(P40,_xll.qlOISRateHelper(,C42,B42,H42,$G42,,Permanent,Trigger,ObjectOverwrite),"--")</f>
        <v>obj_002ba#0004</v>
      </c>
      <c r="L42" s="162" t="str">
        <f t="shared" si="10"/>
        <v>OIS</v>
      </c>
      <c r="M42" s="166" t="str">
        <f t="shared" si="3"/>
        <v>USDOIS54M_Quote</v>
      </c>
      <c r="N42" s="164" t="str">
        <f>IFERROR(_xll.qlQuoteValue(H44,Trigger),"--")</f>
        <v>--</v>
      </c>
      <c r="O42" s="167"/>
      <c r="P42" s="101" t="b">
        <v>0</v>
      </c>
      <c r="Q42" s="98">
        <v>50</v>
      </c>
      <c r="R42" s="98">
        <v>1</v>
      </c>
      <c r="S42" s="98" t="str">
        <f t="shared" si="4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9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98</v>
      </c>
      <c r="B43" s="61" t="s">
        <v>79</v>
      </c>
      <c r="C43" s="62">
        <f t="shared" si="8"/>
        <v>2</v>
      </c>
      <c r="D43" s="198"/>
      <c r="E43" s="198"/>
      <c r="F43" s="198"/>
      <c r="G43" s="63" t="str">
        <f t="shared" si="11"/>
        <v>USDFedFunds</v>
      </c>
      <c r="H43" s="65" t="str">
        <f t="shared" si="12"/>
        <v>USDOIS51M_Quote</v>
      </c>
      <c r="I43" s="200"/>
      <c r="J43" s="175" t="str">
        <f>IF(P41,_xll.qlOISRateHelper(,C43,B43,H43,$G43,,Permanent,Trigger,ObjectOverwrite),"--")</f>
        <v>--</v>
      </c>
      <c r="L43" s="162" t="str">
        <f t="shared" si="10"/>
        <v>OIS</v>
      </c>
      <c r="M43" s="166" t="str">
        <f t="shared" si="3"/>
        <v>USDOIS57M_Quote</v>
      </c>
      <c r="N43" s="164" t="str">
        <f>IFERROR(_xll.qlQuoteValue(H45,Trigger),"--")</f>
        <v>--</v>
      </c>
      <c r="O43" s="167"/>
      <c r="P43" s="101" t="b">
        <v>0</v>
      </c>
      <c r="Q43" s="98">
        <v>50</v>
      </c>
      <c r="R43" s="98">
        <v>1</v>
      </c>
      <c r="S43" s="98" t="str">
        <f t="shared" si="4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9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98</v>
      </c>
      <c r="B44" s="61" t="s">
        <v>80</v>
      </c>
      <c r="C44" s="62">
        <f t="shared" si="8"/>
        <v>2</v>
      </c>
      <c r="D44" s="198"/>
      <c r="E44" s="198"/>
      <c r="F44" s="198"/>
      <c r="G44" s="63" t="str">
        <f t="shared" si="11"/>
        <v>USDFedFunds</v>
      </c>
      <c r="H44" s="65" t="str">
        <f t="shared" si="12"/>
        <v>USDOIS54M_Quote</v>
      </c>
      <c r="I44" s="200"/>
      <c r="J44" s="175" t="str">
        <f>IF(P42,_xll.qlOISRateHelper(,C44,B44,H44,$G44,,Permanent,Trigger,ObjectOverwrite),"--")</f>
        <v>--</v>
      </c>
      <c r="L44" s="162" t="str">
        <f t="shared" si="10"/>
        <v>OIS</v>
      </c>
      <c r="M44" s="166" t="str">
        <f t="shared" si="3"/>
        <v>USDOIS5Y_Quote</v>
      </c>
      <c r="N44" s="164">
        <f>IFERROR(_xll.qlQuoteValue(H46,Trigger),"--")</f>
        <v>7.5300000000000002E-3</v>
      </c>
      <c r="O44" s="167"/>
      <c r="P44" s="101" t="b">
        <v>1</v>
      </c>
      <c r="Q44" s="98">
        <v>50</v>
      </c>
      <c r="R44" s="98">
        <v>1</v>
      </c>
      <c r="S44" s="98" t="str">
        <f t="shared" si="4"/>
        <v>obj_002a2#0004</v>
      </c>
      <c r="T44" s="102">
        <f>IFERROR(_xll.qlRateHelperEarliestDate(S44,Trigger),"--")</f>
        <v>42573</v>
      </c>
      <c r="U44" s="102">
        <f>IFERROR(_xll.qlRateHelperPillarDate(S44,Trigger),"--")</f>
        <v>44399</v>
      </c>
      <c r="W44" s="3" t="str">
        <f t="shared" si="9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98</v>
      </c>
      <c r="B45" s="61" t="s">
        <v>81</v>
      </c>
      <c r="C45" s="62">
        <f t="shared" si="8"/>
        <v>2</v>
      </c>
      <c r="D45" s="198"/>
      <c r="E45" s="198"/>
      <c r="F45" s="198"/>
      <c r="G45" s="63" t="str">
        <f t="shared" si="11"/>
        <v>USDFedFunds</v>
      </c>
      <c r="H45" s="65" t="str">
        <f t="shared" si="12"/>
        <v>USDOIS57M_Quote</v>
      </c>
      <c r="I45" s="200"/>
      <c r="J45" s="175" t="str">
        <f>IF(P43,_xll.qlOISRateHelper(,C45,B45,H45,$G45,,Permanent,Trigger,ObjectOverwrite),"--")</f>
        <v>--</v>
      </c>
      <c r="L45" s="162" t="str">
        <f t="shared" si="10"/>
        <v>OIS</v>
      </c>
      <c r="M45" s="166" t="str">
        <f t="shared" si="3"/>
        <v>USDOIS6Y_Quote</v>
      </c>
      <c r="N45" s="164">
        <f>IFERROR(_xll.qlQuoteValue(H47,Trigger),"--")</f>
        <v>8.1700000000000002E-3</v>
      </c>
      <c r="O45" s="167"/>
      <c r="P45" s="101" t="b">
        <v>1</v>
      </c>
      <c r="Q45" s="98">
        <v>50</v>
      </c>
      <c r="R45" s="98">
        <v>1</v>
      </c>
      <c r="S45" s="98" t="str">
        <f t="shared" si="4"/>
        <v>obj_002bb#0004</v>
      </c>
      <c r="T45" s="102">
        <f>IFERROR(_xll.qlRateHelperEarliestDate(S45,Trigger),"--")</f>
        <v>42573</v>
      </c>
      <c r="U45" s="102">
        <f>IFERROR(_xll.qlRateHelperPillarDate(S45,Trigger),"--")</f>
        <v>44764</v>
      </c>
      <c r="W45" s="3" t="str">
        <f t="shared" si="9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98</v>
      </c>
      <c r="B46" s="61" t="s">
        <v>82</v>
      </c>
      <c r="C46" s="62">
        <f t="shared" si="8"/>
        <v>2</v>
      </c>
      <c r="D46" s="198"/>
      <c r="E46" s="198"/>
      <c r="F46" s="198"/>
      <c r="G46" s="63" t="str">
        <f t="shared" si="11"/>
        <v>USDFedFunds</v>
      </c>
      <c r="H46" s="65" t="str">
        <f t="shared" si="12"/>
        <v>USDOIS5Y_Quote</v>
      </c>
      <c r="I46" s="200"/>
      <c r="J46" s="175" t="str">
        <f>IF(P44,_xll.qlOISRateHelper(,C46,B46,H46,$G46,,Permanent,Trigger,ObjectOverwrite),"--")</f>
        <v>obj_002a2#0004</v>
      </c>
      <c r="L46" s="162" t="str">
        <f t="shared" si="10"/>
        <v>OIS</v>
      </c>
      <c r="M46" s="166" t="str">
        <f t="shared" si="3"/>
        <v>USDOIS7Y_Quote</v>
      </c>
      <c r="N46" s="164">
        <f>IFERROR(_xll.qlQuoteValue(H48,Trigger),"--")</f>
        <v>8.7899999999999992E-3</v>
      </c>
      <c r="O46" s="167"/>
      <c r="P46" s="101" t="b">
        <v>1</v>
      </c>
      <c r="Q46" s="98">
        <v>50</v>
      </c>
      <c r="R46" s="98">
        <v>1</v>
      </c>
      <c r="S46" s="98" t="str">
        <f t="shared" si="4"/>
        <v>obj_002b7#0004</v>
      </c>
      <c r="T46" s="102">
        <f>IFERROR(_xll.qlRateHelperEarliestDate(S46,Trigger),"--")</f>
        <v>42573</v>
      </c>
      <c r="U46" s="102">
        <f>IFERROR(_xll.qlRateHelperPillarDate(S46,Trigger),"--")</f>
        <v>45131</v>
      </c>
      <c r="W46" s="3" t="str">
        <f t="shared" si="9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98</v>
      </c>
      <c r="B47" s="61" t="s">
        <v>83</v>
      </c>
      <c r="C47" s="62">
        <f t="shared" si="8"/>
        <v>2</v>
      </c>
      <c r="D47" s="198"/>
      <c r="E47" s="198"/>
      <c r="F47" s="198"/>
      <c r="G47" s="63" t="str">
        <f t="shared" si="11"/>
        <v>USDFedFunds</v>
      </c>
      <c r="H47" s="65" t="str">
        <f t="shared" si="12"/>
        <v>USDOIS6Y_Quote</v>
      </c>
      <c r="I47" s="200"/>
      <c r="J47" s="175" t="str">
        <f>IF(P45,_xll.qlOISRateHelper(,C47,B47,H47,$G47,,Permanent,Trigger,ObjectOverwrite),"--")</f>
        <v>obj_002bb#0004</v>
      </c>
      <c r="L47" s="162" t="str">
        <f t="shared" si="10"/>
        <v>OIS</v>
      </c>
      <c r="M47" s="166" t="str">
        <f t="shared" si="3"/>
        <v>USDOIS8Y_Quote</v>
      </c>
      <c r="N47" s="164">
        <f>IFERROR(_xll.qlQuoteValue(H49,Trigger),"--")</f>
        <v>9.3600000000000003E-3</v>
      </c>
      <c r="O47" s="167"/>
      <c r="P47" s="101" t="b">
        <v>1</v>
      </c>
      <c r="Q47" s="98">
        <v>50</v>
      </c>
      <c r="R47" s="98">
        <v>1</v>
      </c>
      <c r="S47" s="98" t="str">
        <f t="shared" si="4"/>
        <v>obj_002a3#0004</v>
      </c>
      <c r="T47" s="102">
        <f>IFERROR(_xll.qlRateHelperEarliestDate(S47,Trigger),"--")</f>
        <v>42573</v>
      </c>
      <c r="U47" s="102">
        <f>IFERROR(_xll.qlRateHelperPillarDate(S47,Trigger),"--")</f>
        <v>45495</v>
      </c>
      <c r="W47" s="3" t="str">
        <f t="shared" si="9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98</v>
      </c>
      <c r="B48" s="61" t="s">
        <v>84</v>
      </c>
      <c r="C48" s="62">
        <f t="shared" si="8"/>
        <v>2</v>
      </c>
      <c r="D48" s="198"/>
      <c r="E48" s="198"/>
      <c r="F48" s="198"/>
      <c r="G48" s="63" t="str">
        <f t="shared" si="11"/>
        <v>USDFedFunds</v>
      </c>
      <c r="H48" s="65" t="str">
        <f t="shared" si="12"/>
        <v>USDOIS7Y_Quote</v>
      </c>
      <c r="I48" s="200"/>
      <c r="J48" s="175" t="str">
        <f>IF(P46,_xll.qlOISRateHelper(,C48,B48,H48,$G48,,Permanent,Trigger,ObjectOverwrite),"--")</f>
        <v>obj_002b7#0004</v>
      </c>
      <c r="L48" s="162" t="str">
        <f t="shared" si="10"/>
        <v>OIS</v>
      </c>
      <c r="M48" s="166" t="str">
        <f t="shared" si="3"/>
        <v>USDOIS9Y_Quote</v>
      </c>
      <c r="N48" s="164">
        <f>IFERROR(_xll.qlQuoteValue(H50,Trigger),"--")</f>
        <v>9.8899999999999995E-3</v>
      </c>
      <c r="O48" s="167"/>
      <c r="P48" s="101" t="b">
        <v>1</v>
      </c>
      <c r="Q48" s="98">
        <v>50</v>
      </c>
      <c r="R48" s="98">
        <v>1</v>
      </c>
      <c r="S48" s="98" t="str">
        <f t="shared" si="4"/>
        <v>obj_002a1#0004</v>
      </c>
      <c r="T48" s="102">
        <f>IFERROR(_xll.qlRateHelperEarliestDate(S48,Trigger),"--")</f>
        <v>42573</v>
      </c>
      <c r="U48" s="102">
        <f>IFERROR(_xll.qlRateHelperPillarDate(S48,Trigger),"--")</f>
        <v>45860</v>
      </c>
      <c r="W48" s="3" t="str">
        <f t="shared" si="9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98</v>
      </c>
      <c r="B49" s="61" t="s">
        <v>85</v>
      </c>
      <c r="C49" s="62">
        <f t="shared" si="8"/>
        <v>2</v>
      </c>
      <c r="D49" s="198"/>
      <c r="E49" s="198"/>
      <c r="F49" s="198"/>
      <c r="G49" s="63" t="str">
        <f t="shared" si="11"/>
        <v>USDFedFunds</v>
      </c>
      <c r="H49" s="65" t="str">
        <f t="shared" si="12"/>
        <v>USDOIS8Y_Quote</v>
      </c>
      <c r="I49" s="200"/>
      <c r="J49" s="175" t="str">
        <f>IF(P47,_xll.qlOISRateHelper(,C49,B49,H49,$G49,,Permanent,Trigger,ObjectOverwrite),"--")</f>
        <v>obj_002a3#0004</v>
      </c>
      <c r="L49" s="162" t="str">
        <f t="shared" si="10"/>
        <v>OIS</v>
      </c>
      <c r="M49" s="166" t="str">
        <f t="shared" si="3"/>
        <v>USDOIS10Y_Quote</v>
      </c>
      <c r="N49" s="164">
        <f>IFERROR(_xll.qlQuoteValue(H51,Trigger),"--")</f>
        <v>1.0409999999999999E-2</v>
      </c>
      <c r="O49" s="167"/>
      <c r="P49" s="101" t="b">
        <v>1</v>
      </c>
      <c r="Q49" s="98">
        <v>50</v>
      </c>
      <c r="R49" s="98">
        <v>1</v>
      </c>
      <c r="S49" s="98" t="str">
        <f t="shared" si="4"/>
        <v>obj_0029d#0004</v>
      </c>
      <c r="T49" s="102">
        <f>IFERROR(_xll.qlRateHelperEarliestDate(S49,Trigger),"--")</f>
        <v>42573</v>
      </c>
      <c r="U49" s="102">
        <f>IFERROR(_xll.qlRateHelperPillarDate(S49,Trigger),"--")</f>
        <v>46225</v>
      </c>
      <c r="W49" s="3" t="str">
        <f t="shared" si="9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98</v>
      </c>
      <c r="B50" s="61" t="s">
        <v>86</v>
      </c>
      <c r="C50" s="62">
        <f t="shared" si="8"/>
        <v>2</v>
      </c>
      <c r="D50" s="198"/>
      <c r="E50" s="198"/>
      <c r="F50" s="198"/>
      <c r="G50" s="63" t="str">
        <f t="shared" si="11"/>
        <v>USDFedFunds</v>
      </c>
      <c r="H50" s="65" t="str">
        <f t="shared" si="12"/>
        <v>USDOIS9Y_Quote</v>
      </c>
      <c r="I50" s="200"/>
      <c r="J50" s="175" t="str">
        <f>IF(P48,_xll.qlOISRateHelper(,C50,B50,H50,$G50,,Permanent,Trigger,ObjectOverwrite),"--")</f>
        <v>obj_002a1#0004</v>
      </c>
      <c r="L50" s="162" t="str">
        <f t="shared" si="10"/>
        <v>OIS</v>
      </c>
      <c r="M50" s="166" t="str">
        <f t="shared" si="3"/>
        <v>USDOIS12Y_Quote</v>
      </c>
      <c r="N50" s="164">
        <f>IFERROR(_xll.qlQuoteValue(H52,Trigger),"--")</f>
        <v>1.1339999999999999E-2</v>
      </c>
      <c r="O50" s="167"/>
      <c r="P50" s="101" t="b">
        <v>1</v>
      </c>
      <c r="Q50" s="98">
        <v>50</v>
      </c>
      <c r="R50" s="98">
        <v>1</v>
      </c>
      <c r="S50" s="98" t="str">
        <f t="shared" si="4"/>
        <v>obj_002bd#0004</v>
      </c>
      <c r="T50" s="102">
        <f>IFERROR(_xll.qlRateHelperEarliestDate(S50,Trigger),"--")</f>
        <v>42573</v>
      </c>
      <c r="U50" s="102">
        <f>IFERROR(_xll.qlRateHelperPillarDate(S50,Trigger),"--")</f>
        <v>46958</v>
      </c>
      <c r="W50" s="3" t="str">
        <f t="shared" si="9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98</v>
      </c>
      <c r="B51" s="61" t="s">
        <v>87</v>
      </c>
      <c r="C51" s="62">
        <f t="shared" si="8"/>
        <v>2</v>
      </c>
      <c r="D51" s="198"/>
      <c r="E51" s="198"/>
      <c r="F51" s="198"/>
      <c r="G51" s="63" t="str">
        <f t="shared" si="11"/>
        <v>USDFedFunds</v>
      </c>
      <c r="H51" s="65" t="str">
        <f t="shared" si="12"/>
        <v>USDOIS10Y_Quote</v>
      </c>
      <c r="I51" s="200"/>
      <c r="J51" s="175" t="str">
        <f>IF(P49,_xll.qlOISRateHelper(,C51,B51,H51,$G51,,Permanent,Trigger,ObjectOverwrite),"--")</f>
        <v>obj_0029d#0004</v>
      </c>
      <c r="L51" s="162" t="str">
        <f t="shared" si="10"/>
        <v>OIS</v>
      </c>
      <c r="M51" s="166" t="str">
        <f t="shared" si="3"/>
        <v>USDOIS15Y_Quote</v>
      </c>
      <c r="N51" s="164">
        <f>IFERROR(_xll.qlQuoteValue(H53,Trigger),"--")</f>
        <v>1.242E-2</v>
      </c>
      <c r="O51" s="167"/>
      <c r="P51" s="101" t="b">
        <v>1</v>
      </c>
      <c r="Q51" s="98">
        <v>50</v>
      </c>
      <c r="R51" s="98">
        <v>1</v>
      </c>
      <c r="S51" s="98" t="str">
        <f t="shared" si="4"/>
        <v>obj_002ab#0004</v>
      </c>
      <c r="T51" s="102">
        <f>IFERROR(_xll.qlRateHelperEarliestDate(S51,Trigger),"--")</f>
        <v>42573</v>
      </c>
      <c r="U51" s="102">
        <f>IFERROR(_xll.qlRateHelperPillarDate(S51,Trigger),"--")</f>
        <v>48051</v>
      </c>
      <c r="W51" s="3" t="str">
        <f t="shared" si="9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4" t="e">
        <v>#N/A</v>
      </c>
    </row>
    <row r="52" spans="1:30" ht="11.25" customHeight="1" x14ac:dyDescent="0.2">
      <c r="A52" s="60" t="s">
        <v>98</v>
      </c>
      <c r="B52" s="61" t="s">
        <v>88</v>
      </c>
      <c r="C52" s="62">
        <f t="shared" si="8"/>
        <v>2</v>
      </c>
      <c r="D52" s="198"/>
      <c r="E52" s="198"/>
      <c r="F52" s="198"/>
      <c r="G52" s="63" t="str">
        <f t="shared" si="11"/>
        <v>USDFedFunds</v>
      </c>
      <c r="H52" s="65" t="str">
        <f t="shared" si="12"/>
        <v>USDOIS12Y_Quote</v>
      </c>
      <c r="I52" s="200"/>
      <c r="J52" s="175" t="str">
        <f>IF(P50,_xll.qlOISRateHelper(,C52,B52,H52,$G52,,Permanent,Trigger,ObjectOverwrite),"--")</f>
        <v>obj_002bd#0004</v>
      </c>
      <c r="L52" s="162" t="str">
        <f t="shared" si="10"/>
        <v>OIS</v>
      </c>
      <c r="M52" s="166" t="str">
        <f t="shared" si="3"/>
        <v>USDOIS20Y_Quote</v>
      </c>
      <c r="N52" s="164">
        <f>IFERROR(_xll.qlQuoteValue(H54,Trigger),"--")</f>
        <v>1.3580000000000002E-2</v>
      </c>
      <c r="O52" s="167"/>
      <c r="P52" s="101" t="b">
        <v>1</v>
      </c>
      <c r="Q52" s="98">
        <v>50</v>
      </c>
      <c r="R52" s="98">
        <v>1</v>
      </c>
      <c r="S52" s="98" t="str">
        <f t="shared" si="4"/>
        <v>obj_002b8#0004</v>
      </c>
      <c r="T52" s="102">
        <f>IFERROR(_xll.qlRateHelperEarliestDate(S52,Trigger),"--")</f>
        <v>42573</v>
      </c>
      <c r="U52" s="102">
        <f>IFERROR(_xll.qlRateHelperPillarDate(S52,Trigger),"--")</f>
        <v>49878</v>
      </c>
      <c r="W52" s="3" t="str">
        <f t="shared" si="9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4" t="e">
        <v>#N/A</v>
      </c>
    </row>
    <row r="53" spans="1:30" ht="11.25" customHeight="1" x14ac:dyDescent="0.2">
      <c r="A53" s="60" t="s">
        <v>98</v>
      </c>
      <c r="B53" s="61" t="s">
        <v>89</v>
      </c>
      <c r="C53" s="62">
        <f t="shared" si="8"/>
        <v>2</v>
      </c>
      <c r="D53" s="198"/>
      <c r="E53" s="198"/>
      <c r="F53" s="198"/>
      <c r="G53" s="63" t="str">
        <f t="shared" si="11"/>
        <v>USDFedFunds</v>
      </c>
      <c r="H53" s="65" t="str">
        <f t="shared" si="12"/>
        <v>USDOIS15Y_Quote</v>
      </c>
      <c r="I53" s="200"/>
      <c r="J53" s="175" t="str">
        <f>IF(P51,_xll.qlOISRateHelper(,C53,B53,H53,$G53,,Permanent,Trigger,ObjectOverwrite),"--")</f>
        <v>obj_002ab#0004</v>
      </c>
      <c r="L53" s="162" t="str">
        <f t="shared" si="10"/>
        <v>OIS</v>
      </c>
      <c r="M53" s="166" t="str">
        <f t="shared" si="3"/>
        <v>USDOIS25Y_Quote</v>
      </c>
      <c r="N53" s="164">
        <f>IFERROR(_xll.qlQuoteValue(H55,Trigger),"--")</f>
        <v>1.4140000000000002E-2</v>
      </c>
      <c r="O53" s="167"/>
      <c r="P53" s="101" t="b">
        <v>1</v>
      </c>
      <c r="Q53" s="98">
        <v>50</v>
      </c>
      <c r="R53" s="98">
        <v>1</v>
      </c>
      <c r="S53" s="98" t="str">
        <f t="shared" si="4"/>
        <v>obj_002b6#0004</v>
      </c>
      <c r="T53" s="102">
        <f>IFERROR(_xll.qlRateHelperEarliestDate(S53,Trigger),"--")</f>
        <v>42573</v>
      </c>
      <c r="U53" s="102">
        <f>IFERROR(_xll.qlRateHelperPillarDate(S53,Trigger),"--")</f>
        <v>51704</v>
      </c>
      <c r="W53" s="3" t="str">
        <f t="shared" si="9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4" t="e">
        <v>#N/A</v>
      </c>
    </row>
    <row r="54" spans="1:30" ht="11.25" customHeight="1" x14ac:dyDescent="0.2">
      <c r="A54" s="60" t="s">
        <v>98</v>
      </c>
      <c r="B54" s="61" t="s">
        <v>90</v>
      </c>
      <c r="C54" s="62">
        <f t="shared" si="8"/>
        <v>2</v>
      </c>
      <c r="D54" s="198"/>
      <c r="E54" s="198"/>
      <c r="F54" s="198"/>
      <c r="G54" s="63" t="str">
        <f t="shared" si="11"/>
        <v>USDFedFunds</v>
      </c>
      <c r="H54" s="65" t="str">
        <f t="shared" si="12"/>
        <v>USDOIS20Y_Quote</v>
      </c>
      <c r="I54" s="200"/>
      <c r="J54" s="175" t="str">
        <f>IF(P52,_xll.qlOISRateHelper(,C54,B54,H54,$G54,,Permanent,Trigger,ObjectOverwrite),"--")</f>
        <v>obj_002b8#0004</v>
      </c>
      <c r="L54" s="162" t="str">
        <f t="shared" si="10"/>
        <v>OIS</v>
      </c>
      <c r="M54" s="166" t="str">
        <f t="shared" si="3"/>
        <v>USDOIS27Y_Quote</v>
      </c>
      <c r="N54" s="164" t="str">
        <f>IFERROR(_xll.qlQuoteValue(H56,Trigger),"--")</f>
        <v>--</v>
      </c>
      <c r="O54" s="167"/>
      <c r="P54" s="101" t="b">
        <v>0</v>
      </c>
      <c r="Q54" s="98">
        <v>50</v>
      </c>
      <c r="R54" s="98">
        <v>1</v>
      </c>
      <c r="S54" s="98" t="str">
        <f t="shared" si="4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9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4" t="e">
        <v>#N/A</v>
      </c>
    </row>
    <row r="55" spans="1:30" ht="11.25" customHeight="1" x14ac:dyDescent="0.2">
      <c r="A55" s="60" t="s">
        <v>98</v>
      </c>
      <c r="B55" s="61" t="s">
        <v>91</v>
      </c>
      <c r="C55" s="62">
        <f t="shared" si="8"/>
        <v>2</v>
      </c>
      <c r="D55" s="198"/>
      <c r="E55" s="198"/>
      <c r="F55" s="198"/>
      <c r="G55" s="63" t="str">
        <f t="shared" si="11"/>
        <v>USDFedFunds</v>
      </c>
      <c r="H55" s="65" t="str">
        <f t="shared" si="12"/>
        <v>USDOIS25Y_Quote</v>
      </c>
      <c r="I55" s="200"/>
      <c r="J55" s="175" t="str">
        <f>IF(P53,_xll.qlOISRateHelper(,C55,B55,H55,$G55,,Permanent,Trigger,ObjectOverwrite),"--")</f>
        <v>obj_002b6#0004</v>
      </c>
      <c r="L55" s="162" t="str">
        <f t="shared" si="10"/>
        <v>OIS</v>
      </c>
      <c r="M55" s="166" t="str">
        <f t="shared" si="3"/>
        <v>USDOIS30Y_Quote</v>
      </c>
      <c r="N55" s="164">
        <f>IFERROR(_xll.qlQuoteValue(H57,Trigger),"--")</f>
        <v>1.4460000000000002E-2</v>
      </c>
      <c r="O55" s="167"/>
      <c r="P55" s="101" t="b">
        <v>1</v>
      </c>
      <c r="Q55" s="98">
        <v>50</v>
      </c>
      <c r="R55" s="98">
        <v>1</v>
      </c>
      <c r="S55" s="98" t="str">
        <f t="shared" si="4"/>
        <v>obj_002b1#0004</v>
      </c>
      <c r="T55" s="102">
        <f>IFERROR(_xll.qlRateHelperEarliestDate(S55,Trigger),"--")</f>
        <v>42573</v>
      </c>
      <c r="U55" s="102">
        <f>IFERROR(_xll.qlRateHelperPillarDate(S55,Trigger),"--")</f>
        <v>53531</v>
      </c>
      <c r="W55" s="3" t="str">
        <f t="shared" si="9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4" t="e">
        <v>#N/A</v>
      </c>
    </row>
    <row r="56" spans="1:30" ht="11.25" customHeight="1" x14ac:dyDescent="0.2">
      <c r="A56" s="60" t="s">
        <v>98</v>
      </c>
      <c r="B56" s="61" t="s">
        <v>92</v>
      </c>
      <c r="C56" s="62">
        <f t="shared" si="8"/>
        <v>2</v>
      </c>
      <c r="D56" s="198"/>
      <c r="E56" s="198"/>
      <c r="F56" s="198"/>
      <c r="G56" s="63" t="str">
        <f t="shared" si="11"/>
        <v>USDFedFunds</v>
      </c>
      <c r="H56" s="65" t="str">
        <f t="shared" si="12"/>
        <v>USDOIS27Y_Quote</v>
      </c>
      <c r="I56" s="200"/>
      <c r="J56" s="175" t="str">
        <f>IF(P54,_xll.qlOISRateHelper(,C56,B56,H56,$G56,,Permanent,Trigger,ObjectOverwrite),"--")</f>
        <v>--</v>
      </c>
      <c r="L56" s="162" t="str">
        <f t="shared" ref="L56:L58" si="13">A58</f>
        <v>OIS</v>
      </c>
      <c r="M56" s="166" t="str">
        <f t="shared" si="3"/>
        <v>USDOIS35Y_Quote</v>
      </c>
      <c r="N56" s="164" t="str">
        <f>IFERROR(_xll.qlQuoteValue(H58,Trigger),"--")</f>
        <v>--</v>
      </c>
      <c r="O56" s="167"/>
      <c r="P56" s="101" t="b">
        <v>0</v>
      </c>
      <c r="Q56" s="98">
        <v>50</v>
      </c>
      <c r="R56" s="98">
        <v>1</v>
      </c>
      <c r="S56" s="98" t="str">
        <f t="shared" si="4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9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4" t="e">
        <v>#N/A</v>
      </c>
    </row>
    <row r="57" spans="1:30" ht="11.25" customHeight="1" x14ac:dyDescent="0.2">
      <c r="A57" s="60" t="s">
        <v>98</v>
      </c>
      <c r="B57" s="61" t="s">
        <v>93</v>
      </c>
      <c r="C57" s="62">
        <f t="shared" si="8"/>
        <v>2</v>
      </c>
      <c r="D57" s="198"/>
      <c r="E57" s="198"/>
      <c r="F57" s="198"/>
      <c r="G57" s="63" t="str">
        <f t="shared" si="11"/>
        <v>USDFedFunds</v>
      </c>
      <c r="H57" s="65" t="str">
        <f t="shared" si="12"/>
        <v>USDOIS30Y_Quote</v>
      </c>
      <c r="I57" s="200"/>
      <c r="J57" s="175" t="str">
        <f>IF(P55,_xll.qlOISRateHelper(,C57,B57,H57,$G57,,Permanent,Trigger,ObjectOverwrite),"--")</f>
        <v>obj_002b1#0004</v>
      </c>
      <c r="L57" s="162" t="str">
        <f t="shared" si="13"/>
        <v>OIS</v>
      </c>
      <c r="M57" s="166" t="str">
        <f t="shared" si="3"/>
        <v>USDOIS40Y_Quote</v>
      </c>
      <c r="N57" s="164">
        <f>IFERROR(_xll.qlQuoteValue(H59,Trigger),"--")</f>
        <v>1.4670000000000001E-2</v>
      </c>
      <c r="O57" s="167"/>
      <c r="P57" s="101" t="b">
        <v>1</v>
      </c>
      <c r="Q57" s="98">
        <v>50</v>
      </c>
      <c r="R57" s="98">
        <v>1</v>
      </c>
      <c r="S57" s="98" t="str">
        <f t="shared" si="4"/>
        <v>obj_002c8#0004</v>
      </c>
      <c r="T57" s="102">
        <f>IFERROR(_xll.qlRateHelperEarliestDate(S57,Trigger),"--")</f>
        <v>42573</v>
      </c>
      <c r="U57" s="102">
        <f>IFERROR(_xll.qlRateHelperPillarDate(S57,Trigger),"--")</f>
        <v>57185</v>
      </c>
      <c r="W57" s="3" t="str">
        <f t="shared" si="9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4" t="e">
        <v>#N/A</v>
      </c>
    </row>
    <row r="58" spans="1:30" ht="11.25" customHeight="1" x14ac:dyDescent="0.2">
      <c r="A58" s="60" t="s">
        <v>98</v>
      </c>
      <c r="B58" s="61" t="s">
        <v>94</v>
      </c>
      <c r="C58" s="62">
        <f t="shared" si="8"/>
        <v>2</v>
      </c>
      <c r="D58" s="198"/>
      <c r="E58" s="198"/>
      <c r="F58" s="198"/>
      <c r="G58" s="63" t="str">
        <f t="shared" si="11"/>
        <v>USDFedFunds</v>
      </c>
      <c r="H58" s="65" t="str">
        <f t="shared" si="12"/>
        <v>USDOIS35Y_Quote</v>
      </c>
      <c r="I58" s="200"/>
      <c r="J58" s="175" t="str">
        <f>IF(P56,_xll.qlOISRateHelper(,C58,B58,H58,$G58,,Permanent,Trigger,ObjectOverwrite),"--")</f>
        <v>--</v>
      </c>
      <c r="L58" s="162" t="str">
        <f t="shared" si="13"/>
        <v>OIS</v>
      </c>
      <c r="M58" s="166" t="str">
        <f t="shared" si="3"/>
        <v>USDOIS45Y_Quote</v>
      </c>
      <c r="N58" s="164">
        <f>IFERROR(_xll.qlQuoteValue(H60,Trigger),"--")</f>
        <v>1.4649999999999998E-2</v>
      </c>
      <c r="O58" s="167"/>
      <c r="P58" s="101" t="b">
        <v>0</v>
      </c>
      <c r="Q58" s="98">
        <v>50</v>
      </c>
      <c r="R58" s="98">
        <v>1</v>
      </c>
      <c r="S58" s="98" t="str">
        <f t="shared" si="4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9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4" t="e">
        <v>#N/A</v>
      </c>
    </row>
    <row r="59" spans="1:30" ht="11.25" customHeight="1" x14ac:dyDescent="0.2">
      <c r="A59" s="60" t="s">
        <v>98</v>
      </c>
      <c r="B59" s="61" t="s">
        <v>95</v>
      </c>
      <c r="C59" s="62">
        <f t="shared" si="8"/>
        <v>2</v>
      </c>
      <c r="D59" s="198"/>
      <c r="E59" s="198"/>
      <c r="F59" s="198"/>
      <c r="G59" s="63" t="str">
        <f t="shared" si="11"/>
        <v>USDFedFunds</v>
      </c>
      <c r="H59" s="65" t="str">
        <f t="shared" si="12"/>
        <v>USDOIS40Y_Quote</v>
      </c>
      <c r="I59" s="200"/>
      <c r="J59" s="175" t="str">
        <f>IF(P57,_xll.qlOISRateHelper(,C59,B59,H59,$G59,,Permanent,Trigger,ObjectOverwrite),"--")</f>
        <v>obj_002c8#0004</v>
      </c>
      <c r="L59" s="162" t="str">
        <f t="shared" ref="L59" si="14">A61</f>
        <v>OIS</v>
      </c>
      <c r="M59" s="166" t="str">
        <f t="shared" ref="M59" si="15">H61</f>
        <v>USDOIS50Y_Quote</v>
      </c>
      <c r="N59" s="164">
        <f>IFERROR(_xll.qlQuoteValue(H61,Trigger),"--")</f>
        <v>1.46E-2</v>
      </c>
      <c r="O59" s="167"/>
      <c r="P59" s="101" t="b">
        <v>1</v>
      </c>
      <c r="Q59" s="98">
        <v>50</v>
      </c>
      <c r="R59" s="98">
        <v>1</v>
      </c>
      <c r="S59" s="98" t="str">
        <f t="shared" ref="S59" si="16">J61</f>
        <v>obj_00287#0005</v>
      </c>
      <c r="T59" s="102">
        <f>IFERROR(_xll.qlRateHelperEarliestDate(S59,Trigger),"--")</f>
        <v>42573</v>
      </c>
      <c r="U59" s="102">
        <f>IFERROR(_xll.qlRateHelperPillarDate(S59,Trigger),"--")</f>
        <v>60835</v>
      </c>
      <c r="W59" s="3" t="str">
        <f t="shared" si="9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4" t="e">
        <v>#N/A</v>
      </c>
    </row>
    <row r="60" spans="1:30" ht="11.25" customHeight="1" x14ac:dyDescent="0.2">
      <c r="A60" s="60" t="s">
        <v>98</v>
      </c>
      <c r="B60" s="61" t="s">
        <v>96</v>
      </c>
      <c r="C60" s="62">
        <f t="shared" si="8"/>
        <v>2</v>
      </c>
      <c r="D60" s="198"/>
      <c r="E60" s="198"/>
      <c r="F60" s="198"/>
      <c r="G60" s="63" t="str">
        <f t="shared" si="11"/>
        <v>USDFedFunds</v>
      </c>
      <c r="H60" s="65" t="str">
        <f t="shared" si="12"/>
        <v>USDOIS45Y_Quote</v>
      </c>
      <c r="I60" s="200"/>
      <c r="J60" s="175" t="str">
        <f>IF(P58,_xll.qlOISRateHelper(,C60,B60,H60,$G60,,Permanent,Trigger,ObjectOverwrite),"--")</f>
        <v>--</v>
      </c>
      <c r="L60" s="180" t="str">
        <f>A64</f>
        <v>BasSw</v>
      </c>
      <c r="M60" s="205" t="str">
        <f>H64</f>
        <v>USDAM3L1W_Quote</v>
      </c>
      <c r="N60" s="182" t="str">
        <f>IFERROR(_xll.qlQuoteValue(H64,Trigger),"--")</f>
        <v>--</v>
      </c>
      <c r="O60" s="182" t="str">
        <f>IFERROR(_xll.qlQuoteValue(I64,Trigger),"--")</f>
        <v>--</v>
      </c>
      <c r="P60" s="134" t="b">
        <v>0</v>
      </c>
      <c r="Q60" s="133">
        <v>70</v>
      </c>
      <c r="R60" s="133">
        <v>1</v>
      </c>
      <c r="S60" s="133" t="str">
        <f>J64</f>
        <v>--</v>
      </c>
      <c r="T60" s="135" t="str">
        <f>IFERROR(_xll.qlRateHelperEarliestDate(S60,Trigger),"--")</f>
        <v>--</v>
      </c>
      <c r="U60" s="135" t="str">
        <f>IFERROR(_xll.qlRateHelperPillarDate(S60,Trigger),"--")</f>
        <v>--</v>
      </c>
      <c r="W60" s="3" t="str">
        <f t="shared" si="9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4" t="e">
        <v>#N/A</v>
      </c>
    </row>
    <row r="61" spans="1:30" ht="11.25" customHeight="1" x14ac:dyDescent="0.2">
      <c r="A61" s="1" t="s">
        <v>98</v>
      </c>
      <c r="B61" s="8" t="s">
        <v>97</v>
      </c>
      <c r="C61" s="6">
        <f t="shared" si="8"/>
        <v>2</v>
      </c>
      <c r="D61" s="199"/>
      <c r="E61" s="199"/>
      <c r="F61" s="199"/>
      <c r="G61" s="7" t="str">
        <f t="shared" si="11"/>
        <v>USDFedFunds</v>
      </c>
      <c r="H61" s="2" t="str">
        <f t="shared" si="12"/>
        <v>USDOIS50Y_Quote</v>
      </c>
      <c r="I61" s="197"/>
      <c r="J61" s="174" t="str">
        <f>IF(P59,_xll.qlOISRateHelper(,C61,B61,H61,$G61,,Permanent,Trigger,ObjectOverwrite),"--")</f>
        <v>obj_00287#0005</v>
      </c>
      <c r="L61" s="162" t="str">
        <f t="shared" ref="L61:L113" si="17">A65</f>
        <v>BasSw</v>
      </c>
      <c r="M61" s="163" t="str">
        <f t="shared" ref="M61:M113" si="18">H65</f>
        <v>USDAM3L2W_Quote</v>
      </c>
      <c r="N61" s="164" t="str">
        <f>IFERROR(_xll.qlQuoteValue(H65,Trigger),"--")</f>
        <v>--</v>
      </c>
      <c r="O61" s="164" t="str">
        <f>IFERROR(_xll.qlQuoteValue(I65,Trigger),"--")</f>
        <v>--</v>
      </c>
      <c r="P61" s="101" t="b">
        <v>0</v>
      </c>
      <c r="Q61" s="98">
        <v>70</v>
      </c>
      <c r="R61" s="98">
        <v>1</v>
      </c>
      <c r="S61" s="98" t="str">
        <f t="shared" ref="S61:S113" si="19">J65</f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9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4" t="e">
        <v>#N/A</v>
      </c>
    </row>
    <row r="62" spans="1:30" ht="11.25" customHeight="1" x14ac:dyDescent="0.2">
      <c r="J62" s="105" t="b">
        <v>1</v>
      </c>
      <c r="L62" s="162" t="str">
        <f t="shared" si="17"/>
        <v>BasSw</v>
      </c>
      <c r="M62" s="163" t="str">
        <f t="shared" si="18"/>
        <v>USDAM3L3W_Quote</v>
      </c>
      <c r="N62" s="164" t="str">
        <f>IFERROR(_xll.qlQuoteValue(H66,Trigger),"--")</f>
        <v>--</v>
      </c>
      <c r="O62" s="164" t="str">
        <f>IFERROR(_xll.qlQuoteValue(I66,Trigger),"--")</f>
        <v>--</v>
      </c>
      <c r="P62" s="101" t="b">
        <v>0</v>
      </c>
      <c r="Q62" s="98">
        <v>70</v>
      </c>
      <c r="R62" s="98">
        <v>1</v>
      </c>
      <c r="S62" s="98" t="str">
        <f t="shared" si="19"/>
        <v>--</v>
      </c>
      <c r="T62" s="102" t="str">
        <f>IFERROR(_xll.qlRateHelperEarliestDate(S62,Trigger),"--")</f>
        <v>--</v>
      </c>
      <c r="U62" s="102" t="str">
        <f>IFERROR(_xll.qlRateHelperPillarDate(S62,Trigger),"--")</f>
        <v>--</v>
      </c>
      <c r="W62" s="3" t="str">
        <f t="shared" si="9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4" t="e">
        <v>#N/A</v>
      </c>
    </row>
    <row r="63" spans="1:30" ht="11.25" customHeight="1" x14ac:dyDescent="0.2">
      <c r="A63" s="66" t="s">
        <v>9</v>
      </c>
      <c r="B63" s="66" t="s">
        <v>29</v>
      </c>
      <c r="C63" s="66" t="s">
        <v>106</v>
      </c>
      <c r="D63" s="66"/>
      <c r="E63" s="66" t="s">
        <v>161</v>
      </c>
      <c r="F63" s="66" t="s">
        <v>162</v>
      </c>
      <c r="G63" s="66" t="s">
        <v>4</v>
      </c>
      <c r="H63" s="66" t="s">
        <v>1</v>
      </c>
      <c r="I63" s="66" t="s">
        <v>142</v>
      </c>
      <c r="J63" s="66" t="s">
        <v>24</v>
      </c>
      <c r="L63" s="162" t="str">
        <f t="shared" si="17"/>
        <v>BasSw</v>
      </c>
      <c r="M63" s="163" t="str">
        <f t="shared" si="18"/>
        <v>USDAM3L1M_Quote</v>
      </c>
      <c r="N63" s="164" t="str">
        <f>IFERROR(_xll.qlQuoteValue(H67,Trigger),"--")</f>
        <v>--</v>
      </c>
      <c r="O63" s="164" t="str">
        <f>IFERROR(_xll.qlQuoteValue(I67,Trigger),"--")</f>
        <v>--</v>
      </c>
      <c r="P63" s="101" t="b">
        <v>0</v>
      </c>
      <c r="Q63" s="98">
        <v>70</v>
      </c>
      <c r="R63" s="98">
        <v>1</v>
      </c>
      <c r="S63" s="98" t="str">
        <f t="shared" si="19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9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4" t="e">
        <v>#N/A</v>
      </c>
    </row>
    <row r="64" spans="1:30" ht="11.25" customHeight="1" x14ac:dyDescent="0.2">
      <c r="A64" s="55" t="s">
        <v>152</v>
      </c>
      <c r="B64" s="56" t="s">
        <v>48</v>
      </c>
      <c r="C64" s="57">
        <v>2</v>
      </c>
      <c r="D64" s="198"/>
      <c r="E64" s="203" t="s">
        <v>8</v>
      </c>
      <c r="F64" s="203" t="s">
        <v>163</v>
      </c>
      <c r="G64" s="63" t="str">
        <f>Currency&amp;Tenor</f>
        <v>USDFedFunds</v>
      </c>
      <c r="H64" s="59" t="str">
        <f>Currency&amp;"AM3L"&amp;B64&amp;QuoteSuffix</f>
        <v>USDAM3L1W_Quote</v>
      </c>
      <c r="I64" s="59" t="str">
        <f>Currency&amp;"FF3L"&amp;B64&amp;QuoteSuffix</f>
        <v>USDFF3L1W_Quote</v>
      </c>
      <c r="J64" s="173" t="str">
        <f>IF(P60,_xll.qlArithmeticOISRateHelper(,C64,B64,E64,H64,G64,F64,I64,,,$J$62,,Permanent,Trigger,ObjectOverwrite),"--")</f>
        <v>--</v>
      </c>
      <c r="L64" s="162" t="str">
        <f t="shared" si="17"/>
        <v>BasSw</v>
      </c>
      <c r="M64" s="163" t="str">
        <f t="shared" si="18"/>
        <v>USDAM3L2M_Quote</v>
      </c>
      <c r="N64" s="164" t="str">
        <f>IFERROR(_xll.qlQuoteValue(H68,Trigger),"--")</f>
        <v>--</v>
      </c>
      <c r="O64" s="164" t="str">
        <f>IFERROR(_xll.qlQuoteValue(I68,Trigger),"--")</f>
        <v>--</v>
      </c>
      <c r="P64" s="101" t="b">
        <v>0</v>
      </c>
      <c r="Q64" s="98">
        <v>70</v>
      </c>
      <c r="R64" s="98">
        <v>1</v>
      </c>
      <c r="S64" s="98" t="str">
        <f t="shared" si="19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9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4" t="e">
        <v>#N/A</v>
      </c>
    </row>
    <row r="65" spans="1:30" ht="11.25" customHeight="1" x14ac:dyDescent="0.2">
      <c r="A65" s="60" t="s">
        <v>152</v>
      </c>
      <c r="B65" s="61" t="s">
        <v>49</v>
      </c>
      <c r="C65" s="62">
        <v>2</v>
      </c>
      <c r="D65" s="198"/>
      <c r="E65" s="203" t="s">
        <v>8</v>
      </c>
      <c r="F65" s="203" t="s">
        <v>163</v>
      </c>
      <c r="G65" s="63" t="str">
        <f>Currency&amp;Tenor</f>
        <v>USDFedFunds</v>
      </c>
      <c r="H65" s="65" t="str">
        <f>Currency&amp;"AM3L"&amp;B65&amp;QuoteSuffix</f>
        <v>USDAM3L2W_Quote</v>
      </c>
      <c r="I65" s="65" t="str">
        <f>Currency&amp;"FF3L"&amp;B65&amp;QuoteSuffix</f>
        <v>USDFF3L2W_Quote</v>
      </c>
      <c r="J65" s="175" t="str">
        <f>IF(P61,_xll.qlArithmeticOISRateHelper(,C65,B65,E65,H65,G65,F65,I65,,,$J$62,,Permanent,Trigger,ObjectOverwrite),"--")</f>
        <v>--</v>
      </c>
      <c r="L65" s="162" t="str">
        <f t="shared" si="17"/>
        <v>BasSw</v>
      </c>
      <c r="M65" s="163" t="str">
        <f t="shared" si="18"/>
        <v>USDAM3L3M_Quote</v>
      </c>
      <c r="N65" s="164" t="str">
        <f>IFERROR(_xll.qlQuoteValue(H69,Trigger),"--")</f>
        <v>--</v>
      </c>
      <c r="O65" s="164" t="str">
        <f>IFERROR(_xll.qlQuoteValue(I69,Trigger),"--")</f>
        <v>--</v>
      </c>
      <c r="P65" s="101" t="b">
        <v>0</v>
      </c>
      <c r="Q65" s="98">
        <v>70</v>
      </c>
      <c r="R65" s="98">
        <v>1</v>
      </c>
      <c r="S65" s="98" t="str">
        <f t="shared" si="19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9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4" t="e">
        <v>#N/A</v>
      </c>
    </row>
    <row r="66" spans="1:30" ht="11.25" customHeight="1" x14ac:dyDescent="0.2">
      <c r="A66" s="60" t="s">
        <v>152</v>
      </c>
      <c r="B66" s="61" t="s">
        <v>50</v>
      </c>
      <c r="C66" s="62">
        <v>2</v>
      </c>
      <c r="D66" s="198"/>
      <c r="E66" s="203" t="s">
        <v>8</v>
      </c>
      <c r="F66" s="203" t="s">
        <v>163</v>
      </c>
      <c r="G66" s="63" t="str">
        <f>Currency&amp;Tenor</f>
        <v>USDFedFunds</v>
      </c>
      <c r="H66" s="65" t="str">
        <f>Currency&amp;"AM3L"&amp;B66&amp;QuoteSuffix</f>
        <v>USDAM3L3W_Quote</v>
      </c>
      <c r="I66" s="65" t="str">
        <f>Currency&amp;"FF3L"&amp;B66&amp;QuoteSuffix</f>
        <v>USDFF3L3W_Quote</v>
      </c>
      <c r="J66" s="175" t="str">
        <f>IF(P62,_xll.qlArithmeticOISRateHelper(,C66,B66,E66,H66,G66,F66,I66,,,$J$62,,Permanent,Trigger,ObjectOverwrite),"--")</f>
        <v>--</v>
      </c>
      <c r="L66" s="162" t="str">
        <f t="shared" si="17"/>
        <v>BasSw</v>
      </c>
      <c r="M66" s="163" t="str">
        <f t="shared" si="18"/>
        <v>USDAM3L4M_Quote</v>
      </c>
      <c r="N66" s="164" t="str">
        <f>IFERROR(_xll.qlQuoteValue(H70,Trigger),"--")</f>
        <v>--</v>
      </c>
      <c r="O66" s="164" t="str">
        <f>IFERROR(_xll.qlQuoteValue(I70,Trigger),"--")</f>
        <v>--</v>
      </c>
      <c r="P66" s="101" t="b">
        <v>0</v>
      </c>
      <c r="Q66" s="98">
        <v>70</v>
      </c>
      <c r="R66" s="98">
        <v>1</v>
      </c>
      <c r="S66" s="98" t="str">
        <f t="shared" si="19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9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4" t="e">
        <v>#N/A</v>
      </c>
    </row>
    <row r="67" spans="1:30" ht="11.25" customHeight="1" x14ac:dyDescent="0.2">
      <c r="A67" s="60" t="s">
        <v>152</v>
      </c>
      <c r="B67" s="61" t="s">
        <v>2</v>
      </c>
      <c r="C67" s="62">
        <v>2</v>
      </c>
      <c r="D67" s="198"/>
      <c r="E67" s="203" t="s">
        <v>8</v>
      </c>
      <c r="F67" s="203" t="s">
        <v>163</v>
      </c>
      <c r="G67" s="63" t="str">
        <f>Currency&amp;Tenor</f>
        <v>USDFedFunds</v>
      </c>
      <c r="H67" s="65" t="str">
        <f>Currency&amp;"AM3L"&amp;B67&amp;QuoteSuffix</f>
        <v>USDAM3L1M_Quote</v>
      </c>
      <c r="I67" s="65" t="str">
        <f>Currency&amp;"FF3L"&amp;B67&amp;QuoteSuffix</f>
        <v>USDFF3L1M_Quote</v>
      </c>
      <c r="J67" s="175" t="str">
        <f>IF(P63,_xll.qlArithmeticOISRateHelper(,C67,B67,E67,H67,G67,F67,I67,,,$J$62,,Permanent,Trigger,ObjectOverwrite),"--")</f>
        <v>--</v>
      </c>
      <c r="L67" s="162" t="str">
        <f t="shared" si="17"/>
        <v>BasSw</v>
      </c>
      <c r="M67" s="163" t="str">
        <f t="shared" si="18"/>
        <v>USDAM3L5M_Quote</v>
      </c>
      <c r="N67" s="164" t="str">
        <f>IFERROR(_xll.qlQuoteValue(H71,Trigger),"--")</f>
        <v>--</v>
      </c>
      <c r="O67" s="164" t="str">
        <f>IFERROR(_xll.qlQuoteValue(I71,Trigger),"--")</f>
        <v>--</v>
      </c>
      <c r="P67" s="101" t="b">
        <v>0</v>
      </c>
      <c r="Q67" s="98">
        <v>70</v>
      </c>
      <c r="R67" s="98">
        <v>1</v>
      </c>
      <c r="S67" s="98" t="str">
        <f t="shared" si="19"/>
        <v>--</v>
      </c>
      <c r="T67" s="102" t="str">
        <f>IFERROR(_xll.qlRateHelperEarliestDate(S67,Trigger),"--")</f>
        <v>--</v>
      </c>
      <c r="U67" s="102" t="str">
        <f>IFERROR(_xll.qlRateHelperPillarDate(S67,Trigger),"--")</f>
        <v>--</v>
      </c>
      <c r="W67" s="3" t="str">
        <f t="shared" si="9"/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4" t="e">
        <v>#N/A</v>
      </c>
    </row>
    <row r="68" spans="1:30" ht="11.25" customHeight="1" x14ac:dyDescent="0.2">
      <c r="A68" s="60" t="s">
        <v>152</v>
      </c>
      <c r="B68" s="61" t="s">
        <v>51</v>
      </c>
      <c r="C68" s="62">
        <v>2</v>
      </c>
      <c r="D68" s="198"/>
      <c r="E68" s="203" t="s">
        <v>8</v>
      </c>
      <c r="F68" s="203" t="s">
        <v>163</v>
      </c>
      <c r="G68" s="63" t="str">
        <f>Currency&amp;Tenor</f>
        <v>USDFedFunds</v>
      </c>
      <c r="H68" s="65" t="str">
        <f>Currency&amp;"AM3L"&amp;B68&amp;QuoteSuffix</f>
        <v>USDAM3L2M_Quote</v>
      </c>
      <c r="I68" s="65" t="str">
        <f>Currency&amp;"FF3L"&amp;B68&amp;QuoteSuffix</f>
        <v>USDFF3L2M_Quote</v>
      </c>
      <c r="J68" s="175" t="str">
        <f>IF(P64,_xll.qlArithmeticOISRateHelper(,C68,B68,E68,H68,G68,F68,I68,,,$J$62,,Permanent,Trigger,ObjectOverwrite),"--")</f>
        <v>--</v>
      </c>
      <c r="L68" s="162" t="str">
        <f t="shared" si="17"/>
        <v>BasSw</v>
      </c>
      <c r="M68" s="163" t="str">
        <f t="shared" si="18"/>
        <v>USDAM3L6M_Quote</v>
      </c>
      <c r="N68" s="164" t="str">
        <f>IFERROR(_xll.qlQuoteValue(H72,Trigger),"--")</f>
        <v>--</v>
      </c>
      <c r="O68" s="164" t="str">
        <f>IFERROR(_xll.qlQuoteValue(I72,Trigger),"--")</f>
        <v>--</v>
      </c>
      <c r="P68" s="101" t="b">
        <v>0</v>
      </c>
      <c r="Q68" s="98">
        <v>70</v>
      </c>
      <c r="R68" s="98">
        <v>1</v>
      </c>
      <c r="S68" s="98" t="str">
        <f t="shared" si="19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9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4" t="e">
        <v>#N/A</v>
      </c>
    </row>
    <row r="69" spans="1:30" ht="11.25" customHeight="1" x14ac:dyDescent="0.2">
      <c r="A69" s="60" t="s">
        <v>152</v>
      </c>
      <c r="B69" s="61" t="s">
        <v>0</v>
      </c>
      <c r="C69" s="62">
        <v>2</v>
      </c>
      <c r="D69" s="198"/>
      <c r="E69" s="203" t="s">
        <v>8</v>
      </c>
      <c r="F69" s="203" t="s">
        <v>163</v>
      </c>
      <c r="G69" s="63" t="str">
        <f>Currency&amp;Tenor</f>
        <v>USDFedFunds</v>
      </c>
      <c r="H69" s="65" t="str">
        <f>Currency&amp;"AM3L"&amp;B69&amp;QuoteSuffix</f>
        <v>USDAM3L3M_Quote</v>
      </c>
      <c r="I69" s="65" t="str">
        <f>Currency&amp;"FF3L"&amp;B69&amp;QuoteSuffix</f>
        <v>USDFF3L3M_Quote</v>
      </c>
      <c r="J69" s="175" t="str">
        <f>IF(P65,_xll.qlArithmeticOISRateHelper(,C69,B69,E69,H69,G69,F69,I69,,,$J$62,,Permanent,Trigger,ObjectOverwrite),"--")</f>
        <v>--</v>
      </c>
      <c r="L69" s="162" t="str">
        <f t="shared" si="17"/>
        <v>BasSw</v>
      </c>
      <c r="M69" s="163" t="str">
        <f t="shared" si="18"/>
        <v>USDAM3L7M_Quote</v>
      </c>
      <c r="N69" s="164" t="str">
        <f>IFERROR(_xll.qlQuoteValue(H73,Trigger),"--")</f>
        <v>--</v>
      </c>
      <c r="O69" s="164" t="str">
        <f>IFERROR(_xll.qlQuoteValue(I73,Trigger),"--")</f>
        <v>--</v>
      </c>
      <c r="P69" s="101" t="b">
        <v>0</v>
      </c>
      <c r="Q69" s="98">
        <v>70</v>
      </c>
      <c r="R69" s="98">
        <v>1</v>
      </c>
      <c r="S69" s="98" t="str">
        <f t="shared" si="19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9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4" t="e">
        <v>#N/A</v>
      </c>
    </row>
    <row r="70" spans="1:30" ht="11.25" customHeight="1" x14ac:dyDescent="0.2">
      <c r="A70" s="60" t="s">
        <v>152</v>
      </c>
      <c r="B70" s="61" t="s">
        <v>52</v>
      </c>
      <c r="C70" s="62">
        <v>2</v>
      </c>
      <c r="D70" s="198"/>
      <c r="E70" s="203" t="s">
        <v>8</v>
      </c>
      <c r="F70" s="203" t="s">
        <v>163</v>
      </c>
      <c r="G70" s="63" t="str">
        <f>Currency&amp;Tenor</f>
        <v>USDFedFunds</v>
      </c>
      <c r="H70" s="65" t="str">
        <f>Currency&amp;"AM3L"&amp;B70&amp;QuoteSuffix</f>
        <v>USDAM3L4M_Quote</v>
      </c>
      <c r="I70" s="65" t="str">
        <f>Currency&amp;"FF3L"&amp;B70&amp;QuoteSuffix</f>
        <v>USDFF3L4M_Quote</v>
      </c>
      <c r="J70" s="175" t="str">
        <f>IF(P66,_xll.qlArithmeticOISRateHelper(,C70,B70,E70,H70,G70,F70,I70,,,$J$62,,Permanent,Trigger,ObjectOverwrite),"--")</f>
        <v>--</v>
      </c>
      <c r="L70" s="162" t="str">
        <f t="shared" si="17"/>
        <v>BasSw</v>
      </c>
      <c r="M70" s="163" t="str">
        <f t="shared" si="18"/>
        <v>USDAM3L8M_Quote</v>
      </c>
      <c r="N70" s="164" t="str">
        <f>IFERROR(_xll.qlQuoteValue(H74,Trigger),"--")</f>
        <v>--</v>
      </c>
      <c r="O70" s="164" t="str">
        <f>IFERROR(_xll.qlQuoteValue(I74,Trigger),"--")</f>
        <v>--</v>
      </c>
      <c r="P70" s="101" t="b">
        <v>0</v>
      </c>
      <c r="Q70" s="98">
        <v>70</v>
      </c>
      <c r="R70" s="98">
        <v>1</v>
      </c>
      <c r="S70" s="98" t="str">
        <f t="shared" si="19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9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4" t="e">
        <v>#N/A</v>
      </c>
    </row>
    <row r="71" spans="1:30" ht="11.25" customHeight="1" x14ac:dyDescent="0.2">
      <c r="A71" s="60" t="s">
        <v>152</v>
      </c>
      <c r="B71" s="61" t="s">
        <v>53</v>
      </c>
      <c r="C71" s="62">
        <v>2</v>
      </c>
      <c r="D71" s="198"/>
      <c r="E71" s="203" t="s">
        <v>8</v>
      </c>
      <c r="F71" s="203" t="s">
        <v>163</v>
      </c>
      <c r="G71" s="63" t="str">
        <f>Currency&amp;Tenor</f>
        <v>USDFedFunds</v>
      </c>
      <c r="H71" s="65" t="str">
        <f>Currency&amp;"AM3L"&amp;B71&amp;QuoteSuffix</f>
        <v>USDAM3L5M_Quote</v>
      </c>
      <c r="I71" s="65" t="str">
        <f>Currency&amp;"FF3L"&amp;B71&amp;QuoteSuffix</f>
        <v>USDFF3L5M_Quote</v>
      </c>
      <c r="J71" s="175" t="str">
        <f>IF(P67,_xll.qlArithmeticOISRateHelper(,C71,B71,E71,H71,G71,F71,I71,,,$J$62,,Permanent,Trigger,ObjectOverwrite),"--")</f>
        <v>--</v>
      </c>
      <c r="L71" s="162" t="str">
        <f t="shared" si="17"/>
        <v>BasSw</v>
      </c>
      <c r="M71" s="163" t="str">
        <f t="shared" si="18"/>
        <v>USDAM3L9M_Quote</v>
      </c>
      <c r="N71" s="164" t="str">
        <f>IFERROR(_xll.qlQuoteValue(H75,Trigger),"--")</f>
        <v>--</v>
      </c>
      <c r="O71" s="164" t="str">
        <f>IFERROR(_xll.qlQuoteValue(I75,Trigger),"--")</f>
        <v>--</v>
      </c>
      <c r="P71" s="101" t="b">
        <v>0</v>
      </c>
      <c r="Q71" s="98">
        <v>70</v>
      </c>
      <c r="R71" s="98">
        <v>1</v>
      </c>
      <c r="S71" s="98" t="str">
        <f t="shared" si="19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9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4" t="e">
        <v>#N/A</v>
      </c>
    </row>
    <row r="72" spans="1:30" ht="11.25" customHeight="1" x14ac:dyDescent="0.2">
      <c r="A72" s="60" t="s">
        <v>152</v>
      </c>
      <c r="B72" s="61" t="s">
        <v>3</v>
      </c>
      <c r="C72" s="62">
        <v>2</v>
      </c>
      <c r="D72" s="198"/>
      <c r="E72" s="203" t="s">
        <v>8</v>
      </c>
      <c r="F72" s="203" t="s">
        <v>163</v>
      </c>
      <c r="G72" s="63" t="str">
        <f>Currency&amp;Tenor</f>
        <v>USDFedFunds</v>
      </c>
      <c r="H72" s="65" t="str">
        <f>Currency&amp;"AM3L"&amp;B72&amp;QuoteSuffix</f>
        <v>USDAM3L6M_Quote</v>
      </c>
      <c r="I72" s="65" t="str">
        <f>Currency&amp;"FF3L"&amp;B72&amp;QuoteSuffix</f>
        <v>USDFF3L6M_Quote</v>
      </c>
      <c r="J72" s="175" t="str">
        <f>IF(P68,_xll.qlArithmeticOISRateHelper(,C72,B72,E72,H72,G72,F72,I72,,,$J$62,,Permanent,Trigger,ObjectOverwrite),"--")</f>
        <v>--</v>
      </c>
      <c r="L72" s="162" t="str">
        <f t="shared" si="17"/>
        <v>BasSw</v>
      </c>
      <c r="M72" s="163" t="str">
        <f t="shared" si="18"/>
        <v>USDAM3L10M_Quote</v>
      </c>
      <c r="N72" s="164" t="str">
        <f>IFERROR(_xll.qlQuoteValue(H76,Trigger),"--")</f>
        <v>--</v>
      </c>
      <c r="O72" s="164" t="str">
        <f>IFERROR(_xll.qlQuoteValue(I76,Trigger),"--")</f>
        <v>--</v>
      </c>
      <c r="P72" s="101" t="b">
        <v>0</v>
      </c>
      <c r="Q72" s="98">
        <v>70</v>
      </c>
      <c r="R72" s="98">
        <v>1</v>
      </c>
      <c r="S72" s="98" t="str">
        <f t="shared" si="19"/>
        <v>--</v>
      </c>
      <c r="T72" s="102" t="str">
        <f>IFERROR(_xll.qlRateHelperEarliestDate(S72,Trigger),"--")</f>
        <v>--</v>
      </c>
      <c r="U72" s="102" t="str">
        <f>IFERROR(_xll.qlRateHelperPillarDate(S72,Trigger),"--")</f>
        <v>--</v>
      </c>
      <c r="W72" s="3" t="str">
        <f t="shared" si="9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4" t="e">
        <v>#N/A</v>
      </c>
    </row>
    <row r="73" spans="1:30" ht="11.25" customHeight="1" x14ac:dyDescent="0.2">
      <c r="A73" s="60" t="s">
        <v>152</v>
      </c>
      <c r="B73" s="61" t="s">
        <v>54</v>
      </c>
      <c r="C73" s="62">
        <v>2</v>
      </c>
      <c r="D73" s="198"/>
      <c r="E73" s="203" t="s">
        <v>8</v>
      </c>
      <c r="F73" s="203" t="s">
        <v>163</v>
      </c>
      <c r="G73" s="63" t="str">
        <f>Currency&amp;Tenor</f>
        <v>USDFedFunds</v>
      </c>
      <c r="H73" s="65" t="str">
        <f>Currency&amp;"AM3L"&amp;B73&amp;QuoteSuffix</f>
        <v>USDAM3L7M_Quote</v>
      </c>
      <c r="I73" s="65" t="str">
        <f>Currency&amp;"FF3L"&amp;B73&amp;QuoteSuffix</f>
        <v>USDFF3L7M_Quote</v>
      </c>
      <c r="J73" s="175" t="str">
        <f>IF(P69,_xll.qlArithmeticOISRateHelper(,C73,B73,E73,H73,G73,F73,I73,,,$J$62,,Permanent,Trigger,ObjectOverwrite),"--")</f>
        <v>--</v>
      </c>
      <c r="L73" s="162" t="str">
        <f t="shared" si="17"/>
        <v>BasSw</v>
      </c>
      <c r="M73" s="163" t="str">
        <f t="shared" si="18"/>
        <v>USDAM3L11M_Quote</v>
      </c>
      <c r="N73" s="164" t="str">
        <f>IFERROR(_xll.qlQuoteValue(H77,Trigger),"--")</f>
        <v>--</v>
      </c>
      <c r="O73" s="164" t="str">
        <f>IFERROR(_xll.qlQuoteValue(I77,Trigger),"--")</f>
        <v>--</v>
      </c>
      <c r="P73" s="101" t="b">
        <v>0</v>
      </c>
      <c r="Q73" s="98">
        <v>70</v>
      </c>
      <c r="R73" s="98">
        <v>1</v>
      </c>
      <c r="S73" s="98" t="str">
        <f t="shared" si="19"/>
        <v>--</v>
      </c>
      <c r="T73" s="102" t="str">
        <f>IFERROR(_xll.qlRateHelperEarliestDate(S73,Trigger),"--")</f>
        <v>--</v>
      </c>
      <c r="U73" s="102" t="str">
        <f>IFERROR(_xll.qlRateHelperPillarDate(S73,Trigger),"--")</f>
        <v>--</v>
      </c>
      <c r="W73" s="3" t="str">
        <f t="shared" si="9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4" t="e">
        <v>#N/A</v>
      </c>
    </row>
    <row r="74" spans="1:30" ht="11.25" customHeight="1" x14ac:dyDescent="0.2">
      <c r="A74" s="60" t="s">
        <v>152</v>
      </c>
      <c r="B74" s="61" t="s">
        <v>55</v>
      </c>
      <c r="C74" s="62">
        <v>2</v>
      </c>
      <c r="D74" s="198"/>
      <c r="E74" s="203" t="s">
        <v>8</v>
      </c>
      <c r="F74" s="203" t="s">
        <v>163</v>
      </c>
      <c r="G74" s="63" t="str">
        <f>Currency&amp;Tenor</f>
        <v>USDFedFunds</v>
      </c>
      <c r="H74" s="65" t="str">
        <f>Currency&amp;"AM3L"&amp;B74&amp;QuoteSuffix</f>
        <v>USDAM3L8M_Quote</v>
      </c>
      <c r="I74" s="65" t="str">
        <f>Currency&amp;"FF3L"&amp;B74&amp;QuoteSuffix</f>
        <v>USDFF3L8M_Quote</v>
      </c>
      <c r="J74" s="175" t="str">
        <f>IF(P70,_xll.qlArithmeticOISRateHelper(,C74,B74,E74,H74,G74,F74,I74,,,$J$62,,Permanent,Trigger,ObjectOverwrite),"--")</f>
        <v>--</v>
      </c>
      <c r="L74" s="162" t="str">
        <f t="shared" si="17"/>
        <v>BasSw</v>
      </c>
      <c r="M74" s="163" t="str">
        <f t="shared" si="18"/>
        <v>USDAM3L1Y_Quote</v>
      </c>
      <c r="N74" s="164">
        <f>IFERROR(_xll.qlQuoteValue(H78,Trigger),"--")</f>
        <v>8.2199999999999999E-3</v>
      </c>
      <c r="O74" s="164">
        <f>IFERROR(_xll.qlQuoteValue(I78,Trigger),"--")</f>
        <v>3.3E-3</v>
      </c>
      <c r="P74" s="101" t="b">
        <v>0</v>
      </c>
      <c r="Q74" s="98">
        <v>70</v>
      </c>
      <c r="R74" s="98">
        <v>1</v>
      </c>
      <c r="S74" s="98" t="str">
        <f t="shared" si="19"/>
        <v>--</v>
      </c>
      <c r="T74" s="102" t="str">
        <f>IFERROR(_xll.qlRateHelperEarliestDate(S74,Trigger),"--")</f>
        <v>--</v>
      </c>
      <c r="U74" s="102" t="str">
        <f>IFERROR(_xll.qlRateHelperPillarDate(S74,Trigger),"--")</f>
        <v>--</v>
      </c>
      <c r="W74" s="3" t="str">
        <f t="shared" si="9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4" t="e">
        <v>#N/A</v>
      </c>
    </row>
    <row r="75" spans="1:30" ht="11.25" customHeight="1" x14ac:dyDescent="0.2">
      <c r="A75" s="60" t="s">
        <v>152</v>
      </c>
      <c r="B75" s="61" t="s">
        <v>56</v>
      </c>
      <c r="C75" s="62">
        <v>2</v>
      </c>
      <c r="D75" s="198"/>
      <c r="E75" s="203" t="s">
        <v>8</v>
      </c>
      <c r="F75" s="203" t="s">
        <v>163</v>
      </c>
      <c r="G75" s="63" t="str">
        <f>Currency&amp;Tenor</f>
        <v>USDFedFunds</v>
      </c>
      <c r="H75" s="65" t="str">
        <f>Currency&amp;"AM3L"&amp;B75&amp;QuoteSuffix</f>
        <v>USDAM3L9M_Quote</v>
      </c>
      <c r="I75" s="65" t="str">
        <f>Currency&amp;"FF3L"&amp;B75&amp;QuoteSuffix</f>
        <v>USDFF3L9M_Quote</v>
      </c>
      <c r="J75" s="175" t="str">
        <f>IF(P71,_xll.qlArithmeticOISRateHelper(,C75,B75,E75,H75,G75,F75,I75,,,$J$62,,Permanent,Trigger,ObjectOverwrite),"--")</f>
        <v>--</v>
      </c>
      <c r="L75" s="162" t="str">
        <f t="shared" si="17"/>
        <v>BasSw</v>
      </c>
      <c r="M75" s="163" t="str">
        <f t="shared" si="18"/>
        <v>USDAM3L13M_Quote</v>
      </c>
      <c r="N75" s="164" t="str">
        <f>IFERROR(_xll.qlQuoteValue(H79,Trigger),"--")</f>
        <v>--</v>
      </c>
      <c r="O75" s="164" t="str">
        <f>IFERROR(_xll.qlQuoteValue(I79,Trigger),"--")</f>
        <v>--</v>
      </c>
      <c r="P75" s="101" t="b">
        <v>0</v>
      </c>
      <c r="Q75" s="98">
        <v>70</v>
      </c>
      <c r="R75" s="98">
        <v>1</v>
      </c>
      <c r="S75" s="98" t="str">
        <f t="shared" si="19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9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4" t="e">
        <v>#N/A</v>
      </c>
    </row>
    <row r="76" spans="1:30" ht="11.25" customHeight="1" x14ac:dyDescent="0.2">
      <c r="A76" s="60" t="s">
        <v>152</v>
      </c>
      <c r="B76" s="61" t="s">
        <v>57</v>
      </c>
      <c r="C76" s="62">
        <v>2</v>
      </c>
      <c r="D76" s="198"/>
      <c r="E76" s="203" t="s">
        <v>8</v>
      </c>
      <c r="F76" s="203" t="s">
        <v>163</v>
      </c>
      <c r="G76" s="63" t="str">
        <f>Currency&amp;Tenor</f>
        <v>USDFedFunds</v>
      </c>
      <c r="H76" s="65" t="str">
        <f>Currency&amp;"AM3L"&amp;B76&amp;QuoteSuffix</f>
        <v>USDAM3L10M_Quote</v>
      </c>
      <c r="I76" s="65" t="str">
        <f>Currency&amp;"FF3L"&amp;B76&amp;QuoteSuffix</f>
        <v>USDFF3L10M_Quote</v>
      </c>
      <c r="J76" s="175" t="str">
        <f>IF(P72,_xll.qlArithmeticOISRateHelper(,C76,B76,E76,H76,G76,F76,I76,,,$J$62,,Permanent,Trigger,ObjectOverwrite),"--")</f>
        <v>--</v>
      </c>
      <c r="L76" s="162" t="str">
        <f t="shared" si="17"/>
        <v>BasSw</v>
      </c>
      <c r="M76" s="163" t="str">
        <f t="shared" si="18"/>
        <v>USDAM3L14M_Quote</v>
      </c>
      <c r="N76" s="164" t="str">
        <f>IFERROR(_xll.qlQuoteValue(H80,Trigger),"--")</f>
        <v>--</v>
      </c>
      <c r="O76" s="164" t="str">
        <f>IFERROR(_xll.qlQuoteValue(I80,Trigger),"--")</f>
        <v>--</v>
      </c>
      <c r="P76" s="101" t="b">
        <v>0</v>
      </c>
      <c r="Q76" s="98">
        <v>70</v>
      </c>
      <c r="R76" s="98">
        <v>1</v>
      </c>
      <c r="S76" s="98" t="str">
        <f t="shared" si="19"/>
        <v>--</v>
      </c>
      <c r="T76" s="102" t="str">
        <f>IFERROR(_xll.qlRateHelperEarliestDate(S76,Trigger),"--")</f>
        <v>--</v>
      </c>
      <c r="U76" s="102" t="str">
        <f>IFERROR(_xll.qlRateHelperPillarDate(S76,Trigger),"--")</f>
        <v>--</v>
      </c>
      <c r="W76" s="3" t="str">
        <f t="shared" si="9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4" t="e">
        <v>#N/A</v>
      </c>
    </row>
    <row r="77" spans="1:30" ht="11.25" customHeight="1" x14ac:dyDescent="0.2">
      <c r="A77" s="60" t="s">
        <v>152</v>
      </c>
      <c r="B77" s="61" t="s">
        <v>58</v>
      </c>
      <c r="C77" s="62">
        <v>2</v>
      </c>
      <c r="D77" s="198"/>
      <c r="E77" s="203" t="s">
        <v>8</v>
      </c>
      <c r="F77" s="203" t="s">
        <v>163</v>
      </c>
      <c r="G77" s="63" t="str">
        <f>Currency&amp;Tenor</f>
        <v>USDFedFunds</v>
      </c>
      <c r="H77" s="65" t="str">
        <f>Currency&amp;"AM3L"&amp;B77&amp;QuoteSuffix</f>
        <v>USDAM3L11M_Quote</v>
      </c>
      <c r="I77" s="65" t="str">
        <f>Currency&amp;"FF3L"&amp;B77&amp;QuoteSuffix</f>
        <v>USDFF3L11M_Quote</v>
      </c>
      <c r="J77" s="175" t="str">
        <f>IF(P73,_xll.qlArithmeticOISRateHelper(,C77,B77,E77,H77,G77,F77,I77,,,$J$62,,Permanent,Trigger,ObjectOverwrite),"--")</f>
        <v>--</v>
      </c>
      <c r="L77" s="162" t="str">
        <f t="shared" si="17"/>
        <v>BasSw</v>
      </c>
      <c r="M77" s="163" t="str">
        <f t="shared" si="18"/>
        <v>USDAM3L15M_Quote</v>
      </c>
      <c r="N77" s="164" t="str">
        <f>IFERROR(_xll.qlQuoteValue(H81,Trigger),"--")</f>
        <v>--</v>
      </c>
      <c r="O77" s="164" t="str">
        <f>IFERROR(_xll.qlQuoteValue(I81,Trigger),"--")</f>
        <v>--</v>
      </c>
      <c r="P77" s="101" t="b">
        <v>0</v>
      </c>
      <c r="Q77" s="98">
        <v>70</v>
      </c>
      <c r="R77" s="98">
        <v>1</v>
      </c>
      <c r="S77" s="98" t="str">
        <f t="shared" si="19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9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4" t="e">
        <v>#N/A</v>
      </c>
    </row>
    <row r="78" spans="1:30" ht="11.25" customHeight="1" x14ac:dyDescent="0.2">
      <c r="A78" s="60" t="s">
        <v>152</v>
      </c>
      <c r="B78" s="61" t="s">
        <v>28</v>
      </c>
      <c r="C78" s="62">
        <v>2</v>
      </c>
      <c r="D78" s="198"/>
      <c r="E78" s="203" t="s">
        <v>8</v>
      </c>
      <c r="F78" s="203" t="s">
        <v>163</v>
      </c>
      <c r="G78" s="63" t="str">
        <f>Currency&amp;Tenor</f>
        <v>USDFedFunds</v>
      </c>
      <c r="H78" s="65" t="str">
        <f>Currency&amp;"AM3L"&amp;B78&amp;QuoteSuffix</f>
        <v>USDAM3L1Y_Quote</v>
      </c>
      <c r="I78" s="65" t="str">
        <f>Currency&amp;"FF3L"&amp;B78&amp;QuoteSuffix</f>
        <v>USDFF3L1Y_Quote</v>
      </c>
      <c r="J78" s="175" t="str">
        <f>IF(P74,_xll.qlArithmeticOISRateHelper(,C78,B78,E78,H78,G78,F78,I78,,,$J$62,,Permanent,Trigger,ObjectOverwrite),"--")</f>
        <v>--</v>
      </c>
      <c r="L78" s="162" t="str">
        <f t="shared" si="17"/>
        <v>BasSw</v>
      </c>
      <c r="M78" s="163" t="str">
        <f t="shared" si="18"/>
        <v>USDAM3L16M_Quote</v>
      </c>
      <c r="N78" s="164" t="str">
        <f>IFERROR(_xll.qlQuoteValue(H82,Trigger),"--")</f>
        <v>--</v>
      </c>
      <c r="O78" s="164" t="str">
        <f>IFERROR(_xll.qlQuoteValue(I82,Trigger),"--")</f>
        <v>--</v>
      </c>
      <c r="P78" s="101" t="b">
        <v>0</v>
      </c>
      <c r="Q78" s="98">
        <v>70</v>
      </c>
      <c r="R78" s="98">
        <v>1</v>
      </c>
      <c r="S78" s="98" t="str">
        <f t="shared" si="19"/>
        <v>--</v>
      </c>
      <c r="T78" s="102" t="str">
        <f>IFERROR(_xll.qlRateHelperEarliestDate(S78,Trigger),"--")</f>
        <v>--</v>
      </c>
      <c r="U78" s="102" t="str">
        <f>IFERROR(_xll.qlRateHelperPillarDate(S78,Trigger),"--")</f>
        <v>--</v>
      </c>
      <c r="W78" s="3" t="str">
        <f t="shared" si="9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4" t="e">
        <v>#N/A</v>
      </c>
    </row>
    <row r="79" spans="1:30" ht="11.25" customHeight="1" x14ac:dyDescent="0.2">
      <c r="A79" s="60" t="s">
        <v>152</v>
      </c>
      <c r="B79" s="61" t="s">
        <v>59</v>
      </c>
      <c r="C79" s="62">
        <v>2</v>
      </c>
      <c r="D79" s="198"/>
      <c r="E79" s="203" t="s">
        <v>8</v>
      </c>
      <c r="F79" s="203" t="s">
        <v>163</v>
      </c>
      <c r="G79" s="63" t="str">
        <f>Currency&amp;Tenor</f>
        <v>USDFedFunds</v>
      </c>
      <c r="H79" s="65" t="str">
        <f>Currency&amp;"AM3L"&amp;B79&amp;QuoteSuffix</f>
        <v>USDAM3L13M_Quote</v>
      </c>
      <c r="I79" s="65" t="str">
        <f>Currency&amp;"FF3L"&amp;B79&amp;QuoteSuffix</f>
        <v>USDFF3L13M_Quote</v>
      </c>
      <c r="J79" s="175" t="str">
        <f>IF(P75,_xll.qlArithmeticOISRateHelper(,C79,B79,E79,H79,G79,F79,I79,,,$J$62,,Permanent,Trigger,ObjectOverwrite),"--")</f>
        <v>--</v>
      </c>
      <c r="L79" s="162" t="str">
        <f t="shared" si="17"/>
        <v>BasSw</v>
      </c>
      <c r="M79" s="163" t="str">
        <f t="shared" si="18"/>
        <v>USDAM3L17M_Quote</v>
      </c>
      <c r="N79" s="164" t="str">
        <f>IFERROR(_xll.qlQuoteValue(H83,Trigger),"--")</f>
        <v>--</v>
      </c>
      <c r="O79" s="164" t="str">
        <f>IFERROR(_xll.qlQuoteValue(I83,Trigger),"--")</f>
        <v>--</v>
      </c>
      <c r="P79" s="101" t="b">
        <v>0</v>
      </c>
      <c r="Q79" s="98">
        <v>70</v>
      </c>
      <c r="R79" s="98">
        <v>1</v>
      </c>
      <c r="S79" s="98" t="str">
        <f t="shared" si="19"/>
        <v>--</v>
      </c>
      <c r="T79" s="102" t="str">
        <f>IFERROR(_xll.qlRateHelperEarliestDate(S79,Trigger),"--")</f>
        <v>--</v>
      </c>
      <c r="U79" s="102" t="str">
        <f>IFERROR(_xll.qlRateHelperPillarDate(S79,Trigger),"--")</f>
        <v>--</v>
      </c>
      <c r="W79" s="3" t="str">
        <f t="shared" si="9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4" t="e">
        <v>#N/A</v>
      </c>
    </row>
    <row r="80" spans="1:30" ht="11.25" customHeight="1" x14ac:dyDescent="0.2">
      <c r="A80" s="60" t="s">
        <v>152</v>
      </c>
      <c r="B80" s="61" t="s">
        <v>60</v>
      </c>
      <c r="C80" s="62">
        <v>2</v>
      </c>
      <c r="D80" s="198"/>
      <c r="E80" s="203" t="s">
        <v>8</v>
      </c>
      <c r="F80" s="203" t="s">
        <v>163</v>
      </c>
      <c r="G80" s="63" t="str">
        <f>Currency&amp;Tenor</f>
        <v>USDFedFunds</v>
      </c>
      <c r="H80" s="65" t="str">
        <f>Currency&amp;"AM3L"&amp;B80&amp;QuoteSuffix</f>
        <v>USDAM3L14M_Quote</v>
      </c>
      <c r="I80" s="65" t="str">
        <f>Currency&amp;"FF3L"&amp;B80&amp;QuoteSuffix</f>
        <v>USDFF3L14M_Quote</v>
      </c>
      <c r="J80" s="175" t="str">
        <f>IF(P76,_xll.qlArithmeticOISRateHelper(,C80,B80,E80,H80,G80,F80,I80,,,$J$62,,Permanent,Trigger,ObjectOverwrite),"--")</f>
        <v>--</v>
      </c>
      <c r="L80" s="162" t="str">
        <f t="shared" si="17"/>
        <v>BasSw</v>
      </c>
      <c r="M80" s="163" t="str">
        <f t="shared" si="18"/>
        <v>USDAM3L18M_Quote</v>
      </c>
      <c r="N80" s="164" t="str">
        <f>IFERROR(_xll.qlQuoteValue(H84,Trigger),"--")</f>
        <v>--</v>
      </c>
      <c r="O80" s="164" t="str">
        <f>IFERROR(_xll.qlQuoteValue(I84,Trigger),"--")</f>
        <v>--</v>
      </c>
      <c r="P80" s="101" t="b">
        <v>0</v>
      </c>
      <c r="Q80" s="98">
        <v>70</v>
      </c>
      <c r="R80" s="98">
        <v>1</v>
      </c>
      <c r="S80" s="98" t="str">
        <f t="shared" si="19"/>
        <v>--</v>
      </c>
      <c r="T80" s="102" t="str">
        <f>IFERROR(_xll.qlRateHelperEarliestDate(S80,Trigger),"--")</f>
        <v>--</v>
      </c>
      <c r="U80" s="102" t="str">
        <f>IFERROR(_xll.qlRateHelperPillarDate(S80,Trigger),"--")</f>
        <v>--</v>
      </c>
      <c r="W80" s="3" t="str">
        <f t="shared" si="9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4" t="e">
        <v>#N/A</v>
      </c>
    </row>
    <row r="81" spans="1:30" x14ac:dyDescent="0.2">
      <c r="A81" s="60" t="s">
        <v>152</v>
      </c>
      <c r="B81" s="61" t="s">
        <v>61</v>
      </c>
      <c r="C81" s="62">
        <v>2</v>
      </c>
      <c r="D81" s="198"/>
      <c r="E81" s="203" t="s">
        <v>8</v>
      </c>
      <c r="F81" s="203" t="s">
        <v>163</v>
      </c>
      <c r="G81" s="63" t="str">
        <f>Currency&amp;Tenor</f>
        <v>USDFedFunds</v>
      </c>
      <c r="H81" s="65" t="str">
        <f>Currency&amp;"AM3L"&amp;B81&amp;QuoteSuffix</f>
        <v>USDAM3L15M_Quote</v>
      </c>
      <c r="I81" s="65" t="str">
        <f>Currency&amp;"FF3L"&amp;B81&amp;QuoteSuffix</f>
        <v>USDFF3L15M_Quote</v>
      </c>
      <c r="J81" s="175" t="str">
        <f>IF(P77,_xll.qlArithmeticOISRateHelper(,C81,B81,E81,H81,G81,F81,I81,,,$J$62,,Permanent,Trigger,ObjectOverwrite),"--")</f>
        <v>--</v>
      </c>
      <c r="L81" s="162" t="str">
        <f t="shared" si="17"/>
        <v>BasSw</v>
      </c>
      <c r="M81" s="163" t="str">
        <f t="shared" si="18"/>
        <v>USDAM3L19M_Quote</v>
      </c>
      <c r="N81" s="164" t="str">
        <f>IFERROR(_xll.qlQuoteValue(H85,Trigger),"--")</f>
        <v>--</v>
      </c>
      <c r="O81" s="164" t="str">
        <f>IFERROR(_xll.qlQuoteValue(I85,Trigger),"--")</f>
        <v>--</v>
      </c>
      <c r="P81" s="101" t="b">
        <v>0</v>
      </c>
      <c r="Q81" s="98">
        <v>70</v>
      </c>
      <c r="R81" s="98">
        <v>1</v>
      </c>
      <c r="S81" s="98" t="str">
        <f t="shared" si="19"/>
        <v>--</v>
      </c>
      <c r="T81" s="102" t="str">
        <f>IFERROR(_xll.qlRateHelperEarliestDate(S81,Trigger),"--")</f>
        <v>--</v>
      </c>
      <c r="U81" s="102" t="str">
        <f>IFERROR(_xll.qlRateHelperPillarDate(S81,Trigger),"--")</f>
        <v>--</v>
      </c>
      <c r="W81" s="3" t="str">
        <f t="shared" si="9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4" t="e">
        <v>#N/A</v>
      </c>
    </row>
    <row r="82" spans="1:30" x14ac:dyDescent="0.2">
      <c r="A82" s="60" t="s">
        <v>152</v>
      </c>
      <c r="B82" s="61" t="s">
        <v>62</v>
      </c>
      <c r="C82" s="62">
        <v>2</v>
      </c>
      <c r="D82" s="198"/>
      <c r="E82" s="203" t="s">
        <v>8</v>
      </c>
      <c r="F82" s="203" t="s">
        <v>163</v>
      </c>
      <c r="G82" s="63" t="str">
        <f>Currency&amp;Tenor</f>
        <v>USDFedFunds</v>
      </c>
      <c r="H82" s="65" t="str">
        <f>Currency&amp;"AM3L"&amp;B82&amp;QuoteSuffix</f>
        <v>USDAM3L16M_Quote</v>
      </c>
      <c r="I82" s="65" t="str">
        <f>Currency&amp;"FF3L"&amp;B82&amp;QuoteSuffix</f>
        <v>USDFF3L16M_Quote</v>
      </c>
      <c r="J82" s="175" t="str">
        <f>IF(P78,_xll.qlArithmeticOISRateHelper(,C82,B82,E82,H82,G82,F82,I82,,,$J$62,,Permanent,Trigger,ObjectOverwrite),"--")</f>
        <v>--</v>
      </c>
      <c r="L82" s="162" t="str">
        <f t="shared" si="17"/>
        <v>BasSw</v>
      </c>
      <c r="M82" s="163" t="str">
        <f t="shared" si="18"/>
        <v>USDAM3L20M_Quote</v>
      </c>
      <c r="N82" s="164" t="str">
        <f>IFERROR(_xll.qlQuoteValue(H86,Trigger),"--")</f>
        <v>--</v>
      </c>
      <c r="O82" s="164" t="str">
        <f>IFERROR(_xll.qlQuoteValue(I86,Trigger),"--")</f>
        <v>--</v>
      </c>
      <c r="P82" s="101" t="b">
        <v>0</v>
      </c>
      <c r="Q82" s="98">
        <v>70</v>
      </c>
      <c r="R82" s="98">
        <v>1</v>
      </c>
      <c r="S82" s="98" t="str">
        <f t="shared" si="19"/>
        <v>--</v>
      </c>
      <c r="T82" s="102" t="str">
        <f>IFERROR(_xll.qlRateHelperEarliestDate(S82,Trigger),"--")</f>
        <v>--</v>
      </c>
      <c r="U82" s="102" t="str">
        <f>IFERROR(_xll.qlRateHelperPillarDate(S82,Trigger),"--")</f>
        <v>--</v>
      </c>
      <c r="W82" s="3" t="str">
        <f t="shared" si="9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4" t="e">
        <v>#N/A</v>
      </c>
    </row>
    <row r="83" spans="1:30" x14ac:dyDescent="0.2">
      <c r="A83" s="60" t="s">
        <v>152</v>
      </c>
      <c r="B83" s="61" t="s">
        <v>63</v>
      </c>
      <c r="C83" s="62">
        <v>2</v>
      </c>
      <c r="D83" s="198"/>
      <c r="E83" s="203" t="s">
        <v>8</v>
      </c>
      <c r="F83" s="203" t="s">
        <v>163</v>
      </c>
      <c r="G83" s="63" t="str">
        <f>Currency&amp;Tenor</f>
        <v>USDFedFunds</v>
      </c>
      <c r="H83" s="65" t="str">
        <f>Currency&amp;"AM3L"&amp;B83&amp;QuoteSuffix</f>
        <v>USDAM3L17M_Quote</v>
      </c>
      <c r="I83" s="65" t="str">
        <f>Currency&amp;"FF3L"&amp;B83&amp;QuoteSuffix</f>
        <v>USDFF3L17M_Quote</v>
      </c>
      <c r="J83" s="175" t="str">
        <f>IF(P79,_xll.qlArithmeticOISRateHelper(,C83,B83,E83,H83,G83,F83,I83,,,$J$62,,Permanent,Trigger,ObjectOverwrite),"--")</f>
        <v>--</v>
      </c>
      <c r="L83" s="162" t="str">
        <f t="shared" si="17"/>
        <v>BasSw</v>
      </c>
      <c r="M83" s="163" t="str">
        <f t="shared" si="18"/>
        <v>USDAM3L21M_Quote</v>
      </c>
      <c r="N83" s="164" t="str">
        <f>IFERROR(_xll.qlQuoteValue(H87,Trigger),"--")</f>
        <v>--</v>
      </c>
      <c r="O83" s="164" t="str">
        <f>IFERROR(_xll.qlQuoteValue(I87,Trigger),"--")</f>
        <v>--</v>
      </c>
      <c r="P83" s="101" t="b">
        <v>0</v>
      </c>
      <c r="Q83" s="98">
        <v>70</v>
      </c>
      <c r="R83" s="98">
        <v>1</v>
      </c>
      <c r="S83" s="98" t="str">
        <f t="shared" si="19"/>
        <v>--</v>
      </c>
      <c r="T83" s="102" t="str">
        <f>IFERROR(_xll.qlRateHelperEarliestDate(S83,Trigger),"--")</f>
        <v>--</v>
      </c>
      <c r="U83" s="102" t="str">
        <f>IFERROR(_xll.qlRateHelperPillarDate(S83,Trigger),"--")</f>
        <v>--</v>
      </c>
      <c r="W83" s="3" t="str">
        <f t="shared" si="9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4" t="e">
        <v>#N/A</v>
      </c>
    </row>
    <row r="84" spans="1:30" x14ac:dyDescent="0.2">
      <c r="A84" s="60" t="s">
        <v>152</v>
      </c>
      <c r="B84" s="61" t="s">
        <v>64</v>
      </c>
      <c r="C84" s="62">
        <v>2</v>
      </c>
      <c r="D84" s="198"/>
      <c r="E84" s="203" t="s">
        <v>8</v>
      </c>
      <c r="F84" s="203" t="s">
        <v>163</v>
      </c>
      <c r="G84" s="63" t="str">
        <f>Currency&amp;Tenor</f>
        <v>USDFedFunds</v>
      </c>
      <c r="H84" s="65" t="str">
        <f>Currency&amp;"AM3L"&amp;B84&amp;QuoteSuffix</f>
        <v>USDAM3L18M_Quote</v>
      </c>
      <c r="I84" s="65" t="str">
        <f>Currency&amp;"FF3L"&amp;B84&amp;QuoteSuffix</f>
        <v>USDFF3L18M_Quote</v>
      </c>
      <c r="J84" s="175" t="str">
        <f>IF(P80,_xll.qlArithmeticOISRateHelper(,C84,B84,E84,H84,G84,F84,I84,,,$J$62,,Permanent,Trigger,ObjectOverwrite),"--")</f>
        <v>--</v>
      </c>
      <c r="L84" s="162" t="str">
        <f t="shared" si="17"/>
        <v>BasSw</v>
      </c>
      <c r="M84" s="163" t="str">
        <f t="shared" si="18"/>
        <v>USDAM3L22M_Quote</v>
      </c>
      <c r="N84" s="164" t="str">
        <f>IFERROR(_xll.qlQuoteValue(H88,Trigger),"--")</f>
        <v>--</v>
      </c>
      <c r="O84" s="164" t="str">
        <f>IFERROR(_xll.qlQuoteValue(I88,Trigger),"--")</f>
        <v>--</v>
      </c>
      <c r="P84" s="101" t="b">
        <v>0</v>
      </c>
      <c r="Q84" s="98">
        <v>70</v>
      </c>
      <c r="R84" s="98">
        <v>1</v>
      </c>
      <c r="S84" s="98" t="str">
        <f t="shared" si="19"/>
        <v>--</v>
      </c>
      <c r="T84" s="102" t="str">
        <f>IFERROR(_xll.qlRateHelperEarliestDate(S84,Trigger),"--")</f>
        <v>--</v>
      </c>
      <c r="U84" s="102" t="str">
        <f>IFERROR(_xll.qlRateHelperPillarDate(S84,Trigger),"--")</f>
        <v>--</v>
      </c>
      <c r="W84" s="3" t="str">
        <f t="shared" si="9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4" t="e">
        <v>#N/A</v>
      </c>
    </row>
    <row r="85" spans="1:30" x14ac:dyDescent="0.2">
      <c r="A85" s="60" t="s">
        <v>152</v>
      </c>
      <c r="B85" s="61" t="s">
        <v>65</v>
      </c>
      <c r="C85" s="62">
        <v>2</v>
      </c>
      <c r="D85" s="198"/>
      <c r="E85" s="203" t="s">
        <v>8</v>
      </c>
      <c r="F85" s="203" t="s">
        <v>163</v>
      </c>
      <c r="G85" s="63" t="str">
        <f>Currency&amp;Tenor</f>
        <v>USDFedFunds</v>
      </c>
      <c r="H85" s="65" t="str">
        <f>Currency&amp;"AM3L"&amp;B85&amp;QuoteSuffix</f>
        <v>USDAM3L19M_Quote</v>
      </c>
      <c r="I85" s="65" t="str">
        <f>Currency&amp;"FF3L"&amp;B85&amp;QuoteSuffix</f>
        <v>USDFF3L19M_Quote</v>
      </c>
      <c r="J85" s="175" t="str">
        <f>IF(P81,_xll.qlArithmeticOISRateHelper(,C85,B85,E85,H85,G85,F85,I85,,,$J$62,,Permanent,Trigger,ObjectOverwrite),"--")</f>
        <v>--</v>
      </c>
      <c r="L85" s="162" t="str">
        <f t="shared" si="17"/>
        <v>BasSw</v>
      </c>
      <c r="M85" s="163" t="str">
        <f t="shared" si="18"/>
        <v>USDAM3L23M_Quote</v>
      </c>
      <c r="N85" s="164" t="str">
        <f>IFERROR(_xll.qlQuoteValue(H89,Trigger),"--")</f>
        <v>--</v>
      </c>
      <c r="O85" s="164" t="str">
        <f>IFERROR(_xll.qlQuoteValue(I89,Trigger),"--")</f>
        <v>--</v>
      </c>
      <c r="P85" s="101" t="b">
        <v>0</v>
      </c>
      <c r="Q85" s="98">
        <v>70</v>
      </c>
      <c r="R85" s="98">
        <v>1</v>
      </c>
      <c r="S85" s="98" t="str">
        <f t="shared" si="19"/>
        <v>--</v>
      </c>
      <c r="T85" s="102" t="str">
        <f>IFERROR(_xll.qlRateHelperEarliestDate(S85,Trigger),"--")</f>
        <v>--</v>
      </c>
      <c r="U85" s="102" t="str">
        <f>IFERROR(_xll.qlRateHelperPillarDate(S85,Trigger),"--")</f>
        <v>--</v>
      </c>
      <c r="W85" s="3" t="str">
        <f t="shared" si="9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4" t="e">
        <v>#N/A</v>
      </c>
    </row>
    <row r="86" spans="1:30" x14ac:dyDescent="0.2">
      <c r="A86" s="60" t="s">
        <v>152</v>
      </c>
      <c r="B86" s="61" t="s">
        <v>66</v>
      </c>
      <c r="C86" s="62">
        <v>2</v>
      </c>
      <c r="D86" s="198"/>
      <c r="E86" s="203" t="s">
        <v>8</v>
      </c>
      <c r="F86" s="203" t="s">
        <v>163</v>
      </c>
      <c r="G86" s="63" t="str">
        <f>Currency&amp;Tenor</f>
        <v>USDFedFunds</v>
      </c>
      <c r="H86" s="65" t="str">
        <f>Currency&amp;"AM3L"&amp;B86&amp;QuoteSuffix</f>
        <v>USDAM3L20M_Quote</v>
      </c>
      <c r="I86" s="65" t="str">
        <f>Currency&amp;"FF3L"&amp;B86&amp;QuoteSuffix</f>
        <v>USDFF3L20M_Quote</v>
      </c>
      <c r="J86" s="175" t="str">
        <f>IF(P82,_xll.qlArithmeticOISRateHelper(,C86,B86,E86,H86,G86,F86,I86,,,$J$62,,Permanent,Trigger,ObjectOverwrite),"--")</f>
        <v>--</v>
      </c>
      <c r="L86" s="162" t="str">
        <f t="shared" si="17"/>
        <v>BasSw</v>
      </c>
      <c r="M86" s="163" t="str">
        <f t="shared" si="18"/>
        <v>USDAM3L2Y_Quote</v>
      </c>
      <c r="N86" s="164">
        <f>IFERROR(_xll.qlQuoteValue(H90,Trigger),"--")</f>
        <v>9.1400000000000006E-3</v>
      </c>
      <c r="O86" s="164">
        <f>IFERROR(_xll.qlQuoteValue(I90,Trigger),"--")</f>
        <v>3.4100000000000003E-3</v>
      </c>
      <c r="P86" s="101" t="b">
        <v>0</v>
      </c>
      <c r="Q86" s="98">
        <v>70</v>
      </c>
      <c r="R86" s="98">
        <v>1</v>
      </c>
      <c r="S86" s="98" t="str">
        <f t="shared" si="19"/>
        <v>--</v>
      </c>
      <c r="T86" s="102" t="str">
        <f>IFERROR(_xll.qlRateHelperEarliestDate(S86,Trigger),"--")</f>
        <v>--</v>
      </c>
      <c r="U86" s="102" t="str">
        <f>IFERROR(_xll.qlRateHelperPillarDate(S86,Trigger),"--")</f>
        <v>--</v>
      </c>
      <c r="W86" s="3" t="str">
        <f t="shared" si="9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4" t="e">
        <v>#N/A</v>
      </c>
    </row>
    <row r="87" spans="1:30" x14ac:dyDescent="0.2">
      <c r="A87" s="60" t="s">
        <v>152</v>
      </c>
      <c r="B87" s="61" t="s">
        <v>67</v>
      </c>
      <c r="C87" s="62">
        <v>2</v>
      </c>
      <c r="D87" s="198"/>
      <c r="E87" s="203" t="s">
        <v>8</v>
      </c>
      <c r="F87" s="203" t="s">
        <v>163</v>
      </c>
      <c r="G87" s="63" t="str">
        <f>Currency&amp;Tenor</f>
        <v>USDFedFunds</v>
      </c>
      <c r="H87" s="65" t="str">
        <f>Currency&amp;"AM3L"&amp;B87&amp;QuoteSuffix</f>
        <v>USDAM3L21M_Quote</v>
      </c>
      <c r="I87" s="65" t="str">
        <f>Currency&amp;"FF3L"&amp;B87&amp;QuoteSuffix</f>
        <v>USDFF3L21M_Quote</v>
      </c>
      <c r="J87" s="175" t="str">
        <f>IF(P83,_xll.qlArithmeticOISRateHelper(,C87,B87,E87,H87,G87,F87,I87,,,$J$62,,Permanent,Trigger,ObjectOverwrite),"--")</f>
        <v>--</v>
      </c>
      <c r="L87" s="162" t="str">
        <f t="shared" si="17"/>
        <v>BasSw</v>
      </c>
      <c r="M87" s="163" t="str">
        <f t="shared" si="18"/>
        <v>USDAM3L27M_Quote</v>
      </c>
      <c r="N87" s="164" t="str">
        <f>IFERROR(_xll.qlQuoteValue(H91,Trigger),"--")</f>
        <v>--</v>
      </c>
      <c r="O87" s="164" t="str">
        <f>IFERROR(_xll.qlQuoteValue(I91,Trigger),"--")</f>
        <v>--</v>
      </c>
      <c r="P87" s="101" t="b">
        <v>0</v>
      </c>
      <c r="Q87" s="98">
        <v>70</v>
      </c>
      <c r="R87" s="98">
        <v>1</v>
      </c>
      <c r="S87" s="98" t="str">
        <f t="shared" si="19"/>
        <v>--</v>
      </c>
      <c r="T87" s="102" t="str">
        <f>IFERROR(_xll.qlRateHelperEarliestDate(S87,Trigger),"--")</f>
        <v>--</v>
      </c>
      <c r="U87" s="102" t="str">
        <f>IFERROR(_xll.qlRateHelperPillarDate(S87,Trigger),"--")</f>
        <v>--</v>
      </c>
      <c r="W87" s="3" t="str">
        <f t="shared" si="9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4" t="e">
        <v>#N/A</v>
      </c>
    </row>
    <row r="88" spans="1:30" x14ac:dyDescent="0.2">
      <c r="A88" s="60" t="s">
        <v>152</v>
      </c>
      <c r="B88" s="61" t="s">
        <v>68</v>
      </c>
      <c r="C88" s="62">
        <v>2</v>
      </c>
      <c r="D88" s="198"/>
      <c r="E88" s="203" t="s">
        <v>8</v>
      </c>
      <c r="F88" s="203" t="s">
        <v>163</v>
      </c>
      <c r="G88" s="63" t="str">
        <f>Currency&amp;Tenor</f>
        <v>USDFedFunds</v>
      </c>
      <c r="H88" s="65" t="str">
        <f>Currency&amp;"AM3L"&amp;B88&amp;QuoteSuffix</f>
        <v>USDAM3L22M_Quote</v>
      </c>
      <c r="I88" s="65" t="str">
        <f>Currency&amp;"FF3L"&amp;B88&amp;QuoteSuffix</f>
        <v>USDFF3L22M_Quote</v>
      </c>
      <c r="J88" s="175" t="str">
        <f>IF(P84,_xll.qlArithmeticOISRateHelper(,C88,B88,E88,H88,G88,F88,I88,,,$J$62,,Permanent,Trigger,ObjectOverwrite),"--")</f>
        <v>--</v>
      </c>
      <c r="L88" s="162" t="str">
        <f t="shared" si="17"/>
        <v>BasSw</v>
      </c>
      <c r="M88" s="163" t="str">
        <f t="shared" si="18"/>
        <v>USDAM3L30M_Quote</v>
      </c>
      <c r="N88" s="164" t="str">
        <f>IFERROR(_xll.qlQuoteValue(H92,Trigger),"--")</f>
        <v>--</v>
      </c>
      <c r="O88" s="164" t="str">
        <f>IFERROR(_xll.qlQuoteValue(I92,Trigger),"--")</f>
        <v>--</v>
      </c>
      <c r="P88" s="101" t="b">
        <v>0</v>
      </c>
      <c r="Q88" s="98">
        <v>70</v>
      </c>
      <c r="R88" s="98">
        <v>1</v>
      </c>
      <c r="S88" s="98" t="str">
        <f t="shared" si="19"/>
        <v>--</v>
      </c>
      <c r="T88" s="102" t="str">
        <f>IFERROR(_xll.qlRateHelperEarliestDate(S88,Trigger),"--")</f>
        <v>--</v>
      </c>
      <c r="U88" s="102" t="str">
        <f>IFERROR(_xll.qlRateHelperPillarDate(S88,Trigger),"--")</f>
        <v>--</v>
      </c>
      <c r="W88" s="3" t="str">
        <f t="shared" si="9"/>
        <v/>
      </c>
      <c r="X88" s="3" t="e">
        <v>#N/A</v>
      </c>
      <c r="Y88" s="3" t="str">
        <f>IFERROR(_xll.qlRateHelperQuoteName(X88,Trigger),"")</f>
        <v/>
      </c>
      <c r="Z88" s="70" t="str">
        <f>IFERROR(_xll.qlRateHelperRate(X88,Trigger),"")</f>
        <v/>
      </c>
      <c r="AA88" s="10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4" t="e">
        <v>#N/A</v>
      </c>
    </row>
    <row r="89" spans="1:30" x14ac:dyDescent="0.2">
      <c r="A89" s="60" t="s">
        <v>152</v>
      </c>
      <c r="B89" s="61" t="s">
        <v>69</v>
      </c>
      <c r="C89" s="62">
        <v>2</v>
      </c>
      <c r="D89" s="198"/>
      <c r="E89" s="203" t="s">
        <v>8</v>
      </c>
      <c r="F89" s="203" t="s">
        <v>163</v>
      </c>
      <c r="G89" s="63" t="str">
        <f>Currency&amp;Tenor</f>
        <v>USDFedFunds</v>
      </c>
      <c r="H89" s="65" t="str">
        <f>Currency&amp;"AM3L"&amp;B89&amp;QuoteSuffix</f>
        <v>USDAM3L23M_Quote</v>
      </c>
      <c r="I89" s="65" t="str">
        <f>Currency&amp;"FF3L"&amp;B89&amp;QuoteSuffix</f>
        <v>USDFF3L23M_Quote</v>
      </c>
      <c r="J89" s="175" t="str">
        <f>IF(P85,_xll.qlArithmeticOISRateHelper(,C89,B89,E89,H89,G89,F89,I89,,,$J$62,,Permanent,Trigger,ObjectOverwrite),"--")</f>
        <v>--</v>
      </c>
      <c r="L89" s="162" t="str">
        <f t="shared" si="17"/>
        <v>BasSw</v>
      </c>
      <c r="M89" s="163" t="str">
        <f t="shared" si="18"/>
        <v>USDAM3L33M_Quote</v>
      </c>
      <c r="N89" s="164" t="str">
        <f>IFERROR(_xll.qlQuoteValue(H93,Trigger),"--")</f>
        <v>--</v>
      </c>
      <c r="O89" s="164" t="str">
        <f>IFERROR(_xll.qlQuoteValue(I93,Trigger),"--")</f>
        <v>--</v>
      </c>
      <c r="P89" s="101" t="b">
        <v>0</v>
      </c>
      <c r="Q89" s="98">
        <v>70</v>
      </c>
      <c r="R89" s="98">
        <v>1</v>
      </c>
      <c r="S89" s="98" t="str">
        <f t="shared" si="19"/>
        <v>--</v>
      </c>
      <c r="T89" s="102" t="str">
        <f>IFERROR(_xll.qlRateHelperEarliestDate(S89,Trigger),"--")</f>
        <v>--</v>
      </c>
      <c r="U89" s="102" t="str">
        <f>IFERROR(_xll.qlRateHelperPillarDate(S89,Trigger),"--")</f>
        <v>--</v>
      </c>
      <c r="W89" s="3" t="str">
        <f t="shared" si="9"/>
        <v/>
      </c>
      <c r="X89" s="3" t="e">
        <v>#N/A</v>
      </c>
      <c r="Y89" s="3" t="str">
        <f>IFERROR(_xll.qlRateHelperQuoteName(X89,Trigger),"")</f>
        <v/>
      </c>
      <c r="Z89" s="70" t="str">
        <f>IFERROR(_xll.qlRateHelperRate(X89,Trigger),"")</f>
        <v/>
      </c>
      <c r="AA89" s="10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4" t="e">
        <v>#N/A</v>
      </c>
    </row>
    <row r="90" spans="1:30" x14ac:dyDescent="0.2">
      <c r="A90" s="60" t="s">
        <v>152</v>
      </c>
      <c r="B90" s="61" t="s">
        <v>70</v>
      </c>
      <c r="C90" s="62">
        <v>2</v>
      </c>
      <c r="D90" s="198"/>
      <c r="E90" s="203" t="s">
        <v>8</v>
      </c>
      <c r="F90" s="203" t="s">
        <v>163</v>
      </c>
      <c r="G90" s="63" t="str">
        <f>Currency&amp;Tenor</f>
        <v>USDFedFunds</v>
      </c>
      <c r="H90" s="65" t="str">
        <f>Currency&amp;"AM3L"&amp;B90&amp;QuoteSuffix</f>
        <v>USDAM3L2Y_Quote</v>
      </c>
      <c r="I90" s="65" t="str">
        <f>Currency&amp;"FF3L"&amp;B90&amp;QuoteSuffix</f>
        <v>USDFF3L2Y_Quote</v>
      </c>
      <c r="J90" s="175" t="str">
        <f>IF(P86,_xll.qlArithmeticOISRateHelper(,C90,B90,E90,H90,G90,F90,I90,,,$J$62,,Permanent,Trigger,ObjectOverwrite),"--")</f>
        <v>--</v>
      </c>
      <c r="L90" s="162" t="str">
        <f t="shared" si="17"/>
        <v>BasSw</v>
      </c>
      <c r="M90" s="163" t="str">
        <f t="shared" si="18"/>
        <v>USDAM3L3Y_Quote</v>
      </c>
      <c r="N90" s="164">
        <f>IFERROR(_xll.qlQuoteValue(H94,Trigger),"--")</f>
        <v>9.8500000000000011E-3</v>
      </c>
      <c r="O90" s="164">
        <f>IFERROR(_xll.qlQuoteValue(I94,Trigger),"--")</f>
        <v>3.4800000000000005E-3</v>
      </c>
      <c r="P90" s="101" t="b">
        <v>0</v>
      </c>
      <c r="Q90" s="98">
        <v>70</v>
      </c>
      <c r="R90" s="98">
        <v>1</v>
      </c>
      <c r="S90" s="98" t="str">
        <f t="shared" si="19"/>
        <v>--</v>
      </c>
      <c r="T90" s="102" t="str">
        <f>IFERROR(_xll.qlRateHelperEarliestDate(S90,Trigger),"--")</f>
        <v>--</v>
      </c>
      <c r="U90" s="102" t="str">
        <f>IFERROR(_xll.qlRateHelperPillarDate(S90,Trigger),"--")</f>
        <v>--</v>
      </c>
      <c r="W90" s="3" t="str">
        <f t="shared" si="9"/>
        <v/>
      </c>
      <c r="X90" s="3" t="e">
        <v>#N/A</v>
      </c>
      <c r="Y90" s="3" t="str">
        <f>IFERROR(_xll.qlRateHelperQuoteName(X90,Trigger),"")</f>
        <v/>
      </c>
      <c r="Z90" s="70" t="str">
        <f>IFERROR(_xll.qlRateHelperRate(X90,Trigger),"")</f>
        <v/>
      </c>
      <c r="AA90" s="10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4" t="e">
        <v>#N/A</v>
      </c>
    </row>
    <row r="91" spans="1:30" x14ac:dyDescent="0.2">
      <c r="A91" s="60" t="s">
        <v>152</v>
      </c>
      <c r="B91" s="61" t="s">
        <v>71</v>
      </c>
      <c r="C91" s="62">
        <v>2</v>
      </c>
      <c r="D91" s="198"/>
      <c r="E91" s="203" t="s">
        <v>8</v>
      </c>
      <c r="F91" s="203" t="s">
        <v>163</v>
      </c>
      <c r="G91" s="63" t="str">
        <f>Currency&amp;Tenor</f>
        <v>USDFedFunds</v>
      </c>
      <c r="H91" s="65" t="str">
        <f>Currency&amp;"AM3L"&amp;B91&amp;QuoteSuffix</f>
        <v>USDAM3L27M_Quote</v>
      </c>
      <c r="I91" s="65" t="str">
        <f>Currency&amp;"FF3L"&amp;B91&amp;QuoteSuffix</f>
        <v>USDFF3L27M_Quote</v>
      </c>
      <c r="J91" s="175" t="str">
        <f>IF(P87,_xll.qlArithmeticOISRateHelper(,C91,B91,E91,H91,G91,F91,I91,,,$J$62,,Permanent,Trigger,ObjectOverwrite),"--")</f>
        <v>--</v>
      </c>
      <c r="L91" s="162" t="str">
        <f t="shared" si="17"/>
        <v>BasSw</v>
      </c>
      <c r="M91" s="163" t="str">
        <f t="shared" si="18"/>
        <v>USDAM3L39M_Quote</v>
      </c>
      <c r="N91" s="164" t="str">
        <f>IFERROR(_xll.qlQuoteValue(H95,Trigger),"--")</f>
        <v>--</v>
      </c>
      <c r="O91" s="164" t="str">
        <f>IFERROR(_xll.qlQuoteValue(I95,Trigger),"--")</f>
        <v>--</v>
      </c>
      <c r="P91" s="101" t="b">
        <v>0</v>
      </c>
      <c r="Q91" s="98">
        <v>70</v>
      </c>
      <c r="R91" s="98">
        <v>1</v>
      </c>
      <c r="S91" s="98" t="str">
        <f t="shared" si="19"/>
        <v>--</v>
      </c>
      <c r="T91" s="102" t="str">
        <f>IFERROR(_xll.qlRateHelperEarliestDate(S91,Trigger),"--")</f>
        <v>--</v>
      </c>
      <c r="U91" s="102" t="str">
        <f>IFERROR(_xll.qlRateHelperPillarDate(S91,Trigger),"--")</f>
        <v>--</v>
      </c>
      <c r="W91" s="3" t="str">
        <f t="shared" si="9"/>
        <v/>
      </c>
      <c r="X91" s="3" t="e">
        <v>#N/A</v>
      </c>
      <c r="Y91" s="3" t="str">
        <f>IFERROR(_xll.qlRateHelperQuoteName(X91,Trigger),"")</f>
        <v/>
      </c>
      <c r="Z91" s="70" t="str">
        <f>IFERROR(_xll.qlRateHelperRate(X91,Trigger),"")</f>
        <v/>
      </c>
      <c r="AA91" s="10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4" t="e">
        <v>#N/A</v>
      </c>
    </row>
    <row r="92" spans="1:30" x14ac:dyDescent="0.2">
      <c r="A92" s="60" t="s">
        <v>152</v>
      </c>
      <c r="B92" s="61" t="s">
        <v>72</v>
      </c>
      <c r="C92" s="62">
        <v>2</v>
      </c>
      <c r="D92" s="198"/>
      <c r="E92" s="203" t="s">
        <v>8</v>
      </c>
      <c r="F92" s="203" t="s">
        <v>163</v>
      </c>
      <c r="G92" s="63" t="str">
        <f>Currency&amp;Tenor</f>
        <v>USDFedFunds</v>
      </c>
      <c r="H92" s="65" t="str">
        <f>Currency&amp;"AM3L"&amp;B92&amp;QuoteSuffix</f>
        <v>USDAM3L30M_Quote</v>
      </c>
      <c r="I92" s="65" t="str">
        <f>Currency&amp;"FF3L"&amp;B92&amp;QuoteSuffix</f>
        <v>USDFF3L30M_Quote</v>
      </c>
      <c r="J92" s="175" t="str">
        <f>IF(P88,_xll.qlArithmeticOISRateHelper(,C92,B92,E92,H92,G92,F92,I92,,,$J$62,,Permanent,Trigger,ObjectOverwrite),"--")</f>
        <v>--</v>
      </c>
      <c r="L92" s="162" t="str">
        <f t="shared" si="17"/>
        <v>BasSw</v>
      </c>
      <c r="M92" s="163" t="str">
        <f t="shared" si="18"/>
        <v>USDAM3L42M_Quote</v>
      </c>
      <c r="N92" s="164" t="str">
        <f>IFERROR(_xll.qlQuoteValue(H96,Trigger),"--")</f>
        <v>--</v>
      </c>
      <c r="O92" s="164" t="str">
        <f>IFERROR(_xll.qlQuoteValue(I96,Trigger),"--")</f>
        <v>--</v>
      </c>
      <c r="P92" s="101" t="b">
        <v>0</v>
      </c>
      <c r="Q92" s="98">
        <v>70</v>
      </c>
      <c r="R92" s="98">
        <v>1</v>
      </c>
      <c r="S92" s="98" t="str">
        <f t="shared" si="19"/>
        <v>--</v>
      </c>
      <c r="T92" s="102" t="str">
        <f>IFERROR(_xll.qlRateHelperEarliestDate(S92,Trigger),"--")</f>
        <v>--</v>
      </c>
      <c r="U92" s="102" t="str">
        <f>IFERROR(_xll.qlRateHelperPillarDate(S92,Trigger),"--")</f>
        <v>--</v>
      </c>
      <c r="W92" s="3" t="str">
        <f t="shared" si="9"/>
        <v/>
      </c>
      <c r="X92" s="3" t="e">
        <v>#N/A</v>
      </c>
      <c r="Y92" s="3" t="str">
        <f>IFERROR(_xll.qlRateHelperQuoteName(X92,Trigger),"")</f>
        <v/>
      </c>
      <c r="Z92" s="70" t="str">
        <f>IFERROR(_xll.qlRateHelperRate(X92,Trigger),"")</f>
        <v/>
      </c>
      <c r="AA92" s="10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4" t="e">
        <v>#N/A</v>
      </c>
    </row>
    <row r="93" spans="1:30" x14ac:dyDescent="0.2">
      <c r="A93" s="60" t="s">
        <v>152</v>
      </c>
      <c r="B93" s="61" t="s">
        <v>73</v>
      </c>
      <c r="C93" s="62">
        <v>2</v>
      </c>
      <c r="D93" s="198"/>
      <c r="E93" s="203" t="s">
        <v>8</v>
      </c>
      <c r="F93" s="203" t="s">
        <v>163</v>
      </c>
      <c r="G93" s="63" t="str">
        <f>Currency&amp;Tenor</f>
        <v>USDFedFunds</v>
      </c>
      <c r="H93" s="65" t="str">
        <f>Currency&amp;"AM3L"&amp;B93&amp;QuoteSuffix</f>
        <v>USDAM3L33M_Quote</v>
      </c>
      <c r="I93" s="65" t="str">
        <f>Currency&amp;"FF3L"&amp;B93&amp;QuoteSuffix</f>
        <v>USDFF3L33M_Quote</v>
      </c>
      <c r="J93" s="175" t="str">
        <f>IF(P89,_xll.qlArithmeticOISRateHelper(,C93,B93,E93,H93,G93,F93,I93,,,$J$62,,Permanent,Trigger,ObjectOverwrite),"--")</f>
        <v>--</v>
      </c>
      <c r="L93" s="162" t="str">
        <f t="shared" si="17"/>
        <v>BasSw</v>
      </c>
      <c r="M93" s="163" t="str">
        <f t="shared" si="18"/>
        <v>USDAM3L45M_Quote</v>
      </c>
      <c r="N93" s="164" t="str">
        <f>IFERROR(_xll.qlQuoteValue(H97,Trigger),"--")</f>
        <v>--</v>
      </c>
      <c r="O93" s="164" t="str">
        <f>IFERROR(_xll.qlQuoteValue(I97,Trigger),"--")</f>
        <v>--</v>
      </c>
      <c r="P93" s="101" t="b">
        <v>0</v>
      </c>
      <c r="Q93" s="98">
        <v>70</v>
      </c>
      <c r="R93" s="98">
        <v>1</v>
      </c>
      <c r="S93" s="98" t="str">
        <f t="shared" si="19"/>
        <v>--</v>
      </c>
      <c r="T93" s="102" t="str">
        <f>IFERROR(_xll.qlRateHelperEarliestDate(S93,Trigger),"--")</f>
        <v>--</v>
      </c>
      <c r="U93" s="102" t="str">
        <f>IFERROR(_xll.qlRateHelperPillarDate(S93,Trigger),"--")</f>
        <v>--</v>
      </c>
      <c r="W93" s="3" t="str">
        <f t="shared" si="9"/>
        <v/>
      </c>
      <c r="X93" s="3" t="e">
        <v>#N/A</v>
      </c>
      <c r="Y93" s="3" t="str">
        <f>IFERROR(_xll.qlRateHelperQuoteName(X93,Trigger),"")</f>
        <v/>
      </c>
      <c r="Z93" s="70" t="str">
        <f>IFERROR(_xll.qlRateHelperRate(X93,Trigger),"")</f>
        <v/>
      </c>
      <c r="AA93" s="10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4" t="e">
        <v>#N/A</v>
      </c>
    </row>
    <row r="94" spans="1:30" x14ac:dyDescent="0.2">
      <c r="A94" s="60" t="s">
        <v>152</v>
      </c>
      <c r="B94" s="61" t="s">
        <v>74</v>
      </c>
      <c r="C94" s="62">
        <v>2</v>
      </c>
      <c r="D94" s="198"/>
      <c r="E94" s="203" t="s">
        <v>8</v>
      </c>
      <c r="F94" s="203" t="s">
        <v>163</v>
      </c>
      <c r="G94" s="63" t="str">
        <f>Currency&amp;Tenor</f>
        <v>USDFedFunds</v>
      </c>
      <c r="H94" s="65" t="str">
        <f>Currency&amp;"AM3L"&amp;B94&amp;QuoteSuffix</f>
        <v>USDAM3L3Y_Quote</v>
      </c>
      <c r="I94" s="65" t="str">
        <f>Currency&amp;"FF3L"&amp;B94&amp;QuoteSuffix</f>
        <v>USDFF3L3Y_Quote</v>
      </c>
      <c r="J94" s="175" t="str">
        <f>IF(P90,_xll.qlArithmeticOISRateHelper(,C94,B94,E94,H94,G94,F94,I94,,,$J$62,,Permanent,Trigger,ObjectOverwrite),"--")</f>
        <v>--</v>
      </c>
      <c r="L94" s="162" t="str">
        <f t="shared" si="17"/>
        <v>BasSw</v>
      </c>
      <c r="M94" s="163" t="str">
        <f t="shared" si="18"/>
        <v>USDAM3L4Y_Quote</v>
      </c>
      <c r="N94" s="164">
        <f>IFERROR(_xll.qlQuoteValue(H98,Trigger),"--")</f>
        <v>1.052E-2</v>
      </c>
      <c r="O94" s="164">
        <f>IFERROR(_xll.qlQuoteValue(I98,Trigger),"--")</f>
        <v>3.5600000000000002E-3</v>
      </c>
      <c r="P94" s="101" t="b">
        <v>0</v>
      </c>
      <c r="Q94" s="98">
        <v>70</v>
      </c>
      <c r="R94" s="98">
        <v>1</v>
      </c>
      <c r="S94" s="98" t="str">
        <f t="shared" si="19"/>
        <v>--</v>
      </c>
      <c r="T94" s="102" t="str">
        <f>IFERROR(_xll.qlRateHelperEarliestDate(S94,Trigger),"--")</f>
        <v>--</v>
      </c>
      <c r="U94" s="102" t="str">
        <f>IFERROR(_xll.qlRateHelperPillarDate(S94,Trigger),"--")</f>
        <v>--</v>
      </c>
      <c r="W94" s="3" t="str">
        <f t="shared" si="9"/>
        <v/>
      </c>
      <c r="X94" s="3" t="e">
        <v>#N/A</v>
      </c>
      <c r="Y94" s="3" t="str">
        <f>IFERROR(_xll.qlRateHelperQuoteName(X94,Trigger),"")</f>
        <v/>
      </c>
      <c r="Z94" s="70" t="str">
        <f>IFERROR(_xll.qlRateHelperRate(X94,Trigger),"")</f>
        <v/>
      </c>
      <c r="AA94" s="10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4" t="e">
        <v>#N/A</v>
      </c>
    </row>
    <row r="95" spans="1:30" x14ac:dyDescent="0.2">
      <c r="A95" s="60" t="s">
        <v>152</v>
      </c>
      <c r="B95" s="61" t="s">
        <v>75</v>
      </c>
      <c r="C95" s="62">
        <v>2</v>
      </c>
      <c r="D95" s="198"/>
      <c r="E95" s="203" t="s">
        <v>8</v>
      </c>
      <c r="F95" s="203" t="s">
        <v>163</v>
      </c>
      <c r="G95" s="63" t="str">
        <f>Currency&amp;Tenor</f>
        <v>USDFedFunds</v>
      </c>
      <c r="H95" s="65" t="str">
        <f>Currency&amp;"AM3L"&amp;B95&amp;QuoteSuffix</f>
        <v>USDAM3L39M_Quote</v>
      </c>
      <c r="I95" s="65" t="str">
        <f>Currency&amp;"FF3L"&amp;B95&amp;QuoteSuffix</f>
        <v>USDFF3L39M_Quote</v>
      </c>
      <c r="J95" s="175" t="str">
        <f>IF(P91,_xll.qlArithmeticOISRateHelper(,C95,B95,E95,H95,G95,F95,I95,,,$J$62,,Permanent,Trigger,ObjectOverwrite),"--")</f>
        <v>--</v>
      </c>
      <c r="L95" s="162" t="str">
        <f t="shared" si="17"/>
        <v>BasSw</v>
      </c>
      <c r="M95" s="163" t="str">
        <f t="shared" si="18"/>
        <v>USDAM3L51M_Quote</v>
      </c>
      <c r="N95" s="164" t="str">
        <f>IFERROR(_xll.qlQuoteValue(H99,Trigger),"--")</f>
        <v>--</v>
      </c>
      <c r="O95" s="164" t="str">
        <f>IFERROR(_xll.qlQuoteValue(I99,Trigger),"--")</f>
        <v>--</v>
      </c>
      <c r="P95" s="101" t="b">
        <v>0</v>
      </c>
      <c r="Q95" s="98">
        <v>70</v>
      </c>
      <c r="R95" s="98">
        <v>1</v>
      </c>
      <c r="S95" s="98" t="str">
        <f t="shared" si="19"/>
        <v>--</v>
      </c>
      <c r="T95" s="102" t="str">
        <f>IFERROR(_xll.qlRateHelperEarliestDate(S95,Trigger),"--")</f>
        <v>--</v>
      </c>
      <c r="U95" s="102" t="str">
        <f>IFERROR(_xll.qlRateHelperPillarDate(S95,Trigger),"--")</f>
        <v>--</v>
      </c>
      <c r="W95" s="3" t="str">
        <f t="shared" si="9"/>
        <v/>
      </c>
      <c r="X95" s="3" t="e">
        <v>#N/A</v>
      </c>
      <c r="Y95" s="3" t="str">
        <f>IFERROR(_xll.qlRateHelperQuoteName(X95,Trigger),"")</f>
        <v/>
      </c>
      <c r="Z95" s="70" t="str">
        <f>IFERROR(_xll.qlRateHelperRate(X95,Trigger),"")</f>
        <v/>
      </c>
      <c r="AA95" s="106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4" t="e">
        <v>#N/A</v>
      </c>
    </row>
    <row r="96" spans="1:30" x14ac:dyDescent="0.2">
      <c r="A96" s="60" t="s">
        <v>152</v>
      </c>
      <c r="B96" s="61" t="s">
        <v>76</v>
      </c>
      <c r="C96" s="62">
        <v>2</v>
      </c>
      <c r="D96" s="198"/>
      <c r="E96" s="203" t="s">
        <v>8</v>
      </c>
      <c r="F96" s="203" t="s">
        <v>163</v>
      </c>
      <c r="G96" s="63" t="str">
        <f>Currency&amp;Tenor</f>
        <v>USDFedFunds</v>
      </c>
      <c r="H96" s="65" t="str">
        <f>Currency&amp;"AM3L"&amp;B96&amp;QuoteSuffix</f>
        <v>USDAM3L42M_Quote</v>
      </c>
      <c r="I96" s="65" t="str">
        <f>Currency&amp;"FF3L"&amp;B96&amp;QuoteSuffix</f>
        <v>USDFF3L42M_Quote</v>
      </c>
      <c r="J96" s="175" t="str">
        <f>IF(P92,_xll.qlArithmeticOISRateHelper(,C96,B96,E96,H96,G96,F96,I96,,,$J$62,,Permanent,Trigger,ObjectOverwrite),"--")</f>
        <v>--</v>
      </c>
      <c r="L96" s="162" t="str">
        <f t="shared" si="17"/>
        <v>BasSw</v>
      </c>
      <c r="M96" s="163" t="str">
        <f t="shared" si="18"/>
        <v>USDAM3L54M_Quote</v>
      </c>
      <c r="N96" s="164" t="str">
        <f>IFERROR(_xll.qlQuoteValue(H100,Trigger),"--")</f>
        <v>--</v>
      </c>
      <c r="O96" s="164" t="str">
        <f>IFERROR(_xll.qlQuoteValue(I100,Trigger),"--")</f>
        <v>--</v>
      </c>
      <c r="P96" s="101" t="b">
        <v>0</v>
      </c>
      <c r="Q96" s="98">
        <v>70</v>
      </c>
      <c r="R96" s="98">
        <v>1</v>
      </c>
      <c r="S96" s="98" t="str">
        <f t="shared" si="19"/>
        <v>--</v>
      </c>
      <c r="T96" s="102" t="str">
        <f>IFERROR(_xll.qlRateHelperEarliestDate(S96,Trigger),"--")</f>
        <v>--</v>
      </c>
      <c r="U96" s="102" t="str">
        <f>IFERROR(_xll.qlRateHelperPillarDate(S96,Trigger),"--")</f>
        <v>--</v>
      </c>
      <c r="W96" s="3" t="str">
        <f t="shared" si="9"/>
        <v/>
      </c>
      <c r="X96" s="3" t="e">
        <v>#N/A</v>
      </c>
      <c r="Y96" s="3" t="str">
        <f>IFERROR(_xll.qlRateHelperQuoteName(X96,Trigger),"")</f>
        <v/>
      </c>
      <c r="Z96" s="70" t="str">
        <f>IFERROR(_xll.qlRateHelperRate(X96,Trigger),"")</f>
        <v/>
      </c>
      <c r="AA96" s="106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4" t="e">
        <v>#N/A</v>
      </c>
    </row>
    <row r="97" spans="1:30" x14ac:dyDescent="0.2">
      <c r="A97" s="60" t="s">
        <v>152</v>
      </c>
      <c r="B97" s="61" t="s">
        <v>77</v>
      </c>
      <c r="C97" s="62">
        <v>2</v>
      </c>
      <c r="D97" s="198"/>
      <c r="E97" s="203" t="s">
        <v>8</v>
      </c>
      <c r="F97" s="203" t="s">
        <v>163</v>
      </c>
      <c r="G97" s="63" t="str">
        <f>Currency&amp;Tenor</f>
        <v>USDFedFunds</v>
      </c>
      <c r="H97" s="65" t="str">
        <f>Currency&amp;"AM3L"&amp;B97&amp;QuoteSuffix</f>
        <v>USDAM3L45M_Quote</v>
      </c>
      <c r="I97" s="65" t="str">
        <f>Currency&amp;"FF3L"&amp;B97&amp;QuoteSuffix</f>
        <v>USDFF3L45M_Quote</v>
      </c>
      <c r="J97" s="175" t="str">
        <f>IF(P93,_xll.qlArithmeticOISRateHelper(,C97,B97,E97,H97,G97,F97,I97,,,$J$62,,Permanent,Trigger,ObjectOverwrite),"--")</f>
        <v>--</v>
      </c>
      <c r="L97" s="162" t="str">
        <f t="shared" si="17"/>
        <v>BasSw</v>
      </c>
      <c r="M97" s="163" t="str">
        <f t="shared" si="18"/>
        <v>USDAM3L57M_Quote</v>
      </c>
      <c r="N97" s="164" t="str">
        <f>IFERROR(_xll.qlQuoteValue(H101,Trigger),"--")</f>
        <v>--</v>
      </c>
      <c r="O97" s="164" t="str">
        <f>IFERROR(_xll.qlQuoteValue(I101,Trigger),"--")</f>
        <v>--</v>
      </c>
      <c r="P97" s="101" t="b">
        <v>0</v>
      </c>
      <c r="Q97" s="98">
        <v>70</v>
      </c>
      <c r="R97" s="98">
        <v>1</v>
      </c>
      <c r="S97" s="98" t="str">
        <f t="shared" si="19"/>
        <v>--</v>
      </c>
      <c r="T97" s="102" t="str">
        <f>IFERROR(_xll.qlRateHelperEarliestDate(S97,Trigger),"--")</f>
        <v>--</v>
      </c>
      <c r="U97" s="102" t="str">
        <f>IFERROR(_xll.qlRateHelperPillarDate(S97,Trigger),"--")</f>
        <v>--</v>
      </c>
      <c r="W97" s="3" t="str">
        <f t="shared" si="9"/>
        <v/>
      </c>
      <c r="X97" s="3" t="e">
        <v>#N/A</v>
      </c>
      <c r="Y97" s="3" t="str">
        <f>IFERROR(_xll.qlRateHelperQuoteName(X97,Trigger),"")</f>
        <v/>
      </c>
      <c r="Z97" s="70" t="str">
        <f>IFERROR(_xll.qlRateHelperRate(X97,Trigger),"")</f>
        <v/>
      </c>
      <c r="AA97" s="106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4" t="e">
        <v>#N/A</v>
      </c>
    </row>
    <row r="98" spans="1:30" x14ac:dyDescent="0.2">
      <c r="A98" s="60" t="s">
        <v>152</v>
      </c>
      <c r="B98" s="61" t="s">
        <v>78</v>
      </c>
      <c r="C98" s="62">
        <v>2</v>
      </c>
      <c r="D98" s="198"/>
      <c r="E98" s="203" t="s">
        <v>8</v>
      </c>
      <c r="F98" s="203" t="s">
        <v>163</v>
      </c>
      <c r="G98" s="63" t="str">
        <f>Currency&amp;Tenor</f>
        <v>USDFedFunds</v>
      </c>
      <c r="H98" s="65" t="str">
        <f>Currency&amp;"AM3L"&amp;B98&amp;QuoteSuffix</f>
        <v>USDAM3L4Y_Quote</v>
      </c>
      <c r="I98" s="65" t="str">
        <f>Currency&amp;"FF3L"&amp;B98&amp;QuoteSuffix</f>
        <v>USDFF3L4Y_Quote</v>
      </c>
      <c r="J98" s="175" t="str">
        <f>IF(P94,_xll.qlArithmeticOISRateHelper(,C98,B98,E98,H98,G98,F98,I98,,,$J$62,,Permanent,Trigger,ObjectOverwrite),"--")</f>
        <v>--</v>
      </c>
      <c r="L98" s="162" t="str">
        <f t="shared" si="17"/>
        <v>BasSw</v>
      </c>
      <c r="M98" s="163" t="str">
        <f t="shared" si="18"/>
        <v>USDAM3L5Y_Quote</v>
      </c>
      <c r="N98" s="164">
        <f>IFERROR(_xll.qlQuoteValue(H102,Trigger),"--")</f>
        <v>1.119E-2</v>
      </c>
      <c r="O98" s="164">
        <f>IFERROR(_xll.qlQuoteValue(I102,Trigger),"--")</f>
        <v>3.6600000000000001E-3</v>
      </c>
      <c r="P98" s="101" t="b">
        <v>0</v>
      </c>
      <c r="Q98" s="98">
        <v>70</v>
      </c>
      <c r="R98" s="98">
        <v>1</v>
      </c>
      <c r="S98" s="98" t="str">
        <f t="shared" si="19"/>
        <v>--</v>
      </c>
      <c r="T98" s="102" t="str">
        <f>IFERROR(_xll.qlRateHelperEarliestDate(S98,Trigger),"--")</f>
        <v>--</v>
      </c>
      <c r="U98" s="102" t="str">
        <f>IFERROR(_xll.qlRateHelperPillarDate(S98,Trigger),"--")</f>
        <v>--</v>
      </c>
      <c r="W98" s="3" t="str">
        <f t="shared" si="9"/>
        <v/>
      </c>
      <c r="X98" s="3" t="e">
        <v>#N/A</v>
      </c>
      <c r="Y98" s="3" t="str">
        <f>IFERROR(_xll.qlRateHelperQuoteName(X98,Trigger),"")</f>
        <v/>
      </c>
      <c r="Z98" s="70" t="str">
        <f>IFERROR(_xll.qlRateHelperRate(X98,Trigger),"")</f>
        <v/>
      </c>
      <c r="AA98" s="106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4" t="e">
        <v>#N/A</v>
      </c>
    </row>
    <row r="99" spans="1:30" x14ac:dyDescent="0.2">
      <c r="A99" s="60" t="s">
        <v>152</v>
      </c>
      <c r="B99" s="61" t="s">
        <v>79</v>
      </c>
      <c r="C99" s="62">
        <v>2</v>
      </c>
      <c r="D99" s="198"/>
      <c r="E99" s="203" t="s">
        <v>8</v>
      </c>
      <c r="F99" s="203" t="s">
        <v>163</v>
      </c>
      <c r="G99" s="63" t="str">
        <f>Currency&amp;Tenor</f>
        <v>USDFedFunds</v>
      </c>
      <c r="H99" s="65" t="str">
        <f>Currency&amp;"AM3L"&amp;B99&amp;QuoteSuffix</f>
        <v>USDAM3L51M_Quote</v>
      </c>
      <c r="I99" s="65" t="str">
        <f>Currency&amp;"FF3L"&amp;B99&amp;QuoteSuffix</f>
        <v>USDFF3L51M_Quote</v>
      </c>
      <c r="J99" s="175" t="str">
        <f>IF(P95,_xll.qlArithmeticOISRateHelper(,C99,B99,E99,H99,G99,F99,I99,,,$J$62,,Permanent,Trigger,ObjectOverwrite),"--")</f>
        <v>--</v>
      </c>
      <c r="L99" s="162" t="str">
        <f t="shared" si="17"/>
        <v>BasSw</v>
      </c>
      <c r="M99" s="163" t="str">
        <f t="shared" si="18"/>
        <v>USDAM3L6Y_Quote</v>
      </c>
      <c r="N99" s="164">
        <f>IFERROR(_xll.qlQuoteValue(H103,Trigger),"--")</f>
        <v>1.191E-2</v>
      </c>
      <c r="O99" s="164">
        <f>IFERROR(_xll.qlQuoteValue(I103,Trigger),"--")</f>
        <v>3.7399999999999998E-3</v>
      </c>
      <c r="P99" s="101" t="b">
        <v>0</v>
      </c>
      <c r="Q99" s="98">
        <v>70</v>
      </c>
      <c r="R99" s="98">
        <v>1</v>
      </c>
      <c r="S99" s="98" t="str">
        <f t="shared" si="19"/>
        <v>--</v>
      </c>
      <c r="T99" s="102" t="str">
        <f>IFERROR(_xll.qlRateHelperEarliestDate(S99,Trigger),"--")</f>
        <v>--</v>
      </c>
      <c r="U99" s="102" t="str">
        <f>IFERROR(_xll.qlRateHelperPillarDate(S99,Trigger),"--")</f>
        <v>--</v>
      </c>
      <c r="W99" s="3" t="str">
        <f t="shared" ref="W99:W113" si="20">IFERROR(INDEX($L$3:$L$113,MATCH(Y99,$M$3:$M$113,0),1),"")</f>
        <v/>
      </c>
      <c r="X99" s="3" t="e">
        <v>#N/A</v>
      </c>
      <c r="Y99" s="3" t="str">
        <f>IFERROR(_xll.qlRateHelperQuoteName(X99,Trigger),"")</f>
        <v/>
      </c>
      <c r="Z99" s="70" t="str">
        <f>IFERROR(_xll.qlRateHelperRate(X99,Trigger),"")</f>
        <v/>
      </c>
      <c r="AA99" s="106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4" t="e">
        <v>#N/A</v>
      </c>
    </row>
    <row r="100" spans="1:30" x14ac:dyDescent="0.2">
      <c r="A100" s="60" t="s">
        <v>152</v>
      </c>
      <c r="B100" s="61" t="s">
        <v>80</v>
      </c>
      <c r="C100" s="62">
        <v>2</v>
      </c>
      <c r="D100" s="198"/>
      <c r="E100" s="203" t="s">
        <v>8</v>
      </c>
      <c r="F100" s="203" t="s">
        <v>163</v>
      </c>
      <c r="G100" s="63" t="str">
        <f>Currency&amp;Tenor</f>
        <v>USDFedFunds</v>
      </c>
      <c r="H100" s="65" t="str">
        <f>Currency&amp;"AM3L"&amp;B100&amp;QuoteSuffix</f>
        <v>USDAM3L54M_Quote</v>
      </c>
      <c r="I100" s="65" t="str">
        <f>Currency&amp;"FF3L"&amp;B100&amp;QuoteSuffix</f>
        <v>USDFF3L54M_Quote</v>
      </c>
      <c r="J100" s="175" t="str">
        <f>IF(P96,_xll.qlArithmeticOISRateHelper(,C100,B100,E100,H100,G100,F100,I100,,,$J$62,,Permanent,Trigger,ObjectOverwrite),"--")</f>
        <v>--</v>
      </c>
      <c r="L100" s="162" t="str">
        <f t="shared" si="17"/>
        <v>BasSw</v>
      </c>
      <c r="M100" s="163" t="str">
        <f t="shared" si="18"/>
        <v>USDAM3L7Y_Quote</v>
      </c>
      <c r="N100" s="164">
        <f>IFERROR(_xll.qlQuoteValue(H104,Trigger),"--")</f>
        <v>1.259E-2</v>
      </c>
      <c r="O100" s="164">
        <f>IFERROR(_xll.qlQuoteValue(I104,Trigger),"--")</f>
        <v>3.8E-3</v>
      </c>
      <c r="P100" s="101" t="b">
        <v>0</v>
      </c>
      <c r="Q100" s="98">
        <v>70</v>
      </c>
      <c r="R100" s="98">
        <v>1</v>
      </c>
      <c r="S100" s="98" t="str">
        <f t="shared" si="19"/>
        <v>--</v>
      </c>
      <c r="T100" s="102" t="str">
        <f>IFERROR(_xll.qlRateHelperEarliestDate(S100,Trigger),"--")</f>
        <v>--</v>
      </c>
      <c r="U100" s="102" t="str">
        <f>IFERROR(_xll.qlRateHelperPillarDate(S100,Trigger),"--")</f>
        <v>--</v>
      </c>
      <c r="W100" s="3" t="str">
        <f t="shared" si="20"/>
        <v/>
      </c>
      <c r="X100" s="3" t="e">
        <v>#N/A</v>
      </c>
      <c r="Y100" s="3" t="str">
        <f>IFERROR(_xll.qlRateHelperQuoteName(X100,Trigger),"")</f>
        <v/>
      </c>
      <c r="Z100" s="70" t="str">
        <f>IFERROR(_xll.qlRateHelperRate(X100,Trigger),"")</f>
        <v/>
      </c>
      <c r="AA100" s="106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4" t="e">
        <v>#N/A</v>
      </c>
    </row>
    <row r="101" spans="1:30" x14ac:dyDescent="0.2">
      <c r="A101" s="60" t="s">
        <v>152</v>
      </c>
      <c r="B101" s="61" t="s">
        <v>81</v>
      </c>
      <c r="C101" s="62">
        <v>2</v>
      </c>
      <c r="D101" s="198"/>
      <c r="E101" s="203" t="s">
        <v>8</v>
      </c>
      <c r="F101" s="203" t="s">
        <v>163</v>
      </c>
      <c r="G101" s="63" t="str">
        <f>Currency&amp;Tenor</f>
        <v>USDFedFunds</v>
      </c>
      <c r="H101" s="65" t="str">
        <f>Currency&amp;"AM3L"&amp;B101&amp;QuoteSuffix</f>
        <v>USDAM3L57M_Quote</v>
      </c>
      <c r="I101" s="65" t="str">
        <f>Currency&amp;"FF3L"&amp;B101&amp;QuoteSuffix</f>
        <v>USDFF3L57M_Quote</v>
      </c>
      <c r="J101" s="175" t="str">
        <f>IF(P97,_xll.qlArithmeticOISRateHelper(,C101,B101,E101,H101,G101,F101,I101,,,$J$62,,Permanent,Trigger,ObjectOverwrite),"--")</f>
        <v>--</v>
      </c>
      <c r="L101" s="162" t="str">
        <f t="shared" si="17"/>
        <v>BasSw</v>
      </c>
      <c r="M101" s="163" t="str">
        <f t="shared" si="18"/>
        <v>USDAM3L8Y_Quote</v>
      </c>
      <c r="N101" s="164">
        <f>IFERROR(_xll.qlQuoteValue(H105,Trigger),"--")</f>
        <v>1.3220000000000001E-2</v>
      </c>
      <c r="O101" s="164">
        <f>IFERROR(_xll.qlQuoteValue(I105,Trigger),"--")</f>
        <v>3.8600000000000001E-3</v>
      </c>
      <c r="P101" s="101" t="b">
        <v>0</v>
      </c>
      <c r="Q101" s="98">
        <v>70</v>
      </c>
      <c r="R101" s="98">
        <v>1</v>
      </c>
      <c r="S101" s="98" t="str">
        <f t="shared" si="19"/>
        <v>--</v>
      </c>
      <c r="T101" s="102" t="str">
        <f>IFERROR(_xll.qlRateHelperEarliestDate(S101,Trigger),"--")</f>
        <v>--</v>
      </c>
      <c r="U101" s="102" t="str">
        <f>IFERROR(_xll.qlRateHelperPillarDate(S101,Trigger),"--")</f>
        <v>--</v>
      </c>
      <c r="W101" s="3" t="str">
        <f t="shared" si="20"/>
        <v/>
      </c>
      <c r="X101" s="3" t="e">
        <v>#N/A</v>
      </c>
      <c r="Y101" s="3" t="str">
        <f>IFERROR(_xll.qlRateHelperQuoteName(X101,Trigger),"")</f>
        <v/>
      </c>
      <c r="Z101" s="70" t="str">
        <f>IFERROR(_xll.qlRateHelperRate(X101,Trigger),"")</f>
        <v/>
      </c>
      <c r="AA101" s="106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4" t="e">
        <v>#N/A</v>
      </c>
    </row>
    <row r="102" spans="1:30" x14ac:dyDescent="0.2">
      <c r="A102" s="60" t="s">
        <v>152</v>
      </c>
      <c r="B102" s="61" t="s">
        <v>82</v>
      </c>
      <c r="C102" s="62">
        <v>2</v>
      </c>
      <c r="D102" s="198"/>
      <c r="E102" s="203" t="s">
        <v>8</v>
      </c>
      <c r="F102" s="203" t="s">
        <v>163</v>
      </c>
      <c r="G102" s="63" t="str">
        <f>Currency&amp;Tenor</f>
        <v>USDFedFunds</v>
      </c>
      <c r="H102" s="65" t="str">
        <f>Currency&amp;"AM3L"&amp;B102&amp;QuoteSuffix</f>
        <v>USDAM3L5Y_Quote</v>
      </c>
      <c r="I102" s="65" t="str">
        <f>Currency&amp;"FF3L"&amp;B102&amp;QuoteSuffix</f>
        <v>USDFF3L5Y_Quote</v>
      </c>
      <c r="J102" s="175" t="str">
        <f>IF(P98,_xll.qlArithmeticOISRateHelper(,C102,B102,E102,H102,G102,F102,I102,,,$J$62,,Permanent,Trigger,ObjectOverwrite),"--")</f>
        <v>--</v>
      </c>
      <c r="L102" s="162" t="str">
        <f t="shared" si="17"/>
        <v>BasSw</v>
      </c>
      <c r="M102" s="163" t="str">
        <f t="shared" si="18"/>
        <v>USDAM3L9Y_Quote</v>
      </c>
      <c r="N102" s="164">
        <f>IFERROR(_xll.qlQuoteValue(H106,Trigger),"--")</f>
        <v>1.379E-2</v>
      </c>
      <c r="O102" s="164">
        <f>IFERROR(_xll.qlQuoteValue(I106,Trigger),"--")</f>
        <v>3.8999999999999998E-3</v>
      </c>
      <c r="P102" s="101" t="b">
        <v>0</v>
      </c>
      <c r="Q102" s="98">
        <v>70</v>
      </c>
      <c r="R102" s="98">
        <v>1</v>
      </c>
      <c r="S102" s="98" t="str">
        <f t="shared" si="19"/>
        <v>--</v>
      </c>
      <c r="T102" s="102" t="str">
        <f>IFERROR(_xll.qlRateHelperEarliestDate(S102,Trigger),"--")</f>
        <v>--</v>
      </c>
      <c r="U102" s="102" t="str">
        <f>IFERROR(_xll.qlRateHelperPillarDate(S102,Trigger),"--")</f>
        <v>--</v>
      </c>
      <c r="W102" s="3" t="str">
        <f t="shared" si="20"/>
        <v/>
      </c>
      <c r="X102" s="3" t="e">
        <v>#N/A</v>
      </c>
      <c r="Y102" s="3" t="str">
        <f>IFERROR(_xll.qlRateHelperQuoteName(X102,Trigger),"")</f>
        <v/>
      </c>
      <c r="Z102" s="70" t="str">
        <f>IFERROR(_xll.qlRateHelperRate(X102,Trigger),"")</f>
        <v/>
      </c>
      <c r="AA102" s="106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4" t="e">
        <v>#N/A</v>
      </c>
    </row>
    <row r="103" spans="1:30" x14ac:dyDescent="0.2">
      <c r="A103" s="60" t="s">
        <v>152</v>
      </c>
      <c r="B103" s="61" t="s">
        <v>83</v>
      </c>
      <c r="C103" s="62">
        <v>2</v>
      </c>
      <c r="D103" s="198"/>
      <c r="E103" s="203" t="s">
        <v>8</v>
      </c>
      <c r="F103" s="203" t="s">
        <v>163</v>
      </c>
      <c r="G103" s="63" t="str">
        <f>Currency&amp;Tenor</f>
        <v>USDFedFunds</v>
      </c>
      <c r="H103" s="65" t="str">
        <f>Currency&amp;"AM3L"&amp;B103&amp;QuoteSuffix</f>
        <v>USDAM3L6Y_Quote</v>
      </c>
      <c r="I103" s="65" t="str">
        <f>Currency&amp;"FF3L"&amp;B103&amp;QuoteSuffix</f>
        <v>USDFF3L6Y_Quote</v>
      </c>
      <c r="J103" s="175" t="str">
        <f>IF(P99,_xll.qlArithmeticOISRateHelper(,C103,B103,E103,H103,G103,F103,I103,,,$J$62,,Permanent,Trigger,ObjectOverwrite),"--")</f>
        <v>--</v>
      </c>
      <c r="L103" s="162" t="str">
        <f t="shared" si="17"/>
        <v>BasSw</v>
      </c>
      <c r="M103" s="163" t="str">
        <f t="shared" si="18"/>
        <v>USDAM3L10Y_Quote</v>
      </c>
      <c r="N103" s="164">
        <f>IFERROR(_xll.qlQuoteValue(H107,Trigger),"--")</f>
        <v>1.4330000000000001E-2</v>
      </c>
      <c r="O103" s="164">
        <f>IFERROR(_xll.qlQuoteValue(I107,Trigger),"--")</f>
        <v>3.9300000000000003E-3</v>
      </c>
      <c r="P103" s="101" t="b">
        <v>0</v>
      </c>
      <c r="Q103" s="98">
        <v>70</v>
      </c>
      <c r="R103" s="98">
        <v>1</v>
      </c>
      <c r="S103" s="98" t="str">
        <f t="shared" si="19"/>
        <v>--</v>
      </c>
      <c r="T103" s="102" t="str">
        <f>IFERROR(_xll.qlRateHelperEarliestDate(S103,Trigger),"--")</f>
        <v>--</v>
      </c>
      <c r="U103" s="102" t="str">
        <f>IFERROR(_xll.qlRateHelperPillarDate(S103,Trigger),"--")</f>
        <v>--</v>
      </c>
      <c r="W103" s="3" t="str">
        <f t="shared" si="20"/>
        <v/>
      </c>
      <c r="X103" s="3" t="e">
        <v>#N/A</v>
      </c>
      <c r="Y103" s="3" t="str">
        <f>IFERROR(_xll.qlRateHelperQuoteName(X103,Trigger),"")</f>
        <v/>
      </c>
      <c r="Z103" s="70" t="str">
        <f>IFERROR(_xll.qlRateHelperRate(X103,Trigger),"")</f>
        <v/>
      </c>
      <c r="AA103" s="106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4" t="e">
        <v>#N/A</v>
      </c>
    </row>
    <row r="104" spans="1:30" x14ac:dyDescent="0.2">
      <c r="A104" s="60" t="s">
        <v>152</v>
      </c>
      <c r="B104" s="61" t="s">
        <v>84</v>
      </c>
      <c r="C104" s="62">
        <v>2</v>
      </c>
      <c r="D104" s="198"/>
      <c r="E104" s="203" t="s">
        <v>8</v>
      </c>
      <c r="F104" s="203" t="s">
        <v>163</v>
      </c>
      <c r="G104" s="63" t="str">
        <f>Currency&amp;Tenor</f>
        <v>USDFedFunds</v>
      </c>
      <c r="H104" s="65" t="str">
        <f>Currency&amp;"AM3L"&amp;B104&amp;QuoteSuffix</f>
        <v>USDAM3L7Y_Quote</v>
      </c>
      <c r="I104" s="65" t="str">
        <f>Currency&amp;"FF3L"&amp;B104&amp;QuoteSuffix</f>
        <v>USDFF3L7Y_Quote</v>
      </c>
      <c r="J104" s="175" t="str">
        <f>IF(P100,_xll.qlArithmeticOISRateHelper(,C104,B104,E104,H104,G104,F104,I104,,,$J$62,,Permanent,Trigger,ObjectOverwrite),"--")</f>
        <v>--</v>
      </c>
      <c r="L104" s="162" t="str">
        <f t="shared" si="17"/>
        <v>BasSw</v>
      </c>
      <c r="M104" s="163" t="str">
        <f t="shared" si="18"/>
        <v>USDAM3L12Y_Quote</v>
      </c>
      <c r="N104" s="164">
        <f>IFERROR(_xll.qlQuoteValue(H108,Trigger),"--")</f>
        <v>1.528E-2</v>
      </c>
      <c r="O104" s="164">
        <f>IFERROR(_xll.qlQuoteValue(I108,Trigger),"--")</f>
        <v>3.9400000000000008E-3</v>
      </c>
      <c r="P104" s="101" t="b">
        <v>0</v>
      </c>
      <c r="Q104" s="98">
        <v>70</v>
      </c>
      <c r="R104" s="98">
        <v>1</v>
      </c>
      <c r="S104" s="98" t="str">
        <f t="shared" si="19"/>
        <v>--</v>
      </c>
      <c r="T104" s="102" t="str">
        <f>IFERROR(_xll.qlRateHelperEarliestDate(S104,Trigger),"--")</f>
        <v>--</v>
      </c>
      <c r="U104" s="102" t="str">
        <f>IFERROR(_xll.qlRateHelperPillarDate(S104,Trigger),"--")</f>
        <v>--</v>
      </c>
      <c r="W104" s="3" t="str">
        <f t="shared" si="20"/>
        <v/>
      </c>
      <c r="X104" s="3" t="e">
        <v>#N/A</v>
      </c>
      <c r="Y104" s="3" t="str">
        <f>IFERROR(_xll.qlRateHelperQuoteName(X104,Trigger),"")</f>
        <v/>
      </c>
      <c r="Z104" s="70" t="str">
        <f>IFERROR(_xll.qlRateHelperRate(X104,Trigger),"")</f>
        <v/>
      </c>
      <c r="AA104" s="106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4" t="e">
        <v>#N/A</v>
      </c>
    </row>
    <row r="105" spans="1:30" x14ac:dyDescent="0.2">
      <c r="A105" s="60" t="s">
        <v>152</v>
      </c>
      <c r="B105" s="61" t="s">
        <v>85</v>
      </c>
      <c r="C105" s="62">
        <v>2</v>
      </c>
      <c r="D105" s="198"/>
      <c r="E105" s="203" t="s">
        <v>8</v>
      </c>
      <c r="F105" s="203" t="s">
        <v>163</v>
      </c>
      <c r="G105" s="63" t="str">
        <f>Currency&amp;Tenor</f>
        <v>USDFedFunds</v>
      </c>
      <c r="H105" s="65" t="str">
        <f>Currency&amp;"AM3L"&amp;B105&amp;QuoteSuffix</f>
        <v>USDAM3L8Y_Quote</v>
      </c>
      <c r="I105" s="65" t="str">
        <f>Currency&amp;"FF3L"&amp;B105&amp;QuoteSuffix</f>
        <v>USDFF3L8Y_Quote</v>
      </c>
      <c r="J105" s="175" t="str">
        <f>IF(P101,_xll.qlArithmeticOISRateHelper(,C105,B105,E105,H105,G105,F105,I105,,,$J$62,,Permanent,Trigger,ObjectOverwrite),"--")</f>
        <v>--</v>
      </c>
      <c r="L105" s="162" t="str">
        <f t="shared" si="17"/>
        <v>BasSw</v>
      </c>
      <c r="M105" s="163" t="str">
        <f t="shared" si="18"/>
        <v>USDAM3L15Y_Quote</v>
      </c>
      <c r="N105" s="164">
        <f>IFERROR(_xll.qlQuoteValue(H109,Trigger),"--")</f>
        <v>1.635E-2</v>
      </c>
      <c r="O105" s="164">
        <f>IFERROR(_xll.qlQuoteValue(I109,Trigger),"--")</f>
        <v>3.9400000000000008E-3</v>
      </c>
      <c r="P105" s="101" t="b">
        <v>0</v>
      </c>
      <c r="Q105" s="98">
        <v>70</v>
      </c>
      <c r="R105" s="98">
        <v>1</v>
      </c>
      <c r="S105" s="98" t="str">
        <f t="shared" si="19"/>
        <v>--</v>
      </c>
      <c r="T105" s="102" t="str">
        <f>IFERROR(_xll.qlRateHelperEarliestDate(S105,Trigger),"--")</f>
        <v>--</v>
      </c>
      <c r="U105" s="102" t="str">
        <f>IFERROR(_xll.qlRateHelperPillarDate(S105,Trigger),"--")</f>
        <v>--</v>
      </c>
      <c r="W105" s="3" t="str">
        <f t="shared" si="20"/>
        <v/>
      </c>
      <c r="X105" s="3" t="e">
        <v>#N/A</v>
      </c>
      <c r="Y105" s="3" t="str">
        <f>IFERROR(_xll.qlRateHelperQuoteName(X105,Trigger),"")</f>
        <v/>
      </c>
      <c r="Z105" s="70" t="str">
        <f>IFERROR(_xll.qlRateHelperRate(X105,Trigger),"")</f>
        <v/>
      </c>
      <c r="AA105" s="106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4" t="e">
        <v>#N/A</v>
      </c>
    </row>
    <row r="106" spans="1:30" x14ac:dyDescent="0.2">
      <c r="A106" s="60" t="s">
        <v>152</v>
      </c>
      <c r="B106" s="61" t="s">
        <v>86</v>
      </c>
      <c r="C106" s="62">
        <v>2</v>
      </c>
      <c r="D106" s="198"/>
      <c r="E106" s="203" t="s">
        <v>8</v>
      </c>
      <c r="F106" s="203" t="s">
        <v>163</v>
      </c>
      <c r="G106" s="63" t="str">
        <f>Currency&amp;Tenor</f>
        <v>USDFedFunds</v>
      </c>
      <c r="H106" s="65" t="str">
        <f>Currency&amp;"AM3L"&amp;B106&amp;QuoteSuffix</f>
        <v>USDAM3L9Y_Quote</v>
      </c>
      <c r="I106" s="65" t="str">
        <f>Currency&amp;"FF3L"&amp;B106&amp;QuoteSuffix</f>
        <v>USDFF3L9Y_Quote</v>
      </c>
      <c r="J106" s="175" t="str">
        <f>IF(P102,_xll.qlArithmeticOISRateHelper(,C106,B106,E106,H106,G106,F106,I106,,,$J$62,,Permanent,Trigger,ObjectOverwrite),"--")</f>
        <v>--</v>
      </c>
      <c r="L106" s="162" t="str">
        <f t="shared" si="17"/>
        <v>BasSw</v>
      </c>
      <c r="M106" s="163" t="str">
        <f t="shared" si="18"/>
        <v>USDAM3L20Y_Quote</v>
      </c>
      <c r="N106" s="164">
        <f>IFERROR(_xll.qlQuoteValue(H110,Trigger),"--")</f>
        <v>1.7500000000000002E-2</v>
      </c>
      <c r="O106" s="164">
        <f>IFERROR(_xll.qlQuoteValue(I110,Trigger),"--")</f>
        <v>3.9199999999999999E-3</v>
      </c>
      <c r="P106" s="101" t="b">
        <v>0</v>
      </c>
      <c r="Q106" s="98">
        <v>70</v>
      </c>
      <c r="R106" s="98">
        <v>1</v>
      </c>
      <c r="S106" s="98" t="str">
        <f t="shared" si="19"/>
        <v>--</v>
      </c>
      <c r="T106" s="102" t="str">
        <f>IFERROR(_xll.qlRateHelperEarliestDate(S106,Trigger),"--")</f>
        <v>--</v>
      </c>
      <c r="U106" s="102" t="str">
        <f>IFERROR(_xll.qlRateHelperPillarDate(S106,Trigger),"--")</f>
        <v>--</v>
      </c>
      <c r="W106" s="3" t="str">
        <f t="shared" si="20"/>
        <v/>
      </c>
      <c r="X106" s="3" t="e">
        <v>#N/A</v>
      </c>
      <c r="Y106" s="3" t="str">
        <f>IFERROR(_xll.qlRateHelperQuoteName(X106,Trigger),"")</f>
        <v/>
      </c>
      <c r="Z106" s="70" t="str">
        <f>IFERROR(_xll.qlRateHelperRate(X106,Trigger),"")</f>
        <v/>
      </c>
      <c r="AA106" s="106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4" t="e">
        <v>#N/A</v>
      </c>
    </row>
    <row r="107" spans="1:30" x14ac:dyDescent="0.2">
      <c r="A107" s="60" t="s">
        <v>152</v>
      </c>
      <c r="B107" s="61" t="s">
        <v>87</v>
      </c>
      <c r="C107" s="62">
        <v>2</v>
      </c>
      <c r="D107" s="198"/>
      <c r="E107" s="203" t="s">
        <v>8</v>
      </c>
      <c r="F107" s="203" t="s">
        <v>163</v>
      </c>
      <c r="G107" s="63" t="str">
        <f>Currency&amp;Tenor</f>
        <v>USDFedFunds</v>
      </c>
      <c r="H107" s="65" t="str">
        <f>Currency&amp;"AM3L"&amp;B107&amp;QuoteSuffix</f>
        <v>USDAM3L10Y_Quote</v>
      </c>
      <c r="I107" s="65" t="str">
        <f>Currency&amp;"FF3L"&amp;B107&amp;QuoteSuffix</f>
        <v>USDFF3L10Y_Quote</v>
      </c>
      <c r="J107" s="175" t="str">
        <f>IF(P103,_xll.qlArithmeticOISRateHelper(,C107,B107,E107,H107,G107,F107,I107,,,$J$62,,Permanent,Trigger,ObjectOverwrite),"--")</f>
        <v>--</v>
      </c>
      <c r="L107" s="162" t="str">
        <f t="shared" si="17"/>
        <v>BasSw</v>
      </c>
      <c r="M107" s="163" t="str">
        <f t="shared" si="18"/>
        <v>USDAM3L25Y_Quote</v>
      </c>
      <c r="N107" s="164">
        <f>IFERROR(_xll.qlQuoteValue(H111,Trigger),"--")</f>
        <v>1.805E-2</v>
      </c>
      <c r="O107" s="164">
        <f>IFERROR(_xll.qlQuoteValue(I111,Trigger),"--")</f>
        <v>3.9199999999999999E-3</v>
      </c>
      <c r="P107" s="101" t="b">
        <v>0</v>
      </c>
      <c r="Q107" s="98">
        <v>70</v>
      </c>
      <c r="R107" s="98">
        <v>1</v>
      </c>
      <c r="S107" s="98" t="str">
        <f t="shared" si="19"/>
        <v>--</v>
      </c>
      <c r="T107" s="102" t="str">
        <f>IFERROR(_xll.qlRateHelperEarliestDate(S107,Trigger),"--")</f>
        <v>--</v>
      </c>
      <c r="U107" s="102" t="str">
        <f>IFERROR(_xll.qlRateHelperPillarDate(S107,Trigger),"--")</f>
        <v>--</v>
      </c>
      <c r="W107" s="3" t="str">
        <f t="shared" si="20"/>
        <v/>
      </c>
      <c r="X107" s="3" t="e">
        <v>#N/A</v>
      </c>
      <c r="Y107" s="3" t="str">
        <f>IFERROR(_xll.qlRateHelperQuoteName(X107,Trigger),"")</f>
        <v/>
      </c>
      <c r="Z107" s="70" t="str">
        <f>IFERROR(_xll.qlRateHelperRate(X107,Trigger),"")</f>
        <v/>
      </c>
      <c r="AA107" s="106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4" t="e">
        <v>#N/A</v>
      </c>
    </row>
    <row r="108" spans="1:30" x14ac:dyDescent="0.2">
      <c r="A108" s="60" t="s">
        <v>152</v>
      </c>
      <c r="B108" s="61" t="s">
        <v>88</v>
      </c>
      <c r="C108" s="62">
        <v>2</v>
      </c>
      <c r="D108" s="198"/>
      <c r="E108" s="203" t="s">
        <v>8</v>
      </c>
      <c r="F108" s="203" t="s">
        <v>163</v>
      </c>
      <c r="G108" s="63" t="str">
        <f>Currency&amp;Tenor</f>
        <v>USDFedFunds</v>
      </c>
      <c r="H108" s="65" t="str">
        <f>Currency&amp;"AM3L"&amp;B108&amp;QuoteSuffix</f>
        <v>USDAM3L12Y_Quote</v>
      </c>
      <c r="I108" s="65" t="str">
        <f>Currency&amp;"FF3L"&amp;B108&amp;QuoteSuffix</f>
        <v>USDFF3L12Y_Quote</v>
      </c>
      <c r="J108" s="175" t="str">
        <f>IF(P104,_xll.qlArithmeticOISRateHelper(,C108,B108,E108,H108,G108,F108,I108,,,$J$62,,Permanent,Trigger,ObjectOverwrite),"--")</f>
        <v>--</v>
      </c>
      <c r="L108" s="162" t="str">
        <f t="shared" si="17"/>
        <v>BasSw</v>
      </c>
      <c r="M108" s="163" t="str">
        <f t="shared" si="18"/>
        <v>USDAM3L27Y_Quote</v>
      </c>
      <c r="N108" s="164" t="str">
        <f>IFERROR(_xll.qlQuoteValue(H112,Trigger),"--")</f>
        <v>--</v>
      </c>
      <c r="O108" s="164" t="str">
        <f>IFERROR(_xll.qlQuoteValue(I112,Trigger),"--")</f>
        <v>--</v>
      </c>
      <c r="P108" s="101" t="b">
        <v>0</v>
      </c>
      <c r="Q108" s="98">
        <v>70</v>
      </c>
      <c r="R108" s="98">
        <v>1</v>
      </c>
      <c r="S108" s="98" t="str">
        <f t="shared" si="19"/>
        <v>--</v>
      </c>
      <c r="T108" s="102" t="str">
        <f>IFERROR(_xll.qlRateHelperEarliestDate(S108,Trigger),"--")</f>
        <v>--</v>
      </c>
      <c r="U108" s="102" t="str">
        <f>IFERROR(_xll.qlRateHelperPillarDate(S108,Trigger),"--")</f>
        <v>--</v>
      </c>
      <c r="W108" s="3" t="str">
        <f t="shared" si="20"/>
        <v/>
      </c>
      <c r="X108" s="3" t="e">
        <v>#N/A</v>
      </c>
      <c r="Y108" s="3" t="str">
        <f>IFERROR(_xll.qlRateHelperQuoteName(X108,Trigger),"")</f>
        <v/>
      </c>
      <c r="Z108" s="70" t="str">
        <f>IFERROR(_xll.qlRateHelperRate(X108,Trigger),"")</f>
        <v/>
      </c>
      <c r="AA108" s="106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4" t="e">
        <v>#N/A</v>
      </c>
    </row>
    <row r="109" spans="1:30" x14ac:dyDescent="0.2">
      <c r="A109" s="60" t="s">
        <v>152</v>
      </c>
      <c r="B109" s="61" t="s">
        <v>89</v>
      </c>
      <c r="C109" s="62">
        <v>2</v>
      </c>
      <c r="D109" s="198"/>
      <c r="E109" s="203" t="s">
        <v>8</v>
      </c>
      <c r="F109" s="203" t="s">
        <v>163</v>
      </c>
      <c r="G109" s="63" t="str">
        <f>Currency&amp;Tenor</f>
        <v>USDFedFunds</v>
      </c>
      <c r="H109" s="65" t="str">
        <f>Currency&amp;"AM3L"&amp;B109&amp;QuoteSuffix</f>
        <v>USDAM3L15Y_Quote</v>
      </c>
      <c r="I109" s="65" t="str">
        <f>Currency&amp;"FF3L"&amp;B109&amp;QuoteSuffix</f>
        <v>USDFF3L15Y_Quote</v>
      </c>
      <c r="J109" s="175" t="str">
        <f>IF(P105,_xll.qlArithmeticOISRateHelper(,C109,B109,E109,H109,G109,F109,I109,,,$J$62,,Permanent,Trigger,ObjectOverwrite),"--")</f>
        <v>--</v>
      </c>
      <c r="L109" s="162" t="str">
        <f t="shared" si="17"/>
        <v>BasSw</v>
      </c>
      <c r="M109" s="163" t="str">
        <f t="shared" si="18"/>
        <v>USDAM3L30Y_Quote</v>
      </c>
      <c r="N109" s="164">
        <f>IFERROR(_xll.qlQuoteValue(H113,Trigger),"--")</f>
        <v>1.8370000000000001E-2</v>
      </c>
      <c r="O109" s="164">
        <f>IFERROR(_xll.qlQuoteValue(I113,Trigger),"--")</f>
        <v>3.9199999999999999E-3</v>
      </c>
      <c r="P109" s="101" t="b">
        <v>0</v>
      </c>
      <c r="Q109" s="98">
        <v>70</v>
      </c>
      <c r="R109" s="98">
        <v>1</v>
      </c>
      <c r="S109" s="98" t="str">
        <f t="shared" si="19"/>
        <v>--</v>
      </c>
      <c r="T109" s="102" t="str">
        <f>IFERROR(_xll.qlRateHelperEarliestDate(S109,Trigger),"--")</f>
        <v>--</v>
      </c>
      <c r="U109" s="102" t="str">
        <f>IFERROR(_xll.qlRateHelperPillarDate(S109,Trigger),"--")</f>
        <v>--</v>
      </c>
      <c r="W109" s="3" t="str">
        <f t="shared" si="20"/>
        <v/>
      </c>
      <c r="X109" s="3" t="e">
        <v>#N/A</v>
      </c>
      <c r="Y109" s="3" t="str">
        <f>IFERROR(_xll.qlRateHelperQuoteName(X109,Trigger),"")</f>
        <v/>
      </c>
      <c r="Z109" s="70" t="str">
        <f>IFERROR(_xll.qlRateHelperRate(X109,Trigger),"")</f>
        <v/>
      </c>
      <c r="AA109" s="106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4" t="e">
        <v>#N/A</v>
      </c>
    </row>
    <row r="110" spans="1:30" x14ac:dyDescent="0.2">
      <c r="A110" s="60" t="s">
        <v>152</v>
      </c>
      <c r="B110" s="61" t="s">
        <v>90</v>
      </c>
      <c r="C110" s="62">
        <v>2</v>
      </c>
      <c r="D110" s="198"/>
      <c r="E110" s="203" t="s">
        <v>8</v>
      </c>
      <c r="F110" s="203" t="s">
        <v>163</v>
      </c>
      <c r="G110" s="63" t="str">
        <f>Currency&amp;Tenor</f>
        <v>USDFedFunds</v>
      </c>
      <c r="H110" s="65" t="str">
        <f>Currency&amp;"AM3L"&amp;B110&amp;QuoteSuffix</f>
        <v>USDAM3L20Y_Quote</v>
      </c>
      <c r="I110" s="65" t="str">
        <f>Currency&amp;"FF3L"&amp;B110&amp;QuoteSuffix</f>
        <v>USDFF3L20Y_Quote</v>
      </c>
      <c r="J110" s="175" t="str">
        <f>IF(P106,_xll.qlArithmeticOISRateHelper(,C110,B110,E110,H110,G110,F110,I110,,,$J$62,,Permanent,Trigger,ObjectOverwrite),"--")</f>
        <v>--</v>
      </c>
      <c r="L110" s="162" t="str">
        <f t="shared" si="17"/>
        <v>BasSw</v>
      </c>
      <c r="M110" s="163" t="str">
        <f t="shared" si="18"/>
        <v>USDAM3L35Y_Quote</v>
      </c>
      <c r="N110" s="164" t="str">
        <f>IFERROR(_xll.qlQuoteValue(H114,Trigger),"--")</f>
        <v>--</v>
      </c>
      <c r="O110" s="164" t="str">
        <f>IFERROR(_xll.qlQuoteValue(I114,Trigger),"--")</f>
        <v>--</v>
      </c>
      <c r="P110" s="101" t="b">
        <v>0</v>
      </c>
      <c r="Q110" s="98">
        <v>70</v>
      </c>
      <c r="R110" s="98">
        <v>1</v>
      </c>
      <c r="S110" s="98" t="str">
        <f t="shared" si="19"/>
        <v>--</v>
      </c>
      <c r="T110" s="102" t="str">
        <f>IFERROR(_xll.qlRateHelperEarliestDate(S110,Trigger),"--")</f>
        <v>--</v>
      </c>
      <c r="U110" s="102" t="str">
        <f>IFERROR(_xll.qlRateHelperPillarDate(S110,Trigger),"--")</f>
        <v>--</v>
      </c>
      <c r="W110" s="3" t="str">
        <f t="shared" si="20"/>
        <v/>
      </c>
      <c r="X110" s="3" t="e">
        <v>#N/A</v>
      </c>
      <c r="Y110" s="3" t="str">
        <f>IFERROR(_xll.qlRateHelperQuoteName(X110,Trigger),"")</f>
        <v/>
      </c>
      <c r="Z110" s="70" t="str">
        <f>IFERROR(_xll.qlRateHelperRate(X110,Trigger),"")</f>
        <v/>
      </c>
      <c r="AA110" s="106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4" t="e">
        <v>#N/A</v>
      </c>
    </row>
    <row r="111" spans="1:30" x14ac:dyDescent="0.2">
      <c r="A111" s="60" t="s">
        <v>152</v>
      </c>
      <c r="B111" s="61" t="s">
        <v>91</v>
      </c>
      <c r="C111" s="62">
        <v>2</v>
      </c>
      <c r="D111" s="198"/>
      <c r="E111" s="203" t="s">
        <v>8</v>
      </c>
      <c r="F111" s="203" t="s">
        <v>163</v>
      </c>
      <c r="G111" s="63" t="str">
        <f>Currency&amp;Tenor</f>
        <v>USDFedFunds</v>
      </c>
      <c r="H111" s="65" t="str">
        <f>Currency&amp;"AM3L"&amp;B111&amp;QuoteSuffix</f>
        <v>USDAM3L25Y_Quote</v>
      </c>
      <c r="I111" s="65" t="str">
        <f>Currency&amp;"FF3L"&amp;B111&amp;QuoteSuffix</f>
        <v>USDFF3L25Y_Quote</v>
      </c>
      <c r="J111" s="175" t="str">
        <f>IF(P107,_xll.qlArithmeticOISRateHelper(,C111,B111,E111,H111,G111,F111,I111,,,$J$62,,Permanent,Trigger,ObjectOverwrite),"--")</f>
        <v>--</v>
      </c>
      <c r="L111" s="162" t="str">
        <f t="shared" si="17"/>
        <v>BasSw</v>
      </c>
      <c r="M111" s="163" t="str">
        <f t="shared" si="18"/>
        <v>USDAM3L40Y_Quote</v>
      </c>
      <c r="N111" s="164">
        <f>IFERROR(_xll.qlQuoteValue(H115,Trigger),"--")</f>
        <v>1.8550000000000001E-2</v>
      </c>
      <c r="O111" s="164" t="str">
        <f>IFERROR(_xll.qlQuoteValue(I115,Trigger),"--")</f>
        <v>--</v>
      </c>
      <c r="P111" s="101" t="b">
        <v>0</v>
      </c>
      <c r="Q111" s="98">
        <v>70</v>
      </c>
      <c r="R111" s="98">
        <v>1</v>
      </c>
      <c r="S111" s="98" t="str">
        <f t="shared" si="19"/>
        <v>--</v>
      </c>
      <c r="T111" s="102" t="str">
        <f>IFERROR(_xll.qlRateHelperEarliestDate(S111,Trigger),"--")</f>
        <v>--</v>
      </c>
      <c r="U111" s="102" t="str">
        <f>IFERROR(_xll.qlRateHelperPillarDate(S111,Trigger),"--")</f>
        <v>--</v>
      </c>
      <c r="W111" s="3" t="str">
        <f t="shared" si="20"/>
        <v/>
      </c>
      <c r="X111" s="3" t="e">
        <v>#N/A</v>
      </c>
      <c r="Y111" s="3" t="str">
        <f>IFERROR(_xll.qlRateHelperQuoteName(X111,Trigger),"")</f>
        <v/>
      </c>
      <c r="Z111" s="70" t="str">
        <f>IFERROR(_xll.qlRateHelperRate(X111,Trigger),"")</f>
        <v/>
      </c>
      <c r="AA111" s="106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4" t="e">
        <v>#N/A</v>
      </c>
    </row>
    <row r="112" spans="1:30" x14ac:dyDescent="0.2">
      <c r="A112" s="60" t="s">
        <v>152</v>
      </c>
      <c r="B112" s="61" t="s">
        <v>92</v>
      </c>
      <c r="C112" s="62">
        <v>2</v>
      </c>
      <c r="D112" s="198"/>
      <c r="E112" s="203" t="s">
        <v>8</v>
      </c>
      <c r="F112" s="203" t="s">
        <v>163</v>
      </c>
      <c r="G112" s="63" t="str">
        <f>Currency&amp;Tenor</f>
        <v>USDFedFunds</v>
      </c>
      <c r="H112" s="65" t="str">
        <f>Currency&amp;"AM3L"&amp;B112&amp;QuoteSuffix</f>
        <v>USDAM3L27Y_Quote</v>
      </c>
      <c r="I112" s="65" t="str">
        <f>Currency&amp;"FF3L"&amp;B112&amp;QuoteSuffix</f>
        <v>USDFF3L27Y_Quote</v>
      </c>
      <c r="J112" s="175" t="str">
        <f>IF(P108,_xll.qlArithmeticOISRateHelper(,C112,B112,E112,H112,G112,F112,I112,,,$J$62,,Permanent,Trigger,ObjectOverwrite),"--")</f>
        <v>--</v>
      </c>
      <c r="L112" s="162" t="str">
        <f t="shared" si="17"/>
        <v>BasSw</v>
      </c>
      <c r="M112" s="163" t="str">
        <f t="shared" si="18"/>
        <v>USDAM3L45Y_Quote</v>
      </c>
      <c r="N112" s="164" t="str">
        <f>IFERROR(_xll.qlQuoteValue(H116,Trigger),"--")</f>
        <v>--</v>
      </c>
      <c r="O112" s="164" t="str">
        <f>IFERROR(_xll.qlQuoteValue(I116,Trigger),"--")</f>
        <v>--</v>
      </c>
      <c r="P112" s="101" t="b">
        <v>0</v>
      </c>
      <c r="Q112" s="98">
        <v>70</v>
      </c>
      <c r="R112" s="98">
        <v>1</v>
      </c>
      <c r="S112" s="98" t="str">
        <f t="shared" si="19"/>
        <v>--</v>
      </c>
      <c r="T112" s="102" t="str">
        <f>IFERROR(_xll.qlRateHelperEarliestDate(S112,Trigger),"--")</f>
        <v>--</v>
      </c>
      <c r="U112" s="102" t="str">
        <f>IFERROR(_xll.qlRateHelperPillarDate(S112,Trigger),"--")</f>
        <v>--</v>
      </c>
      <c r="W112" s="3" t="str">
        <f t="shared" si="20"/>
        <v/>
      </c>
      <c r="X112" s="3" t="e">
        <v>#N/A</v>
      </c>
      <c r="Y112" s="3" t="str">
        <f>IFERROR(_xll.qlRateHelperQuoteName(X112,Trigger),"")</f>
        <v/>
      </c>
      <c r="Z112" s="70" t="str">
        <f>IFERROR(_xll.qlRateHelperRate(X112,Trigger),"")</f>
        <v/>
      </c>
      <c r="AA112" s="106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4" t="e">
        <v>#N/A</v>
      </c>
    </row>
    <row r="113" spans="1:30" x14ac:dyDescent="0.2">
      <c r="A113" s="60" t="s">
        <v>152</v>
      </c>
      <c r="B113" s="61" t="s">
        <v>93</v>
      </c>
      <c r="C113" s="62">
        <v>2</v>
      </c>
      <c r="D113" s="198"/>
      <c r="E113" s="203" t="s">
        <v>8</v>
      </c>
      <c r="F113" s="203" t="s">
        <v>163</v>
      </c>
      <c r="G113" s="63" t="str">
        <f>Currency&amp;Tenor</f>
        <v>USDFedFunds</v>
      </c>
      <c r="H113" s="65" t="str">
        <f>Currency&amp;"AM3L"&amp;B113&amp;QuoteSuffix</f>
        <v>USDAM3L30Y_Quote</v>
      </c>
      <c r="I113" s="65" t="str">
        <f>Currency&amp;"FF3L"&amp;B113&amp;QuoteSuffix</f>
        <v>USDFF3L30Y_Quote</v>
      </c>
      <c r="J113" s="175" t="str">
        <f>IF(P109,_xll.qlArithmeticOISRateHelper(,C113,B113,E113,H113,G113,F113,I113,,,$J$62,,Permanent,Trigger,ObjectOverwrite),"--")</f>
        <v>--</v>
      </c>
      <c r="L113" s="168" t="str">
        <f t="shared" si="17"/>
        <v>BasSw</v>
      </c>
      <c r="M113" s="206" t="str">
        <f t="shared" si="18"/>
        <v>USDAM3L50Y_Quote</v>
      </c>
      <c r="N113" s="170">
        <f>IFERROR(_xll.qlQuoteValue(H117,Trigger),"--")</f>
        <v>1.8420000000000002E-2</v>
      </c>
      <c r="O113" s="170" t="str">
        <f>IFERROR(_xll.qlQuoteValue(I117,Trigger),"--")</f>
        <v>--</v>
      </c>
      <c r="P113" s="103" t="b">
        <v>0</v>
      </c>
      <c r="Q113" s="99">
        <v>70</v>
      </c>
      <c r="R113" s="99">
        <v>1</v>
      </c>
      <c r="S113" s="99" t="str">
        <f t="shared" si="19"/>
        <v>--</v>
      </c>
      <c r="T113" s="104" t="str">
        <f>IFERROR(_xll.qlRateHelperEarliestDate(S113,Trigger),"--")</f>
        <v>--</v>
      </c>
      <c r="U113" s="104" t="str">
        <f>IFERROR(_xll.qlRateHelperPillarDate(S113,Trigger),"--")</f>
        <v>--</v>
      </c>
      <c r="W113" s="5" t="str">
        <f t="shared" si="20"/>
        <v/>
      </c>
      <c r="X113" s="5" t="e">
        <v>#N/A</v>
      </c>
      <c r="Y113" s="5" t="str">
        <f>IFERROR(_xll.qlRateHelperQuoteName(X113,Trigger),"")</f>
        <v/>
      </c>
      <c r="Z113" s="78" t="str">
        <f>IFERROR(_xll.qlRateHelperRate(X113,Trigger),"")</f>
        <v/>
      </c>
      <c r="AA113" s="107" t="str">
        <f>IF(ISERROR(_xll.qlSwapRateHelperSpread($X113)),IF(ISERROR(_xll.qlFuturesRateHelperConvexityAdjustment($X113)),"",_xll.qlFuturesRateHelperConvexityAdjustment($X113)),_xll.qlSwapRateHelperSpread($X113))</f>
        <v/>
      </c>
      <c r="AB113" s="10" t="str">
        <f>IFERROR(_xll.qlRateHelperEarliestDate(X113,Trigger),"")</f>
        <v/>
      </c>
      <c r="AC113" s="10" t="str">
        <f>IFERROR(_xll.qlRateHelperPillarDate(X113,Trigger),"")</f>
        <v/>
      </c>
      <c r="AD113" s="10" t="e">
        <v>#N/A</v>
      </c>
    </row>
    <row r="114" spans="1:30" x14ac:dyDescent="0.2">
      <c r="A114" s="60" t="s">
        <v>152</v>
      </c>
      <c r="B114" s="61" t="s">
        <v>94</v>
      </c>
      <c r="C114" s="62">
        <v>2</v>
      </c>
      <c r="D114" s="198"/>
      <c r="E114" s="203" t="s">
        <v>8</v>
      </c>
      <c r="F114" s="203" t="s">
        <v>163</v>
      </c>
      <c r="G114" s="63" t="str">
        <f>Currency&amp;Tenor</f>
        <v>USDFedFunds</v>
      </c>
      <c r="H114" s="65" t="str">
        <f>Currency&amp;"AM3L"&amp;B114&amp;QuoteSuffix</f>
        <v>USDAM3L35Y_Quote</v>
      </c>
      <c r="I114" s="65" t="str">
        <f>Currency&amp;"FF3L"&amp;B114&amp;QuoteSuffix</f>
        <v>USDFF3L35Y_Quote</v>
      </c>
      <c r="J114" s="175" t="str">
        <f>IF(P110,_xll.qlArithmeticOISRateHelper(,C114,B114,E114,H114,G114,F114,I114,,,$J$62,,Permanent,Trigger,ObjectOverwrite),"--")</f>
        <v>--</v>
      </c>
      <c r="Y114" s="207" t="str">
        <f>_xll.ohGroup("USDON_instruments",Y3:Y113,Permanent,Trigger,ObjectOverwrite)</f>
        <v>USDON_instruments#0029</v>
      </c>
    </row>
    <row r="115" spans="1:30" x14ac:dyDescent="0.2">
      <c r="A115" s="60" t="s">
        <v>152</v>
      </c>
      <c r="B115" s="61" t="s">
        <v>95</v>
      </c>
      <c r="C115" s="62">
        <v>2</v>
      </c>
      <c r="D115" s="198"/>
      <c r="E115" s="203" t="s">
        <v>8</v>
      </c>
      <c r="F115" s="203" t="s">
        <v>163</v>
      </c>
      <c r="G115" s="63" t="str">
        <f>Currency&amp;Tenor</f>
        <v>USDFedFunds</v>
      </c>
      <c r="H115" s="65" t="str">
        <f>Currency&amp;"AM3L"&amp;B115&amp;QuoteSuffix</f>
        <v>USDAM3L40Y_Quote</v>
      </c>
      <c r="I115" s="65" t="str">
        <f>Currency&amp;"FF3L"&amp;B115&amp;QuoteSuffix</f>
        <v>USDFF3L40Y_Quote</v>
      </c>
      <c r="J115" s="175" t="str">
        <f>IF(P111,_xll.qlArithmeticOISRateHelper(,C115,B115,E115,H115,G115,F115,I115,,,$J$62,,Permanent,Trigger,ObjectOverwrite),"--")</f>
        <v>--</v>
      </c>
    </row>
    <row r="116" spans="1:30" x14ac:dyDescent="0.2">
      <c r="A116" s="60" t="s">
        <v>152</v>
      </c>
      <c r="B116" s="61" t="s">
        <v>96</v>
      </c>
      <c r="C116" s="62">
        <v>2</v>
      </c>
      <c r="D116" s="198"/>
      <c r="E116" s="203" t="s">
        <v>8</v>
      </c>
      <c r="F116" s="203" t="s">
        <v>163</v>
      </c>
      <c r="G116" s="63" t="str">
        <f>Currency&amp;Tenor</f>
        <v>USDFedFunds</v>
      </c>
      <c r="H116" s="65" t="str">
        <f>Currency&amp;"AM3L"&amp;B116&amp;QuoteSuffix</f>
        <v>USDAM3L45Y_Quote</v>
      </c>
      <c r="I116" s="65" t="str">
        <f>Currency&amp;"FF3L"&amp;B116&amp;QuoteSuffix</f>
        <v>USDFF3L45Y_Quote</v>
      </c>
      <c r="J116" s="175" t="str">
        <f>IF(P112,_xll.qlArithmeticOISRateHelper(,C116,B116,E116,H116,G116,F116,I116,,,$J$62,,Permanent,Trigger,ObjectOverwrite),"--")</f>
        <v>--</v>
      </c>
    </row>
    <row r="117" spans="1:30" x14ac:dyDescent="0.2">
      <c r="A117" s="1" t="s">
        <v>152</v>
      </c>
      <c r="B117" s="8" t="s">
        <v>97</v>
      </c>
      <c r="C117" s="6">
        <v>2</v>
      </c>
      <c r="D117" s="199"/>
      <c r="E117" s="204" t="s">
        <v>8</v>
      </c>
      <c r="F117" s="204" t="s">
        <v>163</v>
      </c>
      <c r="G117" s="7" t="str">
        <f>Currency&amp;Tenor</f>
        <v>USDFedFunds</v>
      </c>
      <c r="H117" s="2" t="str">
        <f>Currency&amp;"AM3L"&amp;B117&amp;QuoteSuffix</f>
        <v>USDAM3L50Y_Quote</v>
      </c>
      <c r="I117" s="2" t="str">
        <f>Currency&amp;"FF3L"&amp;B117&amp;QuoteSuffix</f>
        <v>USDFF3L50Y_Quote</v>
      </c>
      <c r="J117" s="174" t="str">
        <f>IF(P113,_xll.qlArithmeticOISRateHelper(,C117,B117,E117,H117,G117,F117,I117,,,$J$62,,Permanent,Trigger,ObjectOverwrite),"--")</f>
        <v>--</v>
      </c>
    </row>
  </sheetData>
  <dataValidations count="3"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64:F117">
      <formula1>"Annual,Semiannual,EveryFourthMonth,Quarterly,Bimonthly,Monthly,Biweekly,Weekly,Daily,Once,NoFrequency"</formula1>
    </dataValidation>
    <dataValidation type="list" allowBlank="1" showInputMessage="1" showErrorMessage="1" sqref="P3:P113 J62">
      <formula1>"TRUE, 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6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0</v>
      </c>
      <c r="H1" s="52" t="str">
        <f>"_SYNTH"&amp;Tenor</f>
        <v>_SYNTH3M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USD3M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88">_xll.qlPiecewiseYieldCurveData(YieldCurve_3M,Trigger)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obj_00275#0002</v>
      </c>
      <c r="H3" s="121" t="str">
        <f t="shared" ref="H3:H9" si="0">Currency&amp;$B3&amp;"D"&amp;$H$1&amp;QuoteSuffix</f>
        <v>USDSND_SYNTH3M_Quote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USDSND_SYNTH3M_Quote</v>
      </c>
      <c r="N3" s="182">
        <f>IFERROR(_xll.qlQuoteValue(H3,Trigger),"--")</f>
        <v>6.6899999999999998E-3</v>
      </c>
      <c r="O3" s="165"/>
      <c r="P3" s="134" t="b">
        <v>0</v>
      </c>
      <c r="Q3" s="133">
        <v>10</v>
      </c>
      <c r="R3" s="133">
        <v>1</v>
      </c>
      <c r="S3" s="133" t="str">
        <f t="shared" ref="S3:S9" si="1">IF(ISBLANK(J3),"--",J3)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2">IFERROR(INDEX($L$3:$L$88,MATCH(Y3,$M$3:$M$88,0),1),"")</f>
        <v>Dp</v>
      </c>
      <c r="X3" s="3" t="str">
        <f t="array" ref="X3:X88">_xll.qlRateHelperSelection(_xll.ohFilter(RateHelpers,IncludeFlag),_xll.ohFilter(Priority,IncludeFlag),$AG$3,$AG$4,$AG$5,$AG$6,_xll.ohFilter(MinDistance,IncludeFlag),Trigger)</f>
        <v>obj_002cc</v>
      </c>
      <c r="Y3" s="3" t="str">
        <f>IFERROR(_xll.qlRateHelperQuoteName(X3,Trigger),"")</f>
        <v>USD1MD_SYNTH3M_Quote</v>
      </c>
      <c r="Z3" s="70">
        <f>IFERROR(_xll.qlRateHelperRate(X3,Trigger),"")</f>
        <v>6.6160000000000004E-3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42573</v>
      </c>
      <c r="AC3" s="4">
        <f>IFERROR(_xll.qlRateHelperPillarDate(X3,Trigger),"")</f>
        <v>42604</v>
      </c>
      <c r="AD3" s="76">
        <v>0.99943061327483285</v>
      </c>
      <c r="AF3" s="109" t="s">
        <v>114</v>
      </c>
      <c r="AG3" s="110">
        <v>8</v>
      </c>
    </row>
    <row r="4" spans="1:33" ht="11.25" customHeight="1" x14ac:dyDescent="0.2">
      <c r="A4" s="60" t="s">
        <v>26</v>
      </c>
      <c r="B4" s="61" t="s">
        <v>119</v>
      </c>
      <c r="C4" s="125"/>
      <c r="D4" s="125"/>
      <c r="E4" s="125"/>
      <c r="F4" s="125"/>
      <c r="G4" s="62" t="str">
        <f>PROPER(Currency)&amp;FamilyName&amp;B4</f>
        <v>UsdLiborSW</v>
      </c>
      <c r="H4" s="122" t="str">
        <f t="shared" si="0"/>
        <v>USDSWD_SYNTH3M_Quote</v>
      </c>
      <c r="I4" s="125"/>
      <c r="J4" s="175" t="str">
        <f>IF(P4,_xll.qlDepositRateHelper(,H4,G4,Permanent,Trigger,ObjectOverwrite),"--")</f>
        <v>--</v>
      </c>
      <c r="K4" s="50"/>
      <c r="L4" s="162" t="str">
        <f t="shared" ref="L4:L9" si="3">A4</f>
        <v>Dp</v>
      </c>
      <c r="M4" s="183" t="str">
        <f t="shared" ref="M4:M9" si="4">H4</f>
        <v>USDSWD_SYNTH3M_Quote</v>
      </c>
      <c r="N4" s="164">
        <f>IFERROR(_xll.qlQuoteValue(H4,Trigger),"--")</f>
        <v>6.6670000000000002E-3</v>
      </c>
      <c r="O4" s="167"/>
      <c r="P4" s="101" t="b">
        <v>0</v>
      </c>
      <c r="Q4" s="98">
        <v>10</v>
      </c>
      <c r="R4" s="98">
        <v>1</v>
      </c>
      <c r="S4" s="98" t="str">
        <f t="shared" si="1"/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2"/>
        <v>Dp</v>
      </c>
      <c r="X4" s="3" t="str">
        <v>obj_002ca</v>
      </c>
      <c r="Y4" s="3" t="str">
        <f>IFERROR(_xll.qlRateHelperQuoteName(X4,Trigger),"")</f>
        <v>USD2MD_SYNTH3M_Quote</v>
      </c>
      <c r="Z4" s="70">
        <f>IFERROR(_xll.qlRateHelperRate(X4,Trigger),"")</f>
        <v>6.757E-3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42573</v>
      </c>
      <c r="AC4" s="4">
        <f>IFERROR(_xll.qlRateHelperPillarDate(X4,Trigger),"")</f>
        <v>42635</v>
      </c>
      <c r="AD4" s="76">
        <v>0.99883764708099387</v>
      </c>
      <c r="AF4" s="109" t="s">
        <v>115</v>
      </c>
      <c r="AG4" s="110">
        <v>1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obj_00285#0002</v>
      </c>
      <c r="H5" s="154" t="str">
        <f t="shared" si="0"/>
        <v>USD2WD_SYNTH3M_Quote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3"/>
        <v>Dp</v>
      </c>
      <c r="M5" s="183" t="str">
        <f t="shared" si="4"/>
        <v>USD2WD_SYNTH3M_Quote</v>
      </c>
      <c r="N5" s="164">
        <f>IFERROR(_xll.qlQuoteValue(H5,Trigger),"--")</f>
        <v>6.6360000000000004E-3</v>
      </c>
      <c r="O5" s="167"/>
      <c r="P5" s="101" t="b">
        <v>0</v>
      </c>
      <c r="Q5" s="98">
        <v>10</v>
      </c>
      <c r="R5" s="98">
        <v>1</v>
      </c>
      <c r="S5" s="98" t="str">
        <f t="shared" si="1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2"/>
        <v>Dp</v>
      </c>
      <c r="X5" s="3" t="str">
        <v>obj_002a6</v>
      </c>
      <c r="Y5" s="3" t="str">
        <f>IFERROR(_xll.qlRateHelperQuoteName(X5,Trigger),"")</f>
        <v>USD3MD_SYNTH3M_Quote</v>
      </c>
      <c r="Z5" s="70">
        <f>IFERROR(_xll.qlRateHelperRate(X5,Trigger),"")</f>
        <v>7.0159999999999997E-3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42573</v>
      </c>
      <c r="AC5" s="4">
        <f>IFERROR(_xll.qlRateHelperPillarDate(X5,Trigger),"")</f>
        <v>42667</v>
      </c>
      <c r="AD5" s="76">
        <v>0.99817139436868985</v>
      </c>
      <c r="AE5" s="79"/>
      <c r="AF5" s="109" t="s">
        <v>116</v>
      </c>
      <c r="AG5" s="110">
        <v>3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obj_00284#0002</v>
      </c>
      <c r="H6" s="159" t="str">
        <f t="shared" si="0"/>
        <v>USD3WD_SYNTH3M_Quote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3"/>
        <v>Dp</v>
      </c>
      <c r="M6" s="183" t="str">
        <f t="shared" si="4"/>
        <v>USD3WD_SYNTH3M_Quote</v>
      </c>
      <c r="N6" s="164">
        <f>IFERROR(_xll.qlQuoteValue(H6,Trigger),"--")</f>
        <v>6.6179999999999998E-3</v>
      </c>
      <c r="O6" s="167"/>
      <c r="P6" s="101" t="b">
        <v>0</v>
      </c>
      <c r="Q6" s="98">
        <v>10</v>
      </c>
      <c r="R6" s="98">
        <v>1</v>
      </c>
      <c r="S6" s="98" t="str">
        <f t="shared" si="1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2"/>
        <v>FUT</v>
      </c>
      <c r="X6" s="3" t="str">
        <v>obj_00319</v>
      </c>
      <c r="Y6" s="3" t="str">
        <f>IFERROR(_xll.qlRateHelperQuoteName(X6,Trigger),"")</f>
        <v>USDFUT3MQ6_Quote</v>
      </c>
      <c r="Z6" s="70">
        <f>IFERROR(_xll.qlRateHelperRate(X6,Trigger),"")</f>
        <v>7.3868623416044393E-3</v>
      </c>
      <c r="AA6" s="106">
        <f>IF(ISERROR(_xll.qlSwapRateHelperSpread($X6)),IF(ISERROR(_xll.qlFuturesRateHelperConvexityAdjustment($X6)),"",_xll.qlFuturesRateHelperConvexityAdjustment($X6)),_xll.qlSwapRateHelperSpread($X6))</f>
        <v>6.3765839555240684E-7</v>
      </c>
      <c r="AB6" s="4">
        <f>IFERROR(_xll.qlRateHelperEarliestDate(X6,Trigger),"")</f>
        <v>42599</v>
      </c>
      <c r="AC6" s="4">
        <f>IFERROR(_xll.qlRateHelperPillarDate(X6,Trigger),"")</f>
        <v>42691</v>
      </c>
      <c r="AD6" s="76">
        <v>0.99764003898763864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USD1MD_SYNTH3M_Quote</v>
      </c>
      <c r="I7" s="125"/>
      <c r="J7" s="175" t="str">
        <f>IF(P7,_xll.qlDepositRateHelper(,H7,G7,Permanent,Trigger,ObjectOverwrite),"--")</f>
        <v>obj_002cc#0002</v>
      </c>
      <c r="K7" s="50"/>
      <c r="L7" s="162" t="str">
        <f t="shared" si="3"/>
        <v>Dp</v>
      </c>
      <c r="M7" s="183" t="str">
        <f t="shared" si="4"/>
        <v>USD1MD_SYNTH3M_Quote</v>
      </c>
      <c r="N7" s="164">
        <f>IFERROR(_xll.qlQuoteValue(H7,Trigger),"--")</f>
        <v>6.6160000000000004E-3</v>
      </c>
      <c r="O7" s="167"/>
      <c r="P7" s="101" t="b">
        <v>1</v>
      </c>
      <c r="Q7" s="98">
        <v>10</v>
      </c>
      <c r="R7" s="98">
        <v>1</v>
      </c>
      <c r="S7" s="98" t="str">
        <f t="shared" si="1"/>
        <v>obj_002cc#0002</v>
      </c>
      <c r="T7" s="102">
        <f>IFERROR(_xll.qlRateHelperEarliestDate(S7,Trigger),"--")</f>
        <v>42573</v>
      </c>
      <c r="U7" s="102">
        <f>IFERROR(_xll.qlRateHelperPillarDate(S7,Trigger),"--")</f>
        <v>42604</v>
      </c>
      <c r="W7" s="3" t="str">
        <f t="shared" si="2"/>
        <v>FUT</v>
      </c>
      <c r="X7" s="3" t="str">
        <v>obj_0031b</v>
      </c>
      <c r="Y7" s="3" t="str">
        <f>IFERROR(_xll.qlRateHelperQuoteName(X7,Trigger),"")</f>
        <v>USDFUT3MU6_Quote</v>
      </c>
      <c r="Z7" s="70">
        <f>IFERROR(_xll.qlRateHelperRate(X7,Trigger),"")</f>
        <v>7.723345741641529E-3</v>
      </c>
      <c r="AA7" s="106">
        <f>IF(ISERROR(_xll.qlSwapRateHelperSpread($X7)),IF(ISERROR(_xll.qlFuturesRateHelperConvexityAdjustment($X7)),"",_xll.qlFuturesRateHelperConvexityAdjustment($X7)),_xll.qlSwapRateHelperSpread($X7))</f>
        <v>1.6542583584525916E-6</v>
      </c>
      <c r="AB7" s="4">
        <f>IFERROR(_xll.qlRateHelperEarliestDate(X7,Trigger),"")</f>
        <v>42634</v>
      </c>
      <c r="AC7" s="4">
        <f>IFERROR(_xll.qlRateHelperPillarDate(X7,Trigger),"")</f>
        <v>42725</v>
      </c>
      <c r="AD7" s="76">
        <v>0.99691119763167002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USD2MD_SYNTH3M_Quote</v>
      </c>
      <c r="I8" s="125"/>
      <c r="J8" s="175" t="str">
        <f>IF(P8,_xll.qlDepositRateHelper(,H8,G8,Permanent,Trigger,ObjectOverwrite),"--")</f>
        <v>obj_002ca#0002</v>
      </c>
      <c r="K8" s="50"/>
      <c r="L8" s="162" t="str">
        <f t="shared" si="3"/>
        <v>Dp</v>
      </c>
      <c r="M8" s="183" t="str">
        <f t="shared" si="4"/>
        <v>USD2MD_SYNTH3M_Quote</v>
      </c>
      <c r="N8" s="164">
        <f>IFERROR(_xll.qlQuoteValue(H8,Trigger),"--")</f>
        <v>6.757E-3</v>
      </c>
      <c r="O8" s="167"/>
      <c r="P8" s="101" t="b">
        <v>1</v>
      </c>
      <c r="Q8" s="98">
        <v>10</v>
      </c>
      <c r="R8" s="98">
        <v>1</v>
      </c>
      <c r="S8" s="98" t="str">
        <f t="shared" si="1"/>
        <v>obj_002ca#0002</v>
      </c>
      <c r="T8" s="102">
        <f>IFERROR(_xll.qlRateHelperEarliestDate(S8,Trigger),"--")</f>
        <v>42573</v>
      </c>
      <c r="U8" s="102">
        <f>IFERROR(_xll.qlRateHelperPillarDate(S8,Trigger),"--")</f>
        <v>42635</v>
      </c>
      <c r="W8" s="3" t="str">
        <f t="shared" si="2"/>
        <v>FUT</v>
      </c>
      <c r="X8" s="3" t="str">
        <v>obj_00321</v>
      </c>
      <c r="Y8" s="3" t="str">
        <f>IFERROR(_xll.qlRateHelperQuoteName(X8,Trigger),"")</f>
        <v>USDFUT3MZ6_Quote</v>
      </c>
      <c r="Z8" s="70">
        <f>IFERROR(_xll.qlRateHelperRate(X8,Trigger),"")</f>
        <v>8.5195233034459812E-3</v>
      </c>
      <c r="AA8" s="106">
        <f>IF(ISERROR(_xll.qlSwapRateHelperSpread($X8)),IF(ISERROR(_xll.qlFuturesRateHelperConvexityAdjustment($X8)),"",_xll.qlFuturesRateHelperConvexityAdjustment($X8)),_xll.qlSwapRateHelperSpread($X8))</f>
        <v>5.4766965539132998E-6</v>
      </c>
      <c r="AB8" s="4">
        <f>IFERROR(_xll.qlRateHelperEarliestDate(X8,Trigger),"")</f>
        <v>42725</v>
      </c>
      <c r="AC8" s="4">
        <f>IFERROR(_xll.qlRateHelperPillarDate(X8,Trigger),"")</f>
        <v>42815</v>
      </c>
      <c r="AD8" s="76">
        <v>0.99479240835540117</v>
      </c>
    </row>
    <row r="9" spans="1:33" ht="11.25" customHeight="1" x14ac:dyDescent="0.2">
      <c r="A9" s="1" t="s">
        <v>26</v>
      </c>
      <c r="B9" s="8" t="s">
        <v>0</v>
      </c>
      <c r="C9" s="126"/>
      <c r="D9" s="126"/>
      <c r="E9" s="126"/>
      <c r="F9" s="126"/>
      <c r="G9" s="6" t="str">
        <f>PROPER(Currency)&amp;FamilyName&amp;B9</f>
        <v>UsdLibor3M</v>
      </c>
      <c r="H9" s="123" t="str">
        <f t="shared" si="0"/>
        <v>USD3MD_SYNTH3M_Quote</v>
      </c>
      <c r="I9" s="126"/>
      <c r="J9" s="174" t="str">
        <f>IF(P9,_xll.qlDepositRateHelper(,H9,G9,Permanent,Trigger,ObjectOverwrite),"--")</f>
        <v>obj_002a6#0002</v>
      </c>
      <c r="K9" s="50"/>
      <c r="L9" s="168" t="str">
        <f t="shared" si="3"/>
        <v>Dp</v>
      </c>
      <c r="M9" s="184" t="str">
        <f t="shared" si="4"/>
        <v>USD3MD_SYNTH3M_Quote</v>
      </c>
      <c r="N9" s="170">
        <f>IFERROR(_xll.qlQuoteValue(H9,Trigger),"--")</f>
        <v>7.0159999999999997E-3</v>
      </c>
      <c r="O9" s="171"/>
      <c r="P9" s="103" t="b">
        <v>1</v>
      </c>
      <c r="Q9" s="99">
        <v>10</v>
      </c>
      <c r="R9" s="99">
        <v>1</v>
      </c>
      <c r="S9" s="99" t="str">
        <f t="shared" si="1"/>
        <v>obj_002a6#0002</v>
      </c>
      <c r="T9" s="104">
        <f>IFERROR(_xll.qlRateHelperEarliestDate(S9,Trigger),"--")</f>
        <v>42573</v>
      </c>
      <c r="U9" s="104">
        <f>IFERROR(_xll.qlRateHelperPillarDate(S9,Trigger),"--")</f>
        <v>42667</v>
      </c>
      <c r="W9" s="3" t="str">
        <f t="shared" si="2"/>
        <v>FUT</v>
      </c>
      <c r="X9" s="3" t="str">
        <v>obj_0031f</v>
      </c>
      <c r="Y9" s="3" t="str">
        <f>IFERROR(_xll.qlRateHelperQuoteName(X9,Trigger),"")</f>
        <v>USDFUT3MH7_Quote</v>
      </c>
      <c r="Z9" s="70">
        <f>IFERROR(_xll.qlRateHelperRate(X9,Trigger),"")</f>
        <v>8.964375762520245E-3</v>
      </c>
      <c r="AA9" s="106">
        <f>IF(ISERROR(_xll.qlSwapRateHelperSpread($X9)),IF(ISERROR(_xll.qlFuturesRateHelperConvexityAdjustment($X9)),"",_xll.qlFuturesRateHelperConvexityAdjustment($X9)),_xll.qlSwapRateHelperSpread($X9))</f>
        <v>1.06242374797097E-5</v>
      </c>
      <c r="AB9" s="4">
        <f>IFERROR(_xll.qlRateHelperEarliestDate(X9,Trigger),"")</f>
        <v>42809</v>
      </c>
      <c r="AC9" s="4">
        <f>IFERROR(_xll.qlRateHelperPillarDate(X9,Trigger),"")</f>
        <v>42901</v>
      </c>
      <c r="AD9" s="76">
        <v>0.99266513497042841</v>
      </c>
    </row>
    <row r="10" spans="1:33" ht="11.25" customHeight="1" x14ac:dyDescent="0.2">
      <c r="B10" s="48"/>
      <c r="C10" s="48"/>
      <c r="D10" s="48"/>
      <c r="E10" s="48"/>
      <c r="F10" s="48"/>
      <c r="G10" s="48"/>
      <c r="H10" s="48"/>
      <c r="K10" s="50"/>
      <c r="L10" s="180" t="str">
        <f>A12</f>
        <v>FRA</v>
      </c>
      <c r="M10" s="181" t="str">
        <f>H12</f>
        <v>USD1x4F_Quote</v>
      </c>
      <c r="N10" s="182">
        <f>IFERROR(_xll.qlQuoteValue(H12,Trigger),"--")</f>
        <v>7.4599999999999996E-3</v>
      </c>
      <c r="O10" s="165"/>
      <c r="P10" s="134" t="b">
        <v>0</v>
      </c>
      <c r="Q10" s="133">
        <v>20</v>
      </c>
      <c r="R10" s="133">
        <v>1</v>
      </c>
      <c r="S10" s="133" t="str">
        <f t="shared" ref="S10:S21" si="5">IF(ISBLANK(J12),"--",J12)</f>
        <v>--</v>
      </c>
      <c r="T10" s="135" t="str">
        <f>IFERROR(_xll.qlRateHelperEarliestDate(S10,Trigger),"--")</f>
        <v>--</v>
      </c>
      <c r="U10" s="135" t="str">
        <f>IFERROR(_xll.qlRateHelperPillarDate(S10,Trigger),"--")</f>
        <v>--</v>
      </c>
      <c r="W10" s="3" t="str">
        <f t="shared" si="2"/>
        <v>FUT</v>
      </c>
      <c r="X10" s="3" t="str">
        <v>obj_00320</v>
      </c>
      <c r="Y10" s="3" t="str">
        <f>IFERROR(_xll.qlRateHelperQuoteName(X10,Trigger),"")</f>
        <v>USDFUT3MM7_Quote</v>
      </c>
      <c r="Z10" s="70">
        <f>IFERROR(_xll.qlRateHelperRate(X10,Trigger),"")</f>
        <v>9.4066596228950632E-3</v>
      </c>
      <c r="AA10" s="106">
        <f>IF(ISERROR(_xll.qlSwapRateHelperSpread($X10)),IF(ISERROR(_xll.qlFuturesRateHelperConvexityAdjustment($X10)),"",_xll.qlFuturesRateHelperConvexityAdjustment($X10)),_xll.qlSwapRateHelperSpread($X10))</f>
        <v>1.8340377104842545E-5</v>
      </c>
      <c r="AB10" s="4">
        <f>IFERROR(_xll.qlRateHelperEarliestDate(X10,Trigger),"")</f>
        <v>42907</v>
      </c>
      <c r="AC10" s="4">
        <f>IFERROR(_xll.qlRateHelperPillarDate(X10,Trigger),"")</f>
        <v>42999</v>
      </c>
      <c r="AD10" s="76">
        <v>0.9901334916105955</v>
      </c>
    </row>
    <row r="11" spans="1:33" ht="11.25" customHeight="1" x14ac:dyDescent="0.2">
      <c r="A11" s="66" t="s">
        <v>9</v>
      </c>
      <c r="B11" s="66" t="s">
        <v>120</v>
      </c>
      <c r="C11" s="66" t="s">
        <v>121</v>
      </c>
      <c r="D11" s="66"/>
      <c r="E11" s="66"/>
      <c r="F11" s="66"/>
      <c r="G11" s="66" t="s">
        <v>4</v>
      </c>
      <c r="H11" s="66" t="s">
        <v>1</v>
      </c>
      <c r="I11" s="66"/>
      <c r="J11" s="66" t="s">
        <v>24</v>
      </c>
      <c r="K11" s="50"/>
      <c r="L11" s="162" t="str">
        <f t="shared" ref="L11:L21" si="6">A13</f>
        <v>FRA</v>
      </c>
      <c r="M11" s="183" t="str">
        <f t="shared" ref="M11:M21" si="7">H13</f>
        <v>USD2x5F_Quote</v>
      </c>
      <c r="N11" s="164">
        <f>IFERROR(_xll.qlQuoteValue(H13,Trigger),"--")</f>
        <v>7.7499999999999999E-3</v>
      </c>
      <c r="O11" s="167"/>
      <c r="P11" s="101" t="b">
        <v>0</v>
      </c>
      <c r="Q11" s="98">
        <v>20</v>
      </c>
      <c r="R11" s="98">
        <v>1</v>
      </c>
      <c r="S11" s="98" t="str">
        <f t="shared" si="5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2"/>
        <v>FUT</v>
      </c>
      <c r="X11" s="3" t="str">
        <v>obj_00323</v>
      </c>
      <c r="Y11" s="3" t="str">
        <f>IFERROR(_xll.qlRateHelperQuoteName(X11,Trigger),"")</f>
        <v>USDFUT3MU7_Quote</v>
      </c>
      <c r="Z11" s="70">
        <f>IFERROR(_xll.qlRateHelperRate(X11,Trigger),"")</f>
        <v>9.797898995327195E-3</v>
      </c>
      <c r="AA11" s="106">
        <f>IF(ISERROR(_xll.qlSwapRateHelperSpread($X11)),IF(ISERROR(_xll.qlFuturesRateHelperConvexityAdjustment($X11)),"",_xll.qlFuturesRateHelperConvexityAdjustment($X11)),_xll.qlSwapRateHelperSpread($X11))</f>
        <v>2.7101004672667245E-5</v>
      </c>
      <c r="AB11" s="4">
        <f>IFERROR(_xll.qlRateHelperEarliestDate(X11,Trigger),"")</f>
        <v>42998</v>
      </c>
      <c r="AC11" s="4">
        <f>IFERROR(_xll.qlRateHelperPillarDate(X11,Trigger),"")</f>
        <v>43089</v>
      </c>
      <c r="AD11" s="76">
        <v>0.98771358710448187</v>
      </c>
    </row>
    <row r="12" spans="1:33" ht="11.25" customHeight="1" x14ac:dyDescent="0.2">
      <c r="A12" s="55" t="s">
        <v>122</v>
      </c>
      <c r="B12" s="115">
        <v>1</v>
      </c>
      <c r="C12" s="58" t="str">
        <f t="shared" ref="C12:C23" si="8">"x"&amp;B12+SUBSTITUTE(Tenor,"M","")&amp;"F"</f>
        <v>x4F</v>
      </c>
      <c r="D12" s="125"/>
      <c r="E12" s="125"/>
      <c r="F12" s="125"/>
      <c r="G12" s="57" t="str">
        <f t="shared" ref="G12:G23" si="9">PROPER(Currency)&amp;FamilyName&amp;Tenor</f>
        <v>UsdLibor3M</v>
      </c>
      <c r="H12" s="118" t="str">
        <f t="shared" ref="H12:H23" si="10">Currency&amp;B12&amp;C12&amp;QuoteSuffix</f>
        <v>USD1x4F_Quote</v>
      </c>
      <c r="I12" s="125"/>
      <c r="J12" s="173" t="str">
        <f>IF(P10,_xll.qlFraRateHelper(,H12,B12&amp;"M",G12,PillarDate,,Permanent,Trigger,ObjectOverwrite),"--")</f>
        <v>--</v>
      </c>
      <c r="K12" s="50" t="s">
        <v>45</v>
      </c>
      <c r="L12" s="162" t="str">
        <f t="shared" si="6"/>
        <v>FRA</v>
      </c>
      <c r="M12" s="183" t="str">
        <f t="shared" si="7"/>
        <v>USD3x6F_Quote</v>
      </c>
      <c r="N12" s="164">
        <f>IFERROR(_xll.qlQuoteValue(H14,Trigger),"--")</f>
        <v>8.0400000000000003E-3</v>
      </c>
      <c r="O12" s="167"/>
      <c r="P12" s="101" t="b">
        <v>0</v>
      </c>
      <c r="Q12" s="98">
        <v>20</v>
      </c>
      <c r="R12" s="98">
        <v>1</v>
      </c>
      <c r="S12" s="98" t="str">
        <f t="shared" si="5"/>
        <v>--</v>
      </c>
      <c r="T12" s="102" t="str">
        <f>IFERROR(_xll.qlRateHelperEarliestDate(S12,Trigger),"--")</f>
        <v>--</v>
      </c>
      <c r="U12" s="102" t="str">
        <f>IFERROR(_xll.qlRateHelperPillarDate(S12,Trigger),"--")</f>
        <v>--</v>
      </c>
      <c r="W12" s="3" t="str">
        <f t="shared" si="2"/>
        <v>FUT</v>
      </c>
      <c r="X12" s="3" t="str">
        <v>obj_00322</v>
      </c>
      <c r="Y12" s="3" t="str">
        <f>IFERROR(_xll.qlRateHelperQuoteName(X12,Trigger),"")</f>
        <v>USDFUT3MZ7_Quote</v>
      </c>
      <c r="Z12" s="70">
        <f>IFERROR(_xll.qlRateHelperRate(X12,Trigger),"")</f>
        <v>1.0287589873625512E-2</v>
      </c>
      <c r="AA12" s="106">
        <f>IF(ISERROR(_xll.qlSwapRateHelperSpread($X12)),IF(ISERROR(_xll.qlFuturesRateHelperConvexityAdjustment($X12)),"",_xll.qlFuturesRateHelperConvexityAdjustment($X12)),_xll.qlSwapRateHelperSpread($X12))</f>
        <v>3.7410126374517095E-5</v>
      </c>
      <c r="AB12" s="4">
        <f>IFERROR(_xll.qlRateHelperEarliestDate(X12,Trigger),"")</f>
        <v>43089</v>
      </c>
      <c r="AC12" s="4">
        <f>IFERROR(_xll.qlRateHelperPillarDate(X12,Trigger),"")</f>
        <v>43179</v>
      </c>
      <c r="AD12" s="76">
        <v>0.98517980565681218</v>
      </c>
    </row>
    <row r="13" spans="1:33" ht="11.25" customHeight="1" x14ac:dyDescent="0.2">
      <c r="A13" s="60" t="s">
        <v>122</v>
      </c>
      <c r="B13" s="116">
        <v>2</v>
      </c>
      <c r="C13" s="64" t="str">
        <f t="shared" si="8"/>
        <v>x5F</v>
      </c>
      <c r="D13" s="125"/>
      <c r="E13" s="125"/>
      <c r="F13" s="125"/>
      <c r="G13" s="62" t="str">
        <f t="shared" si="9"/>
        <v>UsdLibor3M</v>
      </c>
      <c r="H13" s="119" t="str">
        <f t="shared" si="10"/>
        <v>USD2x5F_Quote</v>
      </c>
      <c r="I13" s="125"/>
      <c r="J13" s="175" t="str">
        <f>IF(P11,_xll.qlFraRateHelper(,H13,B13&amp;"M",G13,PillarDate,,Permanent,Trigger,ObjectOverwrite),"--")</f>
        <v>--</v>
      </c>
      <c r="K13" s="50"/>
      <c r="L13" s="162" t="str">
        <f t="shared" si="6"/>
        <v>FRA</v>
      </c>
      <c r="M13" s="183" t="str">
        <f t="shared" si="7"/>
        <v>USD4x7F_Quote</v>
      </c>
      <c r="N13" s="164">
        <f>IFERROR(_xll.qlQuoteValue(H15,Trigger),"--")</f>
        <v>8.3000000000000001E-3</v>
      </c>
      <c r="O13" s="167"/>
      <c r="P13" s="101" t="b">
        <v>0</v>
      </c>
      <c r="Q13" s="98">
        <v>20</v>
      </c>
      <c r="R13" s="98">
        <v>1</v>
      </c>
      <c r="S13" s="98" t="str">
        <f t="shared" si="5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2"/>
        <v>FUT</v>
      </c>
      <c r="X13" s="3" t="str">
        <v>obj_00324</v>
      </c>
      <c r="Y13" s="3" t="str">
        <f>IFERROR(_xll.qlRateHelperQuoteName(X13,Trigger),"")</f>
        <v>USDFUT3MH8_Quote</v>
      </c>
      <c r="Z13" s="70">
        <f>IFERROR(_xll.qlRateHelperRate(X13,Trigger),"")</f>
        <v>1.0575399514494724E-2</v>
      </c>
      <c r="AA13" s="106">
        <f>IF(ISERROR(_xll.qlSwapRateHelperSpread($X13)),IF(ISERROR(_xll.qlFuturesRateHelperConvexityAdjustment($X13)),"",_xll.qlFuturesRateHelperConvexityAdjustment($X13)),_xll.qlSwapRateHelperSpread($X13))</f>
        <v>4.9600485505271802E-5</v>
      </c>
      <c r="AB13" s="4">
        <f>IFERROR(_xll.qlRateHelperEarliestDate(X13,Trigger),"")</f>
        <v>43180</v>
      </c>
      <c r="AC13" s="4">
        <f>IFERROR(_xll.qlRateHelperPillarDate(X13,Trigger),"")</f>
        <v>43272</v>
      </c>
      <c r="AD13" s="76">
        <v>0.98249597413238321</v>
      </c>
    </row>
    <row r="14" spans="1:33" ht="11.25" customHeight="1" x14ac:dyDescent="0.2">
      <c r="A14" s="60" t="s">
        <v>122</v>
      </c>
      <c r="B14" s="116">
        <v>3</v>
      </c>
      <c r="C14" s="64" t="str">
        <f t="shared" si="8"/>
        <v>x6F</v>
      </c>
      <c r="D14" s="125"/>
      <c r="E14" s="125"/>
      <c r="F14" s="125"/>
      <c r="G14" s="62" t="str">
        <f t="shared" si="9"/>
        <v>UsdLibor3M</v>
      </c>
      <c r="H14" s="119" t="str">
        <f t="shared" si="10"/>
        <v>USD3x6F_Quote</v>
      </c>
      <c r="I14" s="125"/>
      <c r="J14" s="175" t="str">
        <f>IF(P12,_xll.qlFraRateHelper(,H14,B14&amp;"M",G14,PillarDate,,Permanent,Trigger,ObjectOverwrite),"--")</f>
        <v>--</v>
      </c>
      <c r="K14" s="50"/>
      <c r="L14" s="162" t="str">
        <f t="shared" si="6"/>
        <v>FRA</v>
      </c>
      <c r="M14" s="183" t="str">
        <f t="shared" si="7"/>
        <v>USD5x8F_Quote</v>
      </c>
      <c r="N14" s="164">
        <f>IFERROR(_xll.qlQuoteValue(H16,Trigger),"--")</f>
        <v>8.5400000000000007E-3</v>
      </c>
      <c r="O14" s="167"/>
      <c r="P14" s="101" t="b">
        <v>0</v>
      </c>
      <c r="Q14" s="98">
        <v>20</v>
      </c>
      <c r="R14" s="98">
        <v>1</v>
      </c>
      <c r="S14" s="98" t="str">
        <f t="shared" si="5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2"/>
        <v>FUT</v>
      </c>
      <c r="X14" s="3" t="str">
        <v>obj_00325</v>
      </c>
      <c r="Y14" s="3" t="str">
        <f>IFERROR(_xll.qlRateHelperQuoteName(X14,Trigger),"")</f>
        <v>USDFUT3MM8_Quote</v>
      </c>
      <c r="Z14" s="70">
        <f>IFERROR(_xll.qlRateHelperRate(X14,Trigger),"")</f>
        <v>1.0911909500212903E-2</v>
      </c>
      <c r="AA14" s="106">
        <f>IF(ISERROR(_xll.qlSwapRateHelperSpread($X14)),IF(ISERROR(_xll.qlFuturesRateHelperConvexityAdjustment($X14)),"",_xll.qlFuturesRateHelperConvexityAdjustment($X14)),_xll.qlSwapRateHelperSpread($X14))</f>
        <v>6.309049978705371E-5</v>
      </c>
      <c r="AB14" s="4">
        <f>IFERROR(_xll.qlRateHelperEarliestDate(X14,Trigger),"")</f>
        <v>43271</v>
      </c>
      <c r="AC14" s="4">
        <f>IFERROR(_xll.qlRateHelperPillarDate(X14,Trigger),"")</f>
        <v>43363</v>
      </c>
      <c r="AD14" s="76">
        <v>0.97979305241058023</v>
      </c>
    </row>
    <row r="15" spans="1:33" ht="11.25" customHeight="1" x14ac:dyDescent="0.2">
      <c r="A15" s="60" t="s">
        <v>122</v>
      </c>
      <c r="B15" s="116">
        <v>4</v>
      </c>
      <c r="C15" s="64" t="str">
        <f t="shared" si="8"/>
        <v>x7F</v>
      </c>
      <c r="D15" s="125"/>
      <c r="E15" s="125"/>
      <c r="F15" s="125"/>
      <c r="G15" s="62" t="str">
        <f t="shared" si="9"/>
        <v>UsdLibor3M</v>
      </c>
      <c r="H15" s="119" t="str">
        <f t="shared" si="10"/>
        <v>USD4x7F_Quote</v>
      </c>
      <c r="I15" s="125"/>
      <c r="J15" s="175" t="str">
        <f>IF(P13,_xll.qlFraRateHelper(,H15,B15&amp;"M",G15,PillarDate,,Permanent,Trigger,ObjectOverwrite),"--")</f>
        <v>--</v>
      </c>
      <c r="K15" s="50"/>
      <c r="L15" s="162" t="str">
        <f t="shared" si="6"/>
        <v>FRA</v>
      </c>
      <c r="M15" s="183" t="str">
        <f t="shared" si="7"/>
        <v>USD6x9F_Quote</v>
      </c>
      <c r="N15" s="164">
        <f>IFERROR(_xll.qlQuoteValue(H17,Trigger),"--")</f>
        <v>8.7299999999999999E-3</v>
      </c>
      <c r="O15" s="167"/>
      <c r="P15" s="101" t="b">
        <v>0</v>
      </c>
      <c r="Q15" s="98">
        <v>20</v>
      </c>
      <c r="R15" s="98">
        <v>1</v>
      </c>
      <c r="S15" s="98" t="str">
        <f t="shared" si="5"/>
        <v>--</v>
      </c>
      <c r="T15" s="102" t="str">
        <f>IFERROR(_xll.qlRateHelperEarliestDate(S15,Trigger),"--")</f>
        <v>--</v>
      </c>
      <c r="U15" s="102" t="str">
        <f>IFERROR(_xll.qlRateHelperPillarDate(S15,Trigger),"--")</f>
        <v>--</v>
      </c>
      <c r="W15" s="3" t="str">
        <f t="shared" si="2"/>
        <v>Sw</v>
      </c>
      <c r="X15" s="3" t="str">
        <v>obj_00308</v>
      </c>
      <c r="Y15" s="3" t="str">
        <f>IFERROR(_xll.qlRateHelperQuoteName(X15,Trigger),"")</f>
        <v>USDAM3L3Y_Quote</v>
      </c>
      <c r="Z15" s="70">
        <f>IFERROR(_xll.qlRateHelperRate(X15,Trigger),"")</f>
        <v>9.8500000000000011E-3</v>
      </c>
      <c r="AA15" s="10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42573</v>
      </c>
      <c r="AC15" s="4">
        <f>IFERROR(_xll.qlRateHelperPillarDate(X15,Trigger),"")</f>
        <v>43668</v>
      </c>
      <c r="AD15" s="76">
        <v>0.97057266834690303</v>
      </c>
    </row>
    <row r="16" spans="1:33" ht="11.25" customHeight="1" x14ac:dyDescent="0.2">
      <c r="A16" s="60" t="s">
        <v>122</v>
      </c>
      <c r="B16" s="116">
        <v>5</v>
      </c>
      <c r="C16" s="64" t="str">
        <f t="shared" si="8"/>
        <v>x8F</v>
      </c>
      <c r="D16" s="125"/>
      <c r="E16" s="125"/>
      <c r="F16" s="125"/>
      <c r="G16" s="62" t="str">
        <f t="shared" si="9"/>
        <v>UsdLibor3M</v>
      </c>
      <c r="H16" s="119" t="str">
        <f t="shared" si="10"/>
        <v>USD5x8F_Quote</v>
      </c>
      <c r="I16" s="125"/>
      <c r="J16" s="175" t="str">
        <f>IF(P14,_xll.qlFraRateHelper(,H16,B16&amp;"M",G16,PillarDate,,Permanent,Trigger,ObjectOverwrite),"--")</f>
        <v>--</v>
      </c>
      <c r="K16" s="50"/>
      <c r="L16" s="162" t="str">
        <f t="shared" si="6"/>
        <v>FRA</v>
      </c>
      <c r="M16" s="183" t="str">
        <f t="shared" si="7"/>
        <v>USD7x10F_Quote</v>
      </c>
      <c r="N16" s="164">
        <f>IFERROR(_xll.qlQuoteValue(H18,Trigger),"--")</f>
        <v>8.8599999999999998E-3</v>
      </c>
      <c r="O16" s="167"/>
      <c r="P16" s="101" t="b">
        <v>0</v>
      </c>
      <c r="Q16" s="98">
        <v>20</v>
      </c>
      <c r="R16" s="98">
        <v>1</v>
      </c>
      <c r="S16" s="98" t="str">
        <f t="shared" si="5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2"/>
        <v>Sw</v>
      </c>
      <c r="X16" s="3" t="str">
        <v>obj_002f5</v>
      </c>
      <c r="Y16" s="3" t="str">
        <f>IFERROR(_xll.qlRateHelperQuoteName(X16,Trigger),"")</f>
        <v>USDAM3L4Y_Quote</v>
      </c>
      <c r="Z16" s="70">
        <f>IFERROR(_xll.qlRateHelperRate(X16,Trigger),"")</f>
        <v>1.052E-2</v>
      </c>
      <c r="AA16" s="106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42573</v>
      </c>
      <c r="AC16" s="4">
        <f>IFERROR(_xll.qlRateHelperPillarDate(X16,Trigger),"")</f>
        <v>44034</v>
      </c>
      <c r="AD16" s="76">
        <v>0.95832034917750009</v>
      </c>
    </row>
    <row r="17" spans="1:30" ht="11.25" customHeight="1" x14ac:dyDescent="0.2">
      <c r="A17" s="60" t="s">
        <v>122</v>
      </c>
      <c r="B17" s="116">
        <v>6</v>
      </c>
      <c r="C17" s="64" t="str">
        <f t="shared" si="8"/>
        <v>x9F</v>
      </c>
      <c r="D17" s="125"/>
      <c r="E17" s="125"/>
      <c r="F17" s="125"/>
      <c r="G17" s="62" t="str">
        <f t="shared" si="9"/>
        <v>UsdLibor3M</v>
      </c>
      <c r="H17" s="119" t="str">
        <f t="shared" si="10"/>
        <v>USD6x9F_Quote</v>
      </c>
      <c r="I17" s="125"/>
      <c r="J17" s="175" t="str">
        <f>IF(P15,_xll.qlFraRateHelper(,H17,B17&amp;"M",G17,PillarDate,,Permanent,Trigger,ObjectOverwrite),"--")</f>
        <v>--</v>
      </c>
      <c r="K17" s="50"/>
      <c r="L17" s="162" t="str">
        <f t="shared" si="6"/>
        <v>FRA</v>
      </c>
      <c r="M17" s="183" t="str">
        <f t="shared" si="7"/>
        <v>USD8x11F_Quote</v>
      </c>
      <c r="N17" s="164">
        <f>IFERROR(_xll.qlQuoteValue(H19,Trigger),"--")</f>
        <v>8.9700000000000005E-3</v>
      </c>
      <c r="O17" s="167"/>
      <c r="P17" s="101" t="b">
        <v>0</v>
      </c>
      <c r="Q17" s="98">
        <v>20</v>
      </c>
      <c r="R17" s="98">
        <v>1</v>
      </c>
      <c r="S17" s="98" t="str">
        <f t="shared" si="5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2"/>
        <v>Sw</v>
      </c>
      <c r="X17" s="3" t="str">
        <v>obj_00311</v>
      </c>
      <c r="Y17" s="3" t="str">
        <f>IFERROR(_xll.qlRateHelperQuoteName(X17,Trigger),"")</f>
        <v>USDAM3L5Y_Quote</v>
      </c>
      <c r="Z17" s="70">
        <f>IFERROR(_xll.qlRateHelperRate(X17,Trigger),"")</f>
        <v>1.119E-2</v>
      </c>
      <c r="AA17" s="106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42573</v>
      </c>
      <c r="AC17" s="4">
        <f>IFERROR(_xll.qlRateHelperPillarDate(X17,Trigger),"")</f>
        <v>44399</v>
      </c>
      <c r="AD17" s="76">
        <v>0.94495248240525176</v>
      </c>
    </row>
    <row r="18" spans="1:30" ht="11.25" customHeight="1" x14ac:dyDescent="0.2">
      <c r="A18" s="60" t="s">
        <v>122</v>
      </c>
      <c r="B18" s="116">
        <v>7</v>
      </c>
      <c r="C18" s="64" t="str">
        <f t="shared" si="8"/>
        <v>x10F</v>
      </c>
      <c r="D18" s="125"/>
      <c r="E18" s="125"/>
      <c r="F18" s="125"/>
      <c r="G18" s="62" t="str">
        <f t="shared" si="9"/>
        <v>UsdLibor3M</v>
      </c>
      <c r="H18" s="119" t="str">
        <f t="shared" si="10"/>
        <v>USD7x10F_Quote</v>
      </c>
      <c r="I18" s="125"/>
      <c r="J18" s="175" t="str">
        <f>IF(P16,_xll.qlFraRateHelper(,H18,B18&amp;"M",G18,PillarDate,,Permanent,Trigger,ObjectOverwrite),"--")</f>
        <v>--</v>
      </c>
      <c r="K18" s="50"/>
      <c r="L18" s="162" t="str">
        <f t="shared" si="6"/>
        <v>FRA</v>
      </c>
      <c r="M18" s="183" t="str">
        <f t="shared" si="7"/>
        <v>USD9x12F_Quote</v>
      </c>
      <c r="N18" s="164">
        <f>IFERROR(_xll.qlQuoteValue(H20,Trigger),"--")</f>
        <v>9.1000000000000004E-3</v>
      </c>
      <c r="O18" s="167"/>
      <c r="P18" s="101" t="b">
        <v>0</v>
      </c>
      <c r="Q18" s="98">
        <v>20</v>
      </c>
      <c r="R18" s="98">
        <v>1</v>
      </c>
      <c r="S18" s="98" t="str">
        <f t="shared" si="5"/>
        <v>--</v>
      </c>
      <c r="T18" s="102" t="str">
        <f>IFERROR(_xll.qlRateHelperEarliestDate(S18,Trigger),"--")</f>
        <v>--</v>
      </c>
      <c r="U18" s="102" t="str">
        <f>IFERROR(_xll.qlRateHelperPillarDate(S18,Trigger),"--")</f>
        <v>--</v>
      </c>
      <c r="W18" s="3" t="str">
        <f t="shared" si="2"/>
        <v>Sw</v>
      </c>
      <c r="X18" s="3" t="str">
        <v>obj_002e9</v>
      </c>
      <c r="Y18" s="3" t="str">
        <f>IFERROR(_xll.qlRateHelperQuoteName(X18,Trigger),"")</f>
        <v>USDAM3L6Y_Quote</v>
      </c>
      <c r="Z18" s="70">
        <f>IFERROR(_xll.qlRateHelperRate(X18,Trigger),"")</f>
        <v>1.191E-2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42573</v>
      </c>
      <c r="AC18" s="4">
        <f>IFERROR(_xll.qlRateHelperPillarDate(X18,Trigger),"")</f>
        <v>44764</v>
      </c>
      <c r="AD18" s="76">
        <v>0.93019897505472227</v>
      </c>
    </row>
    <row r="19" spans="1:30" ht="11.25" customHeight="1" x14ac:dyDescent="0.2">
      <c r="A19" s="60" t="s">
        <v>122</v>
      </c>
      <c r="B19" s="116">
        <v>8</v>
      </c>
      <c r="C19" s="64" t="str">
        <f t="shared" si="8"/>
        <v>x11F</v>
      </c>
      <c r="D19" s="125"/>
      <c r="E19" s="125"/>
      <c r="F19" s="125"/>
      <c r="G19" s="62" t="str">
        <f t="shared" si="9"/>
        <v>UsdLibor3M</v>
      </c>
      <c r="H19" s="119" t="str">
        <f t="shared" si="10"/>
        <v>USD8x11F_Quote</v>
      </c>
      <c r="I19" s="125"/>
      <c r="J19" s="175" t="str">
        <f>IF(P17,_xll.qlFraRateHelper(,H19,B19&amp;"M",G19,PillarDate,,Permanent,Trigger,ObjectOverwrite),"--")</f>
        <v>--</v>
      </c>
      <c r="K19" s="50"/>
      <c r="L19" s="162" t="str">
        <f t="shared" si="6"/>
        <v>FRA</v>
      </c>
      <c r="M19" s="183" t="str">
        <f t="shared" si="7"/>
        <v>USD10x13F_Quote</v>
      </c>
      <c r="N19" s="164">
        <f>IFERROR(_xll.qlQuoteValue(H21,Trigger),"--")</f>
        <v>9.2100000000000012E-3</v>
      </c>
      <c r="O19" s="167"/>
      <c r="P19" s="101" t="b">
        <v>0</v>
      </c>
      <c r="Q19" s="98">
        <v>20</v>
      </c>
      <c r="R19" s="98">
        <v>1</v>
      </c>
      <c r="S19" s="98" t="str">
        <f t="shared" si="5"/>
        <v>--</v>
      </c>
      <c r="T19" s="102" t="str">
        <f>IFERROR(_xll.qlRateHelperEarliestDate(S19,Trigger),"--")</f>
        <v>--</v>
      </c>
      <c r="U19" s="102" t="str">
        <f>IFERROR(_xll.qlRateHelperPillarDate(S19,Trigger),"--")</f>
        <v>--</v>
      </c>
      <c r="W19" s="3" t="str">
        <f t="shared" si="2"/>
        <v>Sw</v>
      </c>
      <c r="X19" s="3" t="str">
        <v>obj_002f7</v>
      </c>
      <c r="Y19" s="3" t="str">
        <f>IFERROR(_xll.qlRateHelperQuoteName(X19,Trigger),"")</f>
        <v>USDAM3L7Y_Quote</v>
      </c>
      <c r="Z19" s="70">
        <f>IFERROR(_xll.qlRateHelperRate(X19,Trigger),"")</f>
        <v>1.259E-2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42573</v>
      </c>
      <c r="AC19" s="4">
        <f>IFERROR(_xll.qlRateHelperPillarDate(X19,Trigger),"")</f>
        <v>45131</v>
      </c>
      <c r="AD19" s="76">
        <v>0.91450822888403249</v>
      </c>
    </row>
    <row r="20" spans="1:30" ht="11.25" customHeight="1" x14ac:dyDescent="0.2">
      <c r="A20" s="60" t="s">
        <v>122</v>
      </c>
      <c r="B20" s="116">
        <v>9</v>
      </c>
      <c r="C20" s="64" t="str">
        <f t="shared" si="8"/>
        <v>x12F</v>
      </c>
      <c r="D20" s="125"/>
      <c r="E20" s="125"/>
      <c r="F20" s="125"/>
      <c r="G20" s="62" t="str">
        <f t="shared" si="9"/>
        <v>UsdLibor3M</v>
      </c>
      <c r="H20" s="119" t="str">
        <f t="shared" si="10"/>
        <v>USD9x12F_Quote</v>
      </c>
      <c r="I20" s="125"/>
      <c r="J20" s="175" t="str">
        <f>IF(P18,_xll.qlFraRateHelper(,H20,B20&amp;"M",G20,PillarDate,,Permanent,Trigger,ObjectOverwrite),"--")</f>
        <v>--</v>
      </c>
      <c r="K20" s="50"/>
      <c r="L20" s="162" t="str">
        <f t="shared" si="6"/>
        <v>FRA</v>
      </c>
      <c r="M20" s="183" t="str">
        <f t="shared" si="7"/>
        <v>USD11x14F_Quote</v>
      </c>
      <c r="N20" s="164">
        <f>IFERROR(_xll.qlQuoteValue(H22,Trigger),"--")</f>
        <v>9.3400000000000011E-3</v>
      </c>
      <c r="O20" s="167"/>
      <c r="P20" s="101" t="b">
        <v>0</v>
      </c>
      <c r="Q20" s="98">
        <v>20</v>
      </c>
      <c r="R20" s="98">
        <v>1</v>
      </c>
      <c r="S20" s="98" t="str">
        <f t="shared" si="5"/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2"/>
        <v>Sw</v>
      </c>
      <c r="X20" s="3" t="str">
        <v>obj_002f8</v>
      </c>
      <c r="Y20" s="3" t="str">
        <f>IFERROR(_xll.qlRateHelperQuoteName(X20,Trigger),"")</f>
        <v>USDAM3L8Y_Quote</v>
      </c>
      <c r="Z20" s="70">
        <f>IFERROR(_xll.qlRateHelperRate(X20,Trigger),"")</f>
        <v>1.3220000000000001E-2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42573</v>
      </c>
      <c r="AC20" s="4">
        <f>IFERROR(_xll.qlRateHelperPillarDate(X20,Trigger),"")</f>
        <v>45495</v>
      </c>
      <c r="AD20" s="76">
        <v>0.89826620205810515</v>
      </c>
    </row>
    <row r="21" spans="1:30" ht="11.25" customHeight="1" x14ac:dyDescent="0.2">
      <c r="A21" s="60" t="s">
        <v>122</v>
      </c>
      <c r="B21" s="116">
        <v>10</v>
      </c>
      <c r="C21" s="64" t="str">
        <f t="shared" si="8"/>
        <v>x13F</v>
      </c>
      <c r="D21" s="125"/>
      <c r="E21" s="125"/>
      <c r="F21" s="125"/>
      <c r="G21" s="62" t="str">
        <f t="shared" si="9"/>
        <v>UsdLibor3M</v>
      </c>
      <c r="H21" s="119" t="str">
        <f t="shared" si="10"/>
        <v>USD10x13F_Quote</v>
      </c>
      <c r="I21" s="125"/>
      <c r="J21" s="175" t="str">
        <f>IF(P19,_xll.qlFraRateHelper(,H21,B21&amp;"M",G21,PillarDate,,Permanent,Trigger,ObjectOverwrite),"--")</f>
        <v>--</v>
      </c>
      <c r="K21" s="50"/>
      <c r="L21" s="168" t="str">
        <f t="shared" si="6"/>
        <v>FRA</v>
      </c>
      <c r="M21" s="184" t="str">
        <f t="shared" si="7"/>
        <v>USD12x15F_Quote</v>
      </c>
      <c r="N21" s="170">
        <f>IFERROR(_xll.qlQuoteValue(H23,Trigger),"--")</f>
        <v>9.470000000000001E-3</v>
      </c>
      <c r="O21" s="171"/>
      <c r="P21" s="103" t="b">
        <v>0</v>
      </c>
      <c r="Q21" s="99">
        <v>20</v>
      </c>
      <c r="R21" s="99">
        <v>1</v>
      </c>
      <c r="S21" s="99" t="str">
        <f t="shared" si="5"/>
        <v>--</v>
      </c>
      <c r="T21" s="104" t="str">
        <f>IFERROR(_xll.qlRateHelperEarliestDate(S21,Trigger),"--")</f>
        <v>--</v>
      </c>
      <c r="U21" s="104" t="str">
        <f>IFERROR(_xll.qlRateHelperPillarDate(S21,Trigger),"--")</f>
        <v>--</v>
      </c>
      <c r="W21" s="3" t="str">
        <f t="shared" si="2"/>
        <v>Sw</v>
      </c>
      <c r="X21" s="3" t="str">
        <v>obj_00317</v>
      </c>
      <c r="Y21" s="3" t="str">
        <f>IFERROR(_xll.qlRateHelperQuoteName(X21,Trigger),"")</f>
        <v>USDAM3L9Y_Quote</v>
      </c>
      <c r="Z21" s="70">
        <f>IFERROR(_xll.qlRateHelperRate(X21,Trigger),"")</f>
        <v>1.379E-2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42573</v>
      </c>
      <c r="AC21" s="4">
        <f>IFERROR(_xll.qlRateHelperPillarDate(X21,Trigger),"")</f>
        <v>45860</v>
      </c>
      <c r="AD21" s="76">
        <v>0.8816064009011485</v>
      </c>
    </row>
    <row r="22" spans="1:30" ht="11.25" customHeight="1" x14ac:dyDescent="0.2">
      <c r="A22" s="60" t="s">
        <v>122</v>
      </c>
      <c r="B22" s="116">
        <v>11</v>
      </c>
      <c r="C22" s="64" t="str">
        <f t="shared" si="8"/>
        <v>x14F</v>
      </c>
      <c r="D22" s="125"/>
      <c r="E22" s="125"/>
      <c r="F22" s="125"/>
      <c r="G22" s="62" t="str">
        <f t="shared" si="9"/>
        <v>UsdLibor3M</v>
      </c>
      <c r="H22" s="119" t="str">
        <f t="shared" si="10"/>
        <v>USD11x14F_Quote</v>
      </c>
      <c r="I22" s="125"/>
      <c r="J22" s="175" t="str">
        <f>IF(P20,_xll.qlFraRateHelper(,H22,B22&amp;"M",G22,PillarDate,,Permanent,Trigger,ObjectOverwrite),"--")</f>
        <v>--</v>
      </c>
      <c r="K22" s="50"/>
      <c r="L22" s="180" t="str">
        <f>A26</f>
        <v>FUT</v>
      </c>
      <c r="M22" s="181" t="str">
        <f>H26</f>
        <v>USDFUT3MQ6_Quote</v>
      </c>
      <c r="N22" s="185">
        <f>IFERROR(_xll.qlQuoteValue(H26,Trigger),"--")</f>
        <v>99.261250000000004</v>
      </c>
      <c r="O22" s="182">
        <f>IFERROR(_xll.qlQuoteValue(I26,Trigger),"--")</f>
        <v>6.3765839555240684E-7</v>
      </c>
      <c r="P22" s="134" t="b">
        <v>1</v>
      </c>
      <c r="Q22" s="133">
        <v>60</v>
      </c>
      <c r="R22" s="133">
        <v>7</v>
      </c>
      <c r="S22" s="133" t="str">
        <f t="shared" ref="S22:S43" si="11">IF(ISBLANK(J26),"--",J26)</f>
        <v>obj_00319#0002</v>
      </c>
      <c r="T22" s="135">
        <f>IFERROR(_xll.qlRateHelperEarliestDate(S22,Trigger),"--")</f>
        <v>42599</v>
      </c>
      <c r="U22" s="135">
        <f>IFERROR(_xll.qlRateHelperPillarDate(S22,Trigger),"--")</f>
        <v>42691</v>
      </c>
      <c r="W22" s="3" t="str">
        <f t="shared" si="2"/>
        <v>Sw</v>
      </c>
      <c r="X22" s="3" t="str">
        <v>obj_0030e</v>
      </c>
      <c r="Y22" s="3" t="str">
        <f>IFERROR(_xll.qlRateHelperQuoteName(X22,Trigger),"")</f>
        <v>USDAM3L10Y_Quote</v>
      </c>
      <c r="Z22" s="70">
        <f>IFERROR(_xll.qlRateHelperRate(X22,Trigger),"")</f>
        <v>1.4330000000000001E-2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42573</v>
      </c>
      <c r="AC22" s="4">
        <f>IFERROR(_xll.qlRateHelperPillarDate(X22,Trigger),"")</f>
        <v>46225</v>
      </c>
      <c r="AD22" s="76">
        <v>0.86447562812903711</v>
      </c>
    </row>
    <row r="23" spans="1:30" ht="11.25" customHeight="1" x14ac:dyDescent="0.2">
      <c r="A23" s="1" t="s">
        <v>122</v>
      </c>
      <c r="B23" s="117">
        <v>12</v>
      </c>
      <c r="C23" s="9" t="str">
        <f t="shared" si="8"/>
        <v>x15F</v>
      </c>
      <c r="D23" s="126"/>
      <c r="E23" s="126"/>
      <c r="F23" s="126"/>
      <c r="G23" s="6" t="str">
        <f t="shared" si="9"/>
        <v>UsdLibor3M</v>
      </c>
      <c r="H23" s="120" t="str">
        <f t="shared" si="10"/>
        <v>USD12x15F_Quote</v>
      </c>
      <c r="I23" s="126"/>
      <c r="J23" s="174" t="str">
        <f>IF(P21,_xll.qlFraRateHelper(,H23,B23&amp;"M",G23,PillarDate,,Permanent,Trigger,ObjectOverwrite),"--")</f>
        <v>--</v>
      </c>
      <c r="K23" s="50"/>
      <c r="L23" s="162" t="str">
        <f t="shared" ref="L23:L43" si="12">A27</f>
        <v>FUT</v>
      </c>
      <c r="M23" s="183" t="str">
        <f t="shared" ref="M23:M43" si="13">H27</f>
        <v>USDFUT3MU6_Quote</v>
      </c>
      <c r="N23" s="186">
        <f>IFERROR(_xll.qlQuoteValue(H27,Trigger),"--")</f>
        <v>99.227500000000006</v>
      </c>
      <c r="O23" s="164">
        <f>IFERROR(_xll.qlQuoteValue(I27,Trigger),"--")</f>
        <v>1.6542583584525916E-6</v>
      </c>
      <c r="P23" s="101" t="b">
        <v>1</v>
      </c>
      <c r="Q23" s="98">
        <v>60</v>
      </c>
      <c r="R23" s="98">
        <v>1</v>
      </c>
      <c r="S23" s="98" t="str">
        <f t="shared" si="11"/>
        <v>obj_0031b#0002</v>
      </c>
      <c r="T23" s="102">
        <f>IFERROR(_xll.qlRateHelperEarliestDate(S23,Trigger),"--")</f>
        <v>42634</v>
      </c>
      <c r="U23" s="102">
        <f>IFERROR(_xll.qlRateHelperPillarDate(S23,Trigger),"--")</f>
        <v>42725</v>
      </c>
      <c r="W23" s="3" t="str">
        <f t="shared" si="2"/>
        <v>Sw</v>
      </c>
      <c r="X23" s="3" t="str">
        <v>obj_002ef</v>
      </c>
      <c r="Y23" s="3" t="str">
        <f>IFERROR(_xll.qlRateHelperQuoteName(X23,Trigger),"")</f>
        <v>USDAM3L12Y_Quote</v>
      </c>
      <c r="Z23" s="70">
        <f>IFERROR(_xll.qlRateHelperRate(X23,Trigger),"")</f>
        <v>1.528E-2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42573</v>
      </c>
      <c r="AC23" s="4">
        <f>IFERROR(_xll.qlRateHelperPillarDate(X23,Trigger),"")</f>
        <v>46958</v>
      </c>
      <c r="AD23" s="76">
        <v>0.82956834162753079</v>
      </c>
    </row>
    <row r="24" spans="1:30" ht="11.25" customHeight="1" x14ac:dyDescent="0.2">
      <c r="B24" s="48"/>
      <c r="C24" s="48"/>
      <c r="D24" s="48"/>
      <c r="E24" s="48"/>
      <c r="F24" s="48"/>
      <c r="G24" s="48"/>
      <c r="H24" s="48" t="s">
        <v>124</v>
      </c>
      <c r="K24" s="50"/>
      <c r="L24" s="162" t="str">
        <f t="shared" si="12"/>
        <v>FUT</v>
      </c>
      <c r="M24" s="183" t="str">
        <f t="shared" si="13"/>
        <v>USDFUT3MV6_Quote</v>
      </c>
      <c r="N24" s="186">
        <f>IFERROR(_xll.qlQuoteValue(H28,Trigger),"--")</f>
        <v>99.202500000000001</v>
      </c>
      <c r="O24" s="164">
        <f>IFERROR(_xll.qlQuoteValue(I28,Trigger),"--")</f>
        <v>2.6766244696897589E-6</v>
      </c>
      <c r="P24" s="101" t="b">
        <v>1</v>
      </c>
      <c r="Q24" s="98">
        <v>60</v>
      </c>
      <c r="R24" s="98">
        <v>1</v>
      </c>
      <c r="S24" s="98" t="str">
        <f t="shared" si="11"/>
        <v>obj_0031c#0002</v>
      </c>
      <c r="T24" s="102">
        <f>IFERROR(_xll.qlRateHelperEarliestDate(S24,Trigger),"--")</f>
        <v>42662</v>
      </c>
      <c r="U24" s="102">
        <f>IFERROR(_xll.qlRateHelperPillarDate(S24,Trigger),"--")</f>
        <v>42754</v>
      </c>
      <c r="W24" s="3" t="str">
        <f t="shared" si="2"/>
        <v>Sw</v>
      </c>
      <c r="X24" s="3" t="str">
        <v>obj_0030b</v>
      </c>
      <c r="Y24" s="3" t="str">
        <f>IFERROR(_xll.qlRateHelperQuoteName(X24,Trigger),"")</f>
        <v>USDAM3L15Y_Quote</v>
      </c>
      <c r="Z24" s="70">
        <f>IFERROR(_xll.qlRateHelperRate(X24,Trigger),"")</f>
        <v>1.635E-2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42573</v>
      </c>
      <c r="AC24" s="4">
        <f>IFERROR(_xll.qlRateHelperPillarDate(X24,Trigger),"")</f>
        <v>48051</v>
      </c>
      <c r="AD24" s="76">
        <v>0.77841949280924894</v>
      </c>
    </row>
    <row r="25" spans="1:30" ht="11.25" customHeight="1" x14ac:dyDescent="0.2">
      <c r="A25" s="66" t="s">
        <v>9</v>
      </c>
      <c r="B25" s="66" t="s">
        <v>126</v>
      </c>
      <c r="C25" s="66" t="s">
        <v>33</v>
      </c>
      <c r="D25" s="66"/>
      <c r="E25" s="66"/>
      <c r="F25" s="66"/>
      <c r="G25" s="66" t="s">
        <v>4</v>
      </c>
      <c r="H25" s="66" t="s">
        <v>1</v>
      </c>
      <c r="I25" s="66" t="s">
        <v>125</v>
      </c>
      <c r="J25" s="66" t="s">
        <v>24</v>
      </c>
      <c r="K25" s="50"/>
      <c r="L25" s="162" t="str">
        <f t="shared" si="12"/>
        <v>FUT</v>
      </c>
      <c r="M25" s="183" t="str">
        <f t="shared" si="13"/>
        <v>USDFUT3MX6_Quote</v>
      </c>
      <c r="N25" s="186">
        <f>IFERROR(_xll.qlQuoteValue(H29,Trigger),"--")</f>
        <v>99.177500000000009</v>
      </c>
      <c r="O25" s="164">
        <f>IFERROR(_xll.qlQuoteValue(I29,Trigger),"--")</f>
        <v>3.8487737915196833E-6</v>
      </c>
      <c r="P25" s="101" t="b">
        <v>1</v>
      </c>
      <c r="Q25" s="98">
        <v>60</v>
      </c>
      <c r="R25" s="98">
        <v>21</v>
      </c>
      <c r="S25" s="98" t="str">
        <f t="shared" si="11"/>
        <v>obj_0031e#0002</v>
      </c>
      <c r="T25" s="102">
        <f>IFERROR(_xll.qlRateHelperEarliestDate(S25,Trigger),"--")</f>
        <v>42690</v>
      </c>
      <c r="U25" s="102">
        <f>IFERROR(_xll.qlRateHelperPillarDate(S25,Trigger),"--")</f>
        <v>42782</v>
      </c>
      <c r="W25" s="3" t="str">
        <f t="shared" si="2"/>
        <v>Sw</v>
      </c>
      <c r="X25" s="3" t="str">
        <v>obj_00305</v>
      </c>
      <c r="Y25" s="3" t="str">
        <f>IFERROR(_xll.qlRateHelperQuoteName(X25,Trigger),"")</f>
        <v>USDAM3L20Y_Quote</v>
      </c>
      <c r="Z25" s="70">
        <f>IFERROR(_xll.qlRateHelperRate(X25,Trigger),"")</f>
        <v>1.7500000000000002E-2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42573</v>
      </c>
      <c r="AC25" s="4">
        <f>IFERROR(_xll.qlRateHelperPillarDate(X25,Trigger),"")</f>
        <v>49878</v>
      </c>
      <c r="AD25" s="76">
        <v>0.6984897211397314</v>
      </c>
    </row>
    <row r="26" spans="1:30" ht="11.25" customHeight="1" x14ac:dyDescent="0.2">
      <c r="A26" s="55" t="s">
        <v>123</v>
      </c>
      <c r="B26" s="115" t="b">
        <v>0</v>
      </c>
      <c r="C26" s="58" t="str">
        <f>_xll.qlIMMNextCode(Evaluationdate+2,B26,Trigger)</f>
        <v>Q6</v>
      </c>
      <c r="D26" s="131"/>
      <c r="E26" s="131"/>
      <c r="F26" s="131"/>
      <c r="G26" s="57" t="str">
        <f t="shared" ref="G26:G47" si="14">PROPER(Currency)&amp;FamilyName&amp;Tenor</f>
        <v>UsdLibor3M</v>
      </c>
      <c r="H26" s="118" t="str">
        <f t="shared" ref="H26:H47" si="15">Currency&amp;"FUT"&amp;Tenor&amp;$C26&amp;QuoteSuffix</f>
        <v>USDFUT3MQ6_Quote</v>
      </c>
      <c r="I26" s="118" t="str">
        <f t="shared" ref="I26:I47" si="16">Currency&amp;"FUT"&amp;Tenor&amp;$C26&amp;"ConvAdj"&amp;QuoteSuffix</f>
        <v>USDFUT3MQ6ConvAdj_Quote</v>
      </c>
      <c r="J26" s="173" t="str">
        <f>IF(P22,_xll.qlFuturesRateHelper(,H26,$H$24,C26,G26,I26,Permanent,Trigger,ObjectOverwrite),"--")</f>
        <v>obj_00319#0002</v>
      </c>
      <c r="K26" s="50"/>
      <c r="L26" s="162" t="str">
        <f t="shared" si="12"/>
        <v>FUT</v>
      </c>
      <c r="M26" s="183" t="str">
        <f t="shared" si="13"/>
        <v>USDFUT3MZ6_Quote</v>
      </c>
      <c r="N26" s="186">
        <f>IFERROR(_xll.qlQuoteValue(H30,Trigger),"--")</f>
        <v>99.147500000000008</v>
      </c>
      <c r="O26" s="164">
        <f>IFERROR(_xll.qlQuoteValue(I30,Trigger),"--")</f>
        <v>5.4766965539132998E-6</v>
      </c>
      <c r="P26" s="101" t="b">
        <v>1</v>
      </c>
      <c r="Q26" s="98">
        <v>60</v>
      </c>
      <c r="R26" s="98">
        <v>21</v>
      </c>
      <c r="S26" s="98" t="str">
        <f t="shared" si="11"/>
        <v>obj_00321#0002</v>
      </c>
      <c r="T26" s="102">
        <f>IFERROR(_xll.qlRateHelperEarliestDate(S26,Trigger),"--")</f>
        <v>42725</v>
      </c>
      <c r="U26" s="102">
        <f>IFERROR(_xll.qlRateHelperPillarDate(S26,Trigger),"--")</f>
        <v>42815</v>
      </c>
      <c r="W26" s="3" t="str">
        <f t="shared" si="2"/>
        <v>Sw</v>
      </c>
      <c r="X26" s="3" t="str">
        <v>obj_002fa</v>
      </c>
      <c r="Y26" s="3" t="str">
        <f>IFERROR(_xll.qlRateHelperQuoteName(X26,Trigger),"")</f>
        <v>USDAM3L25Y_Quote</v>
      </c>
      <c r="Z26" s="70">
        <f>IFERROR(_xll.qlRateHelperRate(X26,Trigger),"")</f>
        <v>1.805E-2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42573</v>
      </c>
      <c r="AC26" s="4">
        <f>IFERROR(_xll.qlRateHelperPillarDate(X26,Trigger),"")</f>
        <v>51704</v>
      </c>
      <c r="AD26" s="76">
        <v>0.6292719374714405</v>
      </c>
    </row>
    <row r="27" spans="1:30" ht="11.25" customHeight="1" x14ac:dyDescent="0.2">
      <c r="A27" s="60" t="s">
        <v>123</v>
      </c>
      <c r="B27" s="116" t="b">
        <v>0</v>
      </c>
      <c r="C27" s="64" t="str">
        <f>_xll.qlIMMNextCode(C26,B27,Trigger)</f>
        <v>U6</v>
      </c>
      <c r="D27" s="125"/>
      <c r="E27" s="125"/>
      <c r="F27" s="125"/>
      <c r="G27" s="62" t="str">
        <f t="shared" si="14"/>
        <v>UsdLibor3M</v>
      </c>
      <c r="H27" s="119" t="str">
        <f t="shared" si="15"/>
        <v>USDFUT3MU6_Quote</v>
      </c>
      <c r="I27" s="119" t="str">
        <f t="shared" si="16"/>
        <v>USDFUT3MU6ConvAdj_Quote</v>
      </c>
      <c r="J27" s="175" t="str">
        <f>IF(P23,_xll.qlFuturesRateHelper(,H27,$H$24,C27,G27,I27,Permanent,Trigger,ObjectOverwrite),"--")</f>
        <v>obj_0031b#0002</v>
      </c>
      <c r="K27" s="50"/>
      <c r="L27" s="162" t="str">
        <f t="shared" si="12"/>
        <v>FUT</v>
      </c>
      <c r="M27" s="183" t="str">
        <f t="shared" si="13"/>
        <v>USDFUT3MH7_Quote</v>
      </c>
      <c r="N27" s="186">
        <f>IFERROR(_xll.qlQuoteValue(H31,Trigger),"--")</f>
        <v>99.102500000000006</v>
      </c>
      <c r="O27" s="164">
        <f>IFERROR(_xll.qlQuoteValue(I31,Trigger),"--")</f>
        <v>1.06242374797097E-5</v>
      </c>
      <c r="P27" s="101" t="b">
        <v>1</v>
      </c>
      <c r="Q27" s="98">
        <v>60</v>
      </c>
      <c r="R27" s="98">
        <v>21</v>
      </c>
      <c r="S27" s="98" t="str">
        <f t="shared" si="11"/>
        <v>obj_0031f#0002</v>
      </c>
      <c r="T27" s="102">
        <f>IFERROR(_xll.qlRateHelperEarliestDate(S27,Trigger),"--")</f>
        <v>42809</v>
      </c>
      <c r="U27" s="102">
        <f>IFERROR(_xll.qlRateHelperPillarDate(S27,Trigger),"--")</f>
        <v>42901</v>
      </c>
      <c r="W27" s="3" t="str">
        <f t="shared" si="2"/>
        <v>Sw</v>
      </c>
      <c r="X27" s="3" t="str">
        <v>obj_00314</v>
      </c>
      <c r="Y27" s="3" t="str">
        <f>IFERROR(_xll.qlRateHelperQuoteName(X27,Trigger),"")</f>
        <v>USDAM3L30Y_Quote</v>
      </c>
      <c r="Z27" s="70">
        <f>IFERROR(_xll.qlRateHelperRate(X27,Trigger),"")</f>
        <v>1.8370000000000001E-2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42573</v>
      </c>
      <c r="AC27" s="4">
        <f>IFERROR(_xll.qlRateHelperPillarDate(X27,Trigger),"")</f>
        <v>53531</v>
      </c>
      <c r="AD27" s="76">
        <v>0.56780722190722932</v>
      </c>
    </row>
    <row r="28" spans="1:30" ht="11.25" customHeight="1" x14ac:dyDescent="0.2">
      <c r="A28" s="60" t="s">
        <v>123</v>
      </c>
      <c r="B28" s="116" t="b">
        <v>0</v>
      </c>
      <c r="C28" s="64" t="str">
        <f>_xll.qlIMMNextCode(C27,B28,Trigger)</f>
        <v>V6</v>
      </c>
      <c r="D28" s="125"/>
      <c r="E28" s="125"/>
      <c r="F28" s="125"/>
      <c r="G28" s="62" t="str">
        <f t="shared" si="14"/>
        <v>UsdLibor3M</v>
      </c>
      <c r="H28" s="119" t="str">
        <f t="shared" si="15"/>
        <v>USDFUT3MV6_Quote</v>
      </c>
      <c r="I28" s="119" t="str">
        <f t="shared" si="16"/>
        <v>USDFUT3MV6ConvAdj_Quote</v>
      </c>
      <c r="J28" s="175" t="str">
        <f>IF(P24,_xll.qlFuturesRateHelper(,H28,$H$24,C28,G28,I28,Permanent,Trigger,ObjectOverwrite),"--")</f>
        <v>obj_0031c#0002</v>
      </c>
      <c r="K28" s="50"/>
      <c r="L28" s="162" t="str">
        <f t="shared" si="12"/>
        <v>FUT</v>
      </c>
      <c r="M28" s="183" t="str">
        <f t="shared" si="13"/>
        <v>USDFUT3MM7_Quote</v>
      </c>
      <c r="N28" s="186">
        <f>IFERROR(_xll.qlQuoteValue(H32,Trigger),"--")</f>
        <v>99.057500000000005</v>
      </c>
      <c r="O28" s="164">
        <f>IFERROR(_xll.qlQuoteValue(I32,Trigger),"--")</f>
        <v>1.8340377104842545E-5</v>
      </c>
      <c r="P28" s="101" t="b">
        <v>1</v>
      </c>
      <c r="Q28" s="98">
        <v>60</v>
      </c>
      <c r="R28" s="98">
        <v>21</v>
      </c>
      <c r="S28" s="98" t="str">
        <f t="shared" si="11"/>
        <v>obj_00320#0002</v>
      </c>
      <c r="T28" s="102">
        <f>IFERROR(_xll.qlRateHelperEarliestDate(S28,Trigger),"--")</f>
        <v>42907</v>
      </c>
      <c r="U28" s="102">
        <f>IFERROR(_xll.qlRateHelperPillarDate(S28,Trigger),"--")</f>
        <v>42999</v>
      </c>
      <c r="W28" s="3" t="str">
        <f t="shared" si="2"/>
        <v>Sw</v>
      </c>
      <c r="X28" s="3" t="str">
        <v>obj_0030d</v>
      </c>
      <c r="Y28" s="3" t="str">
        <f>IFERROR(_xll.qlRateHelperQuoteName(X28,Trigger),"")</f>
        <v>USDAM3L40Y_Quote</v>
      </c>
      <c r="Z28" s="70">
        <f>IFERROR(_xll.qlRateHelperRate(X28,Trigger),"")</f>
        <v>1.8550000000000001E-2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42573</v>
      </c>
      <c r="AC28" s="4">
        <f>IFERROR(_xll.qlRateHelperPillarDate(X28,Trigger),"")</f>
        <v>57185</v>
      </c>
      <c r="AD28" s="76">
        <v>0.46763518587546243</v>
      </c>
    </row>
    <row r="29" spans="1:30" ht="11.25" customHeight="1" x14ac:dyDescent="0.2">
      <c r="A29" s="60" t="s">
        <v>123</v>
      </c>
      <c r="B29" s="116" t="b">
        <v>0</v>
      </c>
      <c r="C29" s="64" t="str">
        <f>_xll.qlIMMNextCode(C28,B29,Trigger)</f>
        <v>X6</v>
      </c>
      <c r="D29" s="125"/>
      <c r="E29" s="125"/>
      <c r="F29" s="125"/>
      <c r="G29" s="62" t="str">
        <f t="shared" si="14"/>
        <v>UsdLibor3M</v>
      </c>
      <c r="H29" s="119" t="str">
        <f t="shared" si="15"/>
        <v>USDFUT3MX6_Quote</v>
      </c>
      <c r="I29" s="119" t="str">
        <f t="shared" si="16"/>
        <v>USDFUT3MX6ConvAdj_Quote</v>
      </c>
      <c r="J29" s="175" t="str">
        <f>IF(P25,_xll.qlFuturesRateHelper(,H29,$H$24,C29,G29,I29,Permanent,Trigger,ObjectOverwrite),"--")</f>
        <v>obj_0031e#0002</v>
      </c>
      <c r="K29" s="50"/>
      <c r="L29" s="162" t="str">
        <f t="shared" si="12"/>
        <v>FUT</v>
      </c>
      <c r="M29" s="183" t="str">
        <f t="shared" si="13"/>
        <v>USDFUT3MU7_Quote</v>
      </c>
      <c r="N29" s="186">
        <f>IFERROR(_xll.qlQuoteValue(H33,Trigger),"--")</f>
        <v>99.017500000000013</v>
      </c>
      <c r="O29" s="164">
        <f>IFERROR(_xll.qlQuoteValue(I33,Trigger),"--")</f>
        <v>2.7101004672667245E-5</v>
      </c>
      <c r="P29" s="101" t="b">
        <v>1</v>
      </c>
      <c r="Q29" s="98">
        <v>60</v>
      </c>
      <c r="R29" s="98">
        <v>21</v>
      </c>
      <c r="S29" s="98" t="str">
        <f t="shared" si="11"/>
        <v>obj_00323#0002</v>
      </c>
      <c r="T29" s="102">
        <f>IFERROR(_xll.qlRateHelperEarliestDate(S29,Trigger),"--")</f>
        <v>42998</v>
      </c>
      <c r="U29" s="102">
        <f>IFERROR(_xll.qlRateHelperPillarDate(S29,Trigger),"--")</f>
        <v>43089</v>
      </c>
      <c r="W29" s="3" t="str">
        <f t="shared" si="2"/>
        <v>Sw</v>
      </c>
      <c r="X29" s="3" t="str">
        <v>obj_002cf</v>
      </c>
      <c r="Y29" s="3" t="str">
        <f>IFERROR(_xll.qlRateHelperQuoteName(X29,Trigger),"")</f>
        <v>USDAM3L50Y_Quote</v>
      </c>
      <c r="Z29" s="70">
        <f>IFERROR(_xll.qlRateHelperRate(X29,Trigger),"")</f>
        <v>1.8420000000000002E-2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42573</v>
      </c>
      <c r="AC29" s="4">
        <f>IFERROR(_xll.qlRateHelperPillarDate(X29,Trigger),"")</f>
        <v>60835</v>
      </c>
      <c r="AD29" s="76">
        <v>0.39164696844760943</v>
      </c>
    </row>
    <row r="30" spans="1:30" ht="11.25" customHeight="1" x14ac:dyDescent="0.2">
      <c r="A30" s="1" t="s">
        <v>123</v>
      </c>
      <c r="B30" s="117" t="b">
        <v>0</v>
      </c>
      <c r="C30" s="9" t="str">
        <f>_xll.qlIMMNextCode(C29,B30,Trigger)</f>
        <v>Z6</v>
      </c>
      <c r="D30" s="126"/>
      <c r="E30" s="126"/>
      <c r="F30" s="126"/>
      <c r="G30" s="6" t="str">
        <f t="shared" si="14"/>
        <v>UsdLibor3M</v>
      </c>
      <c r="H30" s="120" t="str">
        <f t="shared" si="15"/>
        <v>USDFUT3MZ6_Quote</v>
      </c>
      <c r="I30" s="120" t="str">
        <f t="shared" si="16"/>
        <v>USDFUT3MZ6ConvAdj_Quote</v>
      </c>
      <c r="J30" s="174" t="str">
        <f>IF(P26,_xll.qlFuturesRateHelper(,H30,$H$24,C30,G30,I30,Permanent,Trigger,ObjectOverwrite),"--")</f>
        <v>obj_00321#0002</v>
      </c>
      <c r="K30" s="50"/>
      <c r="L30" s="162" t="str">
        <f t="shared" si="12"/>
        <v>FUT</v>
      </c>
      <c r="M30" s="183" t="str">
        <f t="shared" si="13"/>
        <v>USDFUT3MZ7_Quote</v>
      </c>
      <c r="N30" s="186">
        <f>IFERROR(_xll.qlQuoteValue(H34,Trigger),"--")</f>
        <v>98.967500000000001</v>
      </c>
      <c r="O30" s="164">
        <f>IFERROR(_xll.qlQuoteValue(I34,Trigger),"--")</f>
        <v>3.7410126374517095E-5</v>
      </c>
      <c r="P30" s="101" t="b">
        <v>1</v>
      </c>
      <c r="Q30" s="98">
        <v>60</v>
      </c>
      <c r="R30" s="98">
        <v>21</v>
      </c>
      <c r="S30" s="98" t="str">
        <f t="shared" si="11"/>
        <v>obj_00322#0002</v>
      </c>
      <c r="T30" s="102">
        <f>IFERROR(_xll.qlRateHelperEarliestDate(S30,Trigger),"--")</f>
        <v>43089</v>
      </c>
      <c r="U30" s="102">
        <f>IFERROR(_xll.qlRateHelperPillarDate(S30,Trigger),"--")</f>
        <v>43179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123</v>
      </c>
      <c r="B31" s="116" t="b">
        <v>1</v>
      </c>
      <c r="C31" s="64" t="str">
        <f>_xll.qlIMMNextCode(C30,B31,Trigger)</f>
        <v>H7</v>
      </c>
      <c r="D31" s="125"/>
      <c r="E31" s="125"/>
      <c r="F31" s="125"/>
      <c r="G31" s="62" t="str">
        <f t="shared" si="14"/>
        <v>UsdLibor3M</v>
      </c>
      <c r="H31" s="119" t="str">
        <f t="shared" si="15"/>
        <v>USDFUT3MH7_Quote</v>
      </c>
      <c r="I31" s="119" t="str">
        <f t="shared" si="16"/>
        <v>USDFUT3MH7ConvAdj_Quote</v>
      </c>
      <c r="J31" s="175" t="str">
        <f>IF(P27,_xll.qlFuturesRateHelper(,H31,$H$24,C31,G31,I31,Permanent,Trigger,ObjectOverwrite),"--")</f>
        <v>obj_0031f#0002</v>
      </c>
      <c r="K31" s="50"/>
      <c r="L31" s="162" t="str">
        <f t="shared" si="12"/>
        <v>FUT</v>
      </c>
      <c r="M31" s="183" t="str">
        <f t="shared" si="13"/>
        <v>USDFUT3MH8_Quote</v>
      </c>
      <c r="N31" s="186">
        <f>IFERROR(_xll.qlQuoteValue(H35,Trigger),"--")</f>
        <v>98.9375</v>
      </c>
      <c r="O31" s="164">
        <f>IFERROR(_xll.qlQuoteValue(I35,Trigger),"--")</f>
        <v>4.9600485505271802E-5</v>
      </c>
      <c r="P31" s="101" t="b">
        <v>1</v>
      </c>
      <c r="Q31" s="98">
        <v>60</v>
      </c>
      <c r="R31" s="98">
        <v>21</v>
      </c>
      <c r="S31" s="98" t="str">
        <f t="shared" si="11"/>
        <v>obj_00324#0002</v>
      </c>
      <c r="T31" s="102">
        <f>IFERROR(_xll.qlRateHelperEarliestDate(S31,Trigger),"--")</f>
        <v>43180</v>
      </c>
      <c r="U31" s="102">
        <f>IFERROR(_xll.qlRateHelperPillarDate(S31,Trigger),"--")</f>
        <v>43272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123</v>
      </c>
      <c r="B32" s="116" t="b">
        <v>1</v>
      </c>
      <c r="C32" s="64" t="str">
        <f>_xll.qlIMMNextCode(C31,B32,Trigger)</f>
        <v>M7</v>
      </c>
      <c r="D32" s="125"/>
      <c r="E32" s="125"/>
      <c r="F32" s="125"/>
      <c r="G32" s="62" t="str">
        <f t="shared" si="14"/>
        <v>UsdLibor3M</v>
      </c>
      <c r="H32" s="119" t="str">
        <f t="shared" si="15"/>
        <v>USDFUT3MM7_Quote</v>
      </c>
      <c r="I32" s="119" t="str">
        <f t="shared" si="16"/>
        <v>USDFUT3MM7ConvAdj_Quote</v>
      </c>
      <c r="J32" s="175" t="str">
        <f>IF(P28,_xll.qlFuturesRateHelper(,H32,$H$24,C32,G32,I32,Permanent,Trigger,ObjectOverwrite),"--")</f>
        <v>obj_00320#0002</v>
      </c>
      <c r="K32" s="50"/>
      <c r="L32" s="162" t="str">
        <f t="shared" si="12"/>
        <v>FUT</v>
      </c>
      <c r="M32" s="183" t="str">
        <f t="shared" si="13"/>
        <v>USDFUT3MM8_Quote</v>
      </c>
      <c r="N32" s="186">
        <f>IFERROR(_xll.qlQuoteValue(H36,Trigger),"--")</f>
        <v>98.902500000000003</v>
      </c>
      <c r="O32" s="164">
        <f>IFERROR(_xll.qlQuoteValue(I36,Trigger),"--")</f>
        <v>6.309049978705371E-5</v>
      </c>
      <c r="P32" s="101" t="b">
        <v>1</v>
      </c>
      <c r="Q32" s="98">
        <v>60</v>
      </c>
      <c r="R32" s="98">
        <v>21</v>
      </c>
      <c r="S32" s="98" t="str">
        <f t="shared" si="11"/>
        <v>obj_00325#0002</v>
      </c>
      <c r="T32" s="102">
        <f>IFERROR(_xll.qlRateHelperEarliestDate(S32,Trigger),"--")</f>
        <v>43271</v>
      </c>
      <c r="U32" s="102">
        <f>IFERROR(_xll.qlRateHelperPillarDate(S32,Trigger),"--")</f>
        <v>43363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123</v>
      </c>
      <c r="B33" s="116" t="b">
        <v>1</v>
      </c>
      <c r="C33" s="64" t="str">
        <f>_xll.qlIMMNextCode(C32,B33,Trigger)</f>
        <v>U7</v>
      </c>
      <c r="D33" s="125"/>
      <c r="E33" s="125"/>
      <c r="F33" s="125"/>
      <c r="G33" s="62" t="str">
        <f t="shared" si="14"/>
        <v>UsdLibor3M</v>
      </c>
      <c r="H33" s="119" t="str">
        <f t="shared" si="15"/>
        <v>USDFUT3MU7_Quote</v>
      </c>
      <c r="I33" s="119" t="str">
        <f t="shared" si="16"/>
        <v>USDFUT3MU7ConvAdj_Quote</v>
      </c>
      <c r="J33" s="175" t="str">
        <f>IF(P29,_xll.qlFuturesRateHelper(,H33,$H$24,C33,G33,I33,Permanent,Trigger,ObjectOverwrite),"--")</f>
        <v>obj_00323#0002</v>
      </c>
      <c r="K33" s="50"/>
      <c r="L33" s="162" t="str">
        <f t="shared" si="12"/>
        <v>FUT</v>
      </c>
      <c r="M33" s="183" t="str">
        <f t="shared" si="13"/>
        <v>USDFUT3MU8_Quote</v>
      </c>
      <c r="N33" s="186">
        <f>IFERROR(_xll.qlQuoteValue(H37,Trigger),"--")</f>
        <v>98.862500000000011</v>
      </c>
      <c r="O33" s="164">
        <f>IFERROR(_xll.qlQuoteValue(I37,Trigger),"--")</f>
        <v>7.7899337137978431E-5</v>
      </c>
      <c r="P33" s="101" t="b">
        <v>1</v>
      </c>
      <c r="Q33" s="98">
        <v>60</v>
      </c>
      <c r="R33" s="98">
        <v>21</v>
      </c>
      <c r="S33" s="98" t="str">
        <f t="shared" si="11"/>
        <v>obj_00326#0002</v>
      </c>
      <c r="T33" s="102">
        <f>IFERROR(_xll.qlRateHelperEarliestDate(S33,Trigger),"--")</f>
        <v>43362</v>
      </c>
      <c r="U33" s="102">
        <f>IFERROR(_xll.qlRateHelperPillarDate(S33,Trigger),"--")</f>
        <v>43453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123</v>
      </c>
      <c r="B34" s="116" t="b">
        <v>1</v>
      </c>
      <c r="C34" s="64" t="str">
        <f>_xll.qlIMMNextCode(C33,B34,Trigger)</f>
        <v>Z7</v>
      </c>
      <c r="D34" s="125"/>
      <c r="E34" s="125"/>
      <c r="F34" s="125"/>
      <c r="G34" s="62" t="str">
        <f t="shared" si="14"/>
        <v>UsdLibor3M</v>
      </c>
      <c r="H34" s="119" t="str">
        <f t="shared" si="15"/>
        <v>USDFUT3MZ7_Quote</v>
      </c>
      <c r="I34" s="119" t="str">
        <f t="shared" si="16"/>
        <v>USDFUT3MZ7ConvAdj_Quote</v>
      </c>
      <c r="J34" s="175" t="str">
        <f>IF(P30,_xll.qlFuturesRateHelper(,H34,$H$24,C34,G34,I34,Permanent,Trigger,ObjectOverwrite),"--")</f>
        <v>obj_00322#0002</v>
      </c>
      <c r="K34" s="50"/>
      <c r="L34" s="162" t="str">
        <f t="shared" si="12"/>
        <v>FUT</v>
      </c>
      <c r="M34" s="183" t="str">
        <f t="shared" si="13"/>
        <v>USDFUT3MZ8_Quote</v>
      </c>
      <c r="N34" s="186">
        <f>IFERROR(_xll.qlQuoteValue(H38,Trigger),"--")</f>
        <v>98.817499999999995</v>
      </c>
      <c r="O34" s="164">
        <f>IFERROR(_xll.qlQuoteValue(I38,Trigger),"--")</f>
        <v>9.4117482225508867E-5</v>
      </c>
      <c r="P34" s="101" t="b">
        <v>1</v>
      </c>
      <c r="Q34" s="98">
        <v>60</v>
      </c>
      <c r="R34" s="98">
        <v>21</v>
      </c>
      <c r="S34" s="98" t="str">
        <f t="shared" si="11"/>
        <v>obj_00328#0002</v>
      </c>
      <c r="T34" s="102">
        <f>IFERROR(_xll.qlRateHelperEarliestDate(S34,Trigger),"--")</f>
        <v>43453</v>
      </c>
      <c r="U34" s="102">
        <f>IFERROR(_xll.qlRateHelperPillarDate(S34,Trigger),"--")</f>
        <v>43543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123</v>
      </c>
      <c r="B35" s="116" t="b">
        <v>1</v>
      </c>
      <c r="C35" s="64" t="str">
        <f>_xll.qlIMMNextCode(C34,B35,Trigger)</f>
        <v>H8</v>
      </c>
      <c r="D35" s="125"/>
      <c r="E35" s="125"/>
      <c r="F35" s="125"/>
      <c r="G35" s="62" t="str">
        <f t="shared" si="14"/>
        <v>UsdLibor3M</v>
      </c>
      <c r="H35" s="119" t="str">
        <f t="shared" si="15"/>
        <v>USDFUT3MH8_Quote</v>
      </c>
      <c r="I35" s="119" t="str">
        <f t="shared" si="16"/>
        <v>USDFUT3MH8ConvAdj_Quote</v>
      </c>
      <c r="J35" s="175" t="str">
        <f>IF(P31,_xll.qlFuturesRateHelper(,H35,$H$24,C35,G35,I35,Permanent,Trigger,ObjectOverwrite),"--")</f>
        <v>obj_00324#0002</v>
      </c>
      <c r="K35" s="50"/>
      <c r="L35" s="162" t="str">
        <f t="shared" si="12"/>
        <v>FUT</v>
      </c>
      <c r="M35" s="183" t="str">
        <f t="shared" si="13"/>
        <v>USDFUT3MH9_Quote</v>
      </c>
      <c r="N35" s="186">
        <f>IFERROR(_xll.qlQuoteValue(H39,Trigger),"--")</f>
        <v>98.787500000000009</v>
      </c>
      <c r="O35" s="164">
        <f>IFERROR(_xll.qlQuoteValue(I39,Trigger),"--")</f>
        <v>1.1228267500412255E-4</v>
      </c>
      <c r="P35" s="101" t="b">
        <v>1</v>
      </c>
      <c r="Q35" s="98">
        <v>30</v>
      </c>
      <c r="R35" s="98">
        <v>21</v>
      </c>
      <c r="S35" s="98" t="str">
        <f t="shared" si="11"/>
        <v>obj_00329#0002</v>
      </c>
      <c r="T35" s="102">
        <f>IFERROR(_xll.qlRateHelperEarliestDate(S35,Trigger),"--")</f>
        <v>43544</v>
      </c>
      <c r="U35" s="102">
        <f>IFERROR(_xll.qlRateHelperPillarDate(S35,Trigger),"--")</f>
        <v>43636</v>
      </c>
      <c r="W35" s="3" t="str">
        <f t="shared" ref="W35:W66" si="17">IFERROR(INDEX($L$3:$L$88,MATCH(Y35,$M$3:$M$88,0),1),"")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123</v>
      </c>
      <c r="B36" s="116" t="b">
        <v>1</v>
      </c>
      <c r="C36" s="64" t="str">
        <f>_xll.qlIMMNextCode(C35,B36,Trigger)</f>
        <v>M8</v>
      </c>
      <c r="D36" s="125"/>
      <c r="E36" s="125"/>
      <c r="F36" s="125"/>
      <c r="G36" s="62" t="str">
        <f t="shared" si="14"/>
        <v>UsdLibor3M</v>
      </c>
      <c r="H36" s="119" t="str">
        <f t="shared" si="15"/>
        <v>USDFUT3MM8_Quote</v>
      </c>
      <c r="I36" s="119" t="str">
        <f t="shared" si="16"/>
        <v>USDFUT3MM8ConvAdj_Quote</v>
      </c>
      <c r="J36" s="175" t="str">
        <f>IF(P32,_xll.qlFuturesRateHelper(,H36,$H$24,C36,G36,I36,Permanent,Trigger,ObjectOverwrite),"--")</f>
        <v>obj_00325#0002</v>
      </c>
      <c r="K36" s="50"/>
      <c r="L36" s="162" t="str">
        <f t="shared" si="12"/>
        <v>FUT</v>
      </c>
      <c r="M36" s="183" t="str">
        <f t="shared" si="13"/>
        <v>USDFUT3MM9_Quote</v>
      </c>
      <c r="N36" s="186">
        <f>IFERROR(_xll.qlQuoteValue(H40,Trigger),"--")</f>
        <v>98.747500000000002</v>
      </c>
      <c r="O36" s="164">
        <f>IFERROR(_xll.qlQuoteValue(I40,Trigger),"--")</f>
        <v>1.3147479467272202E-4</v>
      </c>
      <c r="P36" s="101" t="b">
        <v>1</v>
      </c>
      <c r="Q36" s="98">
        <v>30</v>
      </c>
      <c r="R36" s="98">
        <v>21</v>
      </c>
      <c r="S36" s="98" t="str">
        <f t="shared" si="11"/>
        <v>obj_0032b#0002</v>
      </c>
      <c r="T36" s="102">
        <f>IFERROR(_xll.qlRateHelperEarliestDate(S36,Trigger),"--")</f>
        <v>43635</v>
      </c>
      <c r="U36" s="102">
        <f>IFERROR(_xll.qlRateHelperPillarDate(S36,Trigger),"--")</f>
        <v>43727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123</v>
      </c>
      <c r="B37" s="116" t="b">
        <v>1</v>
      </c>
      <c r="C37" s="64" t="str">
        <f>_xll.qlIMMNextCode(C36,B37,Trigger)</f>
        <v>U8</v>
      </c>
      <c r="D37" s="125"/>
      <c r="E37" s="125"/>
      <c r="F37" s="125"/>
      <c r="G37" s="62" t="str">
        <f t="shared" si="14"/>
        <v>UsdLibor3M</v>
      </c>
      <c r="H37" s="119" t="str">
        <f t="shared" si="15"/>
        <v>USDFUT3MU8_Quote</v>
      </c>
      <c r="I37" s="119" t="str">
        <f t="shared" si="16"/>
        <v>USDFUT3MU8ConvAdj_Quote</v>
      </c>
      <c r="J37" s="175" t="str">
        <f>IF(P33,_xll.qlFuturesRateHelper(,H37,$H$24,C37,G37,I37,Permanent,Trigger,ObjectOverwrite),"--")</f>
        <v>obj_00326#0002</v>
      </c>
      <c r="K37" s="50"/>
      <c r="L37" s="162" t="str">
        <f t="shared" si="12"/>
        <v>FUT</v>
      </c>
      <c r="M37" s="183" t="str">
        <f t="shared" si="13"/>
        <v>USDFUT3MU9_Quote</v>
      </c>
      <c r="N37" s="186">
        <f>IFERROR(_xll.qlQuoteValue(H41,Trigger),"--")</f>
        <v>98.702500000000001</v>
      </c>
      <c r="O37" s="164">
        <f>IFERROR(_xll.qlQuoteValue(I41,Trigger),"--")</f>
        <v>1.5178650587049797E-4</v>
      </c>
      <c r="P37" s="101" t="b">
        <v>1</v>
      </c>
      <c r="Q37" s="98">
        <v>30</v>
      </c>
      <c r="R37" s="98">
        <v>21</v>
      </c>
      <c r="S37" s="98" t="str">
        <f t="shared" si="11"/>
        <v>obj_0032c#0002</v>
      </c>
      <c r="T37" s="102">
        <f>IFERROR(_xll.qlRateHelperEarliestDate(S37,Trigger),"--")</f>
        <v>43726</v>
      </c>
      <c r="U37" s="102">
        <f>IFERROR(_xll.qlRateHelperPillarDate(S37,Trigger),"--")</f>
        <v>43817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123</v>
      </c>
      <c r="B38" s="116" t="b">
        <v>1</v>
      </c>
      <c r="C38" s="64" t="str">
        <f>_xll.qlIMMNextCode(C37,B38,Trigger)</f>
        <v>Z8</v>
      </c>
      <c r="D38" s="125"/>
      <c r="E38" s="125"/>
      <c r="F38" s="125"/>
      <c r="G38" s="62" t="str">
        <f t="shared" si="14"/>
        <v>UsdLibor3M</v>
      </c>
      <c r="H38" s="119" t="str">
        <f t="shared" si="15"/>
        <v>USDFUT3MZ8_Quote</v>
      </c>
      <c r="I38" s="119" t="str">
        <f t="shared" si="16"/>
        <v>USDFUT3MZ8ConvAdj_Quote</v>
      </c>
      <c r="J38" s="175" t="str">
        <f>IF(P34,_xll.qlFuturesRateHelper(,H38,$H$24,C38,G38,I38,Permanent,Trigger,ObjectOverwrite),"--")</f>
        <v>obj_00328#0002</v>
      </c>
      <c r="K38" s="50"/>
      <c r="L38" s="162" t="str">
        <f t="shared" si="12"/>
        <v>FUT</v>
      </c>
      <c r="M38" s="183" t="str">
        <f t="shared" si="13"/>
        <v>USDFUT3MZ9_Quote</v>
      </c>
      <c r="N38" s="186">
        <f>IFERROR(_xll.qlQuoteValue(H42,Trigger),"--")</f>
        <v>98.652500000000003</v>
      </c>
      <c r="O38" s="164">
        <f>IFERROR(_xll.qlQuoteValue(I42,Trigger),"--")</f>
        <v>1.7361984657845176E-4</v>
      </c>
      <c r="P38" s="101" t="b">
        <v>1</v>
      </c>
      <c r="Q38" s="98">
        <v>30</v>
      </c>
      <c r="R38" s="98">
        <v>21</v>
      </c>
      <c r="S38" s="98" t="str">
        <f t="shared" si="11"/>
        <v>obj_0032d#0002</v>
      </c>
      <c r="T38" s="102">
        <f>IFERROR(_xll.qlRateHelperEarliestDate(S38,Trigger),"--")</f>
        <v>43817</v>
      </c>
      <c r="U38" s="102">
        <f>IFERROR(_xll.qlRateHelperPillarDate(S38,Trigger),"--")</f>
        <v>43908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123</v>
      </c>
      <c r="B39" s="116" t="b">
        <v>1</v>
      </c>
      <c r="C39" s="64" t="str">
        <f>_xll.qlIMMNextCode(C38,B39,Trigger)</f>
        <v>H9</v>
      </c>
      <c r="D39" s="125"/>
      <c r="E39" s="125"/>
      <c r="F39" s="125"/>
      <c r="G39" s="62" t="str">
        <f t="shared" si="14"/>
        <v>UsdLibor3M</v>
      </c>
      <c r="H39" s="119" t="str">
        <f t="shared" si="15"/>
        <v>USDFUT3MH9_Quote</v>
      </c>
      <c r="I39" s="119" t="str">
        <f t="shared" si="16"/>
        <v>USDFUT3MH9ConvAdj_Quote</v>
      </c>
      <c r="J39" s="175" t="str">
        <f>IF(P35,_xll.qlFuturesRateHelper(,H39,$H$24,C39,G39,I39,Permanent,Trigger,ObjectOverwrite),"--")</f>
        <v>obj_00329#0002</v>
      </c>
      <c r="K39" s="50"/>
      <c r="L39" s="162" t="str">
        <f t="shared" si="12"/>
        <v>FUT</v>
      </c>
      <c r="M39" s="183" t="str">
        <f t="shared" si="13"/>
        <v>USDFUT3MH0_Quote</v>
      </c>
      <c r="N39" s="186">
        <f>IFERROR(_xll.qlQuoteValue(H43,Trigger),"--")</f>
        <v>98.617500000000007</v>
      </c>
      <c r="O39" s="164">
        <f>IFERROR(_xll.qlQuoteValue(I43,Trigger),"--")</f>
        <v>1.9698262041058061E-4</v>
      </c>
      <c r="P39" s="101" t="b">
        <v>1</v>
      </c>
      <c r="Q39" s="98">
        <v>30</v>
      </c>
      <c r="R39" s="98">
        <v>21</v>
      </c>
      <c r="S39" s="98" t="str">
        <f t="shared" si="11"/>
        <v>obj_0032e#0002</v>
      </c>
      <c r="T39" s="102">
        <f>IFERROR(_xll.qlRateHelperEarliestDate(S39,Trigger),"--")</f>
        <v>43908</v>
      </c>
      <c r="U39" s="102">
        <f>IFERROR(_xll.qlRateHelperPillarDate(S39,Trigger),"--")</f>
        <v>44000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123</v>
      </c>
      <c r="B40" s="116" t="b">
        <v>1</v>
      </c>
      <c r="C40" s="64" t="str">
        <f>_xll.qlIMMNextCode(C39,B40,Trigger)</f>
        <v>M9</v>
      </c>
      <c r="D40" s="125"/>
      <c r="E40" s="125"/>
      <c r="F40" s="125"/>
      <c r="G40" s="62" t="str">
        <f t="shared" si="14"/>
        <v>UsdLibor3M</v>
      </c>
      <c r="H40" s="119" t="str">
        <f t="shared" si="15"/>
        <v>USDFUT3MM9_Quote</v>
      </c>
      <c r="I40" s="119" t="str">
        <f t="shared" si="16"/>
        <v>USDFUT3MM9ConvAdj_Quote</v>
      </c>
      <c r="J40" s="175" t="str">
        <f>IF(P36,_xll.qlFuturesRateHelper(,H40,$H$24,C40,G40,I40,Permanent,Trigger,ObjectOverwrite),"--")</f>
        <v>obj_0032b#0002</v>
      </c>
      <c r="K40" s="50"/>
      <c r="L40" s="162" t="str">
        <f t="shared" si="12"/>
        <v>FUT</v>
      </c>
      <c r="M40" s="183" t="str">
        <f t="shared" si="13"/>
        <v>USDFUT3MM0_Quote</v>
      </c>
      <c r="N40" s="186">
        <f>IFERROR(_xll.qlQuoteValue(H44,Trigger),"--")</f>
        <v>98.572500000000005</v>
      </c>
      <c r="O40" s="164">
        <f>IFERROR(_xll.qlQuoteValue(I44,Trigger),"--")</f>
        <v>2.2135750623099551E-4</v>
      </c>
      <c r="P40" s="101" t="b">
        <v>1</v>
      </c>
      <c r="Q40" s="98">
        <v>30</v>
      </c>
      <c r="R40" s="98">
        <v>21</v>
      </c>
      <c r="S40" s="98" t="str">
        <f t="shared" si="11"/>
        <v>obj_0032f#0002</v>
      </c>
      <c r="T40" s="102">
        <f>IFERROR(_xll.qlRateHelperEarliestDate(S40,Trigger),"--")</f>
        <v>43999</v>
      </c>
      <c r="U40" s="102">
        <f>IFERROR(_xll.qlRateHelperPillarDate(S40,Trigger),"--")</f>
        <v>44091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123</v>
      </c>
      <c r="B41" s="116" t="b">
        <v>1</v>
      </c>
      <c r="C41" s="64" t="str">
        <f>_xll.qlIMMNextCode(C40,B41,Trigger)</f>
        <v>U9</v>
      </c>
      <c r="D41" s="125"/>
      <c r="E41" s="125"/>
      <c r="F41" s="125"/>
      <c r="G41" s="62" t="str">
        <f t="shared" si="14"/>
        <v>UsdLibor3M</v>
      </c>
      <c r="H41" s="119" t="str">
        <f t="shared" si="15"/>
        <v>USDFUT3MU9_Quote</v>
      </c>
      <c r="I41" s="119" t="str">
        <f t="shared" si="16"/>
        <v>USDFUT3MU9ConvAdj_Quote</v>
      </c>
      <c r="J41" s="175" t="str">
        <f>IF(P37,_xll.qlFuturesRateHelper(,H41,$H$24,C41,G41,I41,Permanent,Trigger,ObjectOverwrite),"--")</f>
        <v>obj_0032c#0002</v>
      </c>
      <c r="L41" s="162" t="str">
        <f t="shared" si="12"/>
        <v>FUT</v>
      </c>
      <c r="M41" s="183" t="str">
        <f t="shared" si="13"/>
        <v>USDFUT3MU0_Quote</v>
      </c>
      <c r="N41" s="186">
        <f>IFERROR(_xll.qlQuoteValue(H45,Trigger),"--")</f>
        <v>98.527500000000003</v>
      </c>
      <c r="O41" s="164">
        <f>IFERROR(_xll.qlQuoteValue(I45,Trigger),"--")</f>
        <v>2.4666259686116073E-4</v>
      </c>
      <c r="P41" s="101" t="b">
        <v>1</v>
      </c>
      <c r="Q41" s="98">
        <v>30</v>
      </c>
      <c r="R41" s="98">
        <v>21</v>
      </c>
      <c r="S41" s="98" t="str">
        <f t="shared" si="11"/>
        <v>obj_00330#0002</v>
      </c>
      <c r="T41" s="102">
        <f>IFERROR(_xll.qlRateHelperEarliestDate(S41,Trigger),"--")</f>
        <v>44090</v>
      </c>
      <c r="U41" s="102">
        <f>IFERROR(_xll.qlRateHelperPillarDate(S41,Trigger),"--")</f>
        <v>44181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123</v>
      </c>
      <c r="B42" s="116" t="b">
        <v>1</v>
      </c>
      <c r="C42" s="64" t="str">
        <f>_xll.qlIMMNextCode(C41,B42,Trigger)</f>
        <v>Z9</v>
      </c>
      <c r="D42" s="125"/>
      <c r="E42" s="125"/>
      <c r="F42" s="125"/>
      <c r="G42" s="62" t="str">
        <f t="shared" si="14"/>
        <v>UsdLibor3M</v>
      </c>
      <c r="H42" s="119" t="str">
        <f t="shared" si="15"/>
        <v>USDFUT3MZ9_Quote</v>
      </c>
      <c r="I42" s="119" t="str">
        <f t="shared" si="16"/>
        <v>USDFUT3MZ9ConvAdj_Quote</v>
      </c>
      <c r="J42" s="175" t="str">
        <f>IF(P38,_xll.qlFuturesRateHelper(,H42,$H$24,C42,G42,I42,Permanent,Trigger,ObjectOverwrite),"--")</f>
        <v>obj_0032d#0002</v>
      </c>
      <c r="L42" s="162" t="str">
        <f t="shared" si="12"/>
        <v>FUT</v>
      </c>
      <c r="M42" s="183" t="str">
        <f t="shared" si="13"/>
        <v>USDFUT3MZ0_Quote</v>
      </c>
      <c r="N42" s="186">
        <f>IFERROR(_xll.qlQuoteValue(H46,Trigger),"--")</f>
        <v>98.477500000000006</v>
      </c>
      <c r="O42" s="164">
        <f>IFERROR(_xll.qlQuoteValue(I46,Trigger),"--")</f>
        <v>2.7312866137715127E-4</v>
      </c>
      <c r="P42" s="101" t="b">
        <v>1</v>
      </c>
      <c r="Q42" s="98">
        <v>30</v>
      </c>
      <c r="R42" s="98">
        <v>21</v>
      </c>
      <c r="S42" s="98" t="str">
        <f t="shared" si="11"/>
        <v>obj_00331#0002</v>
      </c>
      <c r="T42" s="102">
        <f>IFERROR(_xll.qlRateHelperEarliestDate(S42,Trigger),"--")</f>
        <v>44181</v>
      </c>
      <c r="U42" s="102">
        <f>IFERROR(_xll.qlRateHelperPillarDate(S42,Trigger),"--")</f>
        <v>44271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123</v>
      </c>
      <c r="B43" s="116" t="b">
        <v>1</v>
      </c>
      <c r="C43" s="64" t="str">
        <f>_xll.qlIMMNextCode(C42,B43,Trigger)</f>
        <v>H0</v>
      </c>
      <c r="D43" s="125"/>
      <c r="E43" s="125"/>
      <c r="F43" s="125"/>
      <c r="G43" s="62" t="str">
        <f t="shared" si="14"/>
        <v>UsdLibor3M</v>
      </c>
      <c r="H43" s="119" t="str">
        <f t="shared" si="15"/>
        <v>USDFUT3MH0_Quote</v>
      </c>
      <c r="I43" s="119" t="str">
        <f t="shared" si="16"/>
        <v>USDFUT3MH0ConvAdj_Quote</v>
      </c>
      <c r="J43" s="175" t="str">
        <f>IF(P39,_xll.qlFuturesRateHelper(,H43,$H$24,C43,G43,I43,Permanent,Trigger,ObjectOverwrite),"--")</f>
        <v>obj_0032e#0002</v>
      </c>
      <c r="L43" s="168" t="str">
        <f t="shared" si="12"/>
        <v>FUT</v>
      </c>
      <c r="M43" s="184" t="str">
        <f t="shared" si="13"/>
        <v>USDFUT3MH1_Quote</v>
      </c>
      <c r="N43" s="187">
        <f>IFERROR(_xll.qlQuoteValue(H47,Trigger),"--")</f>
        <v>98.4375</v>
      </c>
      <c r="O43" s="170">
        <f>IFERROR(_xll.qlQuoteValue(I47,Trigger),"--")</f>
        <v>3.0167256646975506E-4</v>
      </c>
      <c r="P43" s="103" t="b">
        <v>1</v>
      </c>
      <c r="Q43" s="99">
        <v>30</v>
      </c>
      <c r="R43" s="99">
        <v>21</v>
      </c>
      <c r="S43" s="99" t="str">
        <f t="shared" si="11"/>
        <v>obj_00332#0002</v>
      </c>
      <c r="T43" s="104">
        <f>IFERROR(_xll.qlRateHelperEarliestDate(S43,Trigger),"--")</f>
        <v>44272</v>
      </c>
      <c r="U43" s="104">
        <f>IFERROR(_xll.qlRateHelperPillarDate(S43,Trigger),"--")</f>
        <v>44364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123</v>
      </c>
      <c r="B44" s="116" t="b">
        <v>1</v>
      </c>
      <c r="C44" s="64" t="str">
        <f>_xll.qlIMMNextCode(C43,B44,Trigger)</f>
        <v>M0</v>
      </c>
      <c r="D44" s="125"/>
      <c r="E44" s="125"/>
      <c r="F44" s="125"/>
      <c r="G44" s="62" t="str">
        <f t="shared" si="14"/>
        <v>UsdLibor3M</v>
      </c>
      <c r="H44" s="119" t="str">
        <f t="shared" si="15"/>
        <v>USDFUT3MM0_Quote</v>
      </c>
      <c r="I44" s="119" t="str">
        <f t="shared" si="16"/>
        <v>USDFUT3MM0ConvAdj_Quote</v>
      </c>
      <c r="J44" s="175" t="str">
        <f>IF(P40,_xll.qlFuturesRateHelper(,H44,$H$24,C44,G44,I44,Permanent,Trigger,ObjectOverwrite),"--")</f>
        <v>obj_0032f#0002</v>
      </c>
      <c r="L44" s="180" t="str">
        <f>A50</f>
        <v>Sw</v>
      </c>
      <c r="M44" s="188" t="str">
        <f>H50</f>
        <v>USDAM3L1Y_Quote</v>
      </c>
      <c r="N44" s="182">
        <f>IFERROR(_xll.qlQuoteValue(H50,Trigger),"--")</f>
        <v>8.2199999999999999E-3</v>
      </c>
      <c r="O44" s="182">
        <f>I50</f>
        <v>0</v>
      </c>
      <c r="P44" s="137" t="b">
        <v>0</v>
      </c>
      <c r="Q44" s="136">
        <v>50</v>
      </c>
      <c r="R44" s="136">
        <v>1</v>
      </c>
      <c r="S44" s="136" t="str">
        <f t="shared" ref="S44:S81" si="18">IF(ISBLANK(J50),"--",J50)</f>
        <v>--</v>
      </c>
      <c r="T44" s="138" t="str">
        <f>IFERROR(_xll.qlRateHelperEarliestDate(S44,Trigger),"--")</f>
        <v>--</v>
      </c>
      <c r="U44" s="138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123</v>
      </c>
      <c r="B45" s="116" t="b">
        <v>1</v>
      </c>
      <c r="C45" s="64" t="str">
        <f>_xll.qlIMMNextCode(C44,B45,Trigger)</f>
        <v>U0</v>
      </c>
      <c r="D45" s="125"/>
      <c r="E45" s="125"/>
      <c r="F45" s="125"/>
      <c r="G45" s="62" t="str">
        <f t="shared" si="14"/>
        <v>UsdLibor3M</v>
      </c>
      <c r="H45" s="119" t="str">
        <f t="shared" si="15"/>
        <v>USDFUT3MU0_Quote</v>
      </c>
      <c r="I45" s="119" t="str">
        <f t="shared" si="16"/>
        <v>USDFUT3MU0ConvAdj_Quote</v>
      </c>
      <c r="J45" s="175" t="str">
        <f>IF(P41,_xll.qlFuturesRateHelper(,H45,$H$24,C45,G45,I45,Permanent,Trigger,ObjectOverwrite),"--")</f>
        <v>obj_00330#0002</v>
      </c>
      <c r="L45" s="162" t="str">
        <f t="shared" ref="L45:L81" si="19">A51</f>
        <v>Sw</v>
      </c>
      <c r="M45" s="183" t="str">
        <f t="shared" ref="M45:M81" si="20">H51</f>
        <v>USDAM3L15M_Quote</v>
      </c>
      <c r="N45" s="164" t="str">
        <f>IFERROR(_xll.qlQuoteValue(H51,Trigger),"--")</f>
        <v>--</v>
      </c>
      <c r="O45" s="164">
        <f t="shared" ref="O45:O81" si="21">I51</f>
        <v>0</v>
      </c>
      <c r="P45" s="140" t="b">
        <v>0</v>
      </c>
      <c r="Q45" s="139">
        <v>50</v>
      </c>
      <c r="R45" s="139">
        <v>1</v>
      </c>
      <c r="S45" s="139" t="str">
        <f t="shared" si="18"/>
        <v>--</v>
      </c>
      <c r="T45" s="141" t="str">
        <f>IFERROR(_xll.qlRateHelperEarliestDate(S45,Trigger),"--")</f>
        <v>--</v>
      </c>
      <c r="U45" s="141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123</v>
      </c>
      <c r="B46" s="116" t="b">
        <v>1</v>
      </c>
      <c r="C46" s="64" t="str">
        <f>_xll.qlIMMNextCode(C45,B46,Trigger)</f>
        <v>Z0</v>
      </c>
      <c r="D46" s="125"/>
      <c r="E46" s="125"/>
      <c r="F46" s="125"/>
      <c r="G46" s="62" t="str">
        <f t="shared" si="14"/>
        <v>UsdLibor3M</v>
      </c>
      <c r="H46" s="119" t="str">
        <f t="shared" si="15"/>
        <v>USDFUT3MZ0_Quote</v>
      </c>
      <c r="I46" s="119" t="str">
        <f t="shared" si="16"/>
        <v>USDFUT3MZ0ConvAdj_Quote</v>
      </c>
      <c r="J46" s="175" t="str">
        <f>IF(P42,_xll.qlFuturesRateHelper(,H46,$H$24,C46,G46,I46,Permanent,Trigger,ObjectOverwrite),"--")</f>
        <v>obj_00331#0002</v>
      </c>
      <c r="L46" s="162" t="str">
        <f t="shared" si="19"/>
        <v>Sw</v>
      </c>
      <c r="M46" s="183" t="str">
        <f t="shared" si="20"/>
        <v>USDAM3L18M_Quote</v>
      </c>
      <c r="N46" s="164" t="str">
        <f>IFERROR(_xll.qlQuoteValue(H52,Trigger),"--")</f>
        <v>--</v>
      </c>
      <c r="O46" s="164">
        <f t="shared" si="21"/>
        <v>0</v>
      </c>
      <c r="P46" s="140" t="b">
        <v>0</v>
      </c>
      <c r="Q46" s="139">
        <v>50</v>
      </c>
      <c r="R46" s="139">
        <v>1</v>
      </c>
      <c r="S46" s="139" t="str">
        <f t="shared" si="18"/>
        <v>--</v>
      </c>
      <c r="T46" s="141" t="str">
        <f>IFERROR(_xll.qlRateHelperEarliestDate(S46,Trigger),"--")</f>
        <v>--</v>
      </c>
      <c r="U46" s="141" t="str">
        <f>IFERROR(_xll.qlRateHelperPillarDate(S46,Trigger),"--")</f>
        <v>--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1" t="s">
        <v>123</v>
      </c>
      <c r="B47" s="117" t="b">
        <v>1</v>
      </c>
      <c r="C47" s="9" t="str">
        <f>_xll.qlIMMNextCode(C46,B47,Trigger)</f>
        <v>H1</v>
      </c>
      <c r="D47" s="126"/>
      <c r="E47" s="126"/>
      <c r="F47" s="126"/>
      <c r="G47" s="6" t="str">
        <f t="shared" si="14"/>
        <v>UsdLibor3M</v>
      </c>
      <c r="H47" s="120" t="str">
        <f t="shared" si="15"/>
        <v>USDFUT3MH1_Quote</v>
      </c>
      <c r="I47" s="120" t="str">
        <f t="shared" si="16"/>
        <v>USDFUT3MH1ConvAdj_Quote</v>
      </c>
      <c r="J47" s="174" t="str">
        <f>IF(P43,_xll.qlFuturesRateHelper(,H47,$H$24,C47,G47,I47,Permanent,Trigger,ObjectOverwrite),"--")</f>
        <v>obj_00332#0002</v>
      </c>
      <c r="L47" s="162" t="str">
        <f t="shared" si="19"/>
        <v>Sw</v>
      </c>
      <c r="M47" s="183" t="str">
        <f t="shared" si="20"/>
        <v>USDAM3L21M_Quote</v>
      </c>
      <c r="N47" s="164" t="str">
        <f>IFERROR(_xll.qlQuoteValue(H53,Trigger),"--")</f>
        <v>--</v>
      </c>
      <c r="O47" s="164">
        <f t="shared" si="21"/>
        <v>0</v>
      </c>
      <c r="P47" s="140" t="b">
        <v>0</v>
      </c>
      <c r="Q47" s="139">
        <v>50</v>
      </c>
      <c r="R47" s="139">
        <v>1</v>
      </c>
      <c r="S47" s="139" t="str">
        <f t="shared" si="18"/>
        <v>--</v>
      </c>
      <c r="T47" s="141" t="str">
        <f>IFERROR(_xll.qlRateHelperEarliestDate(S47,Trigger),"--")</f>
        <v>--</v>
      </c>
      <c r="U47" s="141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G48" s="52" t="s">
        <v>143</v>
      </c>
      <c r="H48" s="52" t="s">
        <v>144</v>
      </c>
      <c r="L48" s="162" t="str">
        <f t="shared" si="19"/>
        <v>Sw</v>
      </c>
      <c r="M48" s="183" t="str">
        <f t="shared" si="20"/>
        <v>USDAM3L2Y_Quote</v>
      </c>
      <c r="N48" s="164">
        <f>IFERROR(_xll.qlQuoteValue(H54,Trigger),"--")</f>
        <v>9.1400000000000006E-3</v>
      </c>
      <c r="O48" s="164">
        <f t="shared" si="21"/>
        <v>0</v>
      </c>
      <c r="P48" s="140" t="b">
        <v>0</v>
      </c>
      <c r="Q48" s="139">
        <v>50</v>
      </c>
      <c r="R48" s="139">
        <v>1</v>
      </c>
      <c r="S48" s="139" t="str">
        <f t="shared" si="18"/>
        <v>--</v>
      </c>
      <c r="T48" s="141" t="str">
        <f>IFERROR(_xll.qlRateHelperEarliestDate(S48,Trigger),"--")</f>
        <v>--</v>
      </c>
      <c r="U48" s="141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6" t="s">
        <v>9</v>
      </c>
      <c r="B49" s="66" t="s">
        <v>29</v>
      </c>
      <c r="C49" s="66" t="s">
        <v>145</v>
      </c>
      <c r="D49" s="66" t="s">
        <v>5</v>
      </c>
      <c r="E49" s="66" t="s">
        <v>34</v>
      </c>
      <c r="F49" s="66" t="s">
        <v>146</v>
      </c>
      <c r="G49" s="66" t="s">
        <v>4</v>
      </c>
      <c r="H49" s="66" t="s">
        <v>1</v>
      </c>
      <c r="I49" s="66" t="s">
        <v>142</v>
      </c>
      <c r="J49" s="66" t="s">
        <v>24</v>
      </c>
      <c r="L49" s="162" t="str">
        <f t="shared" si="19"/>
        <v>Sw</v>
      </c>
      <c r="M49" s="183" t="str">
        <f t="shared" si="20"/>
        <v>USDAM3L3Y_Quote</v>
      </c>
      <c r="N49" s="164">
        <f>IFERROR(_xll.qlQuoteValue(H55,Trigger),"--")</f>
        <v>9.8500000000000011E-3</v>
      </c>
      <c r="O49" s="164">
        <f t="shared" si="21"/>
        <v>0</v>
      </c>
      <c r="P49" s="140" t="b">
        <v>1</v>
      </c>
      <c r="Q49" s="139">
        <v>50</v>
      </c>
      <c r="R49" s="139">
        <v>1</v>
      </c>
      <c r="S49" s="139" t="str">
        <f t="shared" si="18"/>
        <v>obj_00308#0002</v>
      </c>
      <c r="T49" s="141">
        <f>IFERROR(_xll.qlRateHelperEarliestDate(S49,Trigger),"--")</f>
        <v>42573</v>
      </c>
      <c r="U49" s="141">
        <f>IFERROR(_xll.qlRateHelperPillarDate(S49,Trigger),"--")</f>
        <v>43668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55" t="s">
        <v>25</v>
      </c>
      <c r="B50" s="56" t="s">
        <v>28</v>
      </c>
      <c r="C50" s="57" t="s">
        <v>6</v>
      </c>
      <c r="D50" s="62" t="s">
        <v>8</v>
      </c>
      <c r="E50" s="62" t="s">
        <v>7</v>
      </c>
      <c r="F50" s="62" t="s">
        <v>27</v>
      </c>
      <c r="G50" s="62" t="str">
        <f t="shared" ref="G50:G87" si="22">PROPER(Currency)&amp;FamilyName&amp;Tenor</f>
        <v>UsdLibor3M</v>
      </c>
      <c r="H50" s="60" t="str">
        <f t="shared" ref="H50:H86" si="23">Currency&amp;$G$48&amp;$H$48&amp;$B50&amp;"_Quote"</f>
        <v>USDAM3L1Y_Quote</v>
      </c>
      <c r="I50" s="128">
        <v>0</v>
      </c>
      <c r="J50" s="173" t="str">
        <f>IF(P44,_xll.qlSwapRateHelper2(,H50,,B50,JoinCalendar,D50,E50,F50,G50,I50,C50,Discounting,PillarDate,,Permanent,Trigger,ObjectOverwrite),"--")</f>
        <v>--</v>
      </c>
      <c r="L50" s="162" t="str">
        <f t="shared" si="19"/>
        <v>Sw</v>
      </c>
      <c r="M50" s="183" t="str">
        <f t="shared" si="20"/>
        <v>USDAM3L4Y_Quote</v>
      </c>
      <c r="N50" s="164">
        <f>IFERROR(_xll.qlQuoteValue(H56,Trigger),"--")</f>
        <v>1.052E-2</v>
      </c>
      <c r="O50" s="164">
        <f t="shared" si="21"/>
        <v>0</v>
      </c>
      <c r="P50" s="140" t="b">
        <v>1</v>
      </c>
      <c r="Q50" s="139">
        <v>50</v>
      </c>
      <c r="R50" s="139">
        <v>1</v>
      </c>
      <c r="S50" s="139" t="str">
        <f t="shared" si="18"/>
        <v>obj_002f5#0002</v>
      </c>
      <c r="T50" s="141">
        <f>IFERROR(_xll.qlRateHelperEarliestDate(S50,Trigger),"--")</f>
        <v>42573</v>
      </c>
      <c r="U50" s="141">
        <f>IFERROR(_xll.qlRateHelperPillarDate(S50,Trigger),"--")</f>
        <v>44034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25</v>
      </c>
      <c r="B51" s="61" t="s">
        <v>61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22"/>
        <v>UsdLibor3M</v>
      </c>
      <c r="H51" s="60" t="str">
        <f t="shared" si="23"/>
        <v>USDAM3L15M_Quote</v>
      </c>
      <c r="I51" s="129">
        <v>0</v>
      </c>
      <c r="J51" s="175" t="str">
        <f>IF(P45,_xll.qlSwapRateHelper2(,H51,,B51,JoinCalendar,D51,E51,F51,G51,I51,C51,Discounting,PillarDate,,Permanent,Trigger,ObjectOverwrite),"--")</f>
        <v>--</v>
      </c>
      <c r="L51" s="162" t="str">
        <f t="shared" si="19"/>
        <v>Sw</v>
      </c>
      <c r="M51" s="183" t="str">
        <f t="shared" si="20"/>
        <v>USDAM3L5Y_Quote</v>
      </c>
      <c r="N51" s="164">
        <f>IFERROR(_xll.qlQuoteValue(H57,Trigger),"--")</f>
        <v>1.119E-2</v>
      </c>
      <c r="O51" s="164">
        <f t="shared" si="21"/>
        <v>0</v>
      </c>
      <c r="P51" s="140" t="b">
        <v>1</v>
      </c>
      <c r="Q51" s="139">
        <v>50</v>
      </c>
      <c r="R51" s="139">
        <v>1</v>
      </c>
      <c r="S51" s="139" t="str">
        <f t="shared" si="18"/>
        <v>obj_00311#0002</v>
      </c>
      <c r="T51" s="141">
        <f>IFERROR(_xll.qlRateHelperEarliestDate(S51,Trigger),"--")</f>
        <v>42573</v>
      </c>
      <c r="U51" s="141">
        <f>IFERROR(_xll.qlRateHelperPillarDate(S51,Trigger),"--")</f>
        <v>44399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25</v>
      </c>
      <c r="B52" s="61" t="s">
        <v>64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22"/>
        <v>UsdLibor3M</v>
      </c>
      <c r="H52" s="60" t="str">
        <f t="shared" si="23"/>
        <v>USDAM3L18M_Quote</v>
      </c>
      <c r="I52" s="129">
        <v>0</v>
      </c>
      <c r="J52" s="175" t="str">
        <f>IF(P46,_xll.qlSwapRateHelper2(,H52,,B52,JoinCalendar,D52,E52,F52,G52,I52,C52,Discounting,PillarDate,,Permanent,Trigger,ObjectOverwrite),"--")</f>
        <v>--</v>
      </c>
      <c r="L52" s="162" t="str">
        <f t="shared" si="19"/>
        <v>Sw</v>
      </c>
      <c r="M52" s="183" t="str">
        <f t="shared" si="20"/>
        <v>USDAM3L6Y_Quote</v>
      </c>
      <c r="N52" s="164">
        <f>IFERROR(_xll.qlQuoteValue(H58,Trigger),"--")</f>
        <v>1.191E-2</v>
      </c>
      <c r="O52" s="164">
        <f t="shared" si="21"/>
        <v>0</v>
      </c>
      <c r="P52" s="140" t="b">
        <v>1</v>
      </c>
      <c r="Q52" s="139">
        <v>50</v>
      </c>
      <c r="R52" s="139">
        <v>1</v>
      </c>
      <c r="S52" s="139" t="str">
        <f t="shared" si="18"/>
        <v>obj_002e9#0002</v>
      </c>
      <c r="T52" s="141">
        <f>IFERROR(_xll.qlRateHelperEarliestDate(S52,Trigger),"--")</f>
        <v>42573</v>
      </c>
      <c r="U52" s="141">
        <f>IFERROR(_xll.qlRateHelperPillarDate(S52,Trigger),"--")</f>
        <v>44764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25</v>
      </c>
      <c r="B53" s="61" t="s">
        <v>67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22"/>
        <v>UsdLibor3M</v>
      </c>
      <c r="H53" s="60" t="str">
        <f t="shared" si="23"/>
        <v>USDAM3L21M_Quote</v>
      </c>
      <c r="I53" s="129">
        <v>0</v>
      </c>
      <c r="J53" s="175" t="str">
        <f>IF(P47,_xll.qlSwapRateHelper2(,H53,,B53,JoinCalendar,D53,E53,F53,G53,I53,C53,Discounting,PillarDate,,Permanent,Trigger,ObjectOverwrite),"--")</f>
        <v>--</v>
      </c>
      <c r="L53" s="162" t="str">
        <f t="shared" si="19"/>
        <v>Sw</v>
      </c>
      <c r="M53" s="183" t="str">
        <f t="shared" si="20"/>
        <v>USDAM3L7Y_Quote</v>
      </c>
      <c r="N53" s="164">
        <f>IFERROR(_xll.qlQuoteValue(H59,Trigger),"--")</f>
        <v>1.259E-2</v>
      </c>
      <c r="O53" s="164">
        <f t="shared" si="21"/>
        <v>0</v>
      </c>
      <c r="P53" s="140" t="b">
        <v>1</v>
      </c>
      <c r="Q53" s="139">
        <v>50</v>
      </c>
      <c r="R53" s="139">
        <v>1</v>
      </c>
      <c r="S53" s="139" t="str">
        <f t="shared" si="18"/>
        <v>obj_002f7#0002</v>
      </c>
      <c r="T53" s="141">
        <f>IFERROR(_xll.qlRateHelperEarliestDate(S53,Trigger),"--")</f>
        <v>42573</v>
      </c>
      <c r="U53" s="141">
        <f>IFERROR(_xll.qlRateHelperPillarDate(S53,Trigger),"--")</f>
        <v>45131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25</v>
      </c>
      <c r="B54" s="61" t="s">
        <v>70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22"/>
        <v>UsdLibor3M</v>
      </c>
      <c r="H54" s="60" t="str">
        <f t="shared" si="23"/>
        <v>USDAM3L2Y_Quote</v>
      </c>
      <c r="I54" s="129">
        <v>0</v>
      </c>
      <c r="J54" s="175" t="str">
        <f>IF(P48,_xll.qlSwapRateHelper2(,H54,,B54,JoinCalendar,D54,E54,F54,G54,I54,C54,Discounting,PillarDate,,Permanent,Trigger,ObjectOverwrite),"--")</f>
        <v>--</v>
      </c>
      <c r="L54" s="162" t="str">
        <f t="shared" si="19"/>
        <v>Sw</v>
      </c>
      <c r="M54" s="183" t="str">
        <f t="shared" si="20"/>
        <v>USDAM3L8Y_Quote</v>
      </c>
      <c r="N54" s="164">
        <f>IFERROR(_xll.qlQuoteValue(H60,Trigger),"--")</f>
        <v>1.3220000000000001E-2</v>
      </c>
      <c r="O54" s="164">
        <f t="shared" si="21"/>
        <v>0</v>
      </c>
      <c r="P54" s="140" t="b">
        <v>1</v>
      </c>
      <c r="Q54" s="139">
        <v>50</v>
      </c>
      <c r="R54" s="139">
        <v>1</v>
      </c>
      <c r="S54" s="139" t="str">
        <f t="shared" si="18"/>
        <v>obj_002f8#0002</v>
      </c>
      <c r="T54" s="141">
        <f>IFERROR(_xll.qlRateHelperEarliestDate(S54,Trigger),"--")</f>
        <v>42573</v>
      </c>
      <c r="U54" s="141">
        <f>IFERROR(_xll.qlRateHelperPillarDate(S54,Trigger),"--")</f>
        <v>45495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25</v>
      </c>
      <c r="B55" s="61" t="s">
        <v>74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22"/>
        <v>UsdLibor3M</v>
      </c>
      <c r="H55" s="60" t="str">
        <f t="shared" si="23"/>
        <v>USDAM3L3Y_Quote</v>
      </c>
      <c r="I55" s="129">
        <v>0</v>
      </c>
      <c r="J55" s="175" t="str">
        <f>IF(P49,_xll.qlSwapRateHelper2(,H55,,B55,JoinCalendar,D55,E55,F55,G55,I55,C55,Discounting,PillarDate,,Permanent,Trigger,ObjectOverwrite),"--")</f>
        <v>obj_00308#0002</v>
      </c>
      <c r="L55" s="162" t="str">
        <f t="shared" si="19"/>
        <v>Sw</v>
      </c>
      <c r="M55" s="183" t="str">
        <f t="shared" si="20"/>
        <v>USDAM3L9Y_Quote</v>
      </c>
      <c r="N55" s="164">
        <f>IFERROR(_xll.qlQuoteValue(H61,Trigger),"--")</f>
        <v>1.379E-2</v>
      </c>
      <c r="O55" s="164">
        <f t="shared" si="21"/>
        <v>0</v>
      </c>
      <c r="P55" s="140" t="b">
        <v>1</v>
      </c>
      <c r="Q55" s="139">
        <v>50</v>
      </c>
      <c r="R55" s="139">
        <v>1</v>
      </c>
      <c r="S55" s="139" t="str">
        <f t="shared" si="18"/>
        <v>obj_00317#0002</v>
      </c>
      <c r="T55" s="141">
        <f>IFERROR(_xll.qlRateHelperEarliestDate(S55,Trigger),"--")</f>
        <v>42573</v>
      </c>
      <c r="U55" s="141">
        <f>IFERROR(_xll.qlRateHelperPillarDate(S55,Trigger),"--")</f>
        <v>45860</v>
      </c>
      <c r="W55" s="3" t="str">
        <f t="shared" si="17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25</v>
      </c>
      <c r="B56" s="61" t="s">
        <v>78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22"/>
        <v>UsdLibor3M</v>
      </c>
      <c r="H56" s="60" t="str">
        <f t="shared" si="23"/>
        <v>USDAM3L4Y_Quote</v>
      </c>
      <c r="I56" s="129">
        <v>0</v>
      </c>
      <c r="J56" s="175" t="str">
        <f>IF(P50,_xll.qlSwapRateHelper2(,H56,,B56,JoinCalendar,D56,E56,F56,G56,I56,C56,Discounting,PillarDate,,Permanent,Trigger,ObjectOverwrite),"--")</f>
        <v>obj_002f5#0002</v>
      </c>
      <c r="L56" s="162" t="str">
        <f t="shared" si="19"/>
        <v>Sw</v>
      </c>
      <c r="M56" s="183" t="str">
        <f t="shared" si="20"/>
        <v>USDAM3L10Y_Quote</v>
      </c>
      <c r="N56" s="164">
        <f>IFERROR(_xll.qlQuoteValue(H62,Trigger),"--")</f>
        <v>1.4330000000000001E-2</v>
      </c>
      <c r="O56" s="164">
        <f t="shared" si="21"/>
        <v>0</v>
      </c>
      <c r="P56" s="140" t="b">
        <v>1</v>
      </c>
      <c r="Q56" s="139">
        <v>50</v>
      </c>
      <c r="R56" s="139">
        <v>1</v>
      </c>
      <c r="S56" s="139" t="str">
        <f t="shared" si="18"/>
        <v>obj_0030e#0002</v>
      </c>
      <c r="T56" s="141">
        <f>IFERROR(_xll.qlRateHelperEarliestDate(S56,Trigger),"--")</f>
        <v>42573</v>
      </c>
      <c r="U56" s="141">
        <f>IFERROR(_xll.qlRateHelperPillarDate(S56,Trigger),"--")</f>
        <v>46225</v>
      </c>
      <c r="W56" s="3" t="str">
        <f t="shared" si="17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25</v>
      </c>
      <c r="B57" s="61" t="s">
        <v>82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22"/>
        <v>UsdLibor3M</v>
      </c>
      <c r="H57" s="60" t="str">
        <f t="shared" si="23"/>
        <v>USDAM3L5Y_Quote</v>
      </c>
      <c r="I57" s="129">
        <v>0</v>
      </c>
      <c r="J57" s="175" t="str">
        <f>IF(P51,_xll.qlSwapRateHelper2(,H57,,B57,JoinCalendar,D57,E57,F57,G57,I57,C57,Discounting,PillarDate,,Permanent,Trigger,ObjectOverwrite),"--")</f>
        <v>obj_00311#0002</v>
      </c>
      <c r="L57" s="162" t="str">
        <f t="shared" si="19"/>
        <v>Sw</v>
      </c>
      <c r="M57" s="183" t="str">
        <f t="shared" si="20"/>
        <v>USDAM3L11Y_Quote</v>
      </c>
      <c r="N57" s="164" t="str">
        <f>IFERROR(_xll.qlQuoteValue(H63,Trigger),"--")</f>
        <v>--</v>
      </c>
      <c r="O57" s="164">
        <f t="shared" si="21"/>
        <v>0</v>
      </c>
      <c r="P57" s="140" t="b">
        <v>0</v>
      </c>
      <c r="Q57" s="140">
        <v>50</v>
      </c>
      <c r="R57" s="140">
        <v>1</v>
      </c>
      <c r="S57" s="140" t="str">
        <f t="shared" si="18"/>
        <v>--</v>
      </c>
      <c r="T57" s="141" t="str">
        <f>IFERROR(_xll.qlRateHelperEarliestDate(S57,Trigger),"--")</f>
        <v>--</v>
      </c>
      <c r="U57" s="141" t="str">
        <f>IFERROR(_xll.qlRateHelperPillarDate(S57,Trigger),"--")</f>
        <v>--</v>
      </c>
      <c r="W57" s="3" t="str">
        <f t="shared" si="17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25</v>
      </c>
      <c r="B58" s="61" t="s">
        <v>83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22"/>
        <v>UsdLibor3M</v>
      </c>
      <c r="H58" s="60" t="str">
        <f t="shared" si="23"/>
        <v>USDAM3L6Y_Quote</v>
      </c>
      <c r="I58" s="129">
        <v>0</v>
      </c>
      <c r="J58" s="175" t="str">
        <f>IF(P52,_xll.qlSwapRateHelper2(,H58,,B58,JoinCalendar,D58,E58,F58,G58,I58,C58,Discounting,PillarDate,,Permanent,Trigger,ObjectOverwrite),"--")</f>
        <v>obj_002e9#0002</v>
      </c>
      <c r="L58" s="162" t="str">
        <f t="shared" si="19"/>
        <v>Sw</v>
      </c>
      <c r="M58" s="183" t="str">
        <f t="shared" si="20"/>
        <v>USDAM3L12Y_Quote</v>
      </c>
      <c r="N58" s="164">
        <f>IFERROR(_xll.qlQuoteValue(H64,Trigger),"--")</f>
        <v>1.528E-2</v>
      </c>
      <c r="O58" s="164">
        <f t="shared" si="21"/>
        <v>0</v>
      </c>
      <c r="P58" s="140" t="b">
        <v>1</v>
      </c>
      <c r="Q58" s="140">
        <v>50</v>
      </c>
      <c r="R58" s="140">
        <v>1</v>
      </c>
      <c r="S58" s="140" t="str">
        <f t="shared" si="18"/>
        <v>obj_002ef#0002</v>
      </c>
      <c r="T58" s="141">
        <f>IFERROR(_xll.qlRateHelperEarliestDate(S58,Trigger),"--")</f>
        <v>42573</v>
      </c>
      <c r="U58" s="141">
        <f>IFERROR(_xll.qlRateHelperPillarDate(S58,Trigger),"--")</f>
        <v>46958</v>
      </c>
      <c r="W58" s="3" t="str">
        <f t="shared" si="17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25</v>
      </c>
      <c r="B59" s="61" t="s">
        <v>84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22"/>
        <v>UsdLibor3M</v>
      </c>
      <c r="H59" s="60" t="str">
        <f t="shared" si="23"/>
        <v>USDAM3L7Y_Quote</v>
      </c>
      <c r="I59" s="129">
        <v>0</v>
      </c>
      <c r="J59" s="175" t="str">
        <f>IF(P53,_xll.qlSwapRateHelper2(,H59,,B59,JoinCalendar,D59,E59,F59,G59,I59,C59,Discounting,PillarDate,,Permanent,Trigger,ObjectOverwrite),"--")</f>
        <v>obj_002f7#0002</v>
      </c>
      <c r="L59" s="162" t="str">
        <f t="shared" si="19"/>
        <v>Sw</v>
      </c>
      <c r="M59" s="183" t="str">
        <f t="shared" si="20"/>
        <v>USDAM3L13Y_Quote</v>
      </c>
      <c r="N59" s="164" t="str">
        <f>IFERROR(_xll.qlQuoteValue(H65,Trigger),"--")</f>
        <v>--</v>
      </c>
      <c r="O59" s="164">
        <f t="shared" si="21"/>
        <v>0</v>
      </c>
      <c r="P59" s="140" t="b">
        <v>0</v>
      </c>
      <c r="Q59" s="140">
        <v>50</v>
      </c>
      <c r="R59" s="140">
        <v>1</v>
      </c>
      <c r="S59" s="140" t="str">
        <f t="shared" si="18"/>
        <v>--</v>
      </c>
      <c r="T59" s="141" t="str">
        <f>IFERROR(_xll.qlRateHelperEarliestDate(S59,Trigger),"--")</f>
        <v>--</v>
      </c>
      <c r="U59" s="141" t="str">
        <f>IFERROR(_xll.qlRateHelperPillarDate(S59,Trigger),"--")</f>
        <v>--</v>
      </c>
      <c r="W59" s="3" t="str">
        <f t="shared" si="17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25</v>
      </c>
      <c r="B60" s="61" t="s">
        <v>85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22"/>
        <v>UsdLibor3M</v>
      </c>
      <c r="H60" s="60" t="str">
        <f t="shared" si="23"/>
        <v>USDAM3L8Y_Quote</v>
      </c>
      <c r="I60" s="129">
        <v>0</v>
      </c>
      <c r="J60" s="175" t="str">
        <f>IF(P54,_xll.qlSwapRateHelper2(,H60,,B60,JoinCalendar,D60,E60,F60,G60,I60,C60,Discounting,PillarDate,,Permanent,Trigger,ObjectOverwrite),"--")</f>
        <v>obj_002f8#0002</v>
      </c>
      <c r="L60" s="162" t="str">
        <f t="shared" si="19"/>
        <v>Sw</v>
      </c>
      <c r="M60" s="183" t="str">
        <f t="shared" si="20"/>
        <v>USDAM3L14Y_Quote</v>
      </c>
      <c r="N60" s="164" t="str">
        <f>IFERROR(_xll.qlQuoteValue(H66,Trigger),"--")</f>
        <v>--</v>
      </c>
      <c r="O60" s="164">
        <f t="shared" si="21"/>
        <v>0</v>
      </c>
      <c r="P60" s="140" t="b">
        <v>0</v>
      </c>
      <c r="Q60" s="140">
        <v>50</v>
      </c>
      <c r="R60" s="140">
        <v>1</v>
      </c>
      <c r="S60" s="140" t="str">
        <f t="shared" si="18"/>
        <v>--</v>
      </c>
      <c r="T60" s="141" t="str">
        <f>IFERROR(_xll.qlRateHelperEarliestDate(S60,Trigger),"--")</f>
        <v>--</v>
      </c>
      <c r="U60" s="141" t="str">
        <f>IFERROR(_xll.qlRateHelperPillarDate(S60,Trigger),"--")</f>
        <v>--</v>
      </c>
      <c r="W60" s="3" t="str">
        <f t="shared" si="17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25</v>
      </c>
      <c r="B61" s="61" t="s">
        <v>86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22"/>
        <v>UsdLibor3M</v>
      </c>
      <c r="H61" s="60" t="str">
        <f t="shared" si="23"/>
        <v>USDAM3L9Y_Quote</v>
      </c>
      <c r="I61" s="129">
        <v>0</v>
      </c>
      <c r="J61" s="175" t="str">
        <f>IF(P55,_xll.qlSwapRateHelper2(,H61,,B61,JoinCalendar,D61,E61,F61,G61,I61,C61,Discounting,PillarDate,,Permanent,Trigger,ObjectOverwrite),"--")</f>
        <v>obj_00317#0002</v>
      </c>
      <c r="L61" s="162" t="str">
        <f t="shared" si="19"/>
        <v>Sw</v>
      </c>
      <c r="M61" s="183" t="str">
        <f t="shared" si="20"/>
        <v>USDAM3L15Y_Quote</v>
      </c>
      <c r="N61" s="164">
        <f>IFERROR(_xll.qlQuoteValue(H67,Trigger),"--")</f>
        <v>1.635E-2</v>
      </c>
      <c r="O61" s="164">
        <f t="shared" si="21"/>
        <v>0</v>
      </c>
      <c r="P61" s="140" t="b">
        <v>1</v>
      </c>
      <c r="Q61" s="140">
        <v>50</v>
      </c>
      <c r="R61" s="140">
        <v>1</v>
      </c>
      <c r="S61" s="140" t="str">
        <f t="shared" si="18"/>
        <v>obj_0030b#0002</v>
      </c>
      <c r="T61" s="141">
        <f>IFERROR(_xll.qlRateHelperEarliestDate(S61,Trigger),"--")</f>
        <v>42573</v>
      </c>
      <c r="U61" s="141">
        <f>IFERROR(_xll.qlRateHelperPillarDate(S61,Trigger),"--")</f>
        <v>48051</v>
      </c>
      <c r="W61" s="3" t="str">
        <f t="shared" si="17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25</v>
      </c>
      <c r="B62" s="61" t="s">
        <v>87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22"/>
        <v>UsdLibor3M</v>
      </c>
      <c r="H62" s="60" t="str">
        <f t="shared" si="23"/>
        <v>USDAM3L10Y_Quote</v>
      </c>
      <c r="I62" s="129">
        <v>0</v>
      </c>
      <c r="J62" s="175" t="str">
        <f>IF(P56,_xll.qlSwapRateHelper2(,H62,,B62,JoinCalendar,D62,E62,F62,G62,I62,C62,Discounting,PillarDate,,Permanent,Trigger,ObjectOverwrite),"--")</f>
        <v>obj_0030e#0002</v>
      </c>
      <c r="L62" s="162" t="str">
        <f t="shared" si="19"/>
        <v>Sw</v>
      </c>
      <c r="M62" s="183" t="str">
        <f t="shared" si="20"/>
        <v>USDAM3L16Y_Quote</v>
      </c>
      <c r="N62" s="164" t="str">
        <f>IFERROR(_xll.qlQuoteValue(H68,Trigger),"--")</f>
        <v>--</v>
      </c>
      <c r="O62" s="164">
        <f t="shared" si="21"/>
        <v>0</v>
      </c>
      <c r="P62" s="140" t="b">
        <v>0</v>
      </c>
      <c r="Q62" s="140">
        <v>50</v>
      </c>
      <c r="R62" s="140">
        <v>1</v>
      </c>
      <c r="S62" s="140" t="str">
        <f t="shared" si="18"/>
        <v>--</v>
      </c>
      <c r="T62" s="141" t="str">
        <f>IFERROR(_xll.qlRateHelperEarliestDate(S62,Trigger),"--")</f>
        <v>--</v>
      </c>
      <c r="U62" s="141" t="str">
        <f>IFERROR(_xll.qlRateHelperPillarDate(S62,Trigger),"--")</f>
        <v>--</v>
      </c>
      <c r="W62" s="3" t="str">
        <f t="shared" si="17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25</v>
      </c>
      <c r="B63" s="61" t="s">
        <v>127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22"/>
        <v>UsdLibor3M</v>
      </c>
      <c r="H63" s="60" t="str">
        <f t="shared" si="23"/>
        <v>USDAM3L11Y_Quote</v>
      </c>
      <c r="I63" s="129">
        <v>0</v>
      </c>
      <c r="J63" s="175" t="str">
        <f>IF(P57,_xll.qlSwapRateHelper2(,H63,,B63,JoinCalendar,D63,E63,F63,G63,I63,C63,Discounting,PillarDate,,Permanent,Trigger,ObjectOverwrite),"--")</f>
        <v>--</v>
      </c>
      <c r="L63" s="162" t="str">
        <f t="shared" si="19"/>
        <v>Sw</v>
      </c>
      <c r="M63" s="183" t="str">
        <f t="shared" si="20"/>
        <v>USDAM3L17Y_Quote</v>
      </c>
      <c r="N63" s="164" t="str">
        <f>IFERROR(_xll.qlQuoteValue(H69,Trigger),"--")</f>
        <v>--</v>
      </c>
      <c r="O63" s="164">
        <f t="shared" si="21"/>
        <v>0</v>
      </c>
      <c r="P63" s="140" t="b">
        <v>0</v>
      </c>
      <c r="Q63" s="140">
        <v>50</v>
      </c>
      <c r="R63" s="140">
        <v>1</v>
      </c>
      <c r="S63" s="140" t="str">
        <f t="shared" si="18"/>
        <v>--</v>
      </c>
      <c r="T63" s="141" t="str">
        <f>IFERROR(_xll.qlRateHelperEarliestDate(S63,Trigger),"--")</f>
        <v>--</v>
      </c>
      <c r="U63" s="141" t="str">
        <f>IFERROR(_xll.qlRateHelperPillarDate(S63,Trigger),"--")</f>
        <v>--</v>
      </c>
      <c r="W63" s="3" t="str">
        <f t="shared" si="17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25</v>
      </c>
      <c r="B64" s="61" t="s">
        <v>88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22"/>
        <v>UsdLibor3M</v>
      </c>
      <c r="H64" s="60" t="str">
        <f t="shared" si="23"/>
        <v>USDAM3L12Y_Quote</v>
      </c>
      <c r="I64" s="129">
        <v>0</v>
      </c>
      <c r="J64" s="175" t="str">
        <f>IF(P58,_xll.qlSwapRateHelper2(,H64,,B64,JoinCalendar,D64,E64,F64,G64,I64,C64,Discounting,PillarDate,,Permanent,Trigger,ObjectOverwrite),"--")</f>
        <v>obj_002ef#0002</v>
      </c>
      <c r="L64" s="162" t="str">
        <f t="shared" si="19"/>
        <v>Sw</v>
      </c>
      <c r="M64" s="183" t="str">
        <f t="shared" si="20"/>
        <v>USDAM3L18Y_Quote</v>
      </c>
      <c r="N64" s="164" t="str">
        <f>IFERROR(_xll.qlQuoteValue(H70,Trigger),"--")</f>
        <v>--</v>
      </c>
      <c r="O64" s="164">
        <f t="shared" si="21"/>
        <v>0</v>
      </c>
      <c r="P64" s="140" t="b">
        <v>0</v>
      </c>
      <c r="Q64" s="140">
        <v>50</v>
      </c>
      <c r="R64" s="140">
        <v>1</v>
      </c>
      <c r="S64" s="140" t="str">
        <f t="shared" si="18"/>
        <v>--</v>
      </c>
      <c r="T64" s="141" t="str">
        <f>IFERROR(_xll.qlRateHelperEarliestDate(S64,Trigger),"--")</f>
        <v>--</v>
      </c>
      <c r="U64" s="141" t="str">
        <f>IFERROR(_xll.qlRateHelperPillarDate(S64,Trigger),"--")</f>
        <v>--</v>
      </c>
      <c r="W64" s="3" t="str">
        <f t="shared" si="17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25</v>
      </c>
      <c r="B65" s="61" t="s">
        <v>128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22"/>
        <v>UsdLibor3M</v>
      </c>
      <c r="H65" s="60" t="str">
        <f t="shared" si="23"/>
        <v>USDAM3L13Y_Quote</v>
      </c>
      <c r="I65" s="129">
        <v>0</v>
      </c>
      <c r="J65" s="175" t="str">
        <f>IF(P59,_xll.qlSwapRateHelper2(,H65,,B65,JoinCalendar,D65,E65,F65,G65,I65,C65,Discounting,PillarDate,,Permanent,Trigger,ObjectOverwrite),"--")</f>
        <v>--</v>
      </c>
      <c r="L65" s="162" t="str">
        <f t="shared" si="19"/>
        <v>Sw</v>
      </c>
      <c r="M65" s="183" t="str">
        <f t="shared" si="20"/>
        <v>USDAM3L19Y_Quote</v>
      </c>
      <c r="N65" s="164" t="str">
        <f>IFERROR(_xll.qlQuoteValue(H71,Trigger),"--")</f>
        <v>--</v>
      </c>
      <c r="O65" s="164">
        <f t="shared" si="21"/>
        <v>0</v>
      </c>
      <c r="P65" s="140" t="b">
        <v>0</v>
      </c>
      <c r="Q65" s="140">
        <v>50</v>
      </c>
      <c r="R65" s="140">
        <v>1</v>
      </c>
      <c r="S65" s="140" t="str">
        <f t="shared" si="18"/>
        <v>--</v>
      </c>
      <c r="T65" s="141" t="str">
        <f>IFERROR(_xll.qlRateHelperEarliestDate(S65,Trigger),"--")</f>
        <v>--</v>
      </c>
      <c r="U65" s="141" t="str">
        <f>IFERROR(_xll.qlRateHelperPillarDate(S65,Trigger),"--")</f>
        <v>--</v>
      </c>
      <c r="W65" s="3" t="str">
        <f t="shared" si="17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25</v>
      </c>
      <c r="B66" s="61" t="s">
        <v>129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22"/>
        <v>UsdLibor3M</v>
      </c>
      <c r="H66" s="60" t="str">
        <f t="shared" si="23"/>
        <v>USDAM3L14Y_Quote</v>
      </c>
      <c r="I66" s="129">
        <v>0</v>
      </c>
      <c r="J66" s="175" t="str">
        <f>IF(P60,_xll.qlSwapRateHelper2(,H66,,B66,JoinCalendar,D66,E66,F66,G66,I66,C66,Discounting,PillarDate,,Permanent,Trigger,ObjectOverwrite),"--")</f>
        <v>--</v>
      </c>
      <c r="L66" s="162" t="str">
        <f t="shared" si="19"/>
        <v>Sw</v>
      </c>
      <c r="M66" s="183" t="str">
        <f t="shared" si="20"/>
        <v>USDAM3L20Y_Quote</v>
      </c>
      <c r="N66" s="164">
        <f>IFERROR(_xll.qlQuoteValue(H72,Trigger),"--")</f>
        <v>1.7500000000000002E-2</v>
      </c>
      <c r="O66" s="164">
        <f t="shared" si="21"/>
        <v>0</v>
      </c>
      <c r="P66" s="140" t="b">
        <v>1</v>
      </c>
      <c r="Q66" s="140">
        <v>50</v>
      </c>
      <c r="R66" s="140">
        <v>1</v>
      </c>
      <c r="S66" s="140" t="str">
        <f t="shared" si="18"/>
        <v>obj_00305#0002</v>
      </c>
      <c r="T66" s="141">
        <f>IFERROR(_xll.qlRateHelperEarliestDate(S66,Trigger),"--")</f>
        <v>42573</v>
      </c>
      <c r="U66" s="141">
        <f>IFERROR(_xll.qlRateHelperPillarDate(S66,Trigger),"--")</f>
        <v>49878</v>
      </c>
      <c r="W66" s="3" t="str">
        <f t="shared" si="17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25</v>
      </c>
      <c r="B67" s="61" t="s">
        <v>89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22"/>
        <v>UsdLibor3M</v>
      </c>
      <c r="H67" s="60" t="str">
        <f t="shared" si="23"/>
        <v>USDAM3L15Y_Quote</v>
      </c>
      <c r="I67" s="129">
        <v>0</v>
      </c>
      <c r="J67" s="175" t="str">
        <f>IF(P61,_xll.qlSwapRateHelper2(,H67,,B67,JoinCalendar,D67,E67,F67,G67,I67,C67,Discounting,PillarDate,,Permanent,Trigger,ObjectOverwrite),"--")</f>
        <v>obj_0030b#0002</v>
      </c>
      <c r="L67" s="162" t="str">
        <f t="shared" si="19"/>
        <v>Sw</v>
      </c>
      <c r="M67" s="183" t="str">
        <f t="shared" si="20"/>
        <v>USDAM3L21Y_Quote</v>
      </c>
      <c r="N67" s="164" t="str">
        <f>IFERROR(_xll.qlQuoteValue(H73,Trigger),"--")</f>
        <v>--</v>
      </c>
      <c r="O67" s="164">
        <f t="shared" si="21"/>
        <v>0</v>
      </c>
      <c r="P67" s="140" t="b">
        <v>0</v>
      </c>
      <c r="Q67" s="140">
        <v>50</v>
      </c>
      <c r="R67" s="140">
        <v>1</v>
      </c>
      <c r="S67" s="140" t="str">
        <f t="shared" si="18"/>
        <v>--</v>
      </c>
      <c r="T67" s="141" t="str">
        <f>IFERROR(_xll.qlRateHelperEarliestDate(S67,Trigger),"--")</f>
        <v>--</v>
      </c>
      <c r="U67" s="141" t="str">
        <f>IFERROR(_xll.qlRateHelperPillarDate(S67,Trigger),"--")</f>
        <v>--</v>
      </c>
      <c r="W67" s="3" t="str">
        <f t="shared" ref="W67:W88" si="24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25</v>
      </c>
      <c r="B68" s="61" t="s">
        <v>130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22"/>
        <v>UsdLibor3M</v>
      </c>
      <c r="H68" s="60" t="str">
        <f t="shared" si="23"/>
        <v>USDAM3L16Y_Quote</v>
      </c>
      <c r="I68" s="129">
        <v>0</v>
      </c>
      <c r="J68" s="175" t="str">
        <f>IF(P62,_xll.qlSwapRateHelper2(,H68,,B68,JoinCalendar,D68,E68,F68,G68,I68,C68,Discounting,PillarDate,,Permanent,Trigger,ObjectOverwrite),"--")</f>
        <v>--</v>
      </c>
      <c r="L68" s="162" t="str">
        <f t="shared" si="19"/>
        <v>Sw</v>
      </c>
      <c r="M68" s="183" t="str">
        <f t="shared" si="20"/>
        <v>USDAM3L22Y_Quote</v>
      </c>
      <c r="N68" s="164" t="str">
        <f>IFERROR(_xll.qlQuoteValue(H74,Trigger),"--")</f>
        <v>--</v>
      </c>
      <c r="O68" s="164">
        <f t="shared" si="21"/>
        <v>0</v>
      </c>
      <c r="P68" s="140" t="b">
        <v>0</v>
      </c>
      <c r="Q68" s="140">
        <v>50</v>
      </c>
      <c r="R68" s="140">
        <v>1</v>
      </c>
      <c r="S68" s="140" t="str">
        <f t="shared" si="18"/>
        <v>--</v>
      </c>
      <c r="T68" s="141" t="str">
        <f>IFERROR(_xll.qlRateHelperEarliestDate(S68,Trigger),"--")</f>
        <v>--</v>
      </c>
      <c r="U68" s="141" t="str">
        <f>IFERROR(_xll.qlRateHelperPillarDate(S68,Trigger),"--")</f>
        <v>--</v>
      </c>
      <c r="W68" s="3" t="str">
        <f t="shared" si="24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25</v>
      </c>
      <c r="B69" s="61" t="s">
        <v>131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22"/>
        <v>UsdLibor3M</v>
      </c>
      <c r="H69" s="60" t="str">
        <f t="shared" si="23"/>
        <v>USDAM3L17Y_Quote</v>
      </c>
      <c r="I69" s="129">
        <v>0</v>
      </c>
      <c r="J69" s="175" t="str">
        <f>IF(P63,_xll.qlSwapRateHelper2(,H69,,B69,JoinCalendar,D69,E69,F69,G69,I69,C69,Discounting,PillarDate,,Permanent,Trigger,ObjectOverwrite),"--")</f>
        <v>--</v>
      </c>
      <c r="L69" s="162" t="str">
        <f t="shared" si="19"/>
        <v>Sw</v>
      </c>
      <c r="M69" s="183" t="str">
        <f t="shared" si="20"/>
        <v>USDAM3L23Y_Quote</v>
      </c>
      <c r="N69" s="164" t="str">
        <f>IFERROR(_xll.qlQuoteValue(H75,Trigger),"--")</f>
        <v>--</v>
      </c>
      <c r="O69" s="164">
        <f t="shared" si="21"/>
        <v>0</v>
      </c>
      <c r="P69" s="140" t="b">
        <v>0</v>
      </c>
      <c r="Q69" s="140">
        <v>50</v>
      </c>
      <c r="R69" s="140">
        <v>1</v>
      </c>
      <c r="S69" s="140" t="str">
        <f t="shared" si="18"/>
        <v>--</v>
      </c>
      <c r="T69" s="141" t="str">
        <f>IFERROR(_xll.qlRateHelperEarliestDate(S69,Trigger),"--")</f>
        <v>--</v>
      </c>
      <c r="U69" s="141" t="str">
        <f>IFERROR(_xll.qlRateHelperPillarDate(S69,Trigger),"--")</f>
        <v>--</v>
      </c>
      <c r="W69" s="3" t="str">
        <f t="shared" si="24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25</v>
      </c>
      <c r="B70" s="61" t="s">
        <v>132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22"/>
        <v>UsdLibor3M</v>
      </c>
      <c r="H70" s="60" t="str">
        <f t="shared" si="23"/>
        <v>USDAM3L18Y_Quote</v>
      </c>
      <c r="I70" s="129">
        <v>0</v>
      </c>
      <c r="J70" s="175" t="str">
        <f>IF(P64,_xll.qlSwapRateHelper2(,H70,,B70,JoinCalendar,D70,E70,F70,G70,I70,C70,Discounting,PillarDate,,Permanent,Trigger,ObjectOverwrite),"--")</f>
        <v>--</v>
      </c>
      <c r="L70" s="162" t="str">
        <f t="shared" si="19"/>
        <v>Sw</v>
      </c>
      <c r="M70" s="183" t="str">
        <f t="shared" si="20"/>
        <v>USDAM3L24Y_Quote</v>
      </c>
      <c r="N70" s="164" t="str">
        <f>IFERROR(_xll.qlQuoteValue(H76,Trigger),"--")</f>
        <v>--</v>
      </c>
      <c r="O70" s="164">
        <f t="shared" si="21"/>
        <v>0</v>
      </c>
      <c r="P70" s="140" t="b">
        <v>0</v>
      </c>
      <c r="Q70" s="140">
        <v>50</v>
      </c>
      <c r="R70" s="140">
        <v>1</v>
      </c>
      <c r="S70" s="140" t="str">
        <f t="shared" si="18"/>
        <v>--</v>
      </c>
      <c r="T70" s="141" t="str">
        <f>IFERROR(_xll.qlRateHelperEarliestDate(S70,Trigger),"--")</f>
        <v>--</v>
      </c>
      <c r="U70" s="141" t="str">
        <f>IFERROR(_xll.qlRateHelperPillarDate(S70,Trigger),"--")</f>
        <v>--</v>
      </c>
      <c r="W70" s="3" t="str">
        <f t="shared" si="24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25</v>
      </c>
      <c r="B71" s="61" t="s">
        <v>133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22"/>
        <v>UsdLibor3M</v>
      </c>
      <c r="H71" s="60" t="str">
        <f t="shared" si="23"/>
        <v>USDAM3L19Y_Quote</v>
      </c>
      <c r="I71" s="129">
        <v>0</v>
      </c>
      <c r="J71" s="175" t="str">
        <f>IF(P65,_xll.qlSwapRateHelper2(,H71,,B71,JoinCalendar,D71,E71,F71,G71,I71,C71,Discounting,PillarDate,,Permanent,Trigger,ObjectOverwrite),"--")</f>
        <v>--</v>
      </c>
      <c r="L71" s="162" t="str">
        <f t="shared" si="19"/>
        <v>Sw</v>
      </c>
      <c r="M71" s="183" t="str">
        <f t="shared" si="20"/>
        <v>USDAM3L25Y_Quote</v>
      </c>
      <c r="N71" s="164">
        <f>IFERROR(_xll.qlQuoteValue(H77,Trigger),"--")</f>
        <v>1.805E-2</v>
      </c>
      <c r="O71" s="164">
        <f t="shared" si="21"/>
        <v>0</v>
      </c>
      <c r="P71" s="140" t="b">
        <v>1</v>
      </c>
      <c r="Q71" s="140">
        <v>50</v>
      </c>
      <c r="R71" s="140">
        <v>1</v>
      </c>
      <c r="S71" s="140" t="str">
        <f t="shared" si="18"/>
        <v>obj_002fa#0002</v>
      </c>
      <c r="T71" s="141">
        <f>IFERROR(_xll.qlRateHelperEarliestDate(S71,Trigger),"--")</f>
        <v>42573</v>
      </c>
      <c r="U71" s="141">
        <f>IFERROR(_xll.qlRateHelperPillarDate(S71,Trigger),"--")</f>
        <v>51704</v>
      </c>
      <c r="W71" s="3" t="str">
        <f t="shared" si="24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25</v>
      </c>
      <c r="B72" s="61" t="s">
        <v>90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22"/>
        <v>UsdLibor3M</v>
      </c>
      <c r="H72" s="60" t="str">
        <f t="shared" si="23"/>
        <v>USDAM3L20Y_Quote</v>
      </c>
      <c r="I72" s="129">
        <v>0</v>
      </c>
      <c r="J72" s="175" t="str">
        <f>IF(P66,_xll.qlSwapRateHelper2(,H72,,B72,JoinCalendar,D72,E72,F72,G72,I72,C72,Discounting,PillarDate,,Permanent,Trigger,ObjectOverwrite),"--")</f>
        <v>obj_00305#0002</v>
      </c>
      <c r="L72" s="162" t="str">
        <f t="shared" si="19"/>
        <v>Sw</v>
      </c>
      <c r="M72" s="183" t="str">
        <f t="shared" si="20"/>
        <v>USDAM3L26Y_Quote</v>
      </c>
      <c r="N72" s="164" t="str">
        <f>IFERROR(_xll.qlQuoteValue(H78,Trigger),"--")</f>
        <v>--</v>
      </c>
      <c r="O72" s="164">
        <f t="shared" si="21"/>
        <v>0</v>
      </c>
      <c r="P72" s="140" t="b">
        <v>0</v>
      </c>
      <c r="Q72" s="140">
        <v>50</v>
      </c>
      <c r="R72" s="140">
        <v>1</v>
      </c>
      <c r="S72" s="140" t="str">
        <f t="shared" si="18"/>
        <v>--</v>
      </c>
      <c r="T72" s="141" t="str">
        <f>IFERROR(_xll.qlRateHelperEarliestDate(S72,Trigger),"--")</f>
        <v>--</v>
      </c>
      <c r="U72" s="141" t="str">
        <f>IFERROR(_xll.qlRateHelperPillarDate(S72,Trigger),"--")</f>
        <v>--</v>
      </c>
      <c r="W72" s="3" t="str">
        <f t="shared" si="24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25</v>
      </c>
      <c r="B73" s="61" t="s">
        <v>134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22"/>
        <v>UsdLibor3M</v>
      </c>
      <c r="H73" s="60" t="str">
        <f t="shared" si="23"/>
        <v>USDAM3L21Y_Quote</v>
      </c>
      <c r="I73" s="129">
        <v>0</v>
      </c>
      <c r="J73" s="175" t="str">
        <f>IF(P67,_xll.qlSwapRateHelper2(,H73,,B73,JoinCalendar,D73,E73,F73,G73,I73,C73,Discounting,PillarDate,,Permanent,Trigger,ObjectOverwrite),"--")</f>
        <v>--</v>
      </c>
      <c r="L73" s="162" t="str">
        <f t="shared" si="19"/>
        <v>Sw</v>
      </c>
      <c r="M73" s="183" t="str">
        <f t="shared" si="20"/>
        <v>USDAM3L27Y_Quote</v>
      </c>
      <c r="N73" s="164" t="str">
        <f>IFERROR(_xll.qlQuoteValue(H79,Trigger),"--")</f>
        <v>--</v>
      </c>
      <c r="O73" s="164">
        <f t="shared" si="21"/>
        <v>0</v>
      </c>
      <c r="P73" s="140" t="b">
        <v>0</v>
      </c>
      <c r="Q73" s="140">
        <v>50</v>
      </c>
      <c r="R73" s="140">
        <v>1</v>
      </c>
      <c r="S73" s="140" t="str">
        <f t="shared" si="18"/>
        <v>--</v>
      </c>
      <c r="T73" s="141" t="str">
        <f>IFERROR(_xll.qlRateHelperEarliestDate(S73,Trigger),"--")</f>
        <v>--</v>
      </c>
      <c r="U73" s="141" t="str">
        <f>IFERROR(_xll.qlRateHelperPillarDate(S73,Trigger),"--")</f>
        <v>--</v>
      </c>
      <c r="W73" s="3" t="str">
        <f t="shared" si="24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25</v>
      </c>
      <c r="B74" s="61" t="s">
        <v>135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22"/>
        <v>UsdLibor3M</v>
      </c>
      <c r="H74" s="60" t="str">
        <f t="shared" si="23"/>
        <v>USDAM3L22Y_Quote</v>
      </c>
      <c r="I74" s="129">
        <v>0</v>
      </c>
      <c r="J74" s="175" t="str">
        <f>IF(P68,_xll.qlSwapRateHelper2(,H74,,B74,JoinCalendar,D74,E74,F74,G74,I74,C74,Discounting,PillarDate,,Permanent,Trigger,ObjectOverwrite),"--")</f>
        <v>--</v>
      </c>
      <c r="L74" s="162" t="str">
        <f t="shared" si="19"/>
        <v>Sw</v>
      </c>
      <c r="M74" s="183" t="str">
        <f t="shared" si="20"/>
        <v>USDAM3L28Y_Quote</v>
      </c>
      <c r="N74" s="164" t="str">
        <f>IFERROR(_xll.qlQuoteValue(H80,Trigger),"--")</f>
        <v>--</v>
      </c>
      <c r="O74" s="164">
        <f t="shared" si="21"/>
        <v>0</v>
      </c>
      <c r="P74" s="140" t="b">
        <v>0</v>
      </c>
      <c r="Q74" s="140">
        <v>50</v>
      </c>
      <c r="R74" s="140">
        <v>1</v>
      </c>
      <c r="S74" s="140" t="str">
        <f t="shared" si="18"/>
        <v>--</v>
      </c>
      <c r="T74" s="141" t="str">
        <f>IFERROR(_xll.qlRateHelperEarliestDate(S74,Trigger),"--")</f>
        <v>--</v>
      </c>
      <c r="U74" s="141" t="str">
        <f>IFERROR(_xll.qlRateHelperPillarDate(S74,Trigger),"--")</f>
        <v>--</v>
      </c>
      <c r="W74" s="3" t="str">
        <f t="shared" si="24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25</v>
      </c>
      <c r="B75" s="61" t="s">
        <v>136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22"/>
        <v>UsdLibor3M</v>
      </c>
      <c r="H75" s="60" t="str">
        <f t="shared" si="23"/>
        <v>USDAM3L23Y_Quote</v>
      </c>
      <c r="I75" s="129">
        <v>0</v>
      </c>
      <c r="J75" s="175" t="str">
        <f>IF(P69,_xll.qlSwapRateHelper2(,H75,,B75,JoinCalendar,D75,E75,F75,G75,I75,C75,Discounting,PillarDate,,Permanent,Trigger,ObjectOverwrite),"--")</f>
        <v>--</v>
      </c>
      <c r="L75" s="162" t="str">
        <f t="shared" si="19"/>
        <v>Sw</v>
      </c>
      <c r="M75" s="183" t="str">
        <f t="shared" si="20"/>
        <v>USDAM3L29Y_Quote</v>
      </c>
      <c r="N75" s="164" t="str">
        <f>IFERROR(_xll.qlQuoteValue(H81,Trigger),"--")</f>
        <v>--</v>
      </c>
      <c r="O75" s="164">
        <f t="shared" si="21"/>
        <v>0</v>
      </c>
      <c r="P75" s="140" t="b">
        <v>0</v>
      </c>
      <c r="Q75" s="140">
        <v>50</v>
      </c>
      <c r="R75" s="140">
        <v>1</v>
      </c>
      <c r="S75" s="140" t="str">
        <f t="shared" si="18"/>
        <v>--</v>
      </c>
      <c r="T75" s="141" t="str">
        <f>IFERROR(_xll.qlRateHelperEarliestDate(S75,Trigger),"--")</f>
        <v>--</v>
      </c>
      <c r="U75" s="141" t="str">
        <f>IFERROR(_xll.qlRateHelperPillarDate(S75,Trigger),"--")</f>
        <v>--</v>
      </c>
      <c r="W75" s="3" t="str">
        <f t="shared" si="24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25</v>
      </c>
      <c r="B76" s="61" t="s">
        <v>137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22"/>
        <v>UsdLibor3M</v>
      </c>
      <c r="H76" s="60" t="str">
        <f t="shared" si="23"/>
        <v>USDAM3L24Y_Quote</v>
      </c>
      <c r="I76" s="129">
        <v>0</v>
      </c>
      <c r="J76" s="175" t="str">
        <f>IF(P70,_xll.qlSwapRateHelper2(,H76,,B76,JoinCalendar,D76,E76,F76,G76,I76,C76,Discounting,PillarDate,,Permanent,Trigger,ObjectOverwrite),"--")</f>
        <v>--</v>
      </c>
      <c r="L76" s="162" t="str">
        <f t="shared" si="19"/>
        <v>Sw</v>
      </c>
      <c r="M76" s="183" t="str">
        <f t="shared" si="20"/>
        <v>USDAM3L30Y_Quote</v>
      </c>
      <c r="N76" s="164">
        <f>IFERROR(_xll.qlQuoteValue(H82,Trigger),"--")</f>
        <v>1.8370000000000001E-2</v>
      </c>
      <c r="O76" s="164">
        <f t="shared" si="21"/>
        <v>0</v>
      </c>
      <c r="P76" s="140" t="b">
        <v>1</v>
      </c>
      <c r="Q76" s="140">
        <v>50</v>
      </c>
      <c r="R76" s="140">
        <v>1</v>
      </c>
      <c r="S76" s="140" t="str">
        <f t="shared" si="18"/>
        <v>obj_00314#0002</v>
      </c>
      <c r="T76" s="141">
        <f>IFERROR(_xll.qlRateHelperEarliestDate(S76,Trigger),"--")</f>
        <v>42573</v>
      </c>
      <c r="U76" s="141">
        <f>IFERROR(_xll.qlRateHelperPillarDate(S76,Trigger),"--")</f>
        <v>53531</v>
      </c>
      <c r="W76" s="3" t="str">
        <f t="shared" si="24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25</v>
      </c>
      <c r="B77" s="61" t="s">
        <v>91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22"/>
        <v>UsdLibor3M</v>
      </c>
      <c r="H77" s="60" t="str">
        <f t="shared" si="23"/>
        <v>USDAM3L25Y_Quote</v>
      </c>
      <c r="I77" s="129">
        <v>0</v>
      </c>
      <c r="J77" s="175" t="str">
        <f>IF(P71,_xll.qlSwapRateHelper2(,H77,,B77,JoinCalendar,D77,E77,F77,G77,I77,C77,Discounting,PillarDate,,Permanent,Trigger,ObjectOverwrite),"--")</f>
        <v>obj_002fa#0002</v>
      </c>
      <c r="L77" s="162" t="str">
        <f t="shared" si="19"/>
        <v>Sw</v>
      </c>
      <c r="M77" s="183" t="str">
        <f t="shared" si="20"/>
        <v>USDAM3L35Y_Quote</v>
      </c>
      <c r="N77" s="164" t="str">
        <f>IFERROR(_xll.qlQuoteValue(H83,Trigger),"--")</f>
        <v>--</v>
      </c>
      <c r="O77" s="164">
        <f t="shared" si="21"/>
        <v>0</v>
      </c>
      <c r="P77" s="140" t="b">
        <v>0</v>
      </c>
      <c r="Q77" s="140">
        <v>50</v>
      </c>
      <c r="R77" s="140">
        <v>1</v>
      </c>
      <c r="S77" s="140" t="str">
        <f t="shared" si="18"/>
        <v>--</v>
      </c>
      <c r="T77" s="141" t="str">
        <f>IFERROR(_xll.qlRateHelperEarliestDate(S77,Trigger),"--")</f>
        <v>--</v>
      </c>
      <c r="U77" s="141" t="str">
        <f>IFERROR(_xll.qlRateHelperPillarDate(S77,Trigger),"--")</f>
        <v>--</v>
      </c>
      <c r="W77" s="3" t="str">
        <f t="shared" si="24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25</v>
      </c>
      <c r="B78" s="61" t="s">
        <v>138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22"/>
        <v>UsdLibor3M</v>
      </c>
      <c r="H78" s="60" t="str">
        <f t="shared" si="23"/>
        <v>USDAM3L26Y_Quote</v>
      </c>
      <c r="I78" s="129">
        <v>0</v>
      </c>
      <c r="J78" s="175" t="str">
        <f>IF(P72,_xll.qlSwapRateHelper2(,H78,,B78,JoinCalendar,D78,E78,F78,G78,I78,C78,Discounting,PillarDate,,Permanent,Trigger,ObjectOverwrite),"--")</f>
        <v>--</v>
      </c>
      <c r="L78" s="162" t="str">
        <f t="shared" si="19"/>
        <v>Sw</v>
      </c>
      <c r="M78" s="183" t="str">
        <f t="shared" si="20"/>
        <v>USDAM3L40Y_Quote</v>
      </c>
      <c r="N78" s="164">
        <f>IFERROR(_xll.qlQuoteValue(H84,Trigger),"--")</f>
        <v>1.8550000000000001E-2</v>
      </c>
      <c r="O78" s="164">
        <f t="shared" si="21"/>
        <v>0</v>
      </c>
      <c r="P78" s="149" t="b">
        <f>NOT(ISERROR(_xll.qlQuoteValue(M78)))</f>
        <v>1</v>
      </c>
      <c r="Q78" s="140">
        <v>50</v>
      </c>
      <c r="R78" s="140">
        <v>1</v>
      </c>
      <c r="S78" s="140" t="str">
        <f t="shared" si="18"/>
        <v>obj_0030d#0002</v>
      </c>
      <c r="T78" s="141">
        <f>IFERROR(_xll.qlRateHelperEarliestDate(S78,Trigger),"--")</f>
        <v>42573</v>
      </c>
      <c r="U78" s="141">
        <f>IFERROR(_xll.qlRateHelperPillarDate(S78,Trigger),"--")</f>
        <v>57185</v>
      </c>
      <c r="W78" s="3" t="str">
        <f t="shared" si="24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6" t="e">
        <v>#N/A</v>
      </c>
    </row>
    <row r="79" spans="1:30" ht="11.25" customHeight="1" x14ac:dyDescent="0.2">
      <c r="A79" s="60" t="s">
        <v>25</v>
      </c>
      <c r="B79" s="61" t="s">
        <v>92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22"/>
        <v>UsdLibor3M</v>
      </c>
      <c r="H79" s="60" t="str">
        <f t="shared" si="23"/>
        <v>USDAM3L27Y_Quote</v>
      </c>
      <c r="I79" s="129">
        <v>0</v>
      </c>
      <c r="J79" s="175" t="str">
        <f>IF(P73,_xll.qlSwapRateHelper2(,H79,,B79,JoinCalendar,D79,E79,F79,G79,I79,C79,Discounting,PillarDate,,Permanent,Trigger,ObjectOverwrite),"--")</f>
        <v>--</v>
      </c>
      <c r="L79" s="162" t="str">
        <f t="shared" si="19"/>
        <v>Sw</v>
      </c>
      <c r="M79" s="183" t="str">
        <f t="shared" si="20"/>
        <v>USDAM3L45Y_Quote</v>
      </c>
      <c r="N79" s="164" t="str">
        <f>IFERROR(_xll.qlQuoteValue(H85,Trigger),"--")</f>
        <v>--</v>
      </c>
      <c r="O79" s="164">
        <f t="shared" si="21"/>
        <v>0</v>
      </c>
      <c r="P79" s="140" t="b">
        <v>0</v>
      </c>
      <c r="Q79" s="140">
        <v>50</v>
      </c>
      <c r="R79" s="140">
        <v>1</v>
      </c>
      <c r="S79" s="140" t="str">
        <f t="shared" si="18"/>
        <v>--</v>
      </c>
      <c r="T79" s="141" t="str">
        <f>IFERROR(_xll.qlRateHelperEarliestDate(S79,Trigger),"--")</f>
        <v>--</v>
      </c>
      <c r="U79" s="141" t="str">
        <f>IFERROR(_xll.qlRateHelperPillarDate(S79,Trigger),"--")</f>
        <v>--</v>
      </c>
      <c r="W79" s="3" t="str">
        <f t="shared" si="24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6" t="e">
        <v>#N/A</v>
      </c>
    </row>
    <row r="80" spans="1:30" ht="11.25" customHeight="1" x14ac:dyDescent="0.2">
      <c r="A80" s="60" t="s">
        <v>25</v>
      </c>
      <c r="B80" s="61" t="s">
        <v>139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22"/>
        <v>UsdLibor3M</v>
      </c>
      <c r="H80" s="60" t="str">
        <f t="shared" si="23"/>
        <v>USDAM3L28Y_Quote</v>
      </c>
      <c r="I80" s="129">
        <v>0</v>
      </c>
      <c r="J80" s="175" t="str">
        <f>IF(P74,_xll.qlSwapRateHelper2(,H80,,B80,JoinCalendar,D80,E80,F80,G80,I80,C80,Discounting,PillarDate,,Permanent,Trigger,ObjectOverwrite),"--")</f>
        <v>--</v>
      </c>
      <c r="L80" s="162" t="str">
        <f t="shared" si="19"/>
        <v>Sw</v>
      </c>
      <c r="M80" s="183" t="str">
        <f t="shared" si="20"/>
        <v>USDAM3L50Y_Quote</v>
      </c>
      <c r="N80" s="164">
        <f>IFERROR(_xll.qlQuoteValue(H86,Trigger),"--")</f>
        <v>1.8420000000000002E-2</v>
      </c>
      <c r="O80" s="164">
        <f t="shared" si="21"/>
        <v>0</v>
      </c>
      <c r="P80" s="149" t="b">
        <f>NOT(ISERROR(_xll.qlQuoteValue(M80)))</f>
        <v>1</v>
      </c>
      <c r="Q80" s="140">
        <v>50</v>
      </c>
      <c r="R80" s="140">
        <v>1</v>
      </c>
      <c r="S80" s="140" t="str">
        <f t="shared" si="18"/>
        <v>obj_002cf#0002</v>
      </c>
      <c r="T80" s="141">
        <f>IFERROR(_xll.qlRateHelperEarliestDate(S80,Trigger),"--")</f>
        <v>42573</v>
      </c>
      <c r="U80" s="141">
        <f>IFERROR(_xll.qlRateHelperPillarDate(S80,Trigger),"--")</f>
        <v>60835</v>
      </c>
      <c r="W80" s="3" t="str">
        <f t="shared" si="24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6" t="e">
        <v>#N/A</v>
      </c>
    </row>
    <row r="81" spans="1:30" x14ac:dyDescent="0.2">
      <c r="A81" s="60" t="s">
        <v>25</v>
      </c>
      <c r="B81" s="61" t="s">
        <v>140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22"/>
        <v>UsdLibor3M</v>
      </c>
      <c r="H81" s="60" t="str">
        <f t="shared" si="23"/>
        <v>USDAM3L29Y_Quote</v>
      </c>
      <c r="I81" s="129">
        <v>0</v>
      </c>
      <c r="J81" s="175" t="str">
        <f>IF(P75,_xll.qlSwapRateHelper2(,H81,,B81,JoinCalendar,D81,E81,F81,G81,I81,C81,Discounting,PillarDate,,Permanent,Trigger,ObjectOverwrite),"--")</f>
        <v>--</v>
      </c>
      <c r="L81" s="168" t="str">
        <f t="shared" si="19"/>
        <v>Sw</v>
      </c>
      <c r="M81" s="183" t="str">
        <f t="shared" si="20"/>
        <v>USDAM3L60Y_Quote</v>
      </c>
      <c r="N81" s="170" t="str">
        <f>IFERROR(_xll.qlQuoteValue(H87,Trigger),"--")</f>
        <v>--</v>
      </c>
      <c r="O81" s="170">
        <f t="shared" si="21"/>
        <v>0</v>
      </c>
      <c r="P81" s="142" t="b">
        <v>0</v>
      </c>
      <c r="Q81" s="142">
        <v>50</v>
      </c>
      <c r="R81" s="142">
        <v>1</v>
      </c>
      <c r="S81" s="142" t="str">
        <f t="shared" si="18"/>
        <v>--</v>
      </c>
      <c r="T81" s="141" t="str">
        <f>IFERROR(_xll.qlRateHelperEarliestDate(S81,Trigger),"--")</f>
        <v>--</v>
      </c>
      <c r="U81" s="141" t="str">
        <f>IFERROR(_xll.qlRateHelperPillarDate(S81,Trigger),"--")</f>
        <v>--</v>
      </c>
      <c r="W81" s="3" t="str">
        <f t="shared" si="24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6" t="e">
        <v>#N/A</v>
      </c>
    </row>
    <row r="82" spans="1:30" x14ac:dyDescent="0.2">
      <c r="A82" s="60" t="s">
        <v>25</v>
      </c>
      <c r="B82" s="61" t="s">
        <v>93</v>
      </c>
      <c r="C82" s="62" t="s">
        <v>6</v>
      </c>
      <c r="D82" s="62" t="s">
        <v>8</v>
      </c>
      <c r="E82" s="62" t="s">
        <v>7</v>
      </c>
      <c r="F82" s="62" t="s">
        <v>27</v>
      </c>
      <c r="G82" s="62" t="str">
        <f t="shared" si="22"/>
        <v>UsdLibor3M</v>
      </c>
      <c r="H82" s="60" t="str">
        <f t="shared" si="23"/>
        <v>USDAM3L30Y_Quote</v>
      </c>
      <c r="I82" s="129">
        <v>0</v>
      </c>
      <c r="J82" s="175" t="str">
        <f>IF(P76,_xll.qlSwapRateHelper2(,H82,,B82,JoinCalendar,D82,E82,F82,G82,I82,C82,Discounting,PillarDate,,Permanent,Trigger,ObjectOverwrite),"--")</f>
        <v>obj_00314#0002</v>
      </c>
      <c r="L82" s="180" t="str">
        <f>A90</f>
        <v>Sw</v>
      </c>
      <c r="M82" s="188" t="str">
        <f>H90</f>
        <v>USD1S12_Quote</v>
      </c>
      <c r="N82" s="182">
        <f>IFERROR(_xll.qlQuoteValue(H90,Trigger),"--")</f>
        <v>8.6599999999999993E-3</v>
      </c>
      <c r="O82" s="182">
        <f>I90</f>
        <v>0</v>
      </c>
      <c r="P82" s="137" t="b">
        <v>0</v>
      </c>
      <c r="Q82" s="137">
        <v>40</v>
      </c>
      <c r="R82" s="137">
        <v>1</v>
      </c>
      <c r="S82" s="137" t="str">
        <f t="shared" ref="S82:S88" si="25">IF(ISBLANK(J90),"--",J90)</f>
        <v>--</v>
      </c>
      <c r="T82" s="138" t="str">
        <f>IFERROR(_xll.qlRateHelperEarliestDate(S82,Trigger),"--")</f>
        <v>--</v>
      </c>
      <c r="U82" s="138" t="str">
        <f>IFERROR(_xll.qlRateHelperPillarDate(S82,Trigger),"--")</f>
        <v>--</v>
      </c>
      <c r="W82" s="3" t="str">
        <f t="shared" si="24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6" t="e">
        <v>#N/A</v>
      </c>
    </row>
    <row r="83" spans="1:30" x14ac:dyDescent="0.2">
      <c r="A83" s="60" t="s">
        <v>25</v>
      </c>
      <c r="B83" s="61" t="s">
        <v>94</v>
      </c>
      <c r="C83" s="62" t="s">
        <v>6</v>
      </c>
      <c r="D83" s="62" t="s">
        <v>8</v>
      </c>
      <c r="E83" s="62" t="s">
        <v>7</v>
      </c>
      <c r="F83" s="62" t="s">
        <v>27</v>
      </c>
      <c r="G83" s="62" t="str">
        <f t="shared" si="22"/>
        <v>UsdLibor3M</v>
      </c>
      <c r="H83" s="60" t="str">
        <f t="shared" si="23"/>
        <v>USDAM3L35Y_Quote</v>
      </c>
      <c r="I83" s="129">
        <v>0</v>
      </c>
      <c r="J83" s="175" t="str">
        <f>IF(P77,_xll.qlSwapRateHelper2(,H83,,B83,JoinCalendar,D83,E83,F83,G83,I83,C83,Discounting,PillarDate,,Permanent,Trigger,ObjectOverwrite),"--")</f>
        <v>--</v>
      </c>
      <c r="L83" s="162" t="str">
        <f t="shared" ref="L83:L88" si="26">A91</f>
        <v>Sw</v>
      </c>
      <c r="M83" s="183" t="str">
        <f t="shared" ref="M83:M88" si="27">H91</f>
        <v>USD2S12_Quote</v>
      </c>
      <c r="N83" s="164">
        <f>IFERROR(_xll.qlQuoteValue(H91,Trigger),"--")</f>
        <v>9.1599999999999997E-3</v>
      </c>
      <c r="O83" s="164">
        <f t="shared" ref="O83:O88" si="28">I91</f>
        <v>0</v>
      </c>
      <c r="P83" s="140" t="b">
        <v>0</v>
      </c>
      <c r="Q83" s="140">
        <v>40</v>
      </c>
      <c r="R83" s="140">
        <v>1</v>
      </c>
      <c r="S83" s="140" t="str">
        <f t="shared" si="25"/>
        <v>--</v>
      </c>
      <c r="T83" s="141" t="str">
        <f>IFERROR(_xll.qlRateHelperEarliestDate(S83,Trigger),"--")</f>
        <v>--</v>
      </c>
      <c r="U83" s="141" t="str">
        <f>IFERROR(_xll.qlRateHelperPillarDate(S83,Trigger),"--")</f>
        <v>--</v>
      </c>
      <c r="W83" s="3" t="str">
        <f t="shared" si="24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6" t="e">
        <v>#N/A</v>
      </c>
    </row>
    <row r="84" spans="1:30" x14ac:dyDescent="0.2">
      <c r="A84" s="60" t="s">
        <v>25</v>
      </c>
      <c r="B84" s="61" t="s">
        <v>95</v>
      </c>
      <c r="C84" s="62" t="s">
        <v>6</v>
      </c>
      <c r="D84" s="62" t="s">
        <v>8</v>
      </c>
      <c r="E84" s="62" t="s">
        <v>7</v>
      </c>
      <c r="F84" s="62" t="s">
        <v>27</v>
      </c>
      <c r="G84" s="62" t="str">
        <f t="shared" si="22"/>
        <v>UsdLibor3M</v>
      </c>
      <c r="H84" s="60" t="str">
        <f t="shared" si="23"/>
        <v>USDAM3L40Y_Quote</v>
      </c>
      <c r="I84" s="127">
        <v>0</v>
      </c>
      <c r="J84" s="179" t="str">
        <f>_xll.qlSwapRateHelper2(,H84,,B84,JoinCalendar,D84,E84,F84,G84,I84,C84,Discounting,PillarDate,,Permanent,Trigger,ObjectOverwrite)</f>
        <v>obj_0030d#0002</v>
      </c>
      <c r="L84" s="162" t="str">
        <f t="shared" si="26"/>
        <v>Sw</v>
      </c>
      <c r="M84" s="183" t="str">
        <f t="shared" si="27"/>
        <v>USD3S12_Quote</v>
      </c>
      <c r="N84" s="164">
        <f>IFERROR(_xll.qlQuoteValue(H92,Trigger),"--")</f>
        <v>9.5599999999999991E-3</v>
      </c>
      <c r="O84" s="164">
        <f t="shared" si="28"/>
        <v>0</v>
      </c>
      <c r="P84" s="140" t="b">
        <v>0</v>
      </c>
      <c r="Q84" s="140">
        <v>40</v>
      </c>
      <c r="R84" s="140">
        <v>1</v>
      </c>
      <c r="S84" s="140" t="str">
        <f t="shared" si="25"/>
        <v>--</v>
      </c>
      <c r="T84" s="141" t="str">
        <f>IFERROR(_xll.qlRateHelperEarliestDate(S84,Trigger),"--")</f>
        <v>--</v>
      </c>
      <c r="U84" s="141" t="str">
        <f>IFERROR(_xll.qlRateHelperPillarDate(S84,Trigger),"--")</f>
        <v>--</v>
      </c>
      <c r="W84" s="3" t="str">
        <f t="shared" si="24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6" t="e">
        <v>#N/A</v>
      </c>
    </row>
    <row r="85" spans="1:30" x14ac:dyDescent="0.2">
      <c r="A85" s="60" t="s">
        <v>25</v>
      </c>
      <c r="B85" s="61" t="s">
        <v>96</v>
      </c>
      <c r="C85" s="62" t="s">
        <v>6</v>
      </c>
      <c r="D85" s="62" t="s">
        <v>8</v>
      </c>
      <c r="E85" s="62" t="s">
        <v>7</v>
      </c>
      <c r="F85" s="62" t="s">
        <v>27</v>
      </c>
      <c r="G85" s="62" t="str">
        <f t="shared" si="22"/>
        <v>UsdLibor3M</v>
      </c>
      <c r="H85" s="60" t="str">
        <f t="shared" si="23"/>
        <v>USDAM3L45Y_Quote</v>
      </c>
      <c r="I85" s="127">
        <v>0</v>
      </c>
      <c r="J85" s="175" t="str">
        <f>IF(P79,_xll.qlSwapRateHelper2(,H85,,B85,JoinCalendar,D85,E85,F85,G85,I85,C85,Discounting,PillarDate,,Permanent,Trigger,ObjectOverwrite),"--")</f>
        <v>--</v>
      </c>
      <c r="L85" s="162" t="str">
        <f t="shared" si="26"/>
        <v>Sw</v>
      </c>
      <c r="M85" s="183" t="str">
        <f t="shared" si="27"/>
        <v>USD4S12_Quote</v>
      </c>
      <c r="N85" s="164">
        <f>IFERROR(_xll.qlQuoteValue(H93,Trigger),"--")</f>
        <v>9.9399999999999992E-3</v>
      </c>
      <c r="O85" s="164">
        <f t="shared" si="28"/>
        <v>0</v>
      </c>
      <c r="P85" s="140" t="b">
        <v>0</v>
      </c>
      <c r="Q85" s="140">
        <v>40</v>
      </c>
      <c r="R85" s="140">
        <v>1</v>
      </c>
      <c r="S85" s="140" t="str">
        <f t="shared" si="25"/>
        <v>--</v>
      </c>
      <c r="T85" s="141" t="str">
        <f>IFERROR(_xll.qlRateHelperEarliestDate(S85,Trigger),"--")</f>
        <v>--</v>
      </c>
      <c r="U85" s="141" t="str">
        <f>IFERROR(_xll.qlRateHelperPillarDate(S85,Trigger),"--")</f>
        <v>--</v>
      </c>
      <c r="W85" s="3" t="str">
        <f t="shared" si="24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6" t="e">
        <v>#N/A</v>
      </c>
    </row>
    <row r="86" spans="1:30" x14ac:dyDescent="0.2">
      <c r="A86" s="60" t="s">
        <v>25</v>
      </c>
      <c r="B86" s="61" t="s">
        <v>97</v>
      </c>
      <c r="C86" s="62" t="s">
        <v>6</v>
      </c>
      <c r="D86" s="62" t="s">
        <v>8</v>
      </c>
      <c r="E86" s="62" t="s">
        <v>7</v>
      </c>
      <c r="F86" s="62" t="s">
        <v>27</v>
      </c>
      <c r="G86" s="62" t="str">
        <f t="shared" si="22"/>
        <v>UsdLibor3M</v>
      </c>
      <c r="H86" s="60" t="str">
        <f t="shared" si="23"/>
        <v>USDAM3L50Y_Quote</v>
      </c>
      <c r="I86" s="127">
        <v>0</v>
      </c>
      <c r="J86" s="179" t="str">
        <f>_xll.qlSwapRateHelper2(,H86,,B86,JoinCalendar,D86,E86,F86,G86,I86,C86,Discounting,PillarDate,,Permanent,Trigger,ObjectOverwrite)</f>
        <v>obj_002cf#0002</v>
      </c>
      <c r="L86" s="162" t="str">
        <f t="shared" si="26"/>
        <v>Sw</v>
      </c>
      <c r="M86" s="183" t="str">
        <f t="shared" si="27"/>
        <v>USD1S24_Quote</v>
      </c>
      <c r="N86" s="164" t="str">
        <f>IFERROR(_xll.qlQuoteValue(H94,Trigger),"--")</f>
        <v>--</v>
      </c>
      <c r="O86" s="164">
        <f t="shared" si="28"/>
        <v>0</v>
      </c>
      <c r="P86" s="140" t="b">
        <v>0</v>
      </c>
      <c r="Q86" s="140">
        <v>40</v>
      </c>
      <c r="R86" s="140">
        <v>1</v>
      </c>
      <c r="S86" s="140" t="str">
        <f t="shared" si="25"/>
        <v>--</v>
      </c>
      <c r="T86" s="141" t="str">
        <f>IFERROR(_xll.qlRateHelperEarliestDate(S86,Trigger),"--")</f>
        <v>--</v>
      </c>
      <c r="U86" s="141" t="str">
        <f>IFERROR(_xll.qlRateHelperPillarDate(S86,Trigger),"--")</f>
        <v>--</v>
      </c>
      <c r="W86" s="3" t="str">
        <f t="shared" si="24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6" t="e">
        <v>#N/A</v>
      </c>
    </row>
    <row r="87" spans="1:30" x14ac:dyDescent="0.2">
      <c r="A87" s="1" t="s">
        <v>25</v>
      </c>
      <c r="B87" s="8" t="s">
        <v>141</v>
      </c>
      <c r="C87" s="6" t="s">
        <v>6</v>
      </c>
      <c r="D87" s="6" t="s">
        <v>8</v>
      </c>
      <c r="E87" s="6" t="s">
        <v>7</v>
      </c>
      <c r="F87" s="6" t="s">
        <v>27</v>
      </c>
      <c r="G87" s="6" t="str">
        <f t="shared" si="22"/>
        <v>UsdLibor3M</v>
      </c>
      <c r="H87" s="1" t="str">
        <f>Currency&amp;$G$48&amp;$H$48&amp;$B87&amp;"_Quote"</f>
        <v>USDAM3L60Y_Quote</v>
      </c>
      <c r="I87" s="130">
        <v>0</v>
      </c>
      <c r="J87" s="174" t="str">
        <f>IF(P81,_xll.qlSwapRateHelper2(,H87,,B87,JoinCalendar,D87,E87,F87,G87,I87,C87,Discounting,PillarDate,,Permanent,Trigger,ObjectOverwrite),"--")</f>
        <v>--</v>
      </c>
      <c r="L87" s="162" t="str">
        <f t="shared" si="26"/>
        <v>Sw</v>
      </c>
      <c r="M87" s="183" t="str">
        <f t="shared" si="27"/>
        <v>USD2S24_Quote</v>
      </c>
      <c r="N87" s="164" t="str">
        <f>IFERROR(_xll.qlQuoteValue(H95,Trigger),"--")</f>
        <v>--</v>
      </c>
      <c r="O87" s="164">
        <f t="shared" si="28"/>
        <v>0</v>
      </c>
      <c r="P87" s="140" t="b">
        <v>0</v>
      </c>
      <c r="Q87" s="140">
        <v>40</v>
      </c>
      <c r="R87" s="140">
        <v>1</v>
      </c>
      <c r="S87" s="140" t="str">
        <f t="shared" si="25"/>
        <v>--</v>
      </c>
      <c r="T87" s="141" t="str">
        <f>IFERROR(_xll.qlRateHelperEarliestDate(S87,Trigger),"--")</f>
        <v>--</v>
      </c>
      <c r="U87" s="141" t="str">
        <f>IFERROR(_xll.qlRateHelperPillarDate(S87,Trigger),"--")</f>
        <v>--</v>
      </c>
      <c r="W87" s="3" t="str">
        <f t="shared" si="24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6" t="e">
        <v>#N/A</v>
      </c>
    </row>
    <row r="88" spans="1:30" x14ac:dyDescent="0.2">
      <c r="L88" s="168" t="str">
        <f t="shared" si="26"/>
        <v>Sw</v>
      </c>
      <c r="M88" s="184" t="str">
        <f t="shared" si="27"/>
        <v>USD1S36_Quote</v>
      </c>
      <c r="N88" s="170" t="str">
        <f>IFERROR(_xll.qlQuoteValue(H96,Trigger),"--")</f>
        <v>--</v>
      </c>
      <c r="O88" s="170">
        <f t="shared" si="28"/>
        <v>0</v>
      </c>
      <c r="P88" s="142" t="b">
        <v>0</v>
      </c>
      <c r="Q88" s="142">
        <v>40</v>
      </c>
      <c r="R88" s="142">
        <v>1</v>
      </c>
      <c r="S88" s="142" t="str">
        <f t="shared" si="25"/>
        <v>--</v>
      </c>
      <c r="T88" s="143" t="str">
        <f>IFERROR(_xll.qlRateHelperEarliestDate(S88,Trigger),"--")</f>
        <v>--</v>
      </c>
      <c r="U88" s="143" t="str">
        <f>IFERROR(_xll.qlRateHelperPillarDate(S88,Trigger),"--")</f>
        <v>--</v>
      </c>
      <c r="W88" s="5" t="str">
        <f t="shared" si="24"/>
        <v/>
      </c>
      <c r="X88" s="5" t="e">
        <v>#N/A</v>
      </c>
      <c r="Y88" s="5" t="str">
        <f>IFERROR(_xll.qlRateHelperQuoteName(X88,Trigger),"")</f>
        <v/>
      </c>
      <c r="Z88" s="78" t="str">
        <f>IFERROR(_xll.qlRateHelperRate(X88,Trigger),"")</f>
        <v/>
      </c>
      <c r="AA88" s="107" t="str">
        <f>IF(ISERROR(_xll.qlSwapRateHelperSpread($X88)),IF(ISERROR(_xll.qlFuturesRateHelperConvexityAdjustment($X88)),"",_xll.qlFuturesRateHelperConvexityAdjustment($X88)),_xll.qlSwapRateHelperSpread($X88))</f>
        <v/>
      </c>
      <c r="AB88" s="10" t="str">
        <f>IFERROR(_xll.qlRateHelperEarliestDate(X88,Trigger),"")</f>
        <v/>
      </c>
      <c r="AC88" s="10" t="str">
        <f>IFERROR(_xll.qlRateHelperPillarDate(X88,Trigger),"")</f>
        <v/>
      </c>
      <c r="AD88" s="77" t="e">
        <v>#N/A</v>
      </c>
    </row>
    <row r="89" spans="1:30" ht="22.5" x14ac:dyDescent="0.2">
      <c r="A89" s="66" t="s">
        <v>9</v>
      </c>
      <c r="B89" s="66" t="s">
        <v>29</v>
      </c>
      <c r="C89" s="66" t="s">
        <v>145</v>
      </c>
      <c r="D89" s="66" t="s">
        <v>5</v>
      </c>
      <c r="E89" s="66" t="s">
        <v>34</v>
      </c>
      <c r="F89" s="66" t="s">
        <v>146</v>
      </c>
      <c r="G89" s="66" t="s">
        <v>4</v>
      </c>
      <c r="H89" s="66" t="s">
        <v>1</v>
      </c>
      <c r="I89" s="66" t="s">
        <v>142</v>
      </c>
      <c r="J89" s="66" t="s">
        <v>24</v>
      </c>
      <c r="Y89" s="192" t="str">
        <f>_xll.ohGroup(W1&amp;"_instruments",Y3:Y88,Permanent,Trigger,ObjectOverwrite)</f>
        <v>USD3M_instruments#0002</v>
      </c>
    </row>
    <row r="90" spans="1:30" x14ac:dyDescent="0.2">
      <c r="A90" s="55" t="s">
        <v>25</v>
      </c>
      <c r="B90" s="115">
        <v>12</v>
      </c>
      <c r="C90" s="57" t="s">
        <v>6</v>
      </c>
      <c r="D90" s="62" t="s">
        <v>8</v>
      </c>
      <c r="E90" s="62" t="s">
        <v>7</v>
      </c>
      <c r="F90" s="62" t="s">
        <v>27</v>
      </c>
      <c r="G90" s="62" t="str">
        <f t="shared" ref="G90:G96" si="29">PROPER(Currency)&amp;FamilyName&amp;Tenor</f>
        <v>UsdLibor3M</v>
      </c>
      <c r="H90" s="60" t="str">
        <f>Currency&amp;"1S"&amp;$B90&amp;"_Quote"</f>
        <v>USD1S12_Quote</v>
      </c>
      <c r="I90" s="128">
        <v>0</v>
      </c>
      <c r="J90" s="173" t="str">
        <f>IF(P82,_xll.qlSwapRateHelper2(,H90,,B90&amp;"M",JoinCalendar,D90,E90,F90,G90,I90,C90,Discounting,PillarDate,,Permanent,Trigger,ObjectOverwrite),"--")</f>
        <v>--</v>
      </c>
      <c r="K90" s="48" t="s">
        <v>45</v>
      </c>
    </row>
    <row r="91" spans="1:30" x14ac:dyDescent="0.2">
      <c r="A91" s="60" t="s">
        <v>25</v>
      </c>
      <c r="B91" s="116">
        <v>12</v>
      </c>
      <c r="C91" s="62" t="s">
        <v>6</v>
      </c>
      <c r="D91" s="62" t="s">
        <v>8</v>
      </c>
      <c r="E91" s="62" t="s">
        <v>7</v>
      </c>
      <c r="F91" s="62" t="s">
        <v>27</v>
      </c>
      <c r="G91" s="62" t="str">
        <f t="shared" si="29"/>
        <v>UsdLibor3M</v>
      </c>
      <c r="H91" s="60" t="str">
        <f>Currency&amp;"2S"&amp;$B91&amp;"_Quote"</f>
        <v>USD2S12_Quote</v>
      </c>
      <c r="I91" s="129">
        <v>0</v>
      </c>
      <c r="J91" s="175" t="str">
        <f>IF(P83,_xll.qlSwapRateHelper2(,H91,,B91&amp;"M",JoinCalendar,D91,E91,F91,G91,I91,C91,Discounting,PillarDate,,Permanent,Trigger,ObjectOverwrite),"--")</f>
        <v>--</v>
      </c>
    </row>
    <row r="92" spans="1:30" x14ac:dyDescent="0.2">
      <c r="A92" s="60" t="s">
        <v>25</v>
      </c>
      <c r="B92" s="116">
        <v>12</v>
      </c>
      <c r="C92" s="62" t="s">
        <v>6</v>
      </c>
      <c r="D92" s="62" t="s">
        <v>8</v>
      </c>
      <c r="E92" s="62" t="s">
        <v>7</v>
      </c>
      <c r="F92" s="62" t="s">
        <v>27</v>
      </c>
      <c r="G92" s="62" t="str">
        <f t="shared" si="29"/>
        <v>UsdLibor3M</v>
      </c>
      <c r="H92" s="60" t="str">
        <f>Currency&amp;"3S"&amp;$B92&amp;"_Quote"</f>
        <v>USD3S12_Quote</v>
      </c>
      <c r="I92" s="129">
        <v>0</v>
      </c>
      <c r="J92" s="175" t="str">
        <f>IF(P84,_xll.qlSwapRateHelper2(,H92,,B92&amp;"M",JoinCalendar,D92,E92,F92,G92,I92,C92,Discounting,PillarDate,,Permanent,Trigger,ObjectOverwrite),"--")</f>
        <v>--</v>
      </c>
    </row>
    <row r="93" spans="1:30" x14ac:dyDescent="0.2">
      <c r="A93" s="60" t="s">
        <v>25</v>
      </c>
      <c r="B93" s="116">
        <v>12</v>
      </c>
      <c r="C93" s="62" t="s">
        <v>6</v>
      </c>
      <c r="D93" s="62" t="s">
        <v>8</v>
      </c>
      <c r="E93" s="62" t="s">
        <v>7</v>
      </c>
      <c r="F93" s="62" t="s">
        <v>27</v>
      </c>
      <c r="G93" s="62" t="str">
        <f t="shared" si="29"/>
        <v>UsdLibor3M</v>
      </c>
      <c r="H93" s="60" t="str">
        <f>Currency&amp;"4S"&amp;$B93&amp;"_Quote"</f>
        <v>USD4S12_Quote</v>
      </c>
      <c r="I93" s="129">
        <v>0</v>
      </c>
      <c r="J93" s="175" t="str">
        <f>IF(P85,_xll.qlSwapRateHelper2(,H93,,B93&amp;"M",JoinCalendar,D93,E93,F93,G93,I93,C93,Discounting,PillarDate,,Permanent,Trigger,ObjectOverwrite),"--")</f>
        <v>--</v>
      </c>
    </row>
    <row r="94" spans="1:30" x14ac:dyDescent="0.2">
      <c r="A94" s="60" t="s">
        <v>25</v>
      </c>
      <c r="B94" s="116">
        <v>24</v>
      </c>
      <c r="C94" s="62" t="s">
        <v>6</v>
      </c>
      <c r="D94" s="62" t="s">
        <v>8</v>
      </c>
      <c r="E94" s="62" t="s">
        <v>7</v>
      </c>
      <c r="F94" s="62" t="s">
        <v>27</v>
      </c>
      <c r="G94" s="62" t="str">
        <f t="shared" si="29"/>
        <v>UsdLibor3M</v>
      </c>
      <c r="H94" s="60" t="str">
        <f>Currency&amp;"1S"&amp;$B94&amp;"_Quote"</f>
        <v>USD1S24_Quote</v>
      </c>
      <c r="I94" s="129">
        <v>0</v>
      </c>
      <c r="J94" s="175" t="str">
        <f>IF(P86,_xll.qlSwapRateHelper2(,H94,,B94&amp;"M",JoinCalendar,D94,E94,F94,G94,I94,C94,Discounting,PillarDate,,Permanent,Trigger,ObjectOverwrite),"--")</f>
        <v>--</v>
      </c>
    </row>
    <row r="95" spans="1:30" x14ac:dyDescent="0.2">
      <c r="A95" s="60" t="s">
        <v>25</v>
      </c>
      <c r="B95" s="116">
        <v>24</v>
      </c>
      <c r="C95" s="62" t="s">
        <v>6</v>
      </c>
      <c r="D95" s="62" t="s">
        <v>8</v>
      </c>
      <c r="E95" s="62" t="s">
        <v>7</v>
      </c>
      <c r="F95" s="62" t="s">
        <v>27</v>
      </c>
      <c r="G95" s="62" t="str">
        <f t="shared" si="29"/>
        <v>UsdLibor3M</v>
      </c>
      <c r="H95" s="60" t="str">
        <f>Currency&amp;"2S"&amp;$B95&amp;"_Quote"</f>
        <v>USD2S24_Quote</v>
      </c>
      <c r="I95" s="129">
        <v>0</v>
      </c>
      <c r="J95" s="175" t="str">
        <f>IF(P87,_xll.qlSwapRateHelper2(,H95,,B95&amp;"M",JoinCalendar,D95,E95,F95,G95,I95,C95,Discounting,PillarDate,,Permanent,Trigger,ObjectOverwrite),"--")</f>
        <v>--</v>
      </c>
    </row>
    <row r="96" spans="1:30" x14ac:dyDescent="0.2">
      <c r="A96" s="1" t="s">
        <v>25</v>
      </c>
      <c r="B96" s="117">
        <v>36</v>
      </c>
      <c r="C96" s="6" t="s">
        <v>6</v>
      </c>
      <c r="D96" s="6" t="s">
        <v>8</v>
      </c>
      <c r="E96" s="6" t="s">
        <v>7</v>
      </c>
      <c r="F96" s="6" t="s">
        <v>27</v>
      </c>
      <c r="G96" s="6" t="str">
        <f t="shared" si="29"/>
        <v>UsdLibor3M</v>
      </c>
      <c r="H96" s="1" t="str">
        <f>Currency&amp;"1S"&amp;$B96&amp;"_Quote"</f>
        <v>USD1S36_Quote</v>
      </c>
      <c r="I96" s="132">
        <v>0</v>
      </c>
      <c r="J96" s="174" t="str">
        <f>IF(P88,_xll.qlSwapRateHelper2(,H96,,B96&amp;"M",JoinCalendar,D96,E96,F96,G96,I96,C96,Discounting,PillarDate,,Permanent,Trigger,ObjectOverwrite),"--")</f>
        <v>--</v>
      </c>
    </row>
  </sheetData>
  <mergeCells count="1">
    <mergeCell ref="AF2:AG2"/>
  </mergeCells>
  <dataValidations count="5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88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3</v>
      </c>
      <c r="H1" s="52" t="str">
        <f>"_SYNTH"&amp;Tenor</f>
        <v>_SYNTH6M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USD6M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66">_xll.qlPiecewiseYieldCurveData(YieldCurve_6M,Trigger)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obj_00274#0002</v>
      </c>
      <c r="H3" s="121" t="str">
        <f t="shared" ref="H3:H12" si="0">Currency&amp;$B3&amp;"D"&amp;$H$1&amp;QuoteSuffix</f>
        <v>USDSND_SYNTH6M_Quote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USDSND_SYNTH6M_Quote</v>
      </c>
      <c r="N3" s="182">
        <f>IFERROR(_xll.qlQuoteValue(H3,Trigger),"--")</f>
        <v>8.5419999999999992E-3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66">_xll.qlRateHelperSelection(_xll.ohFilter(RateHelpers,IncludeFlag),_xll.ohFilter(Priority,IncludeFlag),$AG$3,$AG$4,$AG$5,$AG$6,_xll.ohFilter(MinDistance,IncludeFlag),Trigger)</f>
        <v>obj_002c7</v>
      </c>
      <c r="Y3" s="3" t="str">
        <f>IFERROR(_xll.qlRateHelperQuoteName(X3,Trigger),"")</f>
        <v>USD1MD_SYNTH6M_Quote</v>
      </c>
      <c r="Z3" s="70">
        <f>IFERROR(_xll.qlRateHelperRate(X3,Trigger),"")</f>
        <v>8.7060000000000002E-3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42573</v>
      </c>
      <c r="AC3" s="4">
        <f>IFERROR(_xll.qlRateHelperPillarDate(X3,Trigger),"")</f>
        <v>42604</v>
      </c>
      <c r="AD3" s="76">
        <v>0.99925087827074177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USDSWD_SYNTH6M_Quote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9" si="2">A4</f>
        <v>Dp</v>
      </c>
      <c r="M4" s="183" t="str">
        <f t="shared" ref="M4:M12" si="3">H4</f>
        <v>USDSWD_SYNTH6M_Quote</v>
      </c>
      <c r="N4" s="164">
        <f>IFERROR(_xll.qlQuoteValue(H4,Trigger),"--")</f>
        <v>8.5550000000000001E-3</v>
      </c>
      <c r="O4" s="167"/>
      <c r="P4" s="101" t="b">
        <v>0</v>
      </c>
      <c r="Q4" s="98">
        <v>10</v>
      </c>
      <c r="R4" s="98">
        <v>1</v>
      </c>
      <c r="S4" s="98" t="str">
        <f t="shared" ref="S4:S12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obj_00290</v>
      </c>
      <c r="Y4" s="3" t="str">
        <f>IFERROR(_xll.qlRateHelperQuoteName(X4,Trigger),"")</f>
        <v>USD2MD_SYNTH6M_Quote</v>
      </c>
      <c r="Z4" s="70">
        <f>IFERROR(_xll.qlRateHelperRate(X4,Trigger),"")</f>
        <v>9.0629999999999999E-3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42573</v>
      </c>
      <c r="AC4" s="4">
        <f>IFERROR(_xll.qlRateHelperPillarDate(X4,Trigger),"")</f>
        <v>42635</v>
      </c>
      <c r="AD4" s="76">
        <v>0.99844158245602355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obj_00282#0002</v>
      </c>
      <c r="H5" s="154" t="str">
        <f t="shared" si="0"/>
        <v>USD2WD_SYNTH6M_Quote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USD2WD_SYNTH6M_Quote</v>
      </c>
      <c r="N5" s="164">
        <f>IFERROR(_xll.qlQuoteValue(H5,Trigger),"--")</f>
        <v>8.5869999999999991E-3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obj_002b3</v>
      </c>
      <c r="Y5" s="3" t="str">
        <f>IFERROR(_xll.qlRateHelperQuoteName(X5,Trigger),"")</f>
        <v>USD3MD_SYNTH6M_Quote</v>
      </c>
      <c r="Z5" s="70">
        <f>IFERROR(_xll.qlRateHelperRate(X5,Trigger),"")</f>
        <v>9.4900000000000002E-3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42573</v>
      </c>
      <c r="AC5" s="4">
        <f>IFERROR(_xll.qlRateHelperPillarDate(X5,Trigger),"")</f>
        <v>42667</v>
      </c>
      <c r="AD5" s="76">
        <v>0.99752818058673909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obj_00286#0002</v>
      </c>
      <c r="H6" s="159" t="str">
        <f t="shared" si="0"/>
        <v>USD3WD_SYNTH6M_Quote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USD3WD_SYNTH6M_Quote</v>
      </c>
      <c r="N6" s="164">
        <f>IFERROR(_xll.qlQuoteValue(H6,Trigger),"--")</f>
        <v>8.6280000000000003E-3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obj_002a8</v>
      </c>
      <c r="Y6" s="3" t="str">
        <f>IFERROR(_xll.qlRateHelperQuoteName(X6,Trigger),"")</f>
        <v>USD4MD_SYNTH6M_Quote</v>
      </c>
      <c r="Z6" s="70">
        <f>IFERROR(_xll.qlRateHelperRate(X6,Trigger),"")</f>
        <v>9.7610000000000006E-3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42573</v>
      </c>
      <c r="AC6" s="4">
        <f>IFERROR(_xll.qlRateHelperPillarDate(X6,Trigger),"")</f>
        <v>42696</v>
      </c>
      <c r="AD6" s="76">
        <v>0.99667607697764604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USD1MD_SYNTH6M_Quote</v>
      </c>
      <c r="I7" s="125"/>
      <c r="J7" s="175" t="str">
        <f>IF(P7,_xll.qlDepositRateHelper(,H7,G7,Permanent,Trigger,ObjectOverwrite),"--")</f>
        <v>obj_002c7#0002</v>
      </c>
      <c r="K7" s="50"/>
      <c r="L7" s="162" t="str">
        <f t="shared" si="2"/>
        <v>Dp</v>
      </c>
      <c r="M7" s="183" t="str">
        <f t="shared" si="3"/>
        <v>USD1MD_SYNTH6M_Quote</v>
      </c>
      <c r="N7" s="164">
        <f>IFERROR(_xll.qlQuoteValue(H7,Trigger),"--")</f>
        <v>8.7060000000000002E-3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obj_002c7#0002</v>
      </c>
      <c r="T7" s="102">
        <f>IFERROR(_xll.qlRateHelperEarliestDate(S7,Trigger),"--")</f>
        <v>42573</v>
      </c>
      <c r="U7" s="102">
        <f>IFERROR(_xll.qlRateHelperPillarDate(S7,Trigger),"--")</f>
        <v>42604</v>
      </c>
      <c r="W7" s="3" t="str">
        <f t="shared" si="1"/>
        <v>Dp</v>
      </c>
      <c r="X7" s="3" t="str">
        <v>obj_002a7</v>
      </c>
      <c r="Y7" s="3" t="str">
        <f>IFERROR(_xll.qlRateHelperQuoteName(X7,Trigger),"")</f>
        <v>USD5MD_SYNTH6M_Quote</v>
      </c>
      <c r="Z7" s="70">
        <f>IFERROR(_xll.qlRateHelperRate(X7,Trigger),"")</f>
        <v>9.9860000000000001E-3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42573</v>
      </c>
      <c r="AC7" s="4">
        <f>IFERROR(_xll.qlRateHelperPillarDate(X7,Trigger),"")</f>
        <v>42726</v>
      </c>
      <c r="AD7" s="76">
        <v>0.99577388583980198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USD2MD_SYNTH6M_Quote</v>
      </c>
      <c r="I8" s="125"/>
      <c r="J8" s="175" t="str">
        <f>IF(P8,_xll.qlDepositRateHelper(,H8,G8,Permanent,Trigger,ObjectOverwrite),"--")</f>
        <v>obj_00290#0002</v>
      </c>
      <c r="K8" s="50"/>
      <c r="L8" s="162" t="str">
        <f t="shared" si="2"/>
        <v>Dp</v>
      </c>
      <c r="M8" s="183" t="str">
        <f t="shared" si="3"/>
        <v>USD2MD_SYNTH6M_Quote</v>
      </c>
      <c r="N8" s="164">
        <f>IFERROR(_xll.qlQuoteValue(H8,Trigger),"--")</f>
        <v>9.0629999999999999E-3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obj_00290#0002</v>
      </c>
      <c r="T8" s="102">
        <f>IFERROR(_xll.qlRateHelperEarliestDate(S8,Trigger),"--")</f>
        <v>42573</v>
      </c>
      <c r="U8" s="102">
        <f>IFERROR(_xll.qlRateHelperPillarDate(S8,Trigger),"--")</f>
        <v>42635</v>
      </c>
      <c r="W8" s="3" t="str">
        <f t="shared" si="1"/>
        <v>Dp</v>
      </c>
      <c r="X8" s="3" t="str">
        <v>obj_002b5</v>
      </c>
      <c r="Y8" s="3" t="str">
        <f>IFERROR(_xll.qlRateHelperQuoteName(X8,Trigger),"")</f>
        <v>USD6MD_SYNTH6M_Quote</v>
      </c>
      <c r="Z8" s="70">
        <f>IFERROR(_xll.qlRateHelperRate(X8,Trigger),"")</f>
        <v>1.0201999999999999E-2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42573</v>
      </c>
      <c r="AC8" s="4">
        <f>IFERROR(_xll.qlRateHelperPillarDate(X8,Trigger),"")</f>
        <v>42758</v>
      </c>
      <c r="AD8" s="76">
        <v>0.99478464805223854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PROPER(Currency)&amp;FamilyName&amp;B9</f>
        <v>UsdLibor3M</v>
      </c>
      <c r="H9" s="122" t="str">
        <f t="shared" si="0"/>
        <v>USD3MD_SYNTH6M_Quote</v>
      </c>
      <c r="I9" s="125"/>
      <c r="J9" s="175" t="str">
        <f>IF(P9,_xll.qlDepositRateHelper(,H9,G9,Permanent,Trigger,ObjectOverwrite),"--")</f>
        <v>obj_002b3#0002</v>
      </c>
      <c r="K9" s="50"/>
      <c r="L9" s="162" t="str">
        <f t="shared" si="2"/>
        <v>Dp</v>
      </c>
      <c r="M9" s="183" t="str">
        <f t="shared" si="3"/>
        <v>USD3MD_SYNTH6M_Quote</v>
      </c>
      <c r="N9" s="164">
        <f>IFERROR(_xll.qlQuoteValue(H9,Trigger),"--")</f>
        <v>9.4900000000000002E-3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obj_002b3#0002</v>
      </c>
      <c r="T9" s="102">
        <f>IFERROR(_xll.qlRateHelperEarliestDate(S9,Trigger),"--")</f>
        <v>42573</v>
      </c>
      <c r="U9" s="102">
        <f>IFERROR(_xll.qlRateHelperPillarDate(S9,Trigger),"--")</f>
        <v>42667</v>
      </c>
      <c r="W9" s="3" t="str">
        <f t="shared" si="1"/>
        <v>FRA</v>
      </c>
      <c r="X9" s="3" t="str">
        <v>obj_00294</v>
      </c>
      <c r="Y9" s="3" t="str">
        <f>IFERROR(_xll.qlRateHelperQuoteName(X9,Trigger),"")</f>
        <v>USD1x7F_Quote</v>
      </c>
      <c r="Z9" s="70">
        <f>IFERROR(_xll.qlRateHelperRate(X9,Trigger),"")</f>
        <v>1.057E-2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42604</v>
      </c>
      <c r="AC9" s="4">
        <f>IFERROR(_xll.qlRateHelperPillarDate(X9,Trigger),"")</f>
        <v>42788</v>
      </c>
      <c r="AD9" s="76">
        <v>0.99388148874344362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obj_00288#0002</v>
      </c>
      <c r="H10" s="154" t="str">
        <f t="shared" si="0"/>
        <v>USD4MD_SYNTH6M_Quote</v>
      </c>
      <c r="I10" s="152"/>
      <c r="J10" s="177" t="str">
        <f>IF(P10,_xll.qlDepositRateHelper(,H10,G10,Permanent,Trigger,ObjectOverwrite),"--")</f>
        <v>obj_002a8#0002</v>
      </c>
      <c r="K10" s="50"/>
      <c r="L10" s="162" t="str">
        <f t="shared" ref="L10:L12" si="5">A10</f>
        <v>Dp</v>
      </c>
      <c r="M10" s="183" t="str">
        <f t="shared" si="3"/>
        <v>USD4MD_SYNTH6M_Quote</v>
      </c>
      <c r="N10" s="164">
        <f>IFERROR(_xll.qlQuoteValue(H10,Trigger),"--")</f>
        <v>9.7610000000000006E-3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obj_002a8#0002</v>
      </c>
      <c r="T10" s="102">
        <f>IFERROR(_xll.qlRateHelperEarliestDate(S10,Trigger),"--")</f>
        <v>42573</v>
      </c>
      <c r="U10" s="102">
        <f>IFERROR(_xll.qlRateHelperPillarDate(S10,Trigger),"--")</f>
        <v>42696</v>
      </c>
      <c r="W10" s="3" t="str">
        <f t="shared" si="1"/>
        <v>FRA</v>
      </c>
      <c r="X10" s="3" t="str">
        <v>obj_0028a</v>
      </c>
      <c r="Y10" s="3" t="str">
        <f>IFERROR(_xll.qlRateHelperQuoteName(X10,Trigger),"")</f>
        <v>USD2x8F_Quote</v>
      </c>
      <c r="Z10" s="70">
        <f>IFERROR(_xll.qlRateHelperRate(X10,Trigger),"")</f>
        <v>1.077E-2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42635</v>
      </c>
      <c r="AC10" s="4">
        <f>IFERROR(_xll.qlRateHelperPillarDate(X10,Trigger),"")</f>
        <v>42816</v>
      </c>
      <c r="AD10" s="76">
        <v>0.9930642224468258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obj_00283#0002</v>
      </c>
      <c r="H11" s="159" t="str">
        <f t="shared" si="0"/>
        <v>USD5MD_SYNTH6M_Quote</v>
      </c>
      <c r="I11" s="157"/>
      <c r="J11" s="178" t="str">
        <f>IF(P11,_xll.qlDepositRateHelper(,H11,G11,Permanent,Trigger,ObjectOverwrite),"--")</f>
        <v>obj_002a7#0002</v>
      </c>
      <c r="K11" s="50"/>
      <c r="L11" s="162" t="str">
        <f t="shared" si="5"/>
        <v>Dp</v>
      </c>
      <c r="M11" s="183" t="str">
        <f t="shared" si="3"/>
        <v>USD5MD_SYNTH6M_Quote</v>
      </c>
      <c r="N11" s="164">
        <f>IFERROR(_xll.qlQuoteValue(H11,Trigger),"--")</f>
        <v>9.9860000000000001E-3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obj_002a7#0002</v>
      </c>
      <c r="T11" s="102">
        <f>IFERROR(_xll.qlRateHelperEarliestDate(S11,Trigger),"--")</f>
        <v>42573</v>
      </c>
      <c r="U11" s="102">
        <f>IFERROR(_xll.qlRateHelperPillarDate(S11,Trigger),"--")</f>
        <v>42726</v>
      </c>
      <c r="W11" s="3" t="str">
        <f t="shared" si="1"/>
        <v>FRA</v>
      </c>
      <c r="X11" s="3" t="str">
        <v>obj_00292</v>
      </c>
      <c r="Y11" s="3" t="str">
        <f>IFERROR(_xll.qlRateHelperQuoteName(X11,Trigger),"")</f>
        <v>USD3x9F_Quote</v>
      </c>
      <c r="Z11" s="70">
        <f>IFERROR(_xll.qlRateHelperRate(X11,Trigger),"")</f>
        <v>1.094E-2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42667</v>
      </c>
      <c r="AC11" s="4">
        <f>IFERROR(_xll.qlRateHelperPillarDate(X11,Trigger),"")</f>
        <v>42849</v>
      </c>
      <c r="AD11" s="76">
        <v>0.99204141994666328</v>
      </c>
    </row>
    <row r="12" spans="1:33" ht="11.25" customHeight="1" x14ac:dyDescent="0.2">
      <c r="A12" s="1" t="s">
        <v>26</v>
      </c>
      <c r="B12" s="8" t="s">
        <v>3</v>
      </c>
      <c r="C12" s="126"/>
      <c r="D12" s="126"/>
      <c r="E12" s="126"/>
      <c r="F12" s="126"/>
      <c r="G12" s="6" t="str">
        <f>PROPER(Currency)&amp;FamilyName&amp;B12</f>
        <v>UsdLibor6M</v>
      </c>
      <c r="H12" s="123" t="str">
        <f t="shared" si="0"/>
        <v>USD6MD_SYNTH6M_Quote</v>
      </c>
      <c r="I12" s="126"/>
      <c r="J12" s="174" t="str">
        <f>IF(P12,_xll.qlDepositRateHelper(,H12,G12,Permanent,Trigger,ObjectOverwrite),"--")</f>
        <v>obj_002b5#0002</v>
      </c>
      <c r="K12" s="50" t="s">
        <v>45</v>
      </c>
      <c r="L12" s="168" t="str">
        <f t="shared" si="5"/>
        <v>Dp</v>
      </c>
      <c r="M12" s="184" t="str">
        <f t="shared" si="3"/>
        <v>USD6MD_SYNTH6M_Quote</v>
      </c>
      <c r="N12" s="170">
        <f>IFERROR(_xll.qlQuoteValue(H12,Trigger),"--")</f>
        <v>1.0201999999999999E-2</v>
      </c>
      <c r="O12" s="171"/>
      <c r="P12" s="103" t="b">
        <v>1</v>
      </c>
      <c r="Q12" s="99">
        <v>70</v>
      </c>
      <c r="R12" s="99">
        <v>1</v>
      </c>
      <c r="S12" s="99" t="str">
        <f t="shared" si="4"/>
        <v>obj_002b5#0002</v>
      </c>
      <c r="T12" s="104">
        <f>IFERROR(_xll.qlRateHelperEarliestDate(S12,Trigger),"--")</f>
        <v>42573</v>
      </c>
      <c r="U12" s="104">
        <f>IFERROR(_xll.qlRateHelperPillarDate(S12,Trigger),"--")</f>
        <v>42758</v>
      </c>
      <c r="W12" s="3" t="str">
        <f t="shared" si="1"/>
        <v>FRA</v>
      </c>
      <c r="X12" s="3" t="str">
        <v>obj_00291</v>
      </c>
      <c r="Y12" s="3" t="str">
        <f>IFERROR(_xll.qlRateHelperQuoteName(X12,Trigger),"")</f>
        <v>USD4x10F_Quote</v>
      </c>
      <c r="Z12" s="70">
        <f>IFERROR(_xll.qlRateHelperRate(X12,Trigger),"")</f>
        <v>1.11E-2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42696</v>
      </c>
      <c r="AC12" s="4">
        <f>IFERROR(_xll.qlRateHelperPillarDate(X12,Trigger),"")</f>
        <v>42877</v>
      </c>
      <c r="AD12" s="76">
        <v>0.9911446637997573</v>
      </c>
    </row>
    <row r="13" spans="1:33" ht="11.25" customHeight="1" x14ac:dyDescent="0.2">
      <c r="B13" s="48"/>
      <c r="C13" s="48"/>
      <c r="D13" s="48"/>
      <c r="E13" s="48"/>
      <c r="F13" s="48"/>
      <c r="G13" s="48"/>
      <c r="H13" s="48"/>
      <c r="K13" s="50"/>
      <c r="L13" s="180" t="str">
        <f>A15</f>
        <v>FRA</v>
      </c>
      <c r="M13" s="181" t="str">
        <f>H15</f>
        <v>USD1x7F_Quote</v>
      </c>
      <c r="N13" s="182">
        <f>IFERROR(_xll.qlQuoteValue(H15,Trigger),"--")</f>
        <v>1.057E-2</v>
      </c>
      <c r="O13" s="165"/>
      <c r="P13" s="134" t="b">
        <v>1</v>
      </c>
      <c r="Q13" s="133">
        <v>20</v>
      </c>
      <c r="R13" s="133">
        <v>1</v>
      </c>
      <c r="S13" s="133" t="str">
        <f>J15</f>
        <v>obj_00294#0002</v>
      </c>
      <c r="T13" s="135">
        <f>IFERROR(_xll.qlRateHelperEarliestDate(S13,Trigger),"--")</f>
        <v>42604</v>
      </c>
      <c r="U13" s="135">
        <f>IFERROR(_xll.qlRateHelperPillarDate(S13,Trigger),"--")</f>
        <v>42788</v>
      </c>
      <c r="W13" s="3" t="str">
        <f t="shared" si="1"/>
        <v>FRA</v>
      </c>
      <c r="X13" s="3" t="str">
        <v>obj_0028c</v>
      </c>
      <c r="Y13" s="3" t="str">
        <f>IFERROR(_xll.qlRateHelperQuoteName(X13,Trigger),"")</f>
        <v>USD5x11F_Quote</v>
      </c>
      <c r="Z13" s="70">
        <f>IFERROR(_xll.qlRateHelperRate(X13,Trigger),"")</f>
        <v>1.1240000000000002E-2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42726</v>
      </c>
      <c r="AC13" s="4">
        <f>IFERROR(_xll.qlRateHelperPillarDate(X13,Trigger),"")</f>
        <v>42908</v>
      </c>
      <c r="AD13" s="76">
        <v>0.99014742808788347</v>
      </c>
    </row>
    <row r="14" spans="1:33" ht="11.25" customHeight="1" x14ac:dyDescent="0.2">
      <c r="A14" s="66" t="s">
        <v>9</v>
      </c>
      <c r="B14" s="66" t="s">
        <v>120</v>
      </c>
      <c r="C14" s="66" t="s">
        <v>121</v>
      </c>
      <c r="D14" s="66"/>
      <c r="E14" s="66"/>
      <c r="F14" s="66"/>
      <c r="G14" s="66" t="s">
        <v>4</v>
      </c>
      <c r="H14" s="66" t="s">
        <v>1</v>
      </c>
      <c r="I14" s="66"/>
      <c r="J14" s="66" t="s">
        <v>24</v>
      </c>
      <c r="K14" s="50"/>
      <c r="L14" s="162" t="str">
        <f t="shared" ref="L14:L26" si="6">A16</f>
        <v>FRA</v>
      </c>
      <c r="M14" s="183" t="str">
        <f t="shared" ref="M14:M30" si="7">H16</f>
        <v>USD2x8F_Quote</v>
      </c>
      <c r="N14" s="164">
        <f>IFERROR(_xll.qlQuoteValue(H16,Trigger),"--")</f>
        <v>1.077E-2</v>
      </c>
      <c r="O14" s="167"/>
      <c r="P14" s="101" t="b">
        <v>1</v>
      </c>
      <c r="Q14" s="98">
        <v>20</v>
      </c>
      <c r="R14" s="98">
        <v>1</v>
      </c>
      <c r="S14" s="98" t="str">
        <f t="shared" ref="S14:S30" si="8">J16</f>
        <v>obj_0028a#0002</v>
      </c>
      <c r="T14" s="102">
        <f>IFERROR(_xll.qlRateHelperEarliestDate(S14,Trigger),"--")</f>
        <v>42635</v>
      </c>
      <c r="U14" s="102">
        <f>IFERROR(_xll.qlRateHelperPillarDate(S14,Trigger),"--")</f>
        <v>42816</v>
      </c>
      <c r="W14" s="3" t="str">
        <f t="shared" si="1"/>
        <v>FRA</v>
      </c>
      <c r="X14" s="3" t="str">
        <v>obj_00297</v>
      </c>
      <c r="Y14" s="3" t="str">
        <f>IFERROR(_xll.qlRateHelperQuoteName(X14,Trigger),"")</f>
        <v>USD6x12F_Quote</v>
      </c>
      <c r="Z14" s="70">
        <f>IFERROR(_xll.qlRateHelperRate(X14,Trigger),"")</f>
        <v>1.1360000000000002E-2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42758</v>
      </c>
      <c r="AC14" s="4">
        <f>IFERROR(_xll.qlRateHelperPillarDate(X14,Trigger),"")</f>
        <v>42940</v>
      </c>
      <c r="AD14" s="76">
        <v>0.9891041132295052</v>
      </c>
    </row>
    <row r="15" spans="1:33" ht="11.25" customHeight="1" x14ac:dyDescent="0.2">
      <c r="A15" s="55" t="s">
        <v>122</v>
      </c>
      <c r="B15" s="115">
        <v>1</v>
      </c>
      <c r="C15" s="58" t="str">
        <f t="shared" ref="C15:C32" si="9">"x"&amp;B15+SUBSTITUTE(Tenor,"M","")&amp;"F"</f>
        <v>x7F</v>
      </c>
      <c r="D15" s="131"/>
      <c r="E15" s="131"/>
      <c r="F15" s="131"/>
      <c r="G15" s="57" t="str">
        <f t="shared" ref="G15:G32" si="10">PROPER(Currency)&amp;FamilyName&amp;Tenor</f>
        <v>UsdLibor6M</v>
      </c>
      <c r="H15" s="118" t="str">
        <f t="shared" ref="H15:H24" si="11">Currency&amp;B15&amp;C15&amp;QuoteSuffix</f>
        <v>USD1x7F_Quote</v>
      </c>
      <c r="I15" s="131"/>
      <c r="J15" s="173" t="str">
        <f>IF(P13,_xll.qlFraRateHelper(,H15,B15&amp;"M",G15,PillarDate,,Permanent,Trigger,ObjectOverwrite),"--")</f>
        <v>obj_00294#0002</v>
      </c>
      <c r="K15" s="50"/>
      <c r="L15" s="162" t="str">
        <f t="shared" si="6"/>
        <v>FRA</v>
      </c>
      <c r="M15" s="183" t="str">
        <f t="shared" si="7"/>
        <v>USD3x9F_Quote</v>
      </c>
      <c r="N15" s="164">
        <f>IFERROR(_xll.qlQuoteValue(H17,Trigger),"--")</f>
        <v>1.094E-2</v>
      </c>
      <c r="O15" s="167"/>
      <c r="P15" s="101" t="b">
        <v>1</v>
      </c>
      <c r="Q15" s="98">
        <v>20</v>
      </c>
      <c r="R15" s="98">
        <v>1</v>
      </c>
      <c r="S15" s="98" t="str">
        <f t="shared" si="8"/>
        <v>obj_00292#0002</v>
      </c>
      <c r="T15" s="102">
        <f>IFERROR(_xll.qlRateHelperEarliestDate(S15,Trigger),"--")</f>
        <v>42667</v>
      </c>
      <c r="U15" s="102">
        <f>IFERROR(_xll.qlRateHelperPillarDate(S15,Trigger),"--")</f>
        <v>42849</v>
      </c>
      <c r="W15" s="3" t="str">
        <f t="shared" si="1"/>
        <v>FRA</v>
      </c>
      <c r="X15" s="3" t="str">
        <v>obj_002cd</v>
      </c>
      <c r="Y15" s="3" t="str">
        <f>IFERROR(_xll.qlRateHelperQuoteName(X15,Trigger),"")</f>
        <v>USD7x13F_Quote</v>
      </c>
      <c r="Z15" s="70">
        <f>IFERROR(_xll.qlRateHelperRate(X15,Trigger),"")</f>
        <v>1.1460000000000001E-2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42788</v>
      </c>
      <c r="AC15" s="4">
        <f>IFERROR(_xll.qlRateHelperPillarDate(X15,Trigger),"")</f>
        <v>42969</v>
      </c>
      <c r="AD15" s="76">
        <v>0.98818771582282516</v>
      </c>
    </row>
    <row r="16" spans="1:33" ht="11.25" customHeight="1" x14ac:dyDescent="0.2">
      <c r="A16" s="60" t="s">
        <v>122</v>
      </c>
      <c r="B16" s="116">
        <v>2</v>
      </c>
      <c r="C16" s="64" t="str">
        <f t="shared" si="9"/>
        <v>x8F</v>
      </c>
      <c r="D16" s="125"/>
      <c r="E16" s="125"/>
      <c r="F16" s="125"/>
      <c r="G16" s="62" t="str">
        <f t="shared" si="10"/>
        <v>UsdLibor6M</v>
      </c>
      <c r="H16" s="119" t="str">
        <f t="shared" si="11"/>
        <v>USD2x8F_Quote</v>
      </c>
      <c r="I16" s="125"/>
      <c r="J16" s="175" t="str">
        <f>IF(P14,_xll.qlFraRateHelper(,H16,B16&amp;"M",G16,PillarDate,,Permanent,Trigger,ObjectOverwrite),"--")</f>
        <v>obj_0028a#0002</v>
      </c>
      <c r="K16" s="50"/>
      <c r="L16" s="162" t="str">
        <f t="shared" si="6"/>
        <v>FRA</v>
      </c>
      <c r="M16" s="183" t="str">
        <f t="shared" si="7"/>
        <v>USD4x10F_Quote</v>
      </c>
      <c r="N16" s="164">
        <f>IFERROR(_xll.qlQuoteValue(H18,Trigger),"--")</f>
        <v>1.11E-2</v>
      </c>
      <c r="O16" s="167"/>
      <c r="P16" s="101" t="b">
        <v>1</v>
      </c>
      <c r="Q16" s="98">
        <v>20</v>
      </c>
      <c r="R16" s="98">
        <v>1</v>
      </c>
      <c r="S16" s="98" t="str">
        <f t="shared" si="8"/>
        <v>obj_00291#0002</v>
      </c>
      <c r="T16" s="102">
        <f>IFERROR(_xll.qlRateHelperEarliestDate(S16,Trigger),"--")</f>
        <v>42696</v>
      </c>
      <c r="U16" s="102">
        <f>IFERROR(_xll.qlRateHelperPillarDate(S16,Trigger),"--")</f>
        <v>42877</v>
      </c>
      <c r="W16" s="3" t="str">
        <f t="shared" si="1"/>
        <v>FRA</v>
      </c>
      <c r="X16" s="3" t="str">
        <v>obj_002cb</v>
      </c>
      <c r="Y16" s="3" t="str">
        <f>IFERROR(_xll.qlRateHelperQuoteName(X16,Trigger),"")</f>
        <v>USD8x14F_Quote</v>
      </c>
      <c r="Z16" s="70">
        <f>IFERROR(_xll.qlRateHelperRate(X16,Trigger),"")</f>
        <v>1.155E-2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42816</v>
      </c>
      <c r="AC16" s="4">
        <f>IFERROR(_xll.qlRateHelperPillarDate(X16,Trigger),"")</f>
        <v>43000</v>
      </c>
      <c r="AD16" s="76">
        <v>0.98723623785601589</v>
      </c>
    </row>
    <row r="17" spans="1:30" ht="11.25" customHeight="1" x14ac:dyDescent="0.2">
      <c r="A17" s="60" t="s">
        <v>122</v>
      </c>
      <c r="B17" s="116">
        <v>3</v>
      </c>
      <c r="C17" s="64" t="str">
        <f t="shared" si="9"/>
        <v>x9F</v>
      </c>
      <c r="D17" s="125"/>
      <c r="E17" s="125"/>
      <c r="F17" s="125"/>
      <c r="G17" s="62" t="str">
        <f t="shared" si="10"/>
        <v>UsdLibor6M</v>
      </c>
      <c r="H17" s="119" t="str">
        <f t="shared" si="11"/>
        <v>USD3x9F_Quote</v>
      </c>
      <c r="I17" s="125"/>
      <c r="J17" s="175" t="str">
        <f>IF(P15,_xll.qlFraRateHelper(,H17,B17&amp;"M",G17,PillarDate,,Permanent,Trigger,ObjectOverwrite),"--")</f>
        <v>obj_00292#0002</v>
      </c>
      <c r="K17" s="50"/>
      <c r="L17" s="162" t="str">
        <f t="shared" si="6"/>
        <v>FRA</v>
      </c>
      <c r="M17" s="183" t="str">
        <f t="shared" si="7"/>
        <v>USD5x11F_Quote</v>
      </c>
      <c r="N17" s="164">
        <f>IFERROR(_xll.qlQuoteValue(H19,Trigger),"--")</f>
        <v>1.1240000000000002E-2</v>
      </c>
      <c r="O17" s="167"/>
      <c r="P17" s="101" t="b">
        <v>1</v>
      </c>
      <c r="Q17" s="98">
        <v>20</v>
      </c>
      <c r="R17" s="98">
        <v>1</v>
      </c>
      <c r="S17" s="98" t="str">
        <f t="shared" si="8"/>
        <v>obj_0028c#0002</v>
      </c>
      <c r="T17" s="102">
        <f>IFERROR(_xll.qlRateHelperEarliestDate(S17,Trigger),"--")</f>
        <v>42726</v>
      </c>
      <c r="U17" s="102">
        <f>IFERROR(_xll.qlRateHelperPillarDate(S17,Trigger),"--")</f>
        <v>42908</v>
      </c>
      <c r="W17" s="3" t="str">
        <f t="shared" si="1"/>
        <v>FRA</v>
      </c>
      <c r="X17" s="3" t="str">
        <v>obj_00298</v>
      </c>
      <c r="Y17" s="3" t="str">
        <f>IFERROR(_xll.qlRateHelperQuoteName(X17,Trigger),"")</f>
        <v>USD9x15F_Quote</v>
      </c>
      <c r="Z17" s="70">
        <f>IFERROR(_xll.qlRateHelperRate(X17,Trigger),"")</f>
        <v>1.1650000000000001E-2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42849</v>
      </c>
      <c r="AC17" s="4">
        <f>IFERROR(_xll.qlRateHelperPillarDate(X17,Trigger),"")</f>
        <v>43031</v>
      </c>
      <c r="AD17" s="76">
        <v>0.98623415446339491</v>
      </c>
    </row>
    <row r="18" spans="1:30" ht="11.25" customHeight="1" x14ac:dyDescent="0.2">
      <c r="A18" s="60" t="s">
        <v>122</v>
      </c>
      <c r="B18" s="116">
        <v>4</v>
      </c>
      <c r="C18" s="64" t="str">
        <f t="shared" si="9"/>
        <v>x10F</v>
      </c>
      <c r="D18" s="125"/>
      <c r="E18" s="125"/>
      <c r="F18" s="125"/>
      <c r="G18" s="62" t="str">
        <f t="shared" si="10"/>
        <v>UsdLibor6M</v>
      </c>
      <c r="H18" s="119" t="str">
        <f t="shared" si="11"/>
        <v>USD4x10F_Quote</v>
      </c>
      <c r="I18" s="125"/>
      <c r="J18" s="175" t="str">
        <f>IF(P16,_xll.qlFraRateHelper(,H18,B18&amp;"M",G18,PillarDate,,Permanent,Trigger,ObjectOverwrite),"--")</f>
        <v>obj_00291#0002</v>
      </c>
      <c r="K18" s="50"/>
      <c r="L18" s="162" t="str">
        <f t="shared" si="6"/>
        <v>FRA</v>
      </c>
      <c r="M18" s="183" t="str">
        <f t="shared" si="7"/>
        <v>USD6x12F_Quote</v>
      </c>
      <c r="N18" s="164">
        <f>IFERROR(_xll.qlQuoteValue(H20,Trigger),"--")</f>
        <v>1.1360000000000002E-2</v>
      </c>
      <c r="O18" s="167"/>
      <c r="P18" s="101" t="b">
        <v>1</v>
      </c>
      <c r="Q18" s="98">
        <v>20</v>
      </c>
      <c r="R18" s="98">
        <v>1</v>
      </c>
      <c r="S18" s="98" t="str">
        <f t="shared" si="8"/>
        <v>obj_00297#0002</v>
      </c>
      <c r="T18" s="102">
        <f>IFERROR(_xll.qlRateHelperEarliestDate(S18,Trigger),"--")</f>
        <v>42758</v>
      </c>
      <c r="U18" s="102">
        <f>IFERROR(_xll.qlRateHelperPillarDate(S18,Trigger),"--")</f>
        <v>42940</v>
      </c>
      <c r="W18" s="3" t="str">
        <f t="shared" si="1"/>
        <v>FRA</v>
      </c>
      <c r="X18" s="3" t="str">
        <v>obj_00289</v>
      </c>
      <c r="Y18" s="3" t="str">
        <f>IFERROR(_xll.qlRateHelperQuoteName(X18,Trigger),"")</f>
        <v>USD10x16F_Quote</v>
      </c>
      <c r="Z18" s="70">
        <f>IFERROR(_xll.qlRateHelperRate(X18,Trigger),"")</f>
        <v>1.175E-2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42877</v>
      </c>
      <c r="AC18" s="4">
        <f>IFERROR(_xll.qlRateHelperPillarDate(X18,Trigger),"")</f>
        <v>43061</v>
      </c>
      <c r="AD18" s="76">
        <v>0.98522782337162051</v>
      </c>
    </row>
    <row r="19" spans="1:30" ht="11.25" customHeight="1" x14ac:dyDescent="0.2">
      <c r="A19" s="60" t="s">
        <v>122</v>
      </c>
      <c r="B19" s="116">
        <v>5</v>
      </c>
      <c r="C19" s="64" t="str">
        <f t="shared" si="9"/>
        <v>x11F</v>
      </c>
      <c r="D19" s="125"/>
      <c r="E19" s="125"/>
      <c r="F19" s="125"/>
      <c r="G19" s="62" t="str">
        <f t="shared" si="10"/>
        <v>UsdLibor6M</v>
      </c>
      <c r="H19" s="119" t="str">
        <f t="shared" si="11"/>
        <v>USD5x11F_Quote</v>
      </c>
      <c r="I19" s="125"/>
      <c r="J19" s="175" t="str">
        <f>IF(P17,_xll.qlFraRateHelper(,H19,B19&amp;"M",G19,PillarDate,,Permanent,Trigger,ObjectOverwrite),"--")</f>
        <v>obj_0028c#0002</v>
      </c>
      <c r="K19" s="50"/>
      <c r="L19" s="162" t="str">
        <f t="shared" si="6"/>
        <v>FRA</v>
      </c>
      <c r="M19" s="183" t="str">
        <f t="shared" si="7"/>
        <v>USD7x13F_Quote</v>
      </c>
      <c r="N19" s="164">
        <f>IFERROR(_xll.qlQuoteValue(H21,Trigger),"--")</f>
        <v>1.1460000000000001E-2</v>
      </c>
      <c r="O19" s="167"/>
      <c r="P19" s="149" t="b">
        <f>NOT(ISERROR(_xll.qlQuoteValue(M19)))</f>
        <v>1</v>
      </c>
      <c r="Q19" s="98">
        <v>20</v>
      </c>
      <c r="R19" s="98">
        <v>1</v>
      </c>
      <c r="S19" s="98" t="str">
        <f t="shared" si="8"/>
        <v>obj_002cd#0002</v>
      </c>
      <c r="T19" s="102">
        <f>IFERROR(_xll.qlRateHelperEarliestDate(S19,Trigger),"--")</f>
        <v>42788</v>
      </c>
      <c r="U19" s="102">
        <f>IFERROR(_xll.qlRateHelperPillarDate(S19,Trigger),"--")</f>
        <v>42969</v>
      </c>
      <c r="W19" s="3" t="str">
        <f t="shared" si="1"/>
        <v>FRA</v>
      </c>
      <c r="X19" s="3" t="str">
        <v>obj_00296</v>
      </c>
      <c r="Y19" s="3" t="str">
        <f>IFERROR(_xll.qlRateHelperQuoteName(X19,Trigger),"")</f>
        <v>USD12x18F_Quote</v>
      </c>
      <c r="Z19" s="70">
        <f>IFERROR(_xll.qlRateHelperRate(X19,Trigger),"")</f>
        <v>1.1979999999999999E-2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42940</v>
      </c>
      <c r="AC19" s="4">
        <f>IFERROR(_xll.qlRateHelperPillarDate(X19,Trigger),"")</f>
        <v>43122</v>
      </c>
      <c r="AD19" s="76">
        <v>0.98315087684164726</v>
      </c>
    </row>
    <row r="20" spans="1:30" ht="11.25" customHeight="1" x14ac:dyDescent="0.2">
      <c r="A20" s="60" t="s">
        <v>122</v>
      </c>
      <c r="B20" s="116">
        <v>6</v>
      </c>
      <c r="C20" s="64" t="str">
        <f t="shared" si="9"/>
        <v>x12F</v>
      </c>
      <c r="D20" s="125"/>
      <c r="E20" s="125"/>
      <c r="F20" s="125"/>
      <c r="G20" s="62" t="str">
        <f t="shared" si="10"/>
        <v>UsdLibor6M</v>
      </c>
      <c r="H20" s="119" t="str">
        <f t="shared" si="11"/>
        <v>USD6x12F_Quote</v>
      </c>
      <c r="I20" s="125"/>
      <c r="J20" s="175" t="str">
        <f>IF(P18,_xll.qlFraRateHelper(,H20,B20&amp;"M",G20,PillarDate,,Permanent,Trigger,ObjectOverwrite),"--")</f>
        <v>obj_00297#0002</v>
      </c>
      <c r="K20" s="50"/>
      <c r="L20" s="162" t="str">
        <f t="shared" si="6"/>
        <v>FRA</v>
      </c>
      <c r="M20" s="183" t="str">
        <f t="shared" si="7"/>
        <v>USD8x14F_Quote</v>
      </c>
      <c r="N20" s="164">
        <f>IFERROR(_xll.qlQuoteValue(H22,Trigger),"--")</f>
        <v>1.155E-2</v>
      </c>
      <c r="O20" s="167"/>
      <c r="P20" s="149" t="b">
        <f>NOT(ISERROR(_xll.qlQuoteValue(M20)))</f>
        <v>1</v>
      </c>
      <c r="Q20" s="98">
        <v>20</v>
      </c>
      <c r="R20" s="98">
        <v>1</v>
      </c>
      <c r="S20" s="98" t="str">
        <f t="shared" si="8"/>
        <v>obj_002cb#0002</v>
      </c>
      <c r="T20" s="102">
        <f>IFERROR(_xll.qlRateHelperEarliestDate(S20,Trigger),"--")</f>
        <v>42816</v>
      </c>
      <c r="U20" s="102">
        <f>IFERROR(_xll.qlRateHelperPillarDate(S20,Trigger),"--")</f>
        <v>43000</v>
      </c>
      <c r="W20" s="3" t="str">
        <f t="shared" si="1"/>
        <v>FRA</v>
      </c>
      <c r="X20" s="3" t="str">
        <v>obj_002ce</v>
      </c>
      <c r="Y20" s="3" t="str">
        <f>IFERROR(_xll.qlRateHelperQuoteName(X20,Trigger),"")</f>
        <v>USD13x19F_Quote</v>
      </c>
      <c r="Z20" s="70">
        <f>IFERROR(_xll.qlRateHelperRate(X20,Trigger),"")</f>
        <v>1.206E-2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42969</v>
      </c>
      <c r="AC20" s="4">
        <f>IFERROR(_xll.qlRateHelperPillarDate(X20,Trigger),"")</f>
        <v>43153</v>
      </c>
      <c r="AD20" s="76">
        <v>0.98213384281570948</v>
      </c>
    </row>
    <row r="21" spans="1:30" ht="11.25" customHeight="1" x14ac:dyDescent="0.2">
      <c r="A21" s="60" t="s">
        <v>122</v>
      </c>
      <c r="B21" s="116">
        <v>7</v>
      </c>
      <c r="C21" s="64" t="str">
        <f t="shared" si="9"/>
        <v>x13F</v>
      </c>
      <c r="D21" s="125"/>
      <c r="E21" s="125"/>
      <c r="F21" s="125"/>
      <c r="G21" s="62" t="str">
        <f t="shared" si="10"/>
        <v>UsdLibor6M</v>
      </c>
      <c r="H21" s="119" t="str">
        <f t="shared" si="11"/>
        <v>USD7x13F_Quote</v>
      </c>
      <c r="I21" s="125"/>
      <c r="J21" s="179" t="str">
        <f>_xll.qlFraRateHelper(,H21,B21&amp;"M",G21,PillarDate,,Permanent,Trigger,ObjectOverwrite)</f>
        <v>obj_002cd#0002</v>
      </c>
      <c r="K21" s="50"/>
      <c r="L21" s="162" t="str">
        <f t="shared" si="6"/>
        <v>FRA</v>
      </c>
      <c r="M21" s="183" t="str">
        <f t="shared" si="7"/>
        <v>USD9x15F_Quote</v>
      </c>
      <c r="N21" s="164">
        <f>IFERROR(_xll.qlQuoteValue(H23,Trigger),"--")</f>
        <v>1.1650000000000001E-2</v>
      </c>
      <c r="O21" s="167"/>
      <c r="P21" s="101" t="b">
        <v>1</v>
      </c>
      <c r="Q21" s="98">
        <v>20</v>
      </c>
      <c r="R21" s="98">
        <v>1</v>
      </c>
      <c r="S21" s="98" t="str">
        <f t="shared" si="8"/>
        <v>obj_00298#0002</v>
      </c>
      <c r="T21" s="102">
        <f>IFERROR(_xll.qlRateHelperEarliestDate(S21,Trigger),"--")</f>
        <v>42849</v>
      </c>
      <c r="U21" s="102">
        <f>IFERROR(_xll.qlRateHelperPillarDate(S21,Trigger),"--")</f>
        <v>43031</v>
      </c>
      <c r="W21" s="3" t="str">
        <f t="shared" si="1"/>
        <v>BasSw</v>
      </c>
      <c r="X21" s="3" t="str">
        <v>obj_002d6</v>
      </c>
      <c r="Y21" s="3" t="str">
        <f>IFERROR(_xll.qlRateHelperQuoteName(X21,Trigger),"")</f>
        <v>USDAM3L2Y_S6L3L_Quote</v>
      </c>
      <c r="Z21" s="70">
        <f>IFERROR(_xll.qlRateHelperRate(X21,Trigger),"")</f>
        <v>1.1543883567540479E-2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42573</v>
      </c>
      <c r="AC21" s="4">
        <f>IFERROR(_xll.qlRateHelperPillarDate(X21,Trigger),"")</f>
        <v>43304</v>
      </c>
      <c r="AD21" s="76">
        <v>0.97692875145874081</v>
      </c>
    </row>
    <row r="22" spans="1:30" ht="11.25" customHeight="1" x14ac:dyDescent="0.2">
      <c r="A22" s="60" t="s">
        <v>122</v>
      </c>
      <c r="B22" s="116">
        <v>8</v>
      </c>
      <c r="C22" s="64" t="str">
        <f t="shared" si="9"/>
        <v>x14F</v>
      </c>
      <c r="D22" s="125"/>
      <c r="E22" s="125"/>
      <c r="F22" s="125"/>
      <c r="G22" s="62" t="str">
        <f t="shared" si="10"/>
        <v>UsdLibor6M</v>
      </c>
      <c r="H22" s="119" t="str">
        <f t="shared" si="11"/>
        <v>USD8x14F_Quote</v>
      </c>
      <c r="I22" s="125"/>
      <c r="J22" s="179" t="str">
        <f>_xll.qlFraRateHelper(,H22,B22&amp;"M",G22,PillarDate,,Permanent,Trigger,ObjectOverwrite)</f>
        <v>obj_002cb#0002</v>
      </c>
      <c r="K22" s="50"/>
      <c r="L22" s="162" t="str">
        <f t="shared" si="6"/>
        <v>FRA</v>
      </c>
      <c r="M22" s="183" t="str">
        <f t="shared" si="7"/>
        <v>USD10x16F_Quote</v>
      </c>
      <c r="N22" s="164">
        <f>IFERROR(_xll.qlQuoteValue(H24,Trigger),"--")</f>
        <v>1.175E-2</v>
      </c>
      <c r="O22" s="167"/>
      <c r="P22" s="149" t="b">
        <f>NOT(ISERROR(_xll.qlQuoteValue(M22)))</f>
        <v>1</v>
      </c>
      <c r="Q22" s="98">
        <v>20</v>
      </c>
      <c r="R22" s="98">
        <v>1</v>
      </c>
      <c r="S22" s="98" t="str">
        <f t="shared" si="8"/>
        <v>obj_00289#0002</v>
      </c>
      <c r="T22" s="102">
        <f>IFERROR(_xll.qlRateHelperEarliestDate(S22,Trigger),"--")</f>
        <v>42877</v>
      </c>
      <c r="U22" s="102">
        <f>IFERROR(_xll.qlRateHelperPillarDate(S22,Trigger),"--")</f>
        <v>43061</v>
      </c>
      <c r="W22" s="3" t="str">
        <f t="shared" si="1"/>
        <v>BasSw</v>
      </c>
      <c r="X22" s="3" t="str">
        <v>obj_002f4</v>
      </c>
      <c r="Y22" s="3" t="str">
        <f>IFERROR(_xll.qlRateHelperQuoteName(X22,Trigger),"")</f>
        <v>USDAM3L3Y_S6L3L_Quote</v>
      </c>
      <c r="Z22" s="70">
        <f>IFERROR(_xll.qlRateHelperRate(X22,Trigger),"")</f>
        <v>1.1965347302329437E-2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42573</v>
      </c>
      <c r="AC22" s="4">
        <f>IFERROR(_xll.qlRateHelperPillarDate(X22,Trigger),"")</f>
        <v>43668</v>
      </c>
      <c r="AD22" s="76">
        <v>0.9644110039187157</v>
      </c>
    </row>
    <row r="23" spans="1:30" ht="11.25" customHeight="1" x14ac:dyDescent="0.2">
      <c r="A23" s="60" t="s">
        <v>122</v>
      </c>
      <c r="B23" s="116">
        <v>9</v>
      </c>
      <c r="C23" s="64" t="str">
        <f t="shared" si="9"/>
        <v>x15F</v>
      </c>
      <c r="D23" s="125"/>
      <c r="E23" s="125"/>
      <c r="F23" s="125"/>
      <c r="G23" s="62" t="str">
        <f t="shared" si="10"/>
        <v>UsdLibor6M</v>
      </c>
      <c r="H23" s="119" t="str">
        <f t="shared" si="11"/>
        <v>USD9x15F_Quote</v>
      </c>
      <c r="I23" s="125"/>
      <c r="J23" s="175" t="str">
        <f>IF(P21,_xll.qlFraRateHelper(,H23,B23&amp;"M",G23,PillarDate,,Permanent,Trigger,ObjectOverwrite),"--")</f>
        <v>obj_00298#0002</v>
      </c>
      <c r="K23" s="50"/>
      <c r="L23" s="162" t="str">
        <f t="shared" si="6"/>
        <v>FRA</v>
      </c>
      <c r="M23" s="183" t="str">
        <f t="shared" si="7"/>
        <v>USD11x17F_Quote</v>
      </c>
      <c r="N23" s="164" t="str">
        <f>IFERROR(_xll.qlQuoteValue(H25,Trigger),"--")</f>
        <v>--</v>
      </c>
      <c r="O23" s="167"/>
      <c r="P23" s="101" t="b">
        <v>0</v>
      </c>
      <c r="Q23" s="98">
        <v>20</v>
      </c>
      <c r="R23" s="98">
        <v>1</v>
      </c>
      <c r="S23" s="98" t="str">
        <f t="shared" si="8"/>
        <v>--</v>
      </c>
      <c r="T23" s="102" t="str">
        <f>IFERROR(_xll.qlRateHelperEarliestDate(S23,Trigger),"--")</f>
        <v>--</v>
      </c>
      <c r="U23" s="102" t="str">
        <f>IFERROR(_xll.qlRateHelperPillarDate(S23,Trigger),"--")</f>
        <v>--</v>
      </c>
      <c r="W23" s="3" t="str">
        <f t="shared" si="1"/>
        <v>BasSw</v>
      </c>
      <c r="X23" s="3" t="str">
        <v>obj_002da</v>
      </c>
      <c r="Y23" s="3" t="str">
        <f>IFERROR(_xll.qlRateHelperQuoteName(X23,Trigger),"")</f>
        <v>USDAM3L4Y_S6L3L_Quote</v>
      </c>
      <c r="Z23" s="70">
        <f>IFERROR(_xll.qlRateHelperRate(X23,Trigger),"")</f>
        <v>1.2465331493980355E-2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42573</v>
      </c>
      <c r="AC23" s="4">
        <f>IFERROR(_xll.qlRateHelperPillarDate(X23,Trigger),"")</f>
        <v>44034</v>
      </c>
      <c r="AD23" s="76">
        <v>0.95087291551487163</v>
      </c>
    </row>
    <row r="24" spans="1:30" ht="11.25" customHeight="1" x14ac:dyDescent="0.2">
      <c r="A24" s="60" t="s">
        <v>122</v>
      </c>
      <c r="B24" s="116">
        <v>10</v>
      </c>
      <c r="C24" s="64" t="str">
        <f t="shared" si="9"/>
        <v>x16F</v>
      </c>
      <c r="D24" s="125"/>
      <c r="E24" s="125"/>
      <c r="F24" s="125"/>
      <c r="G24" s="62" t="str">
        <f t="shared" si="10"/>
        <v>UsdLibor6M</v>
      </c>
      <c r="H24" s="119" t="str">
        <f t="shared" si="11"/>
        <v>USD10x16F_Quote</v>
      </c>
      <c r="I24" s="125"/>
      <c r="J24" s="179" t="str">
        <f>_xll.qlFraRateHelper(,H24,B24&amp;"M",G24,PillarDate,,Permanent,Trigger,ObjectOverwrite)</f>
        <v>obj_00289#0002</v>
      </c>
      <c r="K24" s="50"/>
      <c r="L24" s="162" t="str">
        <f t="shared" si="6"/>
        <v>FRA</v>
      </c>
      <c r="M24" s="183" t="str">
        <f t="shared" si="7"/>
        <v>USD12x18F_Quote</v>
      </c>
      <c r="N24" s="164">
        <f>IFERROR(_xll.qlQuoteValue(H26,Trigger),"--")</f>
        <v>1.1979999999999999E-2</v>
      </c>
      <c r="O24" s="167"/>
      <c r="P24" s="101" t="b">
        <v>1</v>
      </c>
      <c r="Q24" s="98">
        <v>20</v>
      </c>
      <c r="R24" s="98">
        <v>1</v>
      </c>
      <c r="S24" s="98" t="str">
        <f t="shared" si="8"/>
        <v>obj_00296#0002</v>
      </c>
      <c r="T24" s="102">
        <f>IFERROR(_xll.qlRateHelperEarliestDate(S24,Trigger),"--")</f>
        <v>42940</v>
      </c>
      <c r="U24" s="102">
        <f>IFERROR(_xll.qlRateHelperPillarDate(S24,Trigger),"--")</f>
        <v>43122</v>
      </c>
      <c r="W24" s="3" t="str">
        <f t="shared" si="1"/>
        <v>BasSw</v>
      </c>
      <c r="X24" s="3" t="str">
        <v>obj_00316</v>
      </c>
      <c r="Y24" s="3" t="str">
        <f>IFERROR(_xll.qlRateHelperQuoteName(X24,Trigger),"")</f>
        <v>USDAM3L5Y_S6L3L_Quote</v>
      </c>
      <c r="Z24" s="70">
        <f>IFERROR(_xll.qlRateHelperRate(X24,Trigger),"")</f>
        <v>1.3025432934464492E-2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42573</v>
      </c>
      <c r="AC24" s="4">
        <f>IFERROR(_xll.qlRateHelperPillarDate(X24,Trigger),"")</f>
        <v>44399</v>
      </c>
      <c r="AD24" s="76">
        <v>0.93631220854901132</v>
      </c>
    </row>
    <row r="25" spans="1:30" ht="11.25" customHeight="1" x14ac:dyDescent="0.2">
      <c r="A25" s="60" t="s">
        <v>122</v>
      </c>
      <c r="B25" s="116">
        <v>11</v>
      </c>
      <c r="C25" s="64" t="str">
        <f t="shared" si="9"/>
        <v>x17F</v>
      </c>
      <c r="D25" s="125"/>
      <c r="E25" s="125"/>
      <c r="F25" s="125"/>
      <c r="G25" s="62" t="str">
        <f t="shared" si="10"/>
        <v>UsdLibor6M</v>
      </c>
      <c r="H25" s="119" t="str">
        <f t="shared" ref="H25:H32" si="12">Currency&amp;B25&amp;C25&amp;QuoteSuffix</f>
        <v>USD11x17F_Quote</v>
      </c>
      <c r="I25" s="125"/>
      <c r="J25" s="175" t="str">
        <f>IF(P23,_xll.qlFraRateHelper(,H25,B25&amp;"M",G25,PillarDate,,Permanent,Trigger,ObjectOverwrite),"--")</f>
        <v>--</v>
      </c>
      <c r="K25" s="50"/>
      <c r="L25" s="162" t="str">
        <f t="shared" si="6"/>
        <v>FRA</v>
      </c>
      <c r="M25" s="183" t="str">
        <f t="shared" si="7"/>
        <v>USD13x19F_Quote</v>
      </c>
      <c r="N25" s="164">
        <f>IFERROR(_xll.qlQuoteValue(H27,Trigger),"--")</f>
        <v>1.206E-2</v>
      </c>
      <c r="O25" s="167"/>
      <c r="P25" s="149" t="b">
        <f>NOT(ISERROR(_xll.qlQuoteValue(M25)))</f>
        <v>1</v>
      </c>
      <c r="Q25" s="98">
        <v>20</v>
      </c>
      <c r="R25" s="98">
        <v>1</v>
      </c>
      <c r="S25" s="98" t="str">
        <f t="shared" si="8"/>
        <v>obj_002ce#0002</v>
      </c>
      <c r="T25" s="102">
        <f>IFERROR(_xll.qlRateHelperEarliestDate(S25,Trigger),"--")</f>
        <v>42969</v>
      </c>
      <c r="U25" s="102">
        <f>IFERROR(_xll.qlRateHelperPillarDate(S25,Trigger),"--")</f>
        <v>43153</v>
      </c>
      <c r="W25" s="3" t="str">
        <f t="shared" si="1"/>
        <v>BasSw</v>
      </c>
      <c r="X25" s="3" t="str">
        <v>obj_002f3</v>
      </c>
      <c r="Y25" s="3" t="str">
        <f>IFERROR(_xll.qlRateHelperQuoteName(X25,Trigger),"")</f>
        <v>USDAM3L6Y_S6L3L_Quote</v>
      </c>
      <c r="Z25" s="70">
        <f>IFERROR(_xll.qlRateHelperRate(X25,Trigger),"")</f>
        <v>1.3675652291132897E-2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42573</v>
      </c>
      <c r="AC25" s="4">
        <f>IFERROR(_xll.qlRateHelperPillarDate(X25,Trigger),"")</f>
        <v>44764</v>
      </c>
      <c r="AD25" s="76">
        <v>0.92040252927764432</v>
      </c>
    </row>
    <row r="26" spans="1:30" ht="11.25" customHeight="1" x14ac:dyDescent="0.2">
      <c r="A26" s="60" t="s">
        <v>122</v>
      </c>
      <c r="B26" s="116">
        <v>12</v>
      </c>
      <c r="C26" s="64" t="str">
        <f t="shared" si="9"/>
        <v>x18F</v>
      </c>
      <c r="D26" s="125"/>
      <c r="E26" s="125"/>
      <c r="F26" s="125"/>
      <c r="G26" s="62" t="str">
        <f t="shared" si="10"/>
        <v>UsdLibor6M</v>
      </c>
      <c r="H26" s="119" t="str">
        <f t="shared" si="12"/>
        <v>USD12x18F_Quote</v>
      </c>
      <c r="I26" s="125"/>
      <c r="J26" s="189" t="str">
        <f>IF(P24,_xll.qlFraRateHelper(,H26,B26&amp;"M",G26,PillarDate,,Permanent,Trigger,ObjectOverwrite),"--")</f>
        <v>obj_00296#0002</v>
      </c>
      <c r="K26" s="50"/>
      <c r="L26" s="162" t="str">
        <f t="shared" si="6"/>
        <v>FRA</v>
      </c>
      <c r="M26" s="183" t="str">
        <f t="shared" si="7"/>
        <v>USD14x20F_Quote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8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obj_00318</v>
      </c>
      <c r="Y26" s="3" t="str">
        <f>IFERROR(_xll.qlRateHelperQuoteName(X26,Trigger),"")</f>
        <v>USDAM3L7Y_S6L3L_Quote</v>
      </c>
      <c r="Z26" s="70">
        <f>IFERROR(_xll.qlRateHelperRate(X26,Trigger),"")</f>
        <v>1.4315926346926694E-2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42573</v>
      </c>
      <c r="AC26" s="4">
        <f>IFERROR(_xll.qlRateHelperPillarDate(X26,Trigger),"")</f>
        <v>45131</v>
      </c>
      <c r="AD26" s="76">
        <v>0.90353745014127829</v>
      </c>
    </row>
    <row r="27" spans="1:30" ht="11.25" customHeight="1" x14ac:dyDescent="0.2">
      <c r="A27" s="60" t="s">
        <v>122</v>
      </c>
      <c r="B27" s="116">
        <v>13</v>
      </c>
      <c r="C27" s="64" t="str">
        <f t="shared" si="9"/>
        <v>x19F</v>
      </c>
      <c r="D27" s="125"/>
      <c r="E27" s="125"/>
      <c r="F27" s="125"/>
      <c r="G27" s="62" t="str">
        <f t="shared" si="10"/>
        <v>UsdLibor6M</v>
      </c>
      <c r="H27" s="119" t="str">
        <f t="shared" si="12"/>
        <v>USD13x19F_Quote</v>
      </c>
      <c r="I27" s="125"/>
      <c r="J27" s="179" t="str">
        <f>_xll.qlFraRateHelper(,H27,B27&amp;"M",G27,PillarDate,,Permanent,Trigger,ObjectOverwrite)</f>
        <v>obj_002ce#0002</v>
      </c>
      <c r="K27" s="50"/>
      <c r="L27" s="162" t="str">
        <f>A29</f>
        <v>FRA</v>
      </c>
      <c r="M27" s="183" t="str">
        <f t="shared" si="7"/>
        <v>USD15x21F_Quote</v>
      </c>
      <c r="N27" s="164" t="str">
        <f>IFERROR(_xll.qlQuoteValue(H29,Trigger),"--")</f>
        <v>--</v>
      </c>
      <c r="O27" s="167"/>
      <c r="P27" s="101" t="b">
        <v>0</v>
      </c>
      <c r="Q27" s="98">
        <v>20</v>
      </c>
      <c r="R27" s="98">
        <v>1</v>
      </c>
      <c r="S27" s="98" t="str">
        <f t="shared" si="8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1"/>
        <v>BasSw</v>
      </c>
      <c r="X27" s="3" t="str">
        <v>obj_00309</v>
      </c>
      <c r="Y27" s="3" t="str">
        <f>IFERROR(_xll.qlRateHelperQuoteName(X27,Trigger),"")</f>
        <v>USDAM3L8Y_S6L3L_Quote</v>
      </c>
      <c r="Z27" s="70">
        <f>IFERROR(_xll.qlRateHelperRate(X27,Trigger),"")</f>
        <v>1.492621195718385E-2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42573</v>
      </c>
      <c r="AC27" s="4">
        <f>IFERROR(_xll.qlRateHelperPillarDate(X27,Trigger),"")</f>
        <v>45495</v>
      </c>
      <c r="AD27" s="76">
        <v>0.88611668254937603</v>
      </c>
    </row>
    <row r="28" spans="1:30" ht="11.25" customHeight="1" x14ac:dyDescent="0.2">
      <c r="A28" s="60" t="s">
        <v>122</v>
      </c>
      <c r="B28" s="116">
        <v>14</v>
      </c>
      <c r="C28" s="64" t="str">
        <f t="shared" si="9"/>
        <v>x20F</v>
      </c>
      <c r="D28" s="125"/>
      <c r="E28" s="125"/>
      <c r="F28" s="125"/>
      <c r="G28" s="62" t="str">
        <f t="shared" si="10"/>
        <v>UsdLibor6M</v>
      </c>
      <c r="H28" s="119" t="str">
        <f t="shared" si="12"/>
        <v>USD14x20F_Quote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ref="L28:L29" si="13">A30</f>
        <v>FRA</v>
      </c>
      <c r="M28" s="183" t="str">
        <f t="shared" si="7"/>
        <v>USD16x22F_Quote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8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obj_002de</v>
      </c>
      <c r="Y28" s="3" t="str">
        <f>IFERROR(_xll.qlRateHelperQuoteName(X28,Trigger),"")</f>
        <v>USDAM3L9Y_S6L3L_Quote</v>
      </c>
      <c r="Z28" s="70">
        <f>IFERROR(_xll.qlRateHelperRate(X28,Trigger),"")</f>
        <v>1.5486509358148165E-2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42573</v>
      </c>
      <c r="AC28" s="4">
        <f>IFERROR(_xll.qlRateHelperPillarDate(X28,Trigger),"")</f>
        <v>45860</v>
      </c>
      <c r="AD28" s="76">
        <v>0.86828721889366089</v>
      </c>
    </row>
    <row r="29" spans="1:30" ht="11.25" customHeight="1" x14ac:dyDescent="0.2">
      <c r="A29" s="60" t="s">
        <v>122</v>
      </c>
      <c r="B29" s="116">
        <v>15</v>
      </c>
      <c r="C29" s="64" t="str">
        <f t="shared" si="9"/>
        <v>x21F</v>
      </c>
      <c r="D29" s="125"/>
      <c r="E29" s="125"/>
      <c r="F29" s="125"/>
      <c r="G29" s="62" t="str">
        <f t="shared" si="10"/>
        <v>UsdLibor6M</v>
      </c>
      <c r="H29" s="119" t="str">
        <f t="shared" si="12"/>
        <v>USD15x21F_Quote</v>
      </c>
      <c r="I29" s="125"/>
      <c r="J29" s="175" t="str">
        <f>IF(P27,_xll.qlFraRateHelper(,H29,B29&amp;"M",G29,PillarDate,,Permanent,Trigger,ObjectOverwrite),"--")</f>
        <v>--</v>
      </c>
      <c r="K29" s="50"/>
      <c r="L29" s="162" t="str">
        <f t="shared" si="13"/>
        <v>FRA</v>
      </c>
      <c r="M29" s="183" t="str">
        <f t="shared" si="7"/>
        <v>USD17x23F_Quote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8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obj_002dc</v>
      </c>
      <c r="Y29" s="3" t="str">
        <f>IFERROR(_xll.qlRateHelperQuoteName(X29,Trigger),"")</f>
        <v>USDAM3L10Y_S6L3L_Quote</v>
      </c>
      <c r="Z29" s="70">
        <f>IFERROR(_xll.qlRateHelperRate(X29,Trigger),"")</f>
        <v>1.6036878016070726E-2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42573</v>
      </c>
      <c r="AC29" s="4">
        <f>IFERROR(_xll.qlRateHelperPillarDate(X29,Trigger),"")</f>
        <v>46225</v>
      </c>
      <c r="AD29" s="76">
        <v>0.84988755512234915</v>
      </c>
    </row>
    <row r="30" spans="1:30" ht="11.25" customHeight="1" x14ac:dyDescent="0.2">
      <c r="A30" s="60" t="s">
        <v>122</v>
      </c>
      <c r="B30" s="116">
        <v>16</v>
      </c>
      <c r="C30" s="64" t="str">
        <f t="shared" si="9"/>
        <v>x22F</v>
      </c>
      <c r="D30" s="125"/>
      <c r="E30" s="125"/>
      <c r="F30" s="125"/>
      <c r="G30" s="62" t="str">
        <f t="shared" si="10"/>
        <v>UsdLibor6M</v>
      </c>
      <c r="H30" s="119" t="str">
        <f t="shared" si="12"/>
        <v>USD16x22F_Quote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8" t="str">
        <f>A32</f>
        <v>FRA</v>
      </c>
      <c r="M30" s="184" t="str">
        <f t="shared" si="7"/>
        <v>USD18x24F_Quote</v>
      </c>
      <c r="N30" s="170">
        <f>IFERROR(_xll.qlQuoteValue(H32,Trigger),"--")</f>
        <v>1.2350000000000002E-2</v>
      </c>
      <c r="O30" s="171"/>
      <c r="P30" s="103" t="b">
        <v>0</v>
      </c>
      <c r="Q30" s="99">
        <v>20</v>
      </c>
      <c r="R30" s="99">
        <v>1</v>
      </c>
      <c r="S30" s="99" t="str">
        <f t="shared" si="8"/>
        <v>--</v>
      </c>
      <c r="T30" s="104" t="str">
        <f>IFERROR(_xll.qlRateHelperEarliestDate(S30,Trigger),"--")</f>
        <v>--</v>
      </c>
      <c r="U30" s="104" t="str">
        <f>IFERROR(_xll.qlRateHelperPillarDate(S30,Trigger),"--")</f>
        <v>--</v>
      </c>
      <c r="W30" s="3" t="str">
        <f t="shared" si="1"/>
        <v>BasSw</v>
      </c>
      <c r="X30" s="3" t="str">
        <v>obj_002e3</v>
      </c>
      <c r="Y30" s="3" t="str">
        <f>IFERROR(_xll.qlRateHelperQuoteName(X30,Trigger),"")</f>
        <v>USDAM3L12Y_S6L3L_Quote</v>
      </c>
      <c r="Z30" s="70">
        <f>IFERROR(_xll.qlRateHelperRate(X30,Trigger),"")</f>
        <v>1.7037687083908657E-2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42573</v>
      </c>
      <c r="AC30" s="4">
        <f>IFERROR(_xll.qlRateHelperPillarDate(X30,Trigger),"")</f>
        <v>46958</v>
      </c>
      <c r="AD30" s="76">
        <v>0.81226751269944453</v>
      </c>
    </row>
    <row r="31" spans="1:30" ht="11.25" customHeight="1" x14ac:dyDescent="0.2">
      <c r="A31" s="60" t="s">
        <v>122</v>
      </c>
      <c r="B31" s="116">
        <v>17</v>
      </c>
      <c r="C31" s="64" t="str">
        <f t="shared" si="9"/>
        <v>x23F</v>
      </c>
      <c r="D31" s="125"/>
      <c r="E31" s="125"/>
      <c r="F31" s="125"/>
      <c r="G31" s="62" t="str">
        <f t="shared" si="10"/>
        <v>UsdLibor6M</v>
      </c>
      <c r="H31" s="119" t="str">
        <f t="shared" si="12"/>
        <v>USD17x23F_Quote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>A35</f>
        <v>BasSw</v>
      </c>
      <c r="M31" s="190" t="str">
        <f>H35</f>
        <v>USDAM3L1Y_S6L3L_Quote</v>
      </c>
      <c r="N31" s="164">
        <f>IFERROR(_xll.qlQuoteValue(H35,Trigger),"--")</f>
        <v>1.0803283104200256E-2</v>
      </c>
      <c r="O31" s="164">
        <f>I35</f>
        <v>0</v>
      </c>
      <c r="P31" s="101" t="b">
        <v>0</v>
      </c>
      <c r="Q31" s="98">
        <v>40</v>
      </c>
      <c r="R31" s="98">
        <v>1</v>
      </c>
      <c r="S31" s="98" t="str">
        <f>J35</f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obj_002dd</v>
      </c>
      <c r="Y31" s="3" t="str">
        <f>IFERROR(_xll.qlRateHelperQuoteName(X31,Trigger),"")</f>
        <v>USDAM3L15Y_S6L3L_Quote</v>
      </c>
      <c r="Z31" s="70">
        <f>IFERROR(_xll.qlRateHelperRate(X31,Trigger),"")</f>
        <v>1.8128470678558033E-2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42573</v>
      </c>
      <c r="AC31" s="4">
        <f>IFERROR(_xll.qlRateHelperPillarDate(X31,Trigger),"")</f>
        <v>48051</v>
      </c>
      <c r="AD31" s="76">
        <v>0.75795765820432037</v>
      </c>
    </row>
    <row r="32" spans="1:30" ht="11.25" customHeight="1" x14ac:dyDescent="0.2">
      <c r="A32" s="1" t="s">
        <v>122</v>
      </c>
      <c r="B32" s="117">
        <v>18</v>
      </c>
      <c r="C32" s="9" t="str">
        <f t="shared" si="9"/>
        <v>x24F</v>
      </c>
      <c r="D32" s="126"/>
      <c r="E32" s="126"/>
      <c r="F32" s="126"/>
      <c r="G32" s="6" t="str">
        <f t="shared" si="10"/>
        <v>UsdLibor6M</v>
      </c>
      <c r="H32" s="120" t="str">
        <f t="shared" si="12"/>
        <v>USD18x24F_Quote</v>
      </c>
      <c r="I32" s="126"/>
      <c r="J32" s="174" t="str">
        <f>IF(P30,_xll.qlFraRateHelper(,H32,B32&amp;"M",G32,PillarDate,,Permanent,Trigger,ObjectOverwrite),"--")</f>
        <v>--</v>
      </c>
      <c r="K32" s="50"/>
      <c r="L32" s="162" t="str">
        <f t="shared" ref="L32:L66" si="14">A36</f>
        <v>BasSw</v>
      </c>
      <c r="M32" s="183" t="str">
        <f t="shared" ref="M32:M66" si="15">H36</f>
        <v>USDAM3L2Y_S6L3L_Quote</v>
      </c>
      <c r="N32" s="164">
        <f>IFERROR(_xll.qlQuoteValue(H36,Trigger),"--")</f>
        <v>1.1543883567540479E-2</v>
      </c>
      <c r="O32" s="164">
        <f t="shared" ref="O32:O66" si="16">I36</f>
        <v>0</v>
      </c>
      <c r="P32" s="101" t="b">
        <v>1</v>
      </c>
      <c r="Q32" s="98">
        <v>40</v>
      </c>
      <c r="R32" s="98">
        <v>1</v>
      </c>
      <c r="S32" s="98" t="str">
        <f t="shared" ref="S32:S66" si="17">J36</f>
        <v>obj_002d6#0002</v>
      </c>
      <c r="T32" s="102">
        <f>IFERROR(_xll.qlRateHelperEarliestDate(S32,Trigger),"--")</f>
        <v>42573</v>
      </c>
      <c r="U32" s="102">
        <f>IFERROR(_xll.qlRateHelperPillarDate(S32,Trigger),"--")</f>
        <v>43304</v>
      </c>
      <c r="W32" s="3" t="str">
        <f t="shared" si="1"/>
        <v>BasSw</v>
      </c>
      <c r="X32" s="3" t="str">
        <v>obj_00301</v>
      </c>
      <c r="Y32" s="3" t="str">
        <f>IFERROR(_xll.qlRateHelperQuoteName(X32,Trigger),"")</f>
        <v>USDAM3L20Y_S6L3L_Quote</v>
      </c>
      <c r="Z32" s="70">
        <f>IFERROR(_xll.qlRateHelperRate(X32,Trigger),"")</f>
        <v>1.9279218069164532E-2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42573</v>
      </c>
      <c r="AC32" s="4">
        <f>IFERROR(_xll.qlRateHelperPillarDate(X32,Trigger),"")</f>
        <v>49878</v>
      </c>
      <c r="AD32" s="76">
        <v>0.6741376370122899</v>
      </c>
    </row>
    <row r="33" spans="1:30" ht="11.25" customHeight="1" x14ac:dyDescent="0.2">
      <c r="B33" s="48"/>
      <c r="C33" s="48"/>
      <c r="D33" s="48"/>
      <c r="E33" s="48"/>
      <c r="F33" s="48" t="s">
        <v>144</v>
      </c>
      <c r="G33" s="48" t="s">
        <v>143</v>
      </c>
      <c r="H33" s="48" t="s">
        <v>148</v>
      </c>
      <c r="K33" s="50"/>
      <c r="L33" s="162" t="str">
        <f t="shared" si="14"/>
        <v>BasSw</v>
      </c>
      <c r="M33" s="183" t="str">
        <f t="shared" si="15"/>
        <v>USDAM3L3Y_S6L3L_Quote</v>
      </c>
      <c r="N33" s="164">
        <f>IFERROR(_xll.qlQuoteValue(H37,Trigger),"--")</f>
        <v>1.1965347302329437E-2</v>
      </c>
      <c r="O33" s="164">
        <f t="shared" si="16"/>
        <v>0</v>
      </c>
      <c r="P33" s="101" t="b">
        <v>1</v>
      </c>
      <c r="Q33" s="98">
        <v>40</v>
      </c>
      <c r="R33" s="98">
        <v>1</v>
      </c>
      <c r="S33" s="98" t="str">
        <f t="shared" si="17"/>
        <v>obj_002f4#0002</v>
      </c>
      <c r="T33" s="102">
        <f>IFERROR(_xll.qlRateHelperEarliestDate(S33,Trigger),"--")</f>
        <v>42573</v>
      </c>
      <c r="U33" s="102">
        <f>IFERROR(_xll.qlRateHelperPillarDate(S33,Trigger),"--")</f>
        <v>43668</v>
      </c>
      <c r="W33" s="3" t="str">
        <f t="shared" si="1"/>
        <v>BasSw</v>
      </c>
      <c r="X33" s="3" t="str">
        <v>obj_00310</v>
      </c>
      <c r="Y33" s="3" t="str">
        <f>IFERROR(_xll.qlRateHelperQuoteName(X33,Trigger),"")</f>
        <v>USDAM3L25Y_S6L3L_Quote</v>
      </c>
      <c r="Z33" s="70">
        <f>IFERROR(_xll.qlRateHelperRate(X33,Trigger),"")</f>
        <v>1.9819518302975719E-2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42573</v>
      </c>
      <c r="AC33" s="4">
        <f>IFERROR(_xll.qlRateHelperPillarDate(X33,Trigger),"")</f>
        <v>51704</v>
      </c>
      <c r="AD33" s="76">
        <v>0.60216433017160498</v>
      </c>
    </row>
    <row r="34" spans="1:30" ht="11.25" customHeight="1" x14ac:dyDescent="0.2">
      <c r="A34" s="66" t="s">
        <v>9</v>
      </c>
      <c r="B34" s="66" t="s">
        <v>29</v>
      </c>
      <c r="C34" s="66" t="s">
        <v>145</v>
      </c>
      <c r="D34" s="66" t="s">
        <v>5</v>
      </c>
      <c r="E34" s="66" t="s">
        <v>34</v>
      </c>
      <c r="F34" s="66" t="s">
        <v>146</v>
      </c>
      <c r="G34" s="66" t="s">
        <v>4</v>
      </c>
      <c r="H34" s="66" t="s">
        <v>1</v>
      </c>
      <c r="I34" s="66" t="s">
        <v>142</v>
      </c>
      <c r="J34" s="66" t="s">
        <v>24</v>
      </c>
      <c r="K34" s="50"/>
      <c r="L34" s="162" t="str">
        <f t="shared" si="14"/>
        <v>BasSw</v>
      </c>
      <c r="M34" s="183" t="str">
        <f t="shared" si="15"/>
        <v>USDAM3L4Y_S6L3L_Quote</v>
      </c>
      <c r="N34" s="164">
        <f>IFERROR(_xll.qlQuoteValue(H38,Trigger),"--")</f>
        <v>1.2465331493980355E-2</v>
      </c>
      <c r="O34" s="164">
        <f t="shared" si="16"/>
        <v>0</v>
      </c>
      <c r="P34" s="101" t="b">
        <v>1</v>
      </c>
      <c r="Q34" s="98">
        <v>40</v>
      </c>
      <c r="R34" s="98">
        <v>1</v>
      </c>
      <c r="S34" s="98" t="str">
        <f t="shared" si="17"/>
        <v>obj_002da#0002</v>
      </c>
      <c r="T34" s="102">
        <f>IFERROR(_xll.qlRateHelperEarliestDate(S34,Trigger),"--")</f>
        <v>42573</v>
      </c>
      <c r="U34" s="102">
        <f>IFERROR(_xll.qlRateHelperPillarDate(S34,Trigger),"--")</f>
        <v>44034</v>
      </c>
      <c r="W34" s="3" t="str">
        <f t="shared" si="1"/>
        <v>BasSw</v>
      </c>
      <c r="X34" s="3" t="str">
        <v>obj_00307</v>
      </c>
      <c r="Y34" s="3" t="str">
        <f>IFERROR(_xll.qlRateHelperQuoteName(X34,Trigger),"")</f>
        <v>USDAM3L30Y_S6L3L_Quote</v>
      </c>
      <c r="Z34" s="70">
        <f>IFERROR(_xll.qlRateHelperRate(X34,Trigger),"")</f>
        <v>2.0119609478897082E-2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42573</v>
      </c>
      <c r="AC34" s="4">
        <f>IFERROR(_xll.qlRateHelperPillarDate(X34,Trigger),"")</f>
        <v>53531</v>
      </c>
      <c r="AD34" s="76">
        <v>0.53898725635557165</v>
      </c>
    </row>
    <row r="35" spans="1:30" ht="11.25" customHeight="1" x14ac:dyDescent="0.2">
      <c r="A35" s="55" t="s">
        <v>152</v>
      </c>
      <c r="B35" s="56" t="s">
        <v>28</v>
      </c>
      <c r="C35" s="57" t="s">
        <v>6</v>
      </c>
      <c r="D35" s="57" t="s">
        <v>8</v>
      </c>
      <c r="E35" s="57" t="s">
        <v>7</v>
      </c>
      <c r="F35" s="57" t="s">
        <v>27</v>
      </c>
      <c r="G35" s="57" t="str">
        <f t="shared" ref="G35:G70" si="18">PROPER(Currency)&amp;FamilyName&amp;Tenor</f>
        <v>UsdLibor6M</v>
      </c>
      <c r="H35" s="55" t="str">
        <f t="shared" ref="H35:H70" si="19">Currency&amp;$G$33&amp;$F$33&amp;$B35&amp;"_S"&amp;$H$33&amp;$F$33&amp;QuoteSuffix</f>
        <v>USDAM3L1Y_S6L3L_Quote</v>
      </c>
      <c r="I35" s="128">
        <v>0</v>
      </c>
      <c r="J35" s="175" t="str">
        <f>IF(P31,_xll.qlSwapRateHelper2(,H35,,B35,JoinCalendar,D35,E35,F35,G35,I35,C35,Discounting,PillarDate,,Permanent,Trigger,ObjectOverwrite),"--")</f>
        <v>--</v>
      </c>
      <c r="K35" s="50"/>
      <c r="L35" s="162" t="str">
        <f t="shared" si="14"/>
        <v>BasSw</v>
      </c>
      <c r="M35" s="183" t="str">
        <f t="shared" si="15"/>
        <v>USDAM3L5Y_S6L3L_Quote</v>
      </c>
      <c r="N35" s="164">
        <f>IFERROR(_xll.qlQuoteValue(H39,Trigger),"--")</f>
        <v>1.3025432934464492E-2</v>
      </c>
      <c r="O35" s="164">
        <f t="shared" si="16"/>
        <v>0</v>
      </c>
      <c r="P35" s="101" t="b">
        <v>1</v>
      </c>
      <c r="Q35" s="98">
        <v>40</v>
      </c>
      <c r="R35" s="98">
        <v>1</v>
      </c>
      <c r="S35" s="98" t="str">
        <f t="shared" si="17"/>
        <v>obj_00316#0002</v>
      </c>
      <c r="T35" s="102">
        <f>IFERROR(_xll.qlRateHelperEarliestDate(S35,Trigger),"--")</f>
        <v>42573</v>
      </c>
      <c r="U35" s="102">
        <f>IFERROR(_xll.qlRateHelperPillarDate(S35,Trigger),"--")</f>
        <v>44399</v>
      </c>
      <c r="W35" s="3" t="str">
        <f t="shared" ref="W35:W66" si="20">IFERROR(INDEX($L$3:$L$88,MATCH(Y35,$M$3:$M$88,0),1),"")</f>
        <v>BasSw</v>
      </c>
      <c r="X35" s="3" t="str">
        <v>obj_002fc</v>
      </c>
      <c r="Y35" s="3" t="str">
        <f>IFERROR(_xll.qlRateHelperQuoteName(X35,Trigger),"")</f>
        <v>USDAM3L35Y_S6L3L_Quote</v>
      </c>
      <c r="Z35" s="70">
        <f>IFERROR(_xll.qlRateHelperRate(X35,Trigger),"")</f>
        <v>2.0271802879153238E-2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42573</v>
      </c>
      <c r="AC35" s="4">
        <f>IFERROR(_xll.qlRateHelperPillarDate(X35,Trigger),"")</f>
        <v>55358</v>
      </c>
      <c r="AD35" s="76">
        <v>0.48377355934577021</v>
      </c>
    </row>
    <row r="36" spans="1:30" ht="11.25" customHeight="1" x14ac:dyDescent="0.2">
      <c r="A36" s="60" t="s">
        <v>152</v>
      </c>
      <c r="B36" s="61" t="s">
        <v>70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8"/>
        <v>UsdLibor6M</v>
      </c>
      <c r="H36" s="60" t="str">
        <f t="shared" si="19"/>
        <v>USDAM3L2Y_S6L3L_Quote</v>
      </c>
      <c r="I36" s="129">
        <v>0</v>
      </c>
      <c r="J36" s="175" t="str">
        <f>IF(P32,_xll.qlSwapRateHelper2(,H36,,B36,JoinCalendar,D36,E36,F36,G36,I36,C36,Discounting,PillarDate,,Permanent,Trigger,ObjectOverwrite),"--")</f>
        <v>obj_002d6#0002</v>
      </c>
      <c r="K36" s="50"/>
      <c r="L36" s="162" t="str">
        <f t="shared" si="14"/>
        <v>BasSw</v>
      </c>
      <c r="M36" s="183" t="str">
        <f t="shared" si="15"/>
        <v>USDAM3L6Y_S6L3L_Quote</v>
      </c>
      <c r="N36" s="164">
        <f>IFERROR(_xll.qlQuoteValue(H40,Trigger),"--")</f>
        <v>1.3675652291132897E-2</v>
      </c>
      <c r="O36" s="164">
        <f t="shared" si="16"/>
        <v>0</v>
      </c>
      <c r="P36" s="101" t="b">
        <v>1</v>
      </c>
      <c r="Q36" s="98">
        <v>40</v>
      </c>
      <c r="R36" s="98">
        <v>1</v>
      </c>
      <c r="S36" s="98" t="str">
        <f t="shared" si="17"/>
        <v>obj_002f3#0002</v>
      </c>
      <c r="T36" s="102">
        <f>IFERROR(_xll.qlRateHelperEarliestDate(S36,Trigger),"--")</f>
        <v>42573</v>
      </c>
      <c r="U36" s="102">
        <f>IFERROR(_xll.qlRateHelperPillarDate(S36,Trigger),"--")</f>
        <v>44764</v>
      </c>
      <c r="W36" s="3" t="str">
        <f t="shared" si="20"/>
        <v>BasSw</v>
      </c>
      <c r="X36" s="3" t="str">
        <v>obj_0030a</v>
      </c>
      <c r="Y36" s="3" t="str">
        <f>IFERROR(_xll.qlRateHelperQuoteName(X36,Trigger),"")</f>
        <v>USDAM3L40Y_S6L3L_Quote</v>
      </c>
      <c r="Z36" s="70">
        <f>IFERROR(_xll.qlRateHelperRate(X36,Trigger),"")</f>
        <v>2.0299731439729619E-2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42573</v>
      </c>
      <c r="AC36" s="4">
        <f>IFERROR(_xll.qlRateHelperPillarDate(X36,Trigger),"")</f>
        <v>57185</v>
      </c>
      <c r="AD36" s="76">
        <v>0.43623028380820966</v>
      </c>
    </row>
    <row r="37" spans="1:30" ht="11.25" customHeight="1" x14ac:dyDescent="0.2">
      <c r="A37" s="60" t="s">
        <v>152</v>
      </c>
      <c r="B37" s="61" t="s">
        <v>74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8"/>
        <v>UsdLibor6M</v>
      </c>
      <c r="H37" s="60" t="str">
        <f t="shared" si="19"/>
        <v>USDAM3L3Y_S6L3L_Quote</v>
      </c>
      <c r="I37" s="129">
        <v>0</v>
      </c>
      <c r="J37" s="175" t="str">
        <f>IF(P33,_xll.qlSwapRateHelper2(,H37,,B37,JoinCalendar,D37,E37,F37,G37,I37,C37,Discounting,PillarDate,,Permanent,Trigger,ObjectOverwrite),"--")</f>
        <v>obj_002f4#0002</v>
      </c>
      <c r="K37" s="50"/>
      <c r="L37" s="162" t="str">
        <f t="shared" si="14"/>
        <v>BasSw</v>
      </c>
      <c r="M37" s="183" t="str">
        <f t="shared" si="15"/>
        <v>USDAM3L7Y_S6L3L_Quote</v>
      </c>
      <c r="N37" s="164">
        <f>IFERROR(_xll.qlQuoteValue(H41,Trigger),"--")</f>
        <v>1.4315926346926694E-2</v>
      </c>
      <c r="O37" s="164">
        <f t="shared" si="16"/>
        <v>0</v>
      </c>
      <c r="P37" s="101" t="b">
        <v>1</v>
      </c>
      <c r="Q37" s="98">
        <v>40</v>
      </c>
      <c r="R37" s="98">
        <v>1</v>
      </c>
      <c r="S37" s="98" t="str">
        <f t="shared" si="17"/>
        <v>obj_00318#0002</v>
      </c>
      <c r="T37" s="102">
        <f>IFERROR(_xll.qlRateHelperEarliestDate(S37,Trigger),"--")</f>
        <v>42573</v>
      </c>
      <c r="U37" s="102">
        <f>IFERROR(_xll.qlRateHelperPillarDate(S37,Trigger),"--")</f>
        <v>45131</v>
      </c>
      <c r="W37" s="3" t="str">
        <f t="shared" si="20"/>
        <v>BasSw</v>
      </c>
      <c r="X37" s="3" t="str">
        <v>obj_002e6</v>
      </c>
      <c r="Y37" s="3" t="str">
        <f>IFERROR(_xll.qlRateHelperQuoteName(X37,Trigger),"")</f>
        <v>USDAM3L50Y_S6L3L_Quote</v>
      </c>
      <c r="Z37" s="70">
        <f>IFERROR(_xll.qlRateHelperRate(X37,Trigger),"")</f>
        <v>2.0169675629053377E-2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42573</v>
      </c>
      <c r="AC37" s="4">
        <f>IFERROR(_xll.qlRateHelperPillarDate(X37,Trigger),"")</f>
        <v>60835</v>
      </c>
      <c r="AD37" s="76">
        <v>0.3590309844647952</v>
      </c>
    </row>
    <row r="38" spans="1:30" ht="11.25" customHeight="1" x14ac:dyDescent="0.2">
      <c r="A38" s="60" t="s">
        <v>152</v>
      </c>
      <c r="B38" s="61" t="s">
        <v>78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8"/>
        <v>UsdLibor6M</v>
      </c>
      <c r="H38" s="60" t="str">
        <f t="shared" si="19"/>
        <v>USDAM3L4Y_S6L3L_Quote</v>
      </c>
      <c r="I38" s="129">
        <v>0</v>
      </c>
      <c r="J38" s="175" t="str">
        <f>IF(P34,_xll.qlSwapRateHelper2(,H38,,B38,JoinCalendar,D38,E38,F38,G38,I38,C38,Discounting,PillarDate,,Permanent,Trigger,ObjectOverwrite),"--")</f>
        <v>obj_002da#0002</v>
      </c>
      <c r="K38" s="50"/>
      <c r="L38" s="162" t="str">
        <f t="shared" si="14"/>
        <v>BasSw</v>
      </c>
      <c r="M38" s="183" t="str">
        <f t="shared" si="15"/>
        <v>USDAM3L8Y_S6L3L_Quote</v>
      </c>
      <c r="N38" s="164">
        <f>IFERROR(_xll.qlQuoteValue(H42,Trigger),"--")</f>
        <v>1.492621195718385E-2</v>
      </c>
      <c r="O38" s="164">
        <f t="shared" si="16"/>
        <v>0</v>
      </c>
      <c r="P38" s="101" t="b">
        <v>1</v>
      </c>
      <c r="Q38" s="98">
        <v>40</v>
      </c>
      <c r="R38" s="98">
        <v>1</v>
      </c>
      <c r="S38" s="98" t="str">
        <f t="shared" si="17"/>
        <v>obj_00309#0002</v>
      </c>
      <c r="T38" s="102">
        <f>IFERROR(_xll.qlRateHelperEarliestDate(S38,Trigger),"--")</f>
        <v>42573</v>
      </c>
      <c r="U38" s="102">
        <f>IFERROR(_xll.qlRateHelperPillarDate(S38,Trigger),"--")</f>
        <v>45495</v>
      </c>
      <c r="W38" s="3" t="str">
        <f t="shared" si="20"/>
        <v>BasSw</v>
      </c>
      <c r="X38" s="3" t="str">
        <v>obj_002d3</v>
      </c>
      <c r="Y38" s="3" t="str">
        <f>IFERROR(_xll.qlRateHelperQuoteName(X38,Trigger),"")</f>
        <v>USDAM3L60Y_S6L3L_Quote</v>
      </c>
      <c r="Z38" s="70">
        <f>IFERROR(_xll.qlRateHelperRate(X38,Trigger),"")</f>
        <v>2.0043848005301838E-2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42573</v>
      </c>
      <c r="AC38" s="4">
        <f>IFERROR(_xll.qlRateHelperPillarDate(X38,Trigger),"")</f>
        <v>64488</v>
      </c>
      <c r="AD38" s="76">
        <v>0.29647019301067462</v>
      </c>
    </row>
    <row r="39" spans="1:30" ht="11.25" customHeight="1" x14ac:dyDescent="0.2">
      <c r="A39" s="60" t="s">
        <v>152</v>
      </c>
      <c r="B39" s="61" t="s">
        <v>82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8"/>
        <v>UsdLibor6M</v>
      </c>
      <c r="H39" s="60" t="str">
        <f t="shared" si="19"/>
        <v>USDAM3L5Y_S6L3L_Quote</v>
      </c>
      <c r="I39" s="129">
        <v>0</v>
      </c>
      <c r="J39" s="175" t="str">
        <f>IF(P35,_xll.qlSwapRateHelper2(,H39,,B39,JoinCalendar,D39,E39,F39,G39,I39,C39,Discounting,PillarDate,,Permanent,Trigger,ObjectOverwrite),"--")</f>
        <v>obj_00316#0002</v>
      </c>
      <c r="K39" s="50"/>
      <c r="L39" s="162" t="str">
        <f t="shared" si="14"/>
        <v>BasSw</v>
      </c>
      <c r="M39" s="183" t="str">
        <f t="shared" si="15"/>
        <v>USDAM3L9Y_S6L3L_Quote</v>
      </c>
      <c r="N39" s="164">
        <f>IFERROR(_xll.qlQuoteValue(H43,Trigger),"--")</f>
        <v>1.5486509358148165E-2</v>
      </c>
      <c r="O39" s="164">
        <f t="shared" si="16"/>
        <v>0</v>
      </c>
      <c r="P39" s="101" t="b">
        <v>1</v>
      </c>
      <c r="Q39" s="98">
        <v>40</v>
      </c>
      <c r="R39" s="98">
        <v>1</v>
      </c>
      <c r="S39" s="98" t="str">
        <f t="shared" si="17"/>
        <v>obj_002de#0002</v>
      </c>
      <c r="T39" s="102">
        <f>IFERROR(_xll.qlRateHelperEarliestDate(S39,Trigger),"--")</f>
        <v>42573</v>
      </c>
      <c r="U39" s="102">
        <f>IFERROR(_xll.qlRateHelperPillarDate(S39,Trigger),"--")</f>
        <v>45860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152</v>
      </c>
      <c r="B40" s="61" t="s">
        <v>83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8"/>
        <v>UsdLibor6M</v>
      </c>
      <c r="H40" s="60" t="str">
        <f t="shared" si="19"/>
        <v>USDAM3L6Y_S6L3L_Quote</v>
      </c>
      <c r="I40" s="129">
        <v>0</v>
      </c>
      <c r="J40" s="175" t="str">
        <f>IF(P36,_xll.qlSwapRateHelper2(,H40,,B40,JoinCalendar,D40,E40,F40,G40,I40,C40,Discounting,PillarDate,,Permanent,Trigger,ObjectOverwrite),"--")</f>
        <v>obj_002f3#0002</v>
      </c>
      <c r="K40" s="50"/>
      <c r="L40" s="162" t="str">
        <f t="shared" si="14"/>
        <v>BasSw</v>
      </c>
      <c r="M40" s="183" t="str">
        <f t="shared" si="15"/>
        <v>USDAM3L10Y_S6L3L_Quote</v>
      </c>
      <c r="N40" s="164">
        <f>IFERROR(_xll.qlQuoteValue(H44,Trigger),"--")</f>
        <v>1.6036878016070726E-2</v>
      </c>
      <c r="O40" s="164">
        <f t="shared" si="16"/>
        <v>0</v>
      </c>
      <c r="P40" s="101" t="b">
        <v>1</v>
      </c>
      <c r="Q40" s="98">
        <v>40</v>
      </c>
      <c r="R40" s="98">
        <v>1</v>
      </c>
      <c r="S40" s="98" t="str">
        <f t="shared" si="17"/>
        <v>obj_002dc#0002</v>
      </c>
      <c r="T40" s="102">
        <f>IFERROR(_xll.qlRateHelperEarliestDate(S40,Trigger),"--")</f>
        <v>42573</v>
      </c>
      <c r="U40" s="102">
        <f>IFERROR(_xll.qlRateHelperPillarDate(S40,Trigger),"--")</f>
        <v>46225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152</v>
      </c>
      <c r="B41" s="61" t="s">
        <v>84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8"/>
        <v>UsdLibor6M</v>
      </c>
      <c r="H41" s="60" t="str">
        <f t="shared" si="19"/>
        <v>USDAM3L7Y_S6L3L_Quote</v>
      </c>
      <c r="I41" s="129">
        <v>0</v>
      </c>
      <c r="J41" s="175" t="str">
        <f>IF(P37,_xll.qlSwapRateHelper2(,H41,,B41,JoinCalendar,D41,E41,F41,G41,I41,C41,Discounting,PillarDate,,Permanent,Trigger,ObjectOverwrite),"--")</f>
        <v>obj_00318#0002</v>
      </c>
      <c r="L41" s="162" t="str">
        <f t="shared" si="14"/>
        <v>BasSw</v>
      </c>
      <c r="M41" s="183" t="str">
        <f t="shared" si="15"/>
        <v>USDAM3L11Y_S6L3L_Quote</v>
      </c>
      <c r="N41" s="164">
        <f>IFERROR(_xll.qlQuoteValue(H45,Trigger),"--")</f>
        <v>1.6560232824798557E-2</v>
      </c>
      <c r="O41" s="164">
        <f t="shared" si="16"/>
        <v>0</v>
      </c>
      <c r="P41" s="101" t="b">
        <v>0</v>
      </c>
      <c r="Q41" s="98">
        <v>40</v>
      </c>
      <c r="R41" s="98">
        <v>1</v>
      </c>
      <c r="S41" s="98" t="str">
        <f t="shared" si="1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152</v>
      </c>
      <c r="B42" s="61" t="s">
        <v>85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8"/>
        <v>UsdLibor6M</v>
      </c>
      <c r="H42" s="60" t="str">
        <f t="shared" si="19"/>
        <v>USDAM3L8Y_S6L3L_Quote</v>
      </c>
      <c r="I42" s="129">
        <v>0</v>
      </c>
      <c r="J42" s="175" t="str">
        <f>IF(P38,_xll.qlSwapRateHelper2(,H42,,B42,JoinCalendar,D42,E42,F42,G42,I42,C42,Discounting,PillarDate,,Permanent,Trigger,ObjectOverwrite),"--")</f>
        <v>obj_00309#0002</v>
      </c>
      <c r="L42" s="162" t="str">
        <f t="shared" si="14"/>
        <v>BasSw</v>
      </c>
      <c r="M42" s="183" t="str">
        <f t="shared" si="15"/>
        <v>USDAM3L12Y_S6L3L_Quote</v>
      </c>
      <c r="N42" s="164">
        <f>IFERROR(_xll.qlQuoteValue(H46,Trigger),"--")</f>
        <v>1.7037687083908657E-2</v>
      </c>
      <c r="O42" s="164">
        <f t="shared" si="16"/>
        <v>0</v>
      </c>
      <c r="P42" s="101" t="b">
        <v>1</v>
      </c>
      <c r="Q42" s="98">
        <v>40</v>
      </c>
      <c r="R42" s="98">
        <v>1</v>
      </c>
      <c r="S42" s="98" t="str">
        <f t="shared" si="17"/>
        <v>obj_002e3#0002</v>
      </c>
      <c r="T42" s="102">
        <f>IFERROR(_xll.qlRateHelperEarliestDate(S42,Trigger),"--")</f>
        <v>42573</v>
      </c>
      <c r="U42" s="102">
        <f>IFERROR(_xll.qlRateHelperPillarDate(S42,Trigger),"--")</f>
        <v>46958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152</v>
      </c>
      <c r="B43" s="61" t="s">
        <v>86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8"/>
        <v>UsdLibor6M</v>
      </c>
      <c r="H43" s="60" t="str">
        <f t="shared" si="19"/>
        <v>USDAM3L9Y_S6L3L_Quote</v>
      </c>
      <c r="I43" s="129">
        <v>0</v>
      </c>
      <c r="J43" s="175" t="str">
        <f>IF(P39,_xll.qlSwapRateHelper2(,H43,,B43,JoinCalendar,D43,E43,F43,G43,I43,C43,Discounting,PillarDate,,Permanent,Trigger,ObjectOverwrite),"--")</f>
        <v>obj_002de#0002</v>
      </c>
      <c r="L43" s="162" t="str">
        <f t="shared" si="14"/>
        <v>BasSw</v>
      </c>
      <c r="M43" s="183" t="str">
        <f t="shared" si="15"/>
        <v>USDAM3L13Y_S6L3L_Quote</v>
      </c>
      <c r="N43" s="164">
        <f>IFERROR(_xll.qlQuoteValue(H47,Trigger),"--")</f>
        <v>1.7448680071903588E-2</v>
      </c>
      <c r="O43" s="164">
        <f t="shared" si="16"/>
        <v>0</v>
      </c>
      <c r="P43" s="101" t="b">
        <v>0</v>
      </c>
      <c r="Q43" s="98">
        <v>40</v>
      </c>
      <c r="R43" s="98">
        <v>1</v>
      </c>
      <c r="S43" s="98" t="str">
        <f t="shared" si="17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152</v>
      </c>
      <c r="B44" s="61" t="s">
        <v>87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8"/>
        <v>UsdLibor6M</v>
      </c>
      <c r="H44" s="60" t="str">
        <f t="shared" si="19"/>
        <v>USDAM3L10Y_S6L3L_Quote</v>
      </c>
      <c r="I44" s="129">
        <v>0</v>
      </c>
      <c r="J44" s="175" t="str">
        <f>IF(P40,_xll.qlSwapRateHelper2(,H44,,B44,JoinCalendar,D44,E44,F44,G44,I44,C44,Discounting,PillarDate,,Permanent,Trigger,ObjectOverwrite),"--")</f>
        <v>obj_002dc#0002</v>
      </c>
      <c r="L44" s="162" t="str">
        <f t="shared" si="14"/>
        <v>BasSw</v>
      </c>
      <c r="M44" s="183" t="str">
        <f t="shared" si="15"/>
        <v>USDAM3L14Y_S6L3L_Quote</v>
      </c>
      <c r="N44" s="164">
        <f>IFERROR(_xll.qlQuoteValue(H48,Trigger),"--")</f>
        <v>1.7808101691617683E-2</v>
      </c>
      <c r="O44" s="164">
        <f t="shared" si="16"/>
        <v>0</v>
      </c>
      <c r="P44" s="101" t="b">
        <v>0</v>
      </c>
      <c r="Q44" s="98">
        <v>40</v>
      </c>
      <c r="R44" s="98">
        <v>1</v>
      </c>
      <c r="S44" s="98" t="str">
        <f t="shared" si="17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152</v>
      </c>
      <c r="B45" s="61" t="s">
        <v>127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8"/>
        <v>UsdLibor6M</v>
      </c>
      <c r="H45" s="60" t="str">
        <f t="shared" si="19"/>
        <v>USDAM3L11Y_S6L3L_Quote</v>
      </c>
      <c r="I45" s="129">
        <v>0</v>
      </c>
      <c r="J45" s="175" t="str">
        <f>IF(P41,_xll.qlSwapRateHelper2(,H45,,B45,JoinCalendar,D45,E45,F45,G45,I45,C45,Discounting,PillarDate,,Permanent,Trigger,ObjectOverwrite),"--")</f>
        <v>--</v>
      </c>
      <c r="L45" s="162" t="str">
        <f t="shared" si="14"/>
        <v>BasSw</v>
      </c>
      <c r="M45" s="183" t="str">
        <f t="shared" si="15"/>
        <v>USDAM3L15Y_S6L3L_Quote</v>
      </c>
      <c r="N45" s="164">
        <f>IFERROR(_xll.qlQuoteValue(H49,Trigger),"--")</f>
        <v>1.8128470678558033E-2</v>
      </c>
      <c r="O45" s="164">
        <f t="shared" si="16"/>
        <v>0</v>
      </c>
      <c r="P45" s="101" t="b">
        <v>1</v>
      </c>
      <c r="Q45" s="98">
        <v>40</v>
      </c>
      <c r="R45" s="98">
        <v>1</v>
      </c>
      <c r="S45" s="98" t="str">
        <f t="shared" si="17"/>
        <v>obj_002dd#0002</v>
      </c>
      <c r="T45" s="102">
        <f>IFERROR(_xll.qlRateHelperEarliestDate(S45,Trigger),"--")</f>
        <v>42573</v>
      </c>
      <c r="U45" s="102">
        <f>IFERROR(_xll.qlRateHelperPillarDate(S45,Trigger),"--")</f>
        <v>48051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152</v>
      </c>
      <c r="B46" s="61" t="s">
        <v>88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8"/>
        <v>UsdLibor6M</v>
      </c>
      <c r="H46" s="60" t="str">
        <f t="shared" si="19"/>
        <v>USDAM3L12Y_S6L3L_Quote</v>
      </c>
      <c r="I46" s="129">
        <v>0</v>
      </c>
      <c r="J46" s="175" t="str">
        <f>IF(P42,_xll.qlSwapRateHelper2(,H46,,B46,JoinCalendar,D46,E46,F46,G46,I46,C46,Discounting,PillarDate,,Permanent,Trigger,ObjectOverwrite),"--")</f>
        <v>obj_002e3#0002</v>
      </c>
      <c r="L46" s="162" t="str">
        <f t="shared" si="14"/>
        <v>BasSw</v>
      </c>
      <c r="M46" s="183" t="str">
        <f t="shared" si="15"/>
        <v>USDAM3L16Y_S6L3L_Quote</v>
      </c>
      <c r="N46" s="164">
        <f>IFERROR(_xll.qlQuoteValue(H50,Trigger),"--")</f>
        <v>1.8418109314295349E-2</v>
      </c>
      <c r="O46" s="164">
        <f t="shared" si="16"/>
        <v>0</v>
      </c>
      <c r="P46" s="101" t="b">
        <v>0</v>
      </c>
      <c r="Q46" s="98">
        <v>40</v>
      </c>
      <c r="R46" s="98">
        <v>1</v>
      </c>
      <c r="S46" s="98" t="str">
        <f t="shared" si="17"/>
        <v>--</v>
      </c>
      <c r="T46" s="102" t="str">
        <f>IFERROR(_xll.qlRateHelperEarliestDate(S46,Trigger),"--")</f>
        <v>--</v>
      </c>
      <c r="U46" s="102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152</v>
      </c>
      <c r="B47" s="61" t="s">
        <v>128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8"/>
        <v>UsdLibor6M</v>
      </c>
      <c r="H47" s="60" t="str">
        <f t="shared" si="19"/>
        <v>USDAM3L13Y_S6L3L_Quote</v>
      </c>
      <c r="I47" s="129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4"/>
        <v>BasSw</v>
      </c>
      <c r="M47" s="183" t="str">
        <f t="shared" si="15"/>
        <v>USDAM3L17Y_S6L3L_Quote</v>
      </c>
      <c r="N47" s="164">
        <f>IFERROR(_xll.qlQuoteValue(H51,Trigger),"--")</f>
        <v>1.8677237235955518E-2</v>
      </c>
      <c r="O47" s="164">
        <f t="shared" si="16"/>
        <v>0</v>
      </c>
      <c r="P47" s="101" t="b">
        <v>0</v>
      </c>
      <c r="Q47" s="98">
        <v>40</v>
      </c>
      <c r="R47" s="98">
        <v>1</v>
      </c>
      <c r="S47" s="98" t="str">
        <f t="shared" si="17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152</v>
      </c>
      <c r="B48" s="61" t="s">
        <v>129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8"/>
        <v>UsdLibor6M</v>
      </c>
      <c r="H48" s="60" t="str">
        <f t="shared" si="19"/>
        <v>USDAM3L14Y_S6L3L_Quote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4"/>
        <v>BasSw</v>
      </c>
      <c r="M48" s="183" t="str">
        <f t="shared" si="15"/>
        <v>USDAM3L18Y_S6L3L_Quote</v>
      </c>
      <c r="N48" s="164">
        <f>IFERROR(_xll.qlQuoteValue(H52,Trigger),"--")</f>
        <v>1.8908130656951665E-2</v>
      </c>
      <c r="O48" s="164">
        <f t="shared" si="16"/>
        <v>0</v>
      </c>
      <c r="P48" s="101" t="b">
        <v>0</v>
      </c>
      <c r="Q48" s="98">
        <v>40</v>
      </c>
      <c r="R48" s="98">
        <v>1</v>
      </c>
      <c r="S48" s="98" t="str">
        <f t="shared" si="17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152</v>
      </c>
      <c r="B49" s="61" t="s">
        <v>89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8"/>
        <v>UsdLibor6M</v>
      </c>
      <c r="H49" s="60" t="str">
        <f t="shared" si="19"/>
        <v>USDAM3L15Y_S6L3L_Quote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obj_002dd#0002</v>
      </c>
      <c r="L49" s="162" t="str">
        <f t="shared" si="14"/>
        <v>BasSw</v>
      </c>
      <c r="M49" s="183" t="str">
        <f t="shared" si="15"/>
        <v>USDAM3L19Y_S6L3L_Quote</v>
      </c>
      <c r="N49" s="164">
        <f>IFERROR(_xll.qlQuoteValue(H53,Trigger),"--")</f>
        <v>1.910787054361723E-2</v>
      </c>
      <c r="O49" s="164">
        <f t="shared" si="16"/>
        <v>0</v>
      </c>
      <c r="P49" s="101" t="b">
        <v>0</v>
      </c>
      <c r="Q49" s="98">
        <v>40</v>
      </c>
      <c r="R49" s="98">
        <v>1</v>
      </c>
      <c r="S49" s="98" t="str">
        <f t="shared" si="17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152</v>
      </c>
      <c r="B50" s="61" t="s">
        <v>130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8"/>
        <v>UsdLibor6M</v>
      </c>
      <c r="H50" s="60" t="str">
        <f t="shared" si="19"/>
        <v>USDAM3L16Y_S6L3L_Quote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--</v>
      </c>
      <c r="L50" s="162" t="str">
        <f t="shared" si="14"/>
        <v>BasSw</v>
      </c>
      <c r="M50" s="183" t="str">
        <f t="shared" si="15"/>
        <v>USDAM3L20Y_S6L3L_Quote</v>
      </c>
      <c r="N50" s="164">
        <f>IFERROR(_xll.qlQuoteValue(H54,Trigger),"--")</f>
        <v>1.9279218069164532E-2</v>
      </c>
      <c r="O50" s="164">
        <f t="shared" si="16"/>
        <v>0</v>
      </c>
      <c r="P50" s="101" t="b">
        <v>1</v>
      </c>
      <c r="Q50" s="98">
        <v>40</v>
      </c>
      <c r="R50" s="98">
        <v>1</v>
      </c>
      <c r="S50" s="98" t="str">
        <f t="shared" si="17"/>
        <v>obj_00301#0002</v>
      </c>
      <c r="T50" s="102">
        <f>IFERROR(_xll.qlRateHelperEarliestDate(S50,Trigger),"--")</f>
        <v>42573</v>
      </c>
      <c r="U50" s="102">
        <f>IFERROR(_xll.qlRateHelperPillarDate(S50,Trigger),"--")</f>
        <v>49878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152</v>
      </c>
      <c r="B51" s="61" t="s">
        <v>131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8"/>
        <v>UsdLibor6M</v>
      </c>
      <c r="H51" s="60" t="str">
        <f t="shared" si="19"/>
        <v>USDAM3L17Y_S6L3L_Quote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4"/>
        <v>BasSw</v>
      </c>
      <c r="M51" s="183" t="str">
        <f t="shared" si="15"/>
        <v>USDAM3L21Y_S6L3L_Quote</v>
      </c>
      <c r="N51" s="164">
        <f>IFERROR(_xll.qlQuoteValue(H55,Trigger),"--")</f>
        <v>1.9422855563775449E-2</v>
      </c>
      <c r="O51" s="164">
        <f t="shared" si="16"/>
        <v>0</v>
      </c>
      <c r="P51" s="101" t="b">
        <v>0</v>
      </c>
      <c r="Q51" s="98">
        <v>40</v>
      </c>
      <c r="R51" s="98">
        <v>1</v>
      </c>
      <c r="S51" s="98" t="str">
        <f t="shared" si="17"/>
        <v>--</v>
      </c>
      <c r="T51" s="102" t="str">
        <f>IFERROR(_xll.qlRateHelperEarliestDate(S51,Trigger),"--")</f>
        <v>--</v>
      </c>
      <c r="U51" s="102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152</v>
      </c>
      <c r="B52" s="61" t="s">
        <v>132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8"/>
        <v>UsdLibor6M</v>
      </c>
      <c r="H52" s="60" t="str">
        <f t="shared" si="19"/>
        <v>USDAM3L18Y_S6L3L_Quote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4"/>
        <v>BasSw</v>
      </c>
      <c r="M52" s="183" t="str">
        <f t="shared" si="15"/>
        <v>USDAM3L22Y_S6L3L_Quote</v>
      </c>
      <c r="N52" s="164">
        <f>IFERROR(_xll.qlQuoteValue(H56,Trigger),"--")</f>
        <v>1.9543930269356847E-2</v>
      </c>
      <c r="O52" s="164">
        <f t="shared" si="16"/>
        <v>0</v>
      </c>
      <c r="P52" s="101" t="b">
        <v>0</v>
      </c>
      <c r="Q52" s="98">
        <v>40</v>
      </c>
      <c r="R52" s="98">
        <v>1</v>
      </c>
      <c r="S52" s="98" t="str">
        <f t="shared" si="17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152</v>
      </c>
      <c r="B53" s="61" t="s">
        <v>133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8"/>
        <v>UsdLibor6M</v>
      </c>
      <c r="H53" s="60" t="str">
        <f t="shared" si="19"/>
        <v>USDAM3L19Y_S6L3L_Quote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4"/>
        <v>BasSw</v>
      </c>
      <c r="M53" s="183" t="str">
        <f t="shared" si="15"/>
        <v>USDAM3L23Y_S6L3L_Quote</v>
      </c>
      <c r="N53" s="164">
        <f>IFERROR(_xll.qlQuoteValue(H57,Trigger),"--")</f>
        <v>1.964763163876735E-2</v>
      </c>
      <c r="O53" s="164">
        <f t="shared" si="16"/>
        <v>0</v>
      </c>
      <c r="P53" s="101" t="b">
        <v>0</v>
      </c>
      <c r="Q53" s="98">
        <v>40</v>
      </c>
      <c r="R53" s="98">
        <v>1</v>
      </c>
      <c r="S53" s="98" t="str">
        <f t="shared" si="17"/>
        <v>--</v>
      </c>
      <c r="T53" s="102" t="str">
        <f>IFERROR(_xll.qlRateHelperEarliestDate(S53,Trigger),"--")</f>
        <v>--</v>
      </c>
      <c r="U53" s="102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152</v>
      </c>
      <c r="B54" s="61" t="s">
        <v>90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8"/>
        <v>UsdLibor6M</v>
      </c>
      <c r="H54" s="60" t="str">
        <f t="shared" si="19"/>
        <v>USDAM3L20Y_S6L3L_Quote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obj_00301#0002</v>
      </c>
      <c r="L54" s="162" t="str">
        <f t="shared" si="14"/>
        <v>BasSw</v>
      </c>
      <c r="M54" s="183" t="str">
        <f t="shared" si="15"/>
        <v>USDAM3L24Y_S6L3L_Quote</v>
      </c>
      <c r="N54" s="164">
        <f>IFERROR(_xll.qlQuoteValue(H58,Trigger),"--")</f>
        <v>1.9738748159824734E-2</v>
      </c>
      <c r="O54" s="164">
        <f t="shared" si="16"/>
        <v>0</v>
      </c>
      <c r="P54" s="101" t="b">
        <v>0</v>
      </c>
      <c r="Q54" s="98">
        <v>40</v>
      </c>
      <c r="R54" s="98">
        <v>1</v>
      </c>
      <c r="S54" s="98" t="str">
        <f t="shared" si="17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152</v>
      </c>
      <c r="B55" s="61" t="s">
        <v>134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8"/>
        <v>UsdLibor6M</v>
      </c>
      <c r="H55" s="60" t="str">
        <f t="shared" si="19"/>
        <v>USDAM3L21Y_S6L3L_Quote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--</v>
      </c>
      <c r="L55" s="162" t="str">
        <f t="shared" si="14"/>
        <v>BasSw</v>
      </c>
      <c r="M55" s="183" t="str">
        <f t="shared" si="15"/>
        <v>USDAM3L25Y_S6L3L_Quote</v>
      </c>
      <c r="N55" s="164">
        <f>IFERROR(_xll.qlQuoteValue(H59,Trigger),"--")</f>
        <v>1.9819518302975719E-2</v>
      </c>
      <c r="O55" s="164">
        <f t="shared" si="16"/>
        <v>0</v>
      </c>
      <c r="P55" s="101" t="b">
        <v>1</v>
      </c>
      <c r="Q55" s="98">
        <v>40</v>
      </c>
      <c r="R55" s="98">
        <v>1</v>
      </c>
      <c r="S55" s="98" t="str">
        <f t="shared" si="17"/>
        <v>obj_00310#0002</v>
      </c>
      <c r="T55" s="102">
        <f>IFERROR(_xll.qlRateHelperEarliestDate(S55,Trigger),"--")</f>
        <v>42573</v>
      </c>
      <c r="U55" s="102">
        <f>IFERROR(_xll.qlRateHelperPillarDate(S55,Trigger),"--")</f>
        <v>51704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152</v>
      </c>
      <c r="B56" s="61" t="s">
        <v>135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8"/>
        <v>UsdLibor6M</v>
      </c>
      <c r="H56" s="60" t="str">
        <f t="shared" si="19"/>
        <v>USDAM3L22Y_S6L3L_Quote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--</v>
      </c>
      <c r="L56" s="162" t="str">
        <f t="shared" si="14"/>
        <v>BasSw</v>
      </c>
      <c r="M56" s="183" t="str">
        <f t="shared" si="15"/>
        <v>USDAM3L26Y_S6L3L_Quote</v>
      </c>
      <c r="N56" s="164">
        <f>IFERROR(_xll.qlQuoteValue(H60,Trigger),"--")</f>
        <v>1.9893478515513634E-2</v>
      </c>
      <c r="O56" s="164">
        <f t="shared" si="16"/>
        <v>0</v>
      </c>
      <c r="P56" s="101" t="b">
        <v>0</v>
      </c>
      <c r="Q56" s="98">
        <v>40</v>
      </c>
      <c r="R56" s="98">
        <v>1</v>
      </c>
      <c r="S56" s="98" t="str">
        <f t="shared" si="17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152</v>
      </c>
      <c r="B57" s="61" t="s">
        <v>136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8"/>
        <v>UsdLibor6M</v>
      </c>
      <c r="H57" s="60" t="str">
        <f t="shared" si="19"/>
        <v>USDAM3L23Y_S6L3L_Quote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--</v>
      </c>
      <c r="L57" s="162" t="str">
        <f t="shared" si="14"/>
        <v>BasSw</v>
      </c>
      <c r="M57" s="183" t="str">
        <f t="shared" si="15"/>
        <v>USDAM3L27Y_S6L3L_Quote</v>
      </c>
      <c r="N57" s="164">
        <f>IFERROR(_xll.qlQuoteValue(H61,Trigger),"--")</f>
        <v>1.9960617160371324E-2</v>
      </c>
      <c r="O57" s="164">
        <f t="shared" si="16"/>
        <v>0</v>
      </c>
      <c r="P57" s="101" t="b">
        <v>0</v>
      </c>
      <c r="Q57" s="98">
        <v>40</v>
      </c>
      <c r="R57" s="98">
        <v>1</v>
      </c>
      <c r="S57" s="98" t="str">
        <f t="shared" si="17"/>
        <v>--</v>
      </c>
      <c r="T57" s="102" t="str">
        <f>IFERROR(_xll.qlRateHelperEarliestDate(S57,Trigger),"--")</f>
        <v>--</v>
      </c>
      <c r="U57" s="102" t="str">
        <f>IFERROR(_xll.qlRateHelperPillarDate(S57,Trigger),"--")</f>
        <v>--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152</v>
      </c>
      <c r="B58" s="61" t="s">
        <v>137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8"/>
        <v>UsdLibor6M</v>
      </c>
      <c r="H58" s="60" t="str">
        <f t="shared" si="19"/>
        <v>USDAM3L24Y_S6L3L_Quote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--</v>
      </c>
      <c r="L58" s="162" t="str">
        <f t="shared" si="14"/>
        <v>BasSw</v>
      </c>
      <c r="M58" s="183" t="str">
        <f t="shared" si="15"/>
        <v>USDAM3L28Y_S6L3L_Quote</v>
      </c>
      <c r="N58" s="164">
        <f>IFERROR(_xll.qlQuoteValue(H62,Trigger),"--")</f>
        <v>2.0020907601505114E-2</v>
      </c>
      <c r="O58" s="164">
        <f t="shared" si="16"/>
        <v>0</v>
      </c>
      <c r="P58" s="101" t="b">
        <v>0</v>
      </c>
      <c r="Q58" s="98">
        <v>40</v>
      </c>
      <c r="R58" s="98">
        <v>1</v>
      </c>
      <c r="S58" s="98" t="str">
        <f t="shared" si="17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152</v>
      </c>
      <c r="B59" s="61" t="s">
        <v>91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8"/>
        <v>UsdLibor6M</v>
      </c>
      <c r="H59" s="60" t="str">
        <f t="shared" si="19"/>
        <v>USDAM3L25Y_S6L3L_Quote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obj_00310#0002</v>
      </c>
      <c r="L59" s="162" t="str">
        <f t="shared" si="14"/>
        <v>BasSw</v>
      </c>
      <c r="M59" s="183" t="str">
        <f t="shared" si="15"/>
        <v>USDAM3L29Y_S6L3L_Quote</v>
      </c>
      <c r="N59" s="164">
        <f>IFERROR(_xll.qlQuoteValue(H63,Trigger),"--")</f>
        <v>2.0074143789280213E-2</v>
      </c>
      <c r="O59" s="164">
        <f t="shared" si="16"/>
        <v>0</v>
      </c>
      <c r="P59" s="101" t="b">
        <v>0</v>
      </c>
      <c r="Q59" s="98">
        <v>40</v>
      </c>
      <c r="R59" s="98">
        <v>1</v>
      </c>
      <c r="S59" s="98" t="str">
        <f t="shared" si="17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152</v>
      </c>
      <c r="B60" s="61" t="s">
        <v>138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8"/>
        <v>UsdLibor6M</v>
      </c>
      <c r="H60" s="60" t="str">
        <f t="shared" si="19"/>
        <v>USDAM3L26Y_S6L3L_Quote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--</v>
      </c>
      <c r="L60" s="162" t="str">
        <f t="shared" si="14"/>
        <v>BasSw</v>
      </c>
      <c r="M60" s="183" t="str">
        <f t="shared" si="15"/>
        <v>USDAM3L30Y_S6L3L_Quote</v>
      </c>
      <c r="N60" s="164">
        <f>IFERROR(_xll.qlQuoteValue(H64,Trigger),"--")</f>
        <v>2.0119609478897082E-2</v>
      </c>
      <c r="O60" s="164">
        <f t="shared" si="16"/>
        <v>0</v>
      </c>
      <c r="P60" s="101" t="b">
        <v>1</v>
      </c>
      <c r="Q60" s="98">
        <v>40</v>
      </c>
      <c r="R60" s="98">
        <v>1</v>
      </c>
      <c r="S60" s="98" t="str">
        <f t="shared" si="17"/>
        <v>obj_00307#0002</v>
      </c>
      <c r="T60" s="102">
        <f>IFERROR(_xll.qlRateHelperEarliestDate(S60,Trigger),"--")</f>
        <v>42573</v>
      </c>
      <c r="U60" s="102">
        <f>IFERROR(_xll.qlRateHelperPillarDate(S60,Trigger),"--")</f>
        <v>53531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152</v>
      </c>
      <c r="B61" s="61" t="s">
        <v>92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8"/>
        <v>UsdLibor6M</v>
      </c>
      <c r="H61" s="60" t="str">
        <f t="shared" si="19"/>
        <v>USDAM3L27Y_S6L3L_Quote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--</v>
      </c>
      <c r="L61" s="162" t="str">
        <f t="shared" si="14"/>
        <v>BasSw</v>
      </c>
      <c r="M61" s="183" t="str">
        <f t="shared" si="15"/>
        <v>USDAM3L35Y_S6L3L_Quote</v>
      </c>
      <c r="N61" s="164">
        <f>IFERROR(_xll.qlQuoteValue(H65,Trigger),"--")</f>
        <v>2.0271802879153238E-2</v>
      </c>
      <c r="O61" s="164">
        <f t="shared" si="16"/>
        <v>0</v>
      </c>
      <c r="P61" s="101" t="b">
        <v>1</v>
      </c>
      <c r="Q61" s="98">
        <v>40</v>
      </c>
      <c r="R61" s="98">
        <v>1</v>
      </c>
      <c r="S61" s="98" t="str">
        <f t="shared" si="17"/>
        <v>obj_002fc#0002</v>
      </c>
      <c r="T61" s="102">
        <f>IFERROR(_xll.qlRateHelperEarliestDate(S61,Trigger),"--")</f>
        <v>42573</v>
      </c>
      <c r="U61" s="102">
        <f>IFERROR(_xll.qlRateHelperPillarDate(S61,Trigger),"--")</f>
        <v>55358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152</v>
      </c>
      <c r="B62" s="61" t="s">
        <v>139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8"/>
        <v>UsdLibor6M</v>
      </c>
      <c r="H62" s="60" t="str">
        <f t="shared" si="19"/>
        <v>USDAM3L28Y_S6L3L_Quote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4"/>
        <v>BasSw</v>
      </c>
      <c r="M62" s="183" t="str">
        <f t="shared" si="15"/>
        <v>USDAM3L40Y_S6L3L_Quote</v>
      </c>
      <c r="N62" s="164">
        <f>IFERROR(_xll.qlQuoteValue(H66,Trigger),"--")</f>
        <v>2.0299731439729619E-2</v>
      </c>
      <c r="O62" s="164">
        <f t="shared" si="16"/>
        <v>0</v>
      </c>
      <c r="P62" s="101" t="b">
        <v>1</v>
      </c>
      <c r="Q62" s="98">
        <v>40</v>
      </c>
      <c r="R62" s="98">
        <v>1</v>
      </c>
      <c r="S62" s="98" t="str">
        <f t="shared" si="17"/>
        <v>obj_0030a#0002</v>
      </c>
      <c r="T62" s="102">
        <f>IFERROR(_xll.qlRateHelperEarliestDate(S62,Trigger),"--")</f>
        <v>42573</v>
      </c>
      <c r="U62" s="102">
        <f>IFERROR(_xll.qlRateHelperPillarDate(S62,Trigger),"--")</f>
        <v>57185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152</v>
      </c>
      <c r="B63" s="61" t="s">
        <v>140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8"/>
        <v>UsdLibor6M</v>
      </c>
      <c r="H63" s="60" t="str">
        <f t="shared" si="19"/>
        <v>USDAM3L29Y_S6L3L_Quote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4"/>
        <v>BasSw</v>
      </c>
      <c r="M63" s="183" t="str">
        <f t="shared" si="15"/>
        <v>USDAM3L45Y_S6L3L_Quote</v>
      </c>
      <c r="N63" s="164" t="str">
        <f>IFERROR(_xll.qlQuoteValue(H67,Trigger),"--")</f>
        <v>--</v>
      </c>
      <c r="O63" s="164">
        <f t="shared" si="16"/>
        <v>0</v>
      </c>
      <c r="P63" s="101" t="b">
        <v>0</v>
      </c>
      <c r="Q63" s="98">
        <v>40</v>
      </c>
      <c r="R63" s="98">
        <v>1</v>
      </c>
      <c r="S63" s="98" t="str">
        <f t="shared" si="17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152</v>
      </c>
      <c r="B64" s="61" t="s">
        <v>93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8"/>
        <v>UsdLibor6M</v>
      </c>
      <c r="H64" s="60" t="str">
        <f t="shared" si="19"/>
        <v>USDAM3L30Y_S6L3L_Quote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obj_00307#0002</v>
      </c>
      <c r="L64" s="162" t="str">
        <f t="shared" si="14"/>
        <v>BasSw</v>
      </c>
      <c r="M64" s="183" t="str">
        <f t="shared" si="15"/>
        <v>USDAM3L50Y_S6L3L_Quote</v>
      </c>
      <c r="N64" s="164">
        <f>IFERROR(_xll.qlQuoteValue(H68,Trigger),"--")</f>
        <v>2.0169675629053377E-2</v>
      </c>
      <c r="O64" s="164">
        <f t="shared" si="16"/>
        <v>0</v>
      </c>
      <c r="P64" s="101" t="b">
        <v>1</v>
      </c>
      <c r="Q64" s="98">
        <v>40</v>
      </c>
      <c r="R64" s="98">
        <v>1</v>
      </c>
      <c r="S64" s="98" t="str">
        <f t="shared" si="17"/>
        <v>obj_002e6#0002</v>
      </c>
      <c r="T64" s="102">
        <f>IFERROR(_xll.qlRateHelperEarliestDate(S64,Trigger),"--")</f>
        <v>42573</v>
      </c>
      <c r="U64" s="102">
        <f>IFERROR(_xll.qlRateHelperPillarDate(S64,Trigger),"--")</f>
        <v>60835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152</v>
      </c>
      <c r="B65" s="61" t="s">
        <v>94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8"/>
        <v>UsdLibor6M</v>
      </c>
      <c r="H65" s="60" t="str">
        <f t="shared" si="19"/>
        <v>USDAM3L35Y_S6L3L_Quote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obj_002fc#0002</v>
      </c>
      <c r="L65" s="162" t="str">
        <f t="shared" si="14"/>
        <v>BasSw</v>
      </c>
      <c r="M65" s="183" t="str">
        <f t="shared" si="15"/>
        <v>USDAM3L55Y_S6L3L_Quote</v>
      </c>
      <c r="N65" s="164" t="str">
        <f>IFERROR(_xll.qlQuoteValue(H69,Trigger),"--")</f>
        <v>--</v>
      </c>
      <c r="O65" s="164">
        <f t="shared" si="16"/>
        <v>0</v>
      </c>
      <c r="P65" s="101" t="b">
        <v>0</v>
      </c>
      <c r="Q65" s="98">
        <v>40</v>
      </c>
      <c r="R65" s="98">
        <v>1</v>
      </c>
      <c r="S65" s="98" t="str">
        <f t="shared" si="17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152</v>
      </c>
      <c r="B66" s="61" t="s">
        <v>95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8"/>
        <v>UsdLibor6M</v>
      </c>
      <c r="H66" s="60" t="str">
        <f t="shared" si="19"/>
        <v>USDAM3L40Y_S6L3L_Quote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obj_0030a#0002</v>
      </c>
      <c r="L66" s="168" t="str">
        <f t="shared" si="14"/>
        <v>BasSw</v>
      </c>
      <c r="M66" s="184" t="str">
        <f t="shared" si="15"/>
        <v>USDAM3L60Y_S6L3L_Quote</v>
      </c>
      <c r="N66" s="170">
        <f>IFERROR(_xll.qlQuoteValue(H70,Trigger),"--")</f>
        <v>2.0043848005301838E-2</v>
      </c>
      <c r="O66" s="170">
        <f t="shared" si="16"/>
        <v>0</v>
      </c>
      <c r="P66" s="103" t="b">
        <v>1</v>
      </c>
      <c r="Q66" s="99">
        <v>40</v>
      </c>
      <c r="R66" s="99">
        <v>1</v>
      </c>
      <c r="S66" s="99" t="str">
        <f t="shared" si="17"/>
        <v>obj_002d3#0002</v>
      </c>
      <c r="T66" s="104">
        <f>IFERROR(_xll.qlRateHelperEarliestDate(S66,Trigger),"--")</f>
        <v>42573</v>
      </c>
      <c r="U66" s="104">
        <f>IFERROR(_xll.qlRateHelperPillarDate(S66,Trigger),"--")</f>
        <v>64488</v>
      </c>
      <c r="W66" s="5" t="str">
        <f t="shared" si="20"/>
        <v/>
      </c>
      <c r="X66" s="5" t="e">
        <v>#N/A</v>
      </c>
      <c r="Y66" s="5" t="str">
        <f>IFERROR(_xll.qlRateHelperQuoteName(X66,Trigger),"")</f>
        <v/>
      </c>
      <c r="Z66" s="78" t="str">
        <f>IFERROR(_xll.qlRateHelperRate(X66,Trigger),"")</f>
        <v/>
      </c>
      <c r="AA66" s="107" t="str">
        <f>IF(ISERROR(_xll.qlSwapRateHelperSpread($X66)),IF(ISERROR(_xll.qlFuturesRateHelperConvexityAdjustment($X66)),"",_xll.qlFuturesRateHelperConvexityAdjustment($X66)),_xll.qlSwapRateHelperSpread($X66))</f>
        <v/>
      </c>
      <c r="AB66" s="10" t="str">
        <f>IFERROR(_xll.qlRateHelperEarliestDate(X66,Trigger),"")</f>
        <v/>
      </c>
      <c r="AC66" s="10" t="str">
        <f>IFERROR(_xll.qlRateHelperPillarDate(X66,Trigger),"")</f>
        <v/>
      </c>
      <c r="AD66" s="77" t="e">
        <v>#N/A</v>
      </c>
    </row>
    <row r="67" spans="1:30" ht="11.25" customHeight="1" x14ac:dyDescent="0.2">
      <c r="A67" s="60" t="s">
        <v>152</v>
      </c>
      <c r="B67" s="61" t="s">
        <v>96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8"/>
        <v>UsdLibor6M</v>
      </c>
      <c r="H67" s="60" t="str">
        <f t="shared" si="19"/>
        <v>USDAM3L45Y_S6L3L_Quote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Y67" s="192" t="str">
        <f>_xll.ohGroup(W1&amp;"_instruments",Y3:Y66,Permanent,Trigger,ObjectOverwrite)</f>
        <v>USD6M_instruments#0002</v>
      </c>
    </row>
    <row r="68" spans="1:30" ht="11.25" customHeight="1" x14ac:dyDescent="0.2">
      <c r="A68" s="60" t="s">
        <v>152</v>
      </c>
      <c r="B68" s="61" t="s">
        <v>97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8"/>
        <v>UsdLibor6M</v>
      </c>
      <c r="H68" s="60" t="str">
        <f t="shared" si="19"/>
        <v>USDAM3L50Y_S6L3L_Quote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obj_002e6#0002</v>
      </c>
    </row>
    <row r="69" spans="1:30" ht="11.25" customHeight="1" x14ac:dyDescent="0.2">
      <c r="A69" s="60" t="s">
        <v>152</v>
      </c>
      <c r="B69" s="61" t="s">
        <v>147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8"/>
        <v>UsdLibor6M</v>
      </c>
      <c r="H69" s="60" t="str">
        <f t="shared" si="19"/>
        <v>USDAM3L55Y_S6L3L_Quote</v>
      </c>
      <c r="I69" s="127">
        <v>0</v>
      </c>
      <c r="J69" s="175" t="str">
        <f>IF(P65,_xll.qlSwapRateHelper2(,H69,,B69,JoinCalendar,D69,E69,F69,G69,I69,C69,Discounting,PillarDate,,Permanent,Trigger,ObjectOverwrite),"--")</f>
        <v>--</v>
      </c>
    </row>
    <row r="70" spans="1:30" ht="11.25" customHeight="1" x14ac:dyDescent="0.2">
      <c r="A70" s="1" t="s">
        <v>152</v>
      </c>
      <c r="B70" s="8" t="s">
        <v>141</v>
      </c>
      <c r="C70" s="6" t="s">
        <v>6</v>
      </c>
      <c r="D70" s="6" t="s">
        <v>8</v>
      </c>
      <c r="E70" s="6" t="s">
        <v>7</v>
      </c>
      <c r="F70" s="6" t="s">
        <v>27</v>
      </c>
      <c r="G70" s="6" t="str">
        <f t="shared" si="18"/>
        <v>UsdLibor6M</v>
      </c>
      <c r="H70" s="1" t="str">
        <f t="shared" si="19"/>
        <v>USDAM3L60Y_S6L3L_Quote</v>
      </c>
      <c r="I70" s="130">
        <v>0</v>
      </c>
      <c r="J70" s="174" t="str">
        <f>IF(P66,_xll.qlSwapRateHelper2(,H70,,B70,JoinCalendar,D70,E70,F70,G70,I70,C70,Discounting,PillarDate,,Permanent,Trigger,ObjectOverwrite),"--")</f>
        <v>obj_002d3#0002</v>
      </c>
    </row>
    <row r="71" spans="1:30" ht="11.25" customHeight="1" x14ac:dyDescent="0.2"/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  <dataValidation type="list" allowBlank="1" showInputMessage="1" showErrorMessage="1" sqref="P3:P66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</v>
      </c>
      <c r="H1" s="52" t="str">
        <f>"_SYNTH"&amp;Tenor</f>
        <v>_SYNTH1M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USD1M</v>
      </c>
      <c r="X1" s="160"/>
      <c r="Y1" s="67"/>
      <c r="Z1" s="69"/>
      <c r="AA1" s="69"/>
      <c r="AB1" s="67"/>
      <c r="AC1" s="160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55">_xll.qlPiecewiseYieldCurveData(YieldCurve_1M,Trigger)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obj_00273#0002</v>
      </c>
      <c r="H3" s="121" t="str">
        <f t="shared" ref="H3:H7" si="0">Currency&amp;$B3&amp;"D"&amp;$H$1&amp;QuoteSuffix</f>
        <v>USDSND_SYNTH1M_Quote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USDSND_SYNTH1M_Quote</v>
      </c>
      <c r="N3" s="182">
        <f>IFERROR(_xll.qlQuoteValue(H3,Trigger),"--")</f>
        <v>5.058E-3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IFERROR(INDEX($L$3:$L$55,MATCH(Y3,$M$3:$M$55,0),1),"")</f>
        <v>Dp</v>
      </c>
      <c r="X3" s="3" t="str">
        <f t="array" ref="X3:X55">_xll.qlRateHelperSelection(_xll.ohFilter(RateHelpers,IncludeFlag),_xll.ohFilter(Priority,IncludeFlag),$AG$3,$AG$4,$AG$5,$AG$6,_xll.ohFilter(MinDistance,IncludeFlag),Trigger)</f>
        <v>obj_002aa</v>
      </c>
      <c r="Y3" s="3" t="str">
        <f>IFERROR(_xll.qlRateHelperQuoteName(X3,Trigger),"")</f>
        <v>USDSWD_SYNTH1M_Quote</v>
      </c>
      <c r="Z3" s="70">
        <f>IFERROR(_xll.qlRateHelperRate(X3,Trigger),"")</f>
        <v>5.0179999999999999E-3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42573</v>
      </c>
      <c r="AC3" s="4">
        <f>IFERROR(_xll.qlRateHelperPillarDate(X3,Trigger),"")</f>
        <v>42580</v>
      </c>
      <c r="AD3" s="76">
        <v>0.99990243729718742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USDSWD_SYNTH1M_Quote</v>
      </c>
      <c r="I4" s="131"/>
      <c r="J4" s="175" t="str">
        <f>IF(P4,_xll.qlDepositRateHelper(,H4,G4,Permanent,Trigger,ObjectOverwrite),"--")</f>
        <v>obj_002aa#0002</v>
      </c>
      <c r="K4" s="50"/>
      <c r="L4" s="162" t="str">
        <f t="shared" ref="L4:L7" si="2">A4</f>
        <v>Dp</v>
      </c>
      <c r="M4" s="183" t="str">
        <f t="shared" ref="M4:M7" si="3">H4</f>
        <v>USDSWD_SYNTH1M_Quote</v>
      </c>
      <c r="N4" s="164">
        <f>IFERROR(_xll.qlQuoteValue(H4,Trigger),"--")</f>
        <v>5.0179999999999999E-3</v>
      </c>
      <c r="O4" s="167"/>
      <c r="P4" s="101" t="b">
        <v>1</v>
      </c>
      <c r="Q4" s="98">
        <v>10</v>
      </c>
      <c r="R4" s="98">
        <v>1</v>
      </c>
      <c r="S4" s="98" t="str">
        <f t="shared" ref="S4:S7" si="4">J4</f>
        <v>obj_002aa#0002</v>
      </c>
      <c r="T4" s="102">
        <f>IFERROR(_xll.qlRateHelperEarliestDate(S4,Trigger),"--")</f>
        <v>42573</v>
      </c>
      <c r="U4" s="102">
        <f>IFERROR(_xll.qlRateHelperPillarDate(S4,Trigger),"--")</f>
        <v>42580</v>
      </c>
      <c r="W4" s="3" t="str">
        <f t="shared" si="1"/>
        <v>Dp</v>
      </c>
      <c r="X4" s="3" t="str">
        <v>obj_0028f</v>
      </c>
      <c r="Y4" s="3" t="str">
        <f>IFERROR(_xll.qlRateHelperQuoteName(X4,Trigger),"")</f>
        <v>USD1MD_SYNTH1M_Quote</v>
      </c>
      <c r="Z4" s="70">
        <f>IFERROR(_xll.qlRateHelperRate(X4,Trigger),"")</f>
        <v>4.8739999999999999E-3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42573</v>
      </c>
      <c r="AC4" s="4">
        <f>IFERROR(_xll.qlRateHelperPillarDate(X4,Trigger),"")</f>
        <v>42604</v>
      </c>
      <c r="AD4" s="76">
        <v>0.99958047052329657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obj_0027e#0002</v>
      </c>
      <c r="H5" s="154" t="str">
        <f t="shared" si="0"/>
        <v>USD2WD_SYNTH1M_Quote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USD2WD_SYNTH1M_Quote</v>
      </c>
      <c r="N5" s="164">
        <f>IFERROR(_xll.qlQuoteValue(H5,Trigger),"--")</f>
        <v>4.9579999999999997E-3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Sw</v>
      </c>
      <c r="X5" s="3" t="str">
        <v>obj_002d8</v>
      </c>
      <c r="Y5" s="3" t="str">
        <f>IFERROR(_xll.qlRateHelperQuoteName(X5,Trigger),"")</f>
        <v>USD3X1S_Quote</v>
      </c>
      <c r="Z5" s="70">
        <f>IFERROR(_xll.qlRateHelperRate(X5,Trigger),"")</f>
        <v>5.11E-3</v>
      </c>
      <c r="AA5" s="106">
        <f>IF(ISERROR(_xll.qlSwapRateHelperSpread($X5)),IF(ISERROR(_xll.qlFuturesRateHelperConvexityAdjustment($X5)),"",_xll.qlFuturesRateHelperConvexityAdjustment($X5)),_xll.qlSwapRateHelperSpread($X5))</f>
        <v>0</v>
      </c>
      <c r="AB5" s="4">
        <f>IFERROR(_xll.qlRateHelperEarliestDate(X5,Trigger),"")</f>
        <v>42573</v>
      </c>
      <c r="AC5" s="4">
        <f>IFERROR(_xll.qlRateHelperPillarDate(X5,Trigger),"")</f>
        <v>42667</v>
      </c>
      <c r="AD5" s="76">
        <v>0.99866738206134886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obj_0027b#0002</v>
      </c>
      <c r="H6" s="159" t="str">
        <f t="shared" si="0"/>
        <v>USD3WD_SYNTH1M_Quote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USD3WD_SYNTH1M_Quote</v>
      </c>
      <c r="N6" s="164">
        <f>IFERROR(_xll.qlQuoteValue(H6,Trigger),"--")</f>
        <v>4.9129999999999998E-3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Sw</v>
      </c>
      <c r="X6" s="3" t="str">
        <v>obj_00313</v>
      </c>
      <c r="Y6" s="3" t="str">
        <f>IFERROR(_xll.qlRateHelperQuoteName(X6,Trigger),"")</f>
        <v>USD6X1S_Quote</v>
      </c>
      <c r="Z6" s="70">
        <f>IFERROR(_xll.qlRateHelperRate(X6,Trigger),"")</f>
        <v>5.6099999999999995E-3</v>
      </c>
      <c r="AA6" s="106">
        <f>IF(ISERROR(_xll.qlSwapRateHelperSpread($X6)),IF(ISERROR(_xll.qlFuturesRateHelperConvexityAdjustment($X6)),"",_xll.qlFuturesRateHelperConvexityAdjustment($X6)),_xll.qlSwapRateHelperSpread($X6))</f>
        <v>0</v>
      </c>
      <c r="AB6" s="4">
        <f>IFERROR(_xll.qlRateHelperEarliestDate(X6,Trigger),"")</f>
        <v>42573</v>
      </c>
      <c r="AC6" s="4">
        <f>IFERROR(_xll.qlRateHelperPillarDate(X6,Trigger),"")</f>
        <v>42758</v>
      </c>
      <c r="AD6" s="76">
        <v>0.99712460334827058</v>
      </c>
      <c r="AF6" s="109" t="s">
        <v>117</v>
      </c>
      <c r="AG6" s="111" t="s">
        <v>118</v>
      </c>
    </row>
    <row r="7" spans="1:33" ht="11.25" customHeight="1" x14ac:dyDescent="0.2">
      <c r="A7" s="1" t="s">
        <v>26</v>
      </c>
      <c r="B7" s="8" t="s">
        <v>2</v>
      </c>
      <c r="C7" s="126"/>
      <c r="D7" s="126"/>
      <c r="E7" s="126"/>
      <c r="F7" s="126"/>
      <c r="G7" s="6" t="str">
        <f>PROPER(Currency)&amp;FamilyName&amp;B7</f>
        <v>UsdLibor1M</v>
      </c>
      <c r="H7" s="123" t="str">
        <f t="shared" si="0"/>
        <v>USD1MD_SYNTH1M_Quote</v>
      </c>
      <c r="I7" s="126"/>
      <c r="J7" s="174" t="str">
        <f>IF(P7,_xll.qlDepositRateHelper(,H7,G7,Permanent,Trigger,ObjectOverwrite),"--")</f>
        <v>obj_0028f#0002</v>
      </c>
      <c r="K7" s="50"/>
      <c r="L7" s="162" t="str">
        <f t="shared" si="2"/>
        <v>Dp</v>
      </c>
      <c r="M7" s="183" t="str">
        <f t="shared" si="3"/>
        <v>USD1MD_SYNTH1M_Quote</v>
      </c>
      <c r="N7" s="164">
        <f>IFERROR(_xll.qlQuoteValue(H7,Trigger),"--")</f>
        <v>4.8739999999999999E-3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obj_0028f#0002</v>
      </c>
      <c r="T7" s="102">
        <f>IFERROR(_xll.qlRateHelperEarliestDate(S7,Trigger),"--")</f>
        <v>42573</v>
      </c>
      <c r="U7" s="102">
        <f>IFERROR(_xll.qlRateHelperPillarDate(S7,Trigger),"--")</f>
        <v>42604</v>
      </c>
      <c r="W7" s="3" t="str">
        <f t="shared" si="1"/>
        <v>Sw</v>
      </c>
      <c r="X7" s="3" t="str">
        <v>obj_002df</v>
      </c>
      <c r="Y7" s="3" t="str">
        <f>IFERROR(_xll.qlRateHelperQuoteName(X7,Trigger),"")</f>
        <v>USD9X1S_Quote</v>
      </c>
      <c r="Z7" s="70">
        <f>IFERROR(_xll.qlRateHelperRate(X7,Trigger),"")</f>
        <v>5.9899999999999997E-3</v>
      </c>
      <c r="AA7" s="106">
        <f>IF(ISERROR(_xll.qlSwapRateHelperSpread($X7)),IF(ISERROR(_xll.qlFuturesRateHelperConvexityAdjustment($X7)),"",_xll.qlFuturesRateHelperConvexityAdjustment($X7)),_xll.qlSwapRateHelperSpread($X7))</f>
        <v>0</v>
      </c>
      <c r="AB7" s="4">
        <f>IFERROR(_xll.qlRateHelperEarliestDate(X7,Trigger),"")</f>
        <v>42573</v>
      </c>
      <c r="AC7" s="4">
        <f>IFERROR(_xll.qlRateHelperPillarDate(X7,Trigger),"")</f>
        <v>42849</v>
      </c>
      <c r="AD7" s="76">
        <v>0.99542660929668469</v>
      </c>
    </row>
    <row r="8" spans="1:33" ht="11.25" customHeight="1" x14ac:dyDescent="0.2">
      <c r="B8" s="48"/>
      <c r="C8" s="48"/>
      <c r="D8" s="48"/>
      <c r="E8" s="48"/>
      <c r="F8" s="48"/>
      <c r="G8" s="48" t="s">
        <v>150</v>
      </c>
      <c r="H8" s="48"/>
      <c r="K8" s="50"/>
      <c r="L8" s="180" t="str">
        <f>A10</f>
        <v>Sw</v>
      </c>
      <c r="M8" s="188" t="str">
        <f>H10</f>
        <v>USD2X1S_Quote</v>
      </c>
      <c r="N8" s="182">
        <f>IFERROR(_xll.qlQuoteValue(H10,Trigger),"--")</f>
        <v>4.9199999999999999E-3</v>
      </c>
      <c r="O8" s="182">
        <f>I10</f>
        <v>0</v>
      </c>
      <c r="P8" s="134" t="b">
        <v>0</v>
      </c>
      <c r="Q8" s="133">
        <v>10</v>
      </c>
      <c r="R8" s="133">
        <v>1</v>
      </c>
      <c r="S8" s="133" t="str">
        <f>J10</f>
        <v>--</v>
      </c>
      <c r="T8" s="135" t="str">
        <f>IFERROR(_xll.qlRateHelperEarliestDate(S8,Trigger),"--")</f>
        <v>--</v>
      </c>
      <c r="U8" s="135" t="str">
        <f>IFERROR(_xll.qlRateHelperPillarDate(S8,Trigger),"--")</f>
        <v>--</v>
      </c>
      <c r="W8" s="3" t="str">
        <f t="shared" si="1"/>
        <v>Sw</v>
      </c>
      <c r="X8" s="3" t="str">
        <v>obj_002fd</v>
      </c>
      <c r="Y8" s="3" t="str">
        <f>IFERROR(_xll.qlRateHelperQuoteName(X8,Trigger),"")</f>
        <v>USD12X1S_Quote</v>
      </c>
      <c r="Z8" s="70">
        <f>IFERROR(_xll.qlRateHelperRate(X8,Trigger),"")</f>
        <v>6.2900000000000005E-3</v>
      </c>
      <c r="AA8" s="106">
        <f>IF(ISERROR(_xll.qlSwapRateHelperSpread($X8)),IF(ISERROR(_xll.qlFuturesRateHelperConvexityAdjustment($X8)),"",_xll.qlFuturesRateHelperConvexityAdjustment($X8)),_xll.qlSwapRateHelperSpread($X8))</f>
        <v>0</v>
      </c>
      <c r="AB8" s="4">
        <f>IFERROR(_xll.qlRateHelperEarliestDate(X8,Trigger),"")</f>
        <v>42573</v>
      </c>
      <c r="AC8" s="4">
        <f>IFERROR(_xll.qlRateHelperPillarDate(X8,Trigger),"")</f>
        <v>42940</v>
      </c>
      <c r="AD8" s="76">
        <v>0.99362449660805319</v>
      </c>
    </row>
    <row r="9" spans="1:33" ht="11.25" customHeight="1" x14ac:dyDescent="0.2">
      <c r="A9" s="66" t="s">
        <v>9</v>
      </c>
      <c r="B9" s="66" t="s">
        <v>29</v>
      </c>
      <c r="C9" s="66" t="s">
        <v>145</v>
      </c>
      <c r="D9" s="66" t="s">
        <v>5</v>
      </c>
      <c r="E9" s="66" t="s">
        <v>34</v>
      </c>
      <c r="F9" s="66" t="s">
        <v>146</v>
      </c>
      <c r="G9" s="66" t="s">
        <v>4</v>
      </c>
      <c r="H9" s="66" t="s">
        <v>1</v>
      </c>
      <c r="I9" s="66" t="s">
        <v>142</v>
      </c>
      <c r="J9" s="66" t="s">
        <v>24</v>
      </c>
      <c r="K9" s="50"/>
      <c r="L9" s="162" t="str">
        <f t="shared" ref="L9:L18" si="5">A11</f>
        <v>Sw</v>
      </c>
      <c r="M9" s="183" t="str">
        <f t="shared" ref="M9:M18" si="6">H11</f>
        <v>USD3X1S_Quote</v>
      </c>
      <c r="N9" s="164">
        <f>IFERROR(_xll.qlQuoteValue(H11,Trigger),"--")</f>
        <v>5.11E-3</v>
      </c>
      <c r="O9" s="164">
        <f t="shared" ref="O9:O18" si="7">I11</f>
        <v>0</v>
      </c>
      <c r="P9" s="101" t="b">
        <v>1</v>
      </c>
      <c r="Q9" s="98">
        <v>10</v>
      </c>
      <c r="R9" s="98">
        <v>1</v>
      </c>
      <c r="S9" s="98" t="str">
        <f t="shared" ref="S9:S18" si="8">J11</f>
        <v>obj_002d8#0002</v>
      </c>
      <c r="T9" s="102">
        <f>IFERROR(_xll.qlRateHelperEarliestDate(S9,Trigger),"--")</f>
        <v>42573</v>
      </c>
      <c r="U9" s="102">
        <f>IFERROR(_xll.qlRateHelperPillarDate(S9,Trigger),"--")</f>
        <v>42667</v>
      </c>
      <c r="W9" s="3" t="str">
        <f t="shared" si="1"/>
        <v>BasSw</v>
      </c>
      <c r="X9" s="3" t="str">
        <v>obj_00300</v>
      </c>
      <c r="Y9" s="3" t="str">
        <f>IFERROR(_xll.qlRateHelperQuoteName(X9,Trigger),"")</f>
        <v>USDAM3L2Y_Quote</v>
      </c>
      <c r="Z9" s="70">
        <f>IFERROR(_xll.qlRateHelperRate(X9,Trigger),"")</f>
        <v>9.1400000000000006E-3</v>
      </c>
      <c r="AA9" s="106">
        <f>IF(ISERROR(_xll.qlSwapRateHelperSpread($X9)),IF(ISERROR(_xll.qlFuturesRateHelperConvexityAdjustment($X9)),"",_xll.qlFuturesRateHelperConvexityAdjustment($X9)),_xll.qlSwapRateHelperSpread($X9))</f>
        <v>1.8699999999999999E-3</v>
      </c>
      <c r="AB9" s="4">
        <f>IFERROR(_xll.qlRateHelperEarliestDate(X9,Trigger),"")</f>
        <v>42573</v>
      </c>
      <c r="AC9" s="4">
        <f>IFERROR(_xll.qlRateHelperPillarDate(X9,Trigger),"")</f>
        <v>43304</v>
      </c>
      <c r="AD9" s="76">
        <v>0.98539412682989147</v>
      </c>
    </row>
    <row r="10" spans="1:33" ht="11.25" customHeight="1" x14ac:dyDescent="0.2">
      <c r="A10" s="55" t="s">
        <v>25</v>
      </c>
      <c r="B10" s="56" t="s">
        <v>51</v>
      </c>
      <c r="C10" s="57" t="s">
        <v>6</v>
      </c>
      <c r="D10" s="57" t="s">
        <v>8</v>
      </c>
      <c r="E10" s="57" t="s">
        <v>7</v>
      </c>
      <c r="F10" s="57" t="s">
        <v>27</v>
      </c>
      <c r="G10" s="57" t="str">
        <f t="shared" ref="G10:G20" si="9">PROPER(Currency)&amp;FamilyName&amp;Tenor</f>
        <v>UsdLibor1M</v>
      </c>
      <c r="H10" s="55" t="str">
        <f t="shared" ref="H10:H20" si="10">Currency&amp;SUBSTITUTE($B10,"M","")&amp;$G$8&amp;QuoteSuffix</f>
        <v>USD2X1S_Quote</v>
      </c>
      <c r="I10" s="128">
        <v>0</v>
      </c>
      <c r="J10" s="175" t="str">
        <f>IF(P8,_xll.qlSwapRateHelper2(,H10,,B10,JoinCalendar,D10,E10,F10,G10,I10,C10,Discounting,PillarDate,,Permanent,Trigger,ObjectOverwrite),"--")</f>
        <v>--</v>
      </c>
      <c r="K10" s="50"/>
      <c r="L10" s="162" t="str">
        <f t="shared" si="5"/>
        <v>Sw</v>
      </c>
      <c r="M10" s="183" t="str">
        <f t="shared" si="6"/>
        <v>USD4X1S_Quote</v>
      </c>
      <c r="N10" s="164">
        <f>IFERROR(_xll.qlQuoteValue(H12,Trigger),"--")</f>
        <v>5.2700000000000004E-3</v>
      </c>
      <c r="O10" s="164">
        <f t="shared" si="7"/>
        <v>0</v>
      </c>
      <c r="P10" s="101" t="b">
        <v>0</v>
      </c>
      <c r="Q10" s="98">
        <v>10</v>
      </c>
      <c r="R10" s="98">
        <v>1</v>
      </c>
      <c r="S10" s="98" t="str">
        <f t="shared" si="8"/>
        <v>--</v>
      </c>
      <c r="T10" s="102" t="str">
        <f>IFERROR(_xll.qlRateHelperEarliestDate(S10,Trigger),"--")</f>
        <v>--</v>
      </c>
      <c r="U10" s="102" t="str">
        <f>IFERROR(_xll.qlRateHelperPillarDate(S10,Trigger),"--")</f>
        <v>--</v>
      </c>
      <c r="W10" s="3" t="str">
        <f t="shared" si="1"/>
        <v>BasSw</v>
      </c>
      <c r="X10" s="3" t="str">
        <v>obj_002ec</v>
      </c>
      <c r="Y10" s="3" t="str">
        <f>IFERROR(_xll.qlRateHelperQuoteName(X10,Trigger),"")</f>
        <v>USDAM3L3Y_Quote</v>
      </c>
      <c r="Z10" s="70">
        <f>IFERROR(_xll.qlRateHelperRate(X10,Trigger),"")</f>
        <v>9.8500000000000011E-3</v>
      </c>
      <c r="AA10" s="106">
        <f>IF(ISERROR(_xll.qlSwapRateHelperSpread($X10)),IF(ISERROR(_xll.qlFuturesRateHelperConvexityAdjustment($X10)),"",_xll.qlFuturesRateHelperConvexityAdjustment($X10)),_xll.qlSwapRateHelperSpread($X10))</f>
        <v>1.7699999999999999E-3</v>
      </c>
      <c r="AB10" s="4">
        <f>IFERROR(_xll.qlRateHelperEarliestDate(X10,Trigger),"")</f>
        <v>42573</v>
      </c>
      <c r="AC10" s="4">
        <f>IFERROR(_xll.qlRateHelperPillarDate(X10,Trigger),"")</f>
        <v>43668</v>
      </c>
      <c r="AD10" s="76">
        <v>0.97579599242384074</v>
      </c>
    </row>
    <row r="11" spans="1:33" ht="11.25" customHeight="1" x14ac:dyDescent="0.2">
      <c r="A11" s="60" t="s">
        <v>25</v>
      </c>
      <c r="B11" s="61" t="s">
        <v>0</v>
      </c>
      <c r="C11" s="62" t="s">
        <v>6</v>
      </c>
      <c r="D11" s="62" t="s">
        <v>8</v>
      </c>
      <c r="E11" s="62" t="s">
        <v>7</v>
      </c>
      <c r="F11" s="62" t="s">
        <v>27</v>
      </c>
      <c r="G11" s="62" t="str">
        <f t="shared" si="9"/>
        <v>UsdLibor1M</v>
      </c>
      <c r="H11" s="60" t="str">
        <f t="shared" si="10"/>
        <v>USD3X1S_Quote</v>
      </c>
      <c r="I11" s="129">
        <v>0</v>
      </c>
      <c r="J11" s="175" t="str">
        <f>IF(P9,_xll.qlSwapRateHelper2(,H11,,B11,JoinCalendar,D11,E11,F11,G11,I11,C11,Discounting,PillarDate,,Permanent,Trigger,ObjectOverwrite),"--")</f>
        <v>obj_002d8#0002</v>
      </c>
      <c r="K11" s="50"/>
      <c r="L11" s="162" t="str">
        <f t="shared" si="5"/>
        <v>Sw</v>
      </c>
      <c r="M11" s="183" t="str">
        <f t="shared" si="6"/>
        <v>USD5X1S_Quote</v>
      </c>
      <c r="N11" s="164">
        <f>IFERROR(_xll.qlQuoteValue(H13,Trigger),"--")</f>
        <v>5.4200000000000003E-3</v>
      </c>
      <c r="O11" s="164">
        <f t="shared" si="7"/>
        <v>0</v>
      </c>
      <c r="P11" s="101" t="b">
        <v>0</v>
      </c>
      <c r="Q11" s="98">
        <v>10</v>
      </c>
      <c r="R11" s="98">
        <v>1</v>
      </c>
      <c r="S11" s="98" t="str">
        <f t="shared" si="8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1"/>
        <v>BasSw</v>
      </c>
      <c r="X11" s="3" t="str">
        <v>obj_002ff</v>
      </c>
      <c r="Y11" s="3" t="str">
        <f>IFERROR(_xll.qlRateHelperQuoteName(X11,Trigger),"")</f>
        <v>USDAM3L4Y_Quote</v>
      </c>
      <c r="Z11" s="70">
        <f>IFERROR(_xll.qlRateHelperRate(X11,Trigger),"")</f>
        <v>1.052E-2</v>
      </c>
      <c r="AA11" s="106">
        <f>IF(ISERROR(_xll.qlSwapRateHelperSpread($X11)),IF(ISERROR(_xll.qlFuturesRateHelperConvexityAdjustment($X11)),"",_xll.qlFuturesRateHelperConvexityAdjustment($X11)),_xll.qlSwapRateHelperSpread($X11))</f>
        <v>1.6699999999999998E-3</v>
      </c>
      <c r="AB11" s="4">
        <f>IFERROR(_xll.qlRateHelperEarliestDate(X11,Trigger),"")</f>
        <v>42573</v>
      </c>
      <c r="AC11" s="4">
        <f>IFERROR(_xll.qlRateHelperPillarDate(X11,Trigger),"")</f>
        <v>44034</v>
      </c>
      <c r="AD11" s="76">
        <v>0.96481170918041204</v>
      </c>
    </row>
    <row r="12" spans="1:33" ht="11.25" customHeight="1" x14ac:dyDescent="0.2">
      <c r="A12" s="60" t="s">
        <v>25</v>
      </c>
      <c r="B12" s="61" t="s">
        <v>52</v>
      </c>
      <c r="C12" s="62" t="s">
        <v>6</v>
      </c>
      <c r="D12" s="62" t="s">
        <v>8</v>
      </c>
      <c r="E12" s="62" t="s">
        <v>7</v>
      </c>
      <c r="F12" s="62" t="s">
        <v>27</v>
      </c>
      <c r="G12" s="62" t="str">
        <f t="shared" si="9"/>
        <v>UsdLibor1M</v>
      </c>
      <c r="H12" s="60" t="str">
        <f t="shared" si="10"/>
        <v>USD4X1S_Quote</v>
      </c>
      <c r="I12" s="129">
        <v>0</v>
      </c>
      <c r="J12" s="175" t="str">
        <f>IF(P10,_xll.qlSwapRateHelper2(,H12,,B12,JoinCalendar,D12,E12,F12,G12,I12,C12,Discounting,PillarDate,,Permanent,Trigger,ObjectOverwrite),"--")</f>
        <v>--</v>
      </c>
      <c r="K12" s="50" t="s">
        <v>45</v>
      </c>
      <c r="L12" s="162" t="str">
        <f t="shared" si="5"/>
        <v>Sw</v>
      </c>
      <c r="M12" s="183" t="str">
        <f t="shared" si="6"/>
        <v>USD6X1S_Quote</v>
      </c>
      <c r="N12" s="164">
        <f>IFERROR(_xll.qlQuoteValue(H14,Trigger),"--")</f>
        <v>5.6099999999999995E-3</v>
      </c>
      <c r="O12" s="164">
        <f t="shared" si="7"/>
        <v>0</v>
      </c>
      <c r="P12" s="101" t="b">
        <v>1</v>
      </c>
      <c r="Q12" s="98">
        <v>70</v>
      </c>
      <c r="R12" s="98">
        <v>1</v>
      </c>
      <c r="S12" s="98" t="str">
        <f t="shared" si="8"/>
        <v>obj_00313#0002</v>
      </c>
      <c r="T12" s="102">
        <f>IFERROR(_xll.qlRateHelperEarliestDate(S12,Trigger),"--")</f>
        <v>42573</v>
      </c>
      <c r="U12" s="102">
        <f>IFERROR(_xll.qlRateHelperPillarDate(S12,Trigger),"--")</f>
        <v>42758</v>
      </c>
      <c r="W12" s="3" t="str">
        <f t="shared" si="1"/>
        <v>BasSw</v>
      </c>
      <c r="X12" s="3" t="str">
        <v>obj_002f9</v>
      </c>
      <c r="Y12" s="3" t="str">
        <f>IFERROR(_xll.qlRateHelperQuoteName(X12,Trigger),"")</f>
        <v>USDAM3L5Y_Quote</v>
      </c>
      <c r="Z12" s="70">
        <f>IFERROR(_xll.qlRateHelperRate(X12,Trigger),"")</f>
        <v>1.119E-2</v>
      </c>
      <c r="AA12" s="106">
        <f>IF(ISERROR(_xll.qlSwapRateHelperSpread($X12)),IF(ISERROR(_xll.qlFuturesRateHelperConvexityAdjustment($X12)),"",_xll.qlFuturesRateHelperConvexityAdjustment($X12)),_xll.qlSwapRateHelperSpread($X12))</f>
        <v>1.58E-3</v>
      </c>
      <c r="AB12" s="4">
        <f>IFERROR(_xll.qlRateHelperEarliestDate(X12,Trigger),"")</f>
        <v>42573</v>
      </c>
      <c r="AC12" s="4">
        <f>IFERROR(_xll.qlRateHelperPillarDate(X12,Trigger),"")</f>
        <v>44399</v>
      </c>
      <c r="AD12" s="76">
        <v>0.95251719409169422</v>
      </c>
    </row>
    <row r="13" spans="1:33" ht="11.25" customHeight="1" x14ac:dyDescent="0.2">
      <c r="A13" s="60" t="s">
        <v>25</v>
      </c>
      <c r="B13" s="61" t="s">
        <v>53</v>
      </c>
      <c r="C13" s="62" t="s">
        <v>6</v>
      </c>
      <c r="D13" s="62" t="s">
        <v>8</v>
      </c>
      <c r="E13" s="62" t="s">
        <v>7</v>
      </c>
      <c r="F13" s="62" t="s">
        <v>27</v>
      </c>
      <c r="G13" s="62" t="str">
        <f t="shared" si="9"/>
        <v>UsdLibor1M</v>
      </c>
      <c r="H13" s="60" t="str">
        <f t="shared" si="10"/>
        <v>USD5X1S_Quote</v>
      </c>
      <c r="I13" s="129">
        <v>0</v>
      </c>
      <c r="J13" s="175" t="str">
        <f>IF(P11,_xll.qlSwapRateHelper2(,H13,,B13,JoinCalendar,D13,E13,F13,G13,I13,C13,Discounting,PillarDate,,Permanent,Trigger,ObjectOverwrite),"--")</f>
        <v>--</v>
      </c>
      <c r="K13" s="50"/>
      <c r="L13" s="162" t="str">
        <f t="shared" si="5"/>
        <v>Sw</v>
      </c>
      <c r="M13" s="183" t="str">
        <f t="shared" si="6"/>
        <v>USD7X1S_Quote</v>
      </c>
      <c r="N13" s="164">
        <f>IFERROR(_xll.qlQuoteValue(H15,Trigger),"--")</f>
        <v>5.7499999999999999E-3</v>
      </c>
      <c r="O13" s="164">
        <f t="shared" si="7"/>
        <v>0</v>
      </c>
      <c r="P13" s="101" t="b">
        <v>0</v>
      </c>
      <c r="Q13" s="98">
        <v>20</v>
      </c>
      <c r="R13" s="98">
        <v>1</v>
      </c>
      <c r="S13" s="98" t="str">
        <f t="shared" si="8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BasSw</v>
      </c>
      <c r="X13" s="3" t="str">
        <v>obj_002ea</v>
      </c>
      <c r="Y13" s="3" t="str">
        <f>IFERROR(_xll.qlRateHelperQuoteName(X13,Trigger),"")</f>
        <v>USDAM3L6Y_Quote</v>
      </c>
      <c r="Z13" s="70">
        <f>IFERROR(_xll.qlRateHelperRate(X13,Trigger),"")</f>
        <v>1.191E-2</v>
      </c>
      <c r="AA13" s="106">
        <f>IF(ISERROR(_xll.qlSwapRateHelperSpread($X13)),IF(ISERROR(_xll.qlFuturesRateHelperConvexityAdjustment($X13)),"",_xll.qlFuturesRateHelperConvexityAdjustment($X13)),_xll.qlSwapRateHelperSpread($X13))</f>
        <v>1.4700000000000002E-3</v>
      </c>
      <c r="AB13" s="4">
        <f>IFERROR(_xll.qlRateHelperEarliestDate(X13,Trigger),"")</f>
        <v>42573</v>
      </c>
      <c r="AC13" s="4">
        <f>IFERROR(_xll.qlRateHelperPillarDate(X13,Trigger),"")</f>
        <v>44764</v>
      </c>
      <c r="AD13" s="76">
        <v>0.93849924392932105</v>
      </c>
    </row>
    <row r="14" spans="1:33" ht="11.25" customHeight="1" x14ac:dyDescent="0.2">
      <c r="A14" s="60" t="s">
        <v>25</v>
      </c>
      <c r="B14" s="61" t="s">
        <v>3</v>
      </c>
      <c r="C14" s="62" t="s">
        <v>6</v>
      </c>
      <c r="D14" s="62" t="s">
        <v>8</v>
      </c>
      <c r="E14" s="62" t="s">
        <v>7</v>
      </c>
      <c r="F14" s="62" t="s">
        <v>27</v>
      </c>
      <c r="G14" s="62" t="str">
        <f t="shared" si="9"/>
        <v>UsdLibor1M</v>
      </c>
      <c r="H14" s="60" t="str">
        <f t="shared" si="10"/>
        <v>USD6X1S_Quote</v>
      </c>
      <c r="I14" s="129">
        <v>0</v>
      </c>
      <c r="J14" s="175" t="str">
        <f>IF(P12,_xll.qlSwapRateHelper2(,H14,,B14,JoinCalendar,D14,E14,F14,G14,I14,C14,Discounting,PillarDate,,Permanent,Trigger,ObjectOverwrite),"--")</f>
        <v>obj_00313#0002</v>
      </c>
      <c r="K14" s="50"/>
      <c r="L14" s="162" t="str">
        <f t="shared" si="5"/>
        <v>Sw</v>
      </c>
      <c r="M14" s="183" t="str">
        <f t="shared" si="6"/>
        <v>USD8X1S_Quote</v>
      </c>
      <c r="N14" s="164">
        <f>IFERROR(_xll.qlQuoteValue(H16,Trigger),"--")</f>
        <v>5.8600000000000006E-3</v>
      </c>
      <c r="O14" s="164">
        <f t="shared" si="7"/>
        <v>0</v>
      </c>
      <c r="P14" s="101" t="b">
        <v>0</v>
      </c>
      <c r="Q14" s="98">
        <v>20</v>
      </c>
      <c r="R14" s="98">
        <v>1</v>
      </c>
      <c r="S14" s="98" t="str">
        <f t="shared" si="8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BasSw</v>
      </c>
      <c r="X14" s="3" t="str">
        <v>obj_002d9</v>
      </c>
      <c r="Y14" s="3" t="str">
        <f>IFERROR(_xll.qlRateHelperQuoteName(X14,Trigger),"")</f>
        <v>USDAM3L7Y_Quote</v>
      </c>
      <c r="Z14" s="70">
        <f>IFERROR(_xll.qlRateHelperRate(X14,Trigger),"")</f>
        <v>1.259E-2</v>
      </c>
      <c r="AA14" s="106">
        <f>IF(ISERROR(_xll.qlSwapRateHelperSpread($X14)),IF(ISERROR(_xll.qlFuturesRateHelperConvexityAdjustment($X14)),"",_xll.qlFuturesRateHelperConvexityAdjustment($X14)),_xll.qlSwapRateHelperSpread($X14))</f>
        <v>1.3600000000000001E-3</v>
      </c>
      <c r="AB14" s="4">
        <f>IFERROR(_xll.qlRateHelperEarliestDate(X14,Trigger),"")</f>
        <v>42573</v>
      </c>
      <c r="AC14" s="4">
        <f>IFERROR(_xll.qlRateHelperPillarDate(X14,Trigger),"")</f>
        <v>45131</v>
      </c>
      <c r="AD14" s="76">
        <v>0.92330149554311214</v>
      </c>
    </row>
    <row r="15" spans="1:33" ht="11.25" customHeight="1" x14ac:dyDescent="0.2">
      <c r="A15" s="60" t="s">
        <v>25</v>
      </c>
      <c r="B15" s="61" t="s">
        <v>54</v>
      </c>
      <c r="C15" s="62" t="s">
        <v>6</v>
      </c>
      <c r="D15" s="62" t="s">
        <v>8</v>
      </c>
      <c r="E15" s="62" t="s">
        <v>7</v>
      </c>
      <c r="F15" s="62" t="s">
        <v>27</v>
      </c>
      <c r="G15" s="62" t="str">
        <f t="shared" si="9"/>
        <v>UsdLibor1M</v>
      </c>
      <c r="H15" s="60" t="str">
        <f t="shared" si="10"/>
        <v>USD7X1S_Quote</v>
      </c>
      <c r="I15" s="129">
        <v>0</v>
      </c>
      <c r="J15" s="175" t="str">
        <f>IF(P13,_xll.qlSwapRateHelper2(,H15,,B15,JoinCalendar,D15,E15,F15,G15,I15,C15,Discounting,PillarDate,,Permanent,Trigger,ObjectOverwrite),"--")</f>
        <v>--</v>
      </c>
      <c r="K15" s="50"/>
      <c r="L15" s="162" t="str">
        <f t="shared" si="5"/>
        <v>Sw</v>
      </c>
      <c r="M15" s="183" t="str">
        <f t="shared" si="6"/>
        <v>USD9X1S_Quote</v>
      </c>
      <c r="N15" s="164">
        <f>IFERROR(_xll.qlQuoteValue(H17,Trigger),"--")</f>
        <v>5.9899999999999997E-3</v>
      </c>
      <c r="O15" s="164">
        <f t="shared" si="7"/>
        <v>0</v>
      </c>
      <c r="P15" s="101" t="b">
        <v>1</v>
      </c>
      <c r="Q15" s="98">
        <v>20</v>
      </c>
      <c r="R15" s="98">
        <v>1</v>
      </c>
      <c r="S15" s="98" t="str">
        <f t="shared" si="8"/>
        <v>obj_002df#0002</v>
      </c>
      <c r="T15" s="102">
        <f>IFERROR(_xll.qlRateHelperEarliestDate(S15,Trigger),"--")</f>
        <v>42573</v>
      </c>
      <c r="U15" s="102">
        <f>IFERROR(_xll.qlRateHelperPillarDate(S15,Trigger),"--")</f>
        <v>42849</v>
      </c>
      <c r="W15" s="3" t="str">
        <f t="shared" si="1"/>
        <v>BasSw</v>
      </c>
      <c r="X15" s="3" t="str">
        <v>obj_002f6</v>
      </c>
      <c r="Y15" s="3" t="str">
        <f>IFERROR(_xll.qlRateHelperQuoteName(X15,Trigger),"")</f>
        <v>USDAM3L8Y_Quote</v>
      </c>
      <c r="Z15" s="70">
        <f>IFERROR(_xll.qlRateHelperRate(X15,Trigger),"")</f>
        <v>1.3220000000000001E-2</v>
      </c>
      <c r="AA15" s="106">
        <f>IF(ISERROR(_xll.qlSwapRateHelperSpread($X15)),IF(ISERROR(_xll.qlFuturesRateHelperConvexityAdjustment($X15)),"",_xll.qlFuturesRateHelperConvexityAdjustment($X15)),_xll.qlSwapRateHelperSpread($X15))</f>
        <v>1.2600000000000001E-3</v>
      </c>
      <c r="AB15" s="4">
        <f>IFERROR(_xll.qlRateHelperEarliestDate(X15,Trigger),"")</f>
        <v>42573</v>
      </c>
      <c r="AC15" s="4">
        <f>IFERROR(_xll.qlRateHelperPillarDate(X15,Trigger),"")</f>
        <v>45495</v>
      </c>
      <c r="AD15" s="76">
        <v>0.90737912471641102</v>
      </c>
    </row>
    <row r="16" spans="1:33" ht="11.25" customHeight="1" x14ac:dyDescent="0.2">
      <c r="A16" s="60" t="s">
        <v>25</v>
      </c>
      <c r="B16" s="61" t="s">
        <v>55</v>
      </c>
      <c r="C16" s="62" t="s">
        <v>6</v>
      </c>
      <c r="D16" s="62" t="s">
        <v>8</v>
      </c>
      <c r="E16" s="62" t="s">
        <v>7</v>
      </c>
      <c r="F16" s="62" t="s">
        <v>27</v>
      </c>
      <c r="G16" s="62" t="str">
        <f t="shared" si="9"/>
        <v>UsdLibor1M</v>
      </c>
      <c r="H16" s="60" t="str">
        <f t="shared" si="10"/>
        <v>USD8X1S_Quote</v>
      </c>
      <c r="I16" s="129">
        <v>0</v>
      </c>
      <c r="J16" s="175" t="str">
        <f>IF(P14,_xll.qlSwapRateHelper2(,H16,,B16,JoinCalendar,D16,E16,F16,G16,I16,C16,Discounting,PillarDate,,Permanent,Trigger,ObjectOverwrite),"--")</f>
        <v>--</v>
      </c>
      <c r="K16" s="50"/>
      <c r="L16" s="162" t="str">
        <f t="shared" si="5"/>
        <v>Sw</v>
      </c>
      <c r="M16" s="183" t="str">
        <f t="shared" si="6"/>
        <v>USD10X1S_Quote</v>
      </c>
      <c r="N16" s="164">
        <f>IFERROR(_xll.qlQuoteValue(H18,Trigger),"--")</f>
        <v>6.0899999999999999E-3</v>
      </c>
      <c r="O16" s="164">
        <f t="shared" si="7"/>
        <v>0</v>
      </c>
      <c r="P16" s="101" t="b">
        <v>0</v>
      </c>
      <c r="Q16" s="98">
        <v>20</v>
      </c>
      <c r="R16" s="98">
        <v>1</v>
      </c>
      <c r="S16" s="98" t="str">
        <f t="shared" si="8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BasSw</v>
      </c>
      <c r="X16" s="3" t="str">
        <v>obj_002e7</v>
      </c>
      <c r="Y16" s="3" t="str">
        <f>IFERROR(_xll.qlRateHelperQuoteName(X16,Trigger),"")</f>
        <v>USDAM3L9Y_Quote</v>
      </c>
      <c r="Z16" s="70">
        <f>IFERROR(_xll.qlRateHelperRate(X16,Trigger),"")</f>
        <v>1.379E-2</v>
      </c>
      <c r="AA16" s="106">
        <f>IF(ISERROR(_xll.qlSwapRateHelperSpread($X16)),IF(ISERROR(_xll.qlFuturesRateHelperConvexityAdjustment($X16)),"",_xll.qlFuturesRateHelperConvexityAdjustment($X16)),_xll.qlSwapRateHelperSpread($X16))</f>
        <v>1.1800000000000001E-3</v>
      </c>
      <c r="AB16" s="4">
        <f>IFERROR(_xll.qlRateHelperEarliestDate(X16,Trigger),"")</f>
        <v>42573</v>
      </c>
      <c r="AC16" s="4">
        <f>IFERROR(_xll.qlRateHelperPillarDate(X16,Trigger),"")</f>
        <v>45860</v>
      </c>
      <c r="AD16" s="76">
        <v>0.89100002639970521</v>
      </c>
    </row>
    <row r="17" spans="1:30" ht="11.25" customHeight="1" x14ac:dyDescent="0.2">
      <c r="A17" s="60" t="s">
        <v>25</v>
      </c>
      <c r="B17" s="61" t="s">
        <v>56</v>
      </c>
      <c r="C17" s="62" t="s">
        <v>6</v>
      </c>
      <c r="D17" s="62" t="s">
        <v>8</v>
      </c>
      <c r="E17" s="62" t="s">
        <v>7</v>
      </c>
      <c r="F17" s="62" t="s">
        <v>27</v>
      </c>
      <c r="G17" s="62" t="str">
        <f t="shared" si="9"/>
        <v>UsdLibor1M</v>
      </c>
      <c r="H17" s="60" t="str">
        <f t="shared" si="10"/>
        <v>USD9X1S_Quote</v>
      </c>
      <c r="I17" s="129">
        <v>0</v>
      </c>
      <c r="J17" s="175" t="str">
        <f>IF(P15,_xll.qlSwapRateHelper2(,H17,,B17,JoinCalendar,D17,E17,F17,G17,I17,C17,Discounting,PillarDate,,Permanent,Trigger,ObjectOverwrite),"--")</f>
        <v>obj_002df#0002</v>
      </c>
      <c r="K17" s="50"/>
      <c r="L17" s="162" t="str">
        <f t="shared" si="5"/>
        <v>Sw</v>
      </c>
      <c r="M17" s="183" t="str">
        <f t="shared" si="6"/>
        <v>USD11X1S_Quote</v>
      </c>
      <c r="N17" s="164">
        <f>IFERROR(_xll.qlQuoteValue(H19,Trigger),"--")</f>
        <v>6.1900000000000002E-3</v>
      </c>
      <c r="O17" s="164">
        <f t="shared" si="7"/>
        <v>0</v>
      </c>
      <c r="P17" s="101" t="b">
        <v>0</v>
      </c>
      <c r="Q17" s="98">
        <v>20</v>
      </c>
      <c r="R17" s="98">
        <v>1</v>
      </c>
      <c r="S17" s="98" t="str">
        <f t="shared" si="8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BasSw</v>
      </c>
      <c r="X17" s="3" t="str">
        <v>obj_002d0</v>
      </c>
      <c r="Y17" s="3" t="str">
        <f>IFERROR(_xll.qlRateHelperQuoteName(X17,Trigger),"")</f>
        <v>USDAM3L10Y_Quote</v>
      </c>
      <c r="Z17" s="70">
        <f>IFERROR(_xll.qlRateHelperRate(X17,Trigger),"")</f>
        <v>1.4330000000000001E-2</v>
      </c>
      <c r="AA17" s="106">
        <f>IF(ISERROR(_xll.qlSwapRateHelperSpread($X17)),IF(ISERROR(_xll.qlFuturesRateHelperConvexityAdjustment($X17)),"",_xll.qlFuturesRateHelperConvexityAdjustment($X17)),_xll.qlSwapRateHelperSpread($X17))</f>
        <v>1.1200000000000001E-3</v>
      </c>
      <c r="AB17" s="4">
        <f>IFERROR(_xll.qlRateHelperEarliestDate(X17,Trigger),"")</f>
        <v>42573</v>
      </c>
      <c r="AC17" s="4">
        <f>IFERROR(_xll.qlRateHelperPillarDate(X17,Trigger),"")</f>
        <v>46225</v>
      </c>
      <c r="AD17" s="76">
        <v>0.87416330518606877</v>
      </c>
    </row>
    <row r="18" spans="1:30" ht="11.25" customHeight="1" x14ac:dyDescent="0.2">
      <c r="A18" s="60" t="s">
        <v>25</v>
      </c>
      <c r="B18" s="61" t="s">
        <v>57</v>
      </c>
      <c r="C18" s="62" t="s">
        <v>6</v>
      </c>
      <c r="D18" s="62" t="s">
        <v>8</v>
      </c>
      <c r="E18" s="62" t="s">
        <v>7</v>
      </c>
      <c r="F18" s="62" t="s">
        <v>27</v>
      </c>
      <c r="G18" s="62" t="str">
        <f t="shared" si="9"/>
        <v>UsdLibor1M</v>
      </c>
      <c r="H18" s="60" t="str">
        <f t="shared" si="10"/>
        <v>USD10X1S_Quote</v>
      </c>
      <c r="I18" s="129">
        <v>0</v>
      </c>
      <c r="J18" s="175" t="str">
        <f>IF(P16,_xll.qlSwapRateHelper2(,H18,,B18,JoinCalendar,D18,E18,F18,G18,I18,C18,Discounting,PillarDate,,Permanent,Trigger,ObjectOverwrite),"--")</f>
        <v>--</v>
      </c>
      <c r="K18" s="50"/>
      <c r="L18" s="168" t="str">
        <f t="shared" si="5"/>
        <v>Sw</v>
      </c>
      <c r="M18" s="184" t="str">
        <f t="shared" si="6"/>
        <v>USD12X1S_Quote</v>
      </c>
      <c r="N18" s="170">
        <f>IFERROR(_xll.qlQuoteValue(H20,Trigger),"--")</f>
        <v>6.2900000000000005E-3</v>
      </c>
      <c r="O18" s="170">
        <f t="shared" si="7"/>
        <v>0</v>
      </c>
      <c r="P18" s="148" t="b">
        <f>NOT(ISERROR(_xll.qlQuoteValue(M18)))</f>
        <v>1</v>
      </c>
      <c r="Q18" s="99">
        <v>20</v>
      </c>
      <c r="R18" s="99">
        <v>1</v>
      </c>
      <c r="S18" s="99" t="str">
        <f t="shared" si="8"/>
        <v>obj_002fd#0002</v>
      </c>
      <c r="T18" s="104">
        <f>IFERROR(_xll.qlRateHelperEarliestDate(S18,Trigger),"--")</f>
        <v>42573</v>
      </c>
      <c r="U18" s="104">
        <f>IFERROR(_xll.qlRateHelperPillarDate(S18,Trigger),"--")</f>
        <v>42940</v>
      </c>
      <c r="W18" s="3" t="str">
        <f t="shared" si="1"/>
        <v>BasSw</v>
      </c>
      <c r="X18" s="3" t="str">
        <v>obj_002db</v>
      </c>
      <c r="Y18" s="3" t="str">
        <f>IFERROR(_xll.qlRateHelperQuoteName(X18,Trigger),"")</f>
        <v>USDAM3L12Y_Quote</v>
      </c>
      <c r="Z18" s="70">
        <f>IFERROR(_xll.qlRateHelperRate(X18,Trigger),"")</f>
        <v>1.528E-2</v>
      </c>
      <c r="AA18" s="106">
        <f>IF(ISERROR(_xll.qlSwapRateHelperSpread($X18)),IF(ISERROR(_xll.qlFuturesRateHelperConvexityAdjustment($X18)),"",_xll.qlFuturesRateHelperConvexityAdjustment($X18)),_xll.qlSwapRateHelperSpread($X18))</f>
        <v>1.0400000000000001E-3</v>
      </c>
      <c r="AB18" s="4">
        <f>IFERROR(_xll.qlRateHelperEarliestDate(X18,Trigger),"")</f>
        <v>42573</v>
      </c>
      <c r="AC18" s="4">
        <f>IFERROR(_xll.qlRateHelperPillarDate(X18,Trigger),"")</f>
        <v>46958</v>
      </c>
      <c r="AD18" s="76">
        <v>0.83989170602392993</v>
      </c>
    </row>
    <row r="19" spans="1:30" ht="11.25" customHeight="1" x14ac:dyDescent="0.2">
      <c r="A19" s="60" t="s">
        <v>25</v>
      </c>
      <c r="B19" s="61" t="s">
        <v>58</v>
      </c>
      <c r="C19" s="62" t="s">
        <v>6</v>
      </c>
      <c r="D19" s="62" t="s">
        <v>8</v>
      </c>
      <c r="E19" s="62" t="s">
        <v>7</v>
      </c>
      <c r="F19" s="62" t="s">
        <v>27</v>
      </c>
      <c r="G19" s="62" t="str">
        <f t="shared" si="9"/>
        <v>UsdLibor1M</v>
      </c>
      <c r="H19" s="60" t="str">
        <f t="shared" si="10"/>
        <v>USD11X1S_Quote</v>
      </c>
      <c r="I19" s="129">
        <v>0</v>
      </c>
      <c r="J19" s="175" t="str">
        <f>IF(P17,_xll.qlSwapRateHelper2(,H19,,B19,JoinCalendar,D19,E19,F19,G19,I19,C19,Discounting,PillarDate,,Permanent,Trigger,ObjectOverwrite),"--")</f>
        <v>--</v>
      </c>
      <c r="K19" s="50"/>
      <c r="L19" s="180" t="str">
        <f>A23</f>
        <v>BasSw</v>
      </c>
      <c r="M19" s="188" t="str">
        <f>H23</f>
        <v>USDAM3L1Y_Quote</v>
      </c>
      <c r="N19" s="182">
        <f>IFERROR(_xll.qlQuoteValue(H23,Trigger),"--")</f>
        <v>8.2199999999999999E-3</v>
      </c>
      <c r="O19" s="182">
        <f>IFERROR(_xll.qlQuoteValue(I23,Trigger),"--")</f>
        <v>1.9300000000000001E-3</v>
      </c>
      <c r="P19" s="134" t="b">
        <v>0</v>
      </c>
      <c r="Q19" s="133">
        <v>20</v>
      </c>
      <c r="R19" s="133">
        <v>1</v>
      </c>
      <c r="S19" s="133" t="str">
        <f>J23</f>
        <v>--</v>
      </c>
      <c r="T19" s="135" t="str">
        <f>IFERROR(_xll.qlRateHelperEarliestDate(S19,Trigger),"--")</f>
        <v>--</v>
      </c>
      <c r="U19" s="135" t="str">
        <f>IFERROR(_xll.qlRateHelperPillarDate(S19,Trigger),"--")</f>
        <v>--</v>
      </c>
      <c r="W19" s="3" t="str">
        <f t="shared" si="1"/>
        <v>BasSw</v>
      </c>
      <c r="X19" s="3" t="str">
        <v>obj_002f0</v>
      </c>
      <c r="Y19" s="3" t="str">
        <f>IFERROR(_xll.qlRateHelperQuoteName(X19,Trigger),"")</f>
        <v>USDAM3L15Y_Quote</v>
      </c>
      <c r="Z19" s="70">
        <f>IFERROR(_xll.qlRateHelperRate(X19,Trigger),"")</f>
        <v>1.635E-2</v>
      </c>
      <c r="AA19" s="106">
        <f>IF(ISERROR(_xll.qlSwapRateHelperSpread($X19)),IF(ISERROR(_xll.qlFuturesRateHelperConvexityAdjustment($X19)),"",_xll.qlFuturesRateHelperConvexityAdjustment($X19)),_xll.qlSwapRateHelperSpread($X19))</f>
        <v>1.0200000000000001E-3</v>
      </c>
      <c r="AB19" s="4">
        <f>IFERROR(_xll.qlRateHelperEarliestDate(X19,Trigger),"")</f>
        <v>42573</v>
      </c>
      <c r="AC19" s="4">
        <f>IFERROR(_xll.qlRateHelperPillarDate(X19,Trigger),"")</f>
        <v>48051</v>
      </c>
      <c r="AD19" s="76">
        <v>0.79032031127654434</v>
      </c>
    </row>
    <row r="20" spans="1:30" ht="11.25" customHeight="1" x14ac:dyDescent="0.2">
      <c r="A20" s="1" t="s">
        <v>25</v>
      </c>
      <c r="B20" s="8" t="s">
        <v>149</v>
      </c>
      <c r="C20" s="6" t="s">
        <v>6</v>
      </c>
      <c r="D20" s="6" t="s">
        <v>8</v>
      </c>
      <c r="E20" s="6" t="s">
        <v>7</v>
      </c>
      <c r="F20" s="6" t="s">
        <v>27</v>
      </c>
      <c r="G20" s="6" t="str">
        <f t="shared" si="9"/>
        <v>UsdLibor1M</v>
      </c>
      <c r="H20" s="1" t="str">
        <f t="shared" si="10"/>
        <v>USD12X1S_Quote</v>
      </c>
      <c r="I20" s="132">
        <v>0</v>
      </c>
      <c r="J20" s="191" t="str">
        <f>_xll.qlSwapRateHelper2(,H20,,B20,JoinCalendar,D20,E20,F20,G20,I20,C20,Discounting,PillarDate,,Permanent,Trigger,ObjectOverwrite)</f>
        <v>obj_002fd#0002</v>
      </c>
      <c r="K20" s="50"/>
      <c r="L20" s="162" t="str">
        <f t="shared" ref="L20:L55" si="11">A24</f>
        <v>BasSw</v>
      </c>
      <c r="M20" s="183" t="str">
        <f t="shared" ref="M20:M55" si="12">H24</f>
        <v>USDAM3L15M_Quote</v>
      </c>
      <c r="N20" s="164" t="str">
        <f>IFERROR(_xll.qlQuoteValue(H24,Trigger),"--")</f>
        <v>--</v>
      </c>
      <c r="O20" s="164">
        <f>IFERROR(_xll.qlQuoteValue(I24,Trigger),"--")</f>
        <v>1.9280847417666195E-3</v>
      </c>
      <c r="P20" s="101" t="b">
        <v>0</v>
      </c>
      <c r="Q20" s="98">
        <v>20</v>
      </c>
      <c r="R20" s="98">
        <v>1</v>
      </c>
      <c r="S20" s="98" t="str">
        <f t="shared" ref="S20:S55" si="13">J24</f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1"/>
        <v>BasSw</v>
      </c>
      <c r="X20" s="3" t="str">
        <v>obj_00304</v>
      </c>
      <c r="Y20" s="3" t="str">
        <f>IFERROR(_xll.qlRateHelperQuoteName(X20,Trigger),"")</f>
        <v>USDAM3L20Y_Quote</v>
      </c>
      <c r="Z20" s="70">
        <f>IFERROR(_xll.qlRateHelperRate(X20,Trigger),"")</f>
        <v>1.7500000000000002E-2</v>
      </c>
      <c r="AA20" s="106">
        <f>IF(ISERROR(_xll.qlSwapRateHelperSpread($X20)),IF(ISERROR(_xll.qlFuturesRateHelperConvexityAdjustment($X20)),"",_xll.qlFuturesRateHelperConvexityAdjustment($X20)),_xll.qlSwapRateHelperSpread($X20))</f>
        <v>1.1200000000000001E-3</v>
      </c>
      <c r="AB20" s="4">
        <f>IFERROR(_xll.qlRateHelperEarliestDate(X20,Trigger),"")</f>
        <v>42573</v>
      </c>
      <c r="AC20" s="4">
        <f>IFERROR(_xll.qlRateHelperPillarDate(X20,Trigger),"")</f>
        <v>49878</v>
      </c>
      <c r="AD20" s="76">
        <v>0.71446749874806703</v>
      </c>
    </row>
    <row r="21" spans="1:30" ht="11.25" customHeight="1" x14ac:dyDescent="0.2">
      <c r="F21" s="52" t="s">
        <v>144</v>
      </c>
      <c r="G21" s="52" t="s">
        <v>143</v>
      </c>
      <c r="H21" s="52" t="s">
        <v>151</v>
      </c>
      <c r="K21" s="50"/>
      <c r="L21" s="162" t="str">
        <f t="shared" si="11"/>
        <v>BasSw</v>
      </c>
      <c r="M21" s="183" t="str">
        <f t="shared" si="12"/>
        <v>USDAM3L18M_Quote</v>
      </c>
      <c r="N21" s="164" t="str">
        <f>IFERROR(_xll.qlQuoteValue(H25,Trigger),"--")</f>
        <v>--</v>
      </c>
      <c r="O21" s="164">
        <f>IFERROR(_xll.qlQuoteValue(I25,Trigger),"--")</f>
        <v>1.9149194835332388E-3</v>
      </c>
      <c r="P21" s="101" t="b">
        <v>0</v>
      </c>
      <c r="Q21" s="98">
        <v>20</v>
      </c>
      <c r="R21" s="98">
        <v>1</v>
      </c>
      <c r="S21" s="98" t="str">
        <f t="shared" si="13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1"/>
        <v>BasSw</v>
      </c>
      <c r="X21" s="3" t="str">
        <v>obj_002e4</v>
      </c>
      <c r="Y21" s="3" t="str">
        <f>IFERROR(_xll.qlRateHelperQuoteName(X21,Trigger),"")</f>
        <v>USDAM3L25Y_Quote</v>
      </c>
      <c r="Z21" s="70">
        <f>IFERROR(_xll.qlRateHelperRate(X21,Trigger),"")</f>
        <v>1.805E-2</v>
      </c>
      <c r="AA21" s="106">
        <f>IF(ISERROR(_xll.qlSwapRateHelperSpread($X21)),IF(ISERROR(_xll.qlFuturesRateHelperConvexityAdjustment($X21)),"",_xll.qlFuturesRateHelperConvexityAdjustment($X21)),_xll.qlSwapRateHelperSpread($X21))</f>
        <v>1.2700000000000001E-3</v>
      </c>
      <c r="AB21" s="4">
        <f>IFERROR(_xll.qlRateHelperEarliestDate(X21,Trigger),"")</f>
        <v>42573</v>
      </c>
      <c r="AC21" s="4">
        <f>IFERROR(_xll.qlRateHelperPillarDate(X21,Trigger),"")</f>
        <v>51704</v>
      </c>
      <c r="AD21" s="76">
        <v>0.65023466006498487</v>
      </c>
    </row>
    <row r="22" spans="1:30" ht="11.25" customHeight="1" x14ac:dyDescent="0.2">
      <c r="A22" s="66" t="s">
        <v>9</v>
      </c>
      <c r="B22" s="66" t="s">
        <v>29</v>
      </c>
      <c r="C22" s="66" t="s">
        <v>145</v>
      </c>
      <c r="D22" s="66" t="s">
        <v>5</v>
      </c>
      <c r="E22" s="66" t="s">
        <v>34</v>
      </c>
      <c r="F22" s="66" t="s">
        <v>146</v>
      </c>
      <c r="G22" s="66" t="s">
        <v>4</v>
      </c>
      <c r="H22" s="66" t="s">
        <v>1</v>
      </c>
      <c r="I22" s="66" t="s">
        <v>142</v>
      </c>
      <c r="J22" s="66" t="s">
        <v>24</v>
      </c>
      <c r="K22" s="50"/>
      <c r="L22" s="162" t="str">
        <f t="shared" si="11"/>
        <v>BasSw</v>
      </c>
      <c r="M22" s="183" t="str">
        <f t="shared" si="12"/>
        <v>USDAM3L21M_Quote</v>
      </c>
      <c r="N22" s="164" t="str">
        <f>IFERROR(_xll.qlQuoteValue(H26,Trigger),"--")</f>
        <v>--</v>
      </c>
      <c r="O22" s="164">
        <f>IFERROR(_xll.qlQuoteValue(I26,Trigger),"--")</f>
        <v>1.8942944835332388E-3</v>
      </c>
      <c r="P22" s="101" t="b">
        <v>0</v>
      </c>
      <c r="Q22" s="98">
        <v>20</v>
      </c>
      <c r="R22" s="98">
        <v>1</v>
      </c>
      <c r="S22" s="98" t="str">
        <f t="shared" si="13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1"/>
        <v>BasSw</v>
      </c>
      <c r="X22" s="3" t="str">
        <v>obj_00306</v>
      </c>
      <c r="Y22" s="3" t="str">
        <f>IFERROR(_xll.qlRateHelperQuoteName(X22,Trigger),"")</f>
        <v>USDAM3L30Y_Quote</v>
      </c>
      <c r="Z22" s="70">
        <f>IFERROR(_xll.qlRateHelperRate(X22,Trigger),"")</f>
        <v>1.8370000000000001E-2</v>
      </c>
      <c r="AA22" s="106">
        <f>IF(ISERROR(_xll.qlSwapRateHelperSpread($X22)),IF(ISERROR(_xll.qlFuturesRateHelperConvexityAdjustment($X22)),"",_xll.qlFuturesRateHelperConvexityAdjustment($X22)),_xll.qlSwapRateHelperSpread($X22))</f>
        <v>1.3700000000000001E-3</v>
      </c>
      <c r="AB22" s="4">
        <f>IFERROR(_xll.qlRateHelperEarliestDate(X22,Trigger),"")</f>
        <v>42573</v>
      </c>
      <c r="AC22" s="4">
        <f>IFERROR(_xll.qlRateHelperPillarDate(X22,Trigger),"")</f>
        <v>53531</v>
      </c>
      <c r="AD22" s="76">
        <v>0.59271437752575018</v>
      </c>
    </row>
    <row r="23" spans="1:30" ht="11.25" customHeight="1" x14ac:dyDescent="0.2">
      <c r="A23" s="60" t="s">
        <v>152</v>
      </c>
      <c r="B23" s="61" t="s">
        <v>28</v>
      </c>
      <c r="C23" s="62" t="s">
        <v>6</v>
      </c>
      <c r="D23" s="62" t="s">
        <v>8</v>
      </c>
      <c r="E23" s="62" t="s">
        <v>7</v>
      </c>
      <c r="F23" s="62" t="s">
        <v>27</v>
      </c>
      <c r="G23" s="62" t="str">
        <f t="shared" ref="G23:G59" si="14">PROPER(Currency)&amp;FamilyName&amp;Tenor</f>
        <v>UsdLibor1M</v>
      </c>
      <c r="H23" s="60" t="str">
        <f t="shared" ref="H23:H59" si="15">Currency&amp;$G$21&amp;$F$21&amp;$B23&amp;QuoteSuffix</f>
        <v>USDAM3L1Y_Quote</v>
      </c>
      <c r="I23" s="145" t="str">
        <f t="shared" ref="I23:I59" si="16">Currency&amp;$F$21&amp;$H$21&amp;$B23&amp;QuoteSuffix</f>
        <v>USD3L1L1Y_Quote</v>
      </c>
      <c r="J23" s="175" t="str">
        <f>IF(P19,_xll.qlSwapRateHelper2(,H23,,B23,JoinCalendar,D23,E23,F23,G23,I23,C23,Discounting,PillarDate,,Permanent,Trigger,ObjectOverwrite),"--")</f>
        <v>--</v>
      </c>
      <c r="K23" s="50"/>
      <c r="L23" s="162" t="str">
        <f t="shared" si="11"/>
        <v>BasSw</v>
      </c>
      <c r="M23" s="183" t="str">
        <f t="shared" si="12"/>
        <v>USDAM3L2Y_Quote</v>
      </c>
      <c r="N23" s="164">
        <f>IFERROR(_xll.qlQuoteValue(H27,Trigger),"--")</f>
        <v>9.1400000000000006E-3</v>
      </c>
      <c r="O23" s="164">
        <f>IFERROR(_xll.qlQuoteValue(I27,Trigger),"--")</f>
        <v>1.8699999999999999E-3</v>
      </c>
      <c r="P23" s="101" t="b">
        <v>1</v>
      </c>
      <c r="Q23" s="98">
        <v>20</v>
      </c>
      <c r="R23" s="98">
        <v>1</v>
      </c>
      <c r="S23" s="98" t="str">
        <f t="shared" si="13"/>
        <v>obj_00300#0002</v>
      </c>
      <c r="T23" s="102">
        <f>IFERROR(_xll.qlRateHelperEarliestDate(S23,Trigger),"--")</f>
        <v>42573</v>
      </c>
      <c r="U23" s="102">
        <f>IFERROR(_xll.qlRateHelperPillarDate(S23,Trigger),"--")</f>
        <v>43304</v>
      </c>
      <c r="W23" s="3" t="str">
        <f t="shared" si="1"/>
        <v>BasSw</v>
      </c>
      <c r="X23" s="3" t="str">
        <v>obj_002d4</v>
      </c>
      <c r="Y23" s="3" t="str">
        <f>IFERROR(_xll.qlRateHelperQuoteName(X23,Trigger),"")</f>
        <v>USDAM3L40Y_Quote</v>
      </c>
      <c r="Z23" s="70">
        <f>IFERROR(_xll.qlRateHelperRate(X23,Trigger),"")</f>
        <v>1.8550000000000001E-2</v>
      </c>
      <c r="AA23" s="106">
        <f>IF(ISERROR(_xll.qlSwapRateHelperSpread($X23)),IF(ISERROR(_xll.qlFuturesRateHelperConvexityAdjustment($X23)),"",_xll.qlFuturesRateHelperConvexityAdjustment($X23)),_xll.qlSwapRateHelperSpread($X23))</f>
        <v>1.3700000000000001E-3</v>
      </c>
      <c r="AB23" s="4">
        <f>IFERROR(_xll.qlRateHelperEarliestDate(X23,Trigger),"")</f>
        <v>42573</v>
      </c>
      <c r="AC23" s="4">
        <f>IFERROR(_xll.qlRateHelperPillarDate(X23,Trigger),"")</f>
        <v>57185</v>
      </c>
      <c r="AD23" s="76">
        <v>0.49490757249213979</v>
      </c>
    </row>
    <row r="24" spans="1:30" ht="11.25" customHeight="1" x14ac:dyDescent="0.2">
      <c r="A24" s="60" t="s">
        <v>152</v>
      </c>
      <c r="B24" s="61" t="s">
        <v>61</v>
      </c>
      <c r="C24" s="62" t="s">
        <v>6</v>
      </c>
      <c r="D24" s="62" t="s">
        <v>8</v>
      </c>
      <c r="E24" s="62" t="s">
        <v>7</v>
      </c>
      <c r="F24" s="62" t="s">
        <v>27</v>
      </c>
      <c r="G24" s="62" t="str">
        <f t="shared" si="14"/>
        <v>UsdLibor1M</v>
      </c>
      <c r="H24" s="60" t="str">
        <f t="shared" si="15"/>
        <v>USDAM3L15M_Quote</v>
      </c>
      <c r="I24" s="145" t="str">
        <f t="shared" si="16"/>
        <v>USD3L1L15M_Quote</v>
      </c>
      <c r="J24" s="175" t="str">
        <f>IF(P20,_xll.qlSwapRateHelper2(,H24,,B24,JoinCalendar,D24,E24,F24,G24,I24,C24,Discounting,PillarDate,,Permanent,Trigger,ObjectOverwrite),"--")</f>
        <v>--</v>
      </c>
      <c r="K24" s="50"/>
      <c r="L24" s="162" t="str">
        <f t="shared" si="11"/>
        <v>BasSw</v>
      </c>
      <c r="M24" s="183" t="str">
        <f t="shared" si="12"/>
        <v>USDAM3L3Y_Quote</v>
      </c>
      <c r="N24" s="164">
        <f>IFERROR(_xll.qlQuoteValue(H28,Trigger),"--")</f>
        <v>9.8500000000000011E-3</v>
      </c>
      <c r="O24" s="164">
        <f>IFERROR(_xll.qlQuoteValue(I28,Trigger),"--")</f>
        <v>1.7699999999999999E-3</v>
      </c>
      <c r="P24" s="101" t="b">
        <v>1</v>
      </c>
      <c r="Q24" s="98">
        <v>20</v>
      </c>
      <c r="R24" s="98">
        <v>1</v>
      </c>
      <c r="S24" s="98" t="str">
        <f t="shared" si="13"/>
        <v>obj_002ec#0002</v>
      </c>
      <c r="T24" s="102">
        <f>IFERROR(_xll.qlRateHelperEarliestDate(S24,Trigger),"--")</f>
        <v>42573</v>
      </c>
      <c r="U24" s="102">
        <f>IFERROR(_xll.qlRateHelperPillarDate(S24,Trigger),"--")</f>
        <v>43668</v>
      </c>
      <c r="W24" s="3" t="str">
        <f t="shared" si="1"/>
        <v>BasSw</v>
      </c>
      <c r="X24" s="3" t="str">
        <v>obj_002e0</v>
      </c>
      <c r="Y24" s="3" t="str">
        <f>IFERROR(_xll.qlRateHelperQuoteName(X24,Trigger),"")</f>
        <v>USDAM3L50Y_Quote</v>
      </c>
      <c r="Z24" s="70">
        <f>IFERROR(_xll.qlRateHelperRate(X24,Trigger),"")</f>
        <v>1.8420000000000002E-2</v>
      </c>
      <c r="AA24" s="106">
        <f>IF(ISERROR(_xll.qlSwapRateHelperSpread($X24)),IF(ISERROR(_xll.qlFuturesRateHelperConvexityAdjustment($X24)),"",_xll.qlFuturesRateHelperConvexityAdjustment($X24)),_xll.qlSwapRateHelperSpread($X24))</f>
        <v>1.3700000000000001E-3</v>
      </c>
      <c r="AB24" s="4">
        <f>IFERROR(_xll.qlRateHelperEarliestDate(X24,Trigger),"")</f>
        <v>42573</v>
      </c>
      <c r="AC24" s="4">
        <f>IFERROR(_xll.qlRateHelperPillarDate(X24,Trigger),"")</f>
        <v>60835</v>
      </c>
      <c r="AD24" s="76">
        <v>0.42026483455150238</v>
      </c>
    </row>
    <row r="25" spans="1:30" ht="11.25" customHeight="1" x14ac:dyDescent="0.2">
      <c r="A25" s="60" t="s">
        <v>152</v>
      </c>
      <c r="B25" s="61" t="s">
        <v>64</v>
      </c>
      <c r="C25" s="62" t="s">
        <v>6</v>
      </c>
      <c r="D25" s="62" t="s">
        <v>8</v>
      </c>
      <c r="E25" s="62" t="s">
        <v>7</v>
      </c>
      <c r="F25" s="62" t="s">
        <v>27</v>
      </c>
      <c r="G25" s="62" t="str">
        <f t="shared" si="14"/>
        <v>UsdLibor1M</v>
      </c>
      <c r="H25" s="60" t="str">
        <f t="shared" si="15"/>
        <v>USDAM3L18M_Quote</v>
      </c>
      <c r="I25" s="145" t="str">
        <f t="shared" si="16"/>
        <v>USD3L1L18M_Quote</v>
      </c>
      <c r="J25" s="175" t="str">
        <f>IF(P21,_xll.qlSwapRateHelper2(,H25,,B25,JoinCalendar,D25,E25,F25,G25,I25,C25,Discounting,PillarDate,,Permanent,Trigger,ObjectOverwrite),"--")</f>
        <v>--</v>
      </c>
      <c r="K25" s="50"/>
      <c r="L25" s="162" t="str">
        <f t="shared" si="11"/>
        <v>BasSw</v>
      </c>
      <c r="M25" s="183" t="str">
        <f t="shared" si="12"/>
        <v>USDAM3L4Y_Quote</v>
      </c>
      <c r="N25" s="164">
        <f>IFERROR(_xll.qlQuoteValue(H29,Trigger),"--")</f>
        <v>1.052E-2</v>
      </c>
      <c r="O25" s="164">
        <f>IFERROR(_xll.qlQuoteValue(I29,Trigger),"--")</f>
        <v>1.6699999999999998E-3</v>
      </c>
      <c r="P25" s="101" t="b">
        <v>1</v>
      </c>
      <c r="Q25" s="98">
        <v>20</v>
      </c>
      <c r="R25" s="98">
        <v>1</v>
      </c>
      <c r="S25" s="98" t="str">
        <f t="shared" si="13"/>
        <v>obj_002ff#0002</v>
      </c>
      <c r="T25" s="102">
        <f>IFERROR(_xll.qlRateHelperEarliestDate(S25,Trigger),"--")</f>
        <v>42573</v>
      </c>
      <c r="U25" s="102">
        <f>IFERROR(_xll.qlRateHelperPillarDate(S25,Trigger),"--")</f>
        <v>44034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70" t="str">
        <f>IFERROR(_xll.qlRateHelperRate(X25,Trigger),"")</f>
        <v/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6" t="e">
        <v>#N/A</v>
      </c>
    </row>
    <row r="26" spans="1:30" ht="11.25" customHeight="1" x14ac:dyDescent="0.2">
      <c r="A26" s="60" t="s">
        <v>152</v>
      </c>
      <c r="B26" s="61" t="s">
        <v>67</v>
      </c>
      <c r="C26" s="62" t="s">
        <v>6</v>
      </c>
      <c r="D26" s="62" t="s">
        <v>8</v>
      </c>
      <c r="E26" s="62" t="s">
        <v>7</v>
      </c>
      <c r="F26" s="62" t="s">
        <v>27</v>
      </c>
      <c r="G26" s="62" t="str">
        <f t="shared" si="14"/>
        <v>UsdLibor1M</v>
      </c>
      <c r="H26" s="60" t="str">
        <f t="shared" si="15"/>
        <v>USDAM3L21M_Quote</v>
      </c>
      <c r="I26" s="145" t="str">
        <f t="shared" si="16"/>
        <v>USD3L1L21M_Quote</v>
      </c>
      <c r="J26" s="175" t="str">
        <f>IF(P22,_xll.qlSwapRateHelper2(,H26,,B26,JoinCalendar,D26,E26,F26,G26,I26,C26,Discounting,PillarDate,,Permanent,Trigger,ObjectOverwrite),"--")</f>
        <v>--</v>
      </c>
      <c r="K26" s="50"/>
      <c r="L26" s="162" t="str">
        <f t="shared" si="11"/>
        <v>BasSw</v>
      </c>
      <c r="M26" s="183" t="str">
        <f t="shared" si="12"/>
        <v>USDAM3L5Y_Quote</v>
      </c>
      <c r="N26" s="164">
        <f>IFERROR(_xll.qlQuoteValue(H30,Trigger),"--")</f>
        <v>1.119E-2</v>
      </c>
      <c r="O26" s="164">
        <f>IFERROR(_xll.qlQuoteValue(I30,Trigger),"--")</f>
        <v>1.58E-3</v>
      </c>
      <c r="P26" s="101" t="b">
        <v>1</v>
      </c>
      <c r="Q26" s="98">
        <v>20</v>
      </c>
      <c r="R26" s="98">
        <v>1</v>
      </c>
      <c r="S26" s="98" t="str">
        <f t="shared" si="13"/>
        <v>obj_002f9#0002</v>
      </c>
      <c r="T26" s="102">
        <f>IFERROR(_xll.qlRateHelperEarliestDate(S26,Trigger),"--")</f>
        <v>42573</v>
      </c>
      <c r="U26" s="102">
        <f>IFERROR(_xll.qlRateHelperPillarDate(S26,Trigger),"--")</f>
        <v>44399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70" t="str">
        <f>IFERROR(_xll.qlRateHelperRate(X26,Trigger),"")</f>
        <v/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6" t="e">
        <v>#N/A</v>
      </c>
    </row>
    <row r="27" spans="1:30" ht="11.25" customHeight="1" x14ac:dyDescent="0.2">
      <c r="A27" s="60" t="s">
        <v>152</v>
      </c>
      <c r="B27" s="61" t="s">
        <v>70</v>
      </c>
      <c r="C27" s="62" t="s">
        <v>6</v>
      </c>
      <c r="D27" s="62" t="s">
        <v>8</v>
      </c>
      <c r="E27" s="62" t="s">
        <v>7</v>
      </c>
      <c r="F27" s="62" t="s">
        <v>27</v>
      </c>
      <c r="G27" s="62" t="str">
        <f t="shared" si="14"/>
        <v>UsdLibor1M</v>
      </c>
      <c r="H27" s="60" t="str">
        <f t="shared" si="15"/>
        <v>USDAM3L2Y_Quote</v>
      </c>
      <c r="I27" s="145" t="str">
        <f t="shared" si="16"/>
        <v>USD3L1L2Y_Quote</v>
      </c>
      <c r="J27" s="175" t="str">
        <f>IF(P23,_xll.qlSwapRateHelper2(,H27,,B27,JoinCalendar,D27,E27,F27,G27,I27,C27,Discounting,PillarDate,,Permanent,Trigger,ObjectOverwrite),"--")</f>
        <v>obj_00300#0002</v>
      </c>
      <c r="K27" s="50"/>
      <c r="L27" s="162" t="str">
        <f t="shared" si="11"/>
        <v>BasSw</v>
      </c>
      <c r="M27" s="183" t="str">
        <f t="shared" si="12"/>
        <v>USDAM3L6Y_Quote</v>
      </c>
      <c r="N27" s="164">
        <f>IFERROR(_xll.qlQuoteValue(H31,Trigger),"--")</f>
        <v>1.191E-2</v>
      </c>
      <c r="O27" s="164">
        <f>IFERROR(_xll.qlQuoteValue(I31,Trigger),"--")</f>
        <v>1.4700000000000002E-3</v>
      </c>
      <c r="P27" s="101" t="b">
        <v>1</v>
      </c>
      <c r="Q27" s="98">
        <v>20</v>
      </c>
      <c r="R27" s="98">
        <v>1</v>
      </c>
      <c r="S27" s="98" t="str">
        <f t="shared" si="13"/>
        <v>obj_002ea#0002</v>
      </c>
      <c r="T27" s="102">
        <f>IFERROR(_xll.qlRateHelperEarliestDate(S27,Trigger),"--")</f>
        <v>42573</v>
      </c>
      <c r="U27" s="102">
        <f>IFERROR(_xll.qlRateHelperPillarDate(S27,Trigger),"--")</f>
        <v>44764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70" t="str">
        <f>IFERROR(_xll.qlRateHelperRate(X27,Trigger),"")</f>
        <v/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6" t="e">
        <v>#N/A</v>
      </c>
    </row>
    <row r="28" spans="1:30" ht="11.25" customHeight="1" x14ac:dyDescent="0.2">
      <c r="A28" s="60" t="s">
        <v>152</v>
      </c>
      <c r="B28" s="61" t="s">
        <v>74</v>
      </c>
      <c r="C28" s="62" t="s">
        <v>6</v>
      </c>
      <c r="D28" s="62" t="s">
        <v>8</v>
      </c>
      <c r="E28" s="62" t="s">
        <v>7</v>
      </c>
      <c r="F28" s="62" t="s">
        <v>27</v>
      </c>
      <c r="G28" s="62" t="str">
        <f t="shared" si="14"/>
        <v>UsdLibor1M</v>
      </c>
      <c r="H28" s="60" t="str">
        <f t="shared" si="15"/>
        <v>USDAM3L3Y_Quote</v>
      </c>
      <c r="I28" s="145" t="str">
        <f t="shared" si="16"/>
        <v>USD3L1L3Y_Quote</v>
      </c>
      <c r="J28" s="175" t="str">
        <f>IF(P24,_xll.qlSwapRateHelper2(,H28,,B28,JoinCalendar,D28,E28,F28,G28,I28,C28,Discounting,PillarDate,,Permanent,Trigger,ObjectOverwrite),"--")</f>
        <v>obj_002ec#0002</v>
      </c>
      <c r="K28" s="50"/>
      <c r="L28" s="162" t="str">
        <f t="shared" si="11"/>
        <v>BasSw</v>
      </c>
      <c r="M28" s="183" t="str">
        <f t="shared" si="12"/>
        <v>USDAM3L7Y_Quote</v>
      </c>
      <c r="N28" s="164">
        <f>IFERROR(_xll.qlQuoteValue(H32,Trigger),"--")</f>
        <v>1.259E-2</v>
      </c>
      <c r="O28" s="164">
        <f>IFERROR(_xll.qlQuoteValue(I32,Trigger),"--")</f>
        <v>1.3600000000000001E-3</v>
      </c>
      <c r="P28" s="101" t="b">
        <v>1</v>
      </c>
      <c r="Q28" s="98">
        <v>20</v>
      </c>
      <c r="R28" s="98">
        <v>1</v>
      </c>
      <c r="S28" s="98" t="str">
        <f t="shared" si="13"/>
        <v>obj_002d9#0002</v>
      </c>
      <c r="T28" s="102">
        <f>IFERROR(_xll.qlRateHelperEarliestDate(S28,Trigger),"--")</f>
        <v>42573</v>
      </c>
      <c r="U28" s="102">
        <f>IFERROR(_xll.qlRateHelperPillarDate(S28,Trigger),"--")</f>
        <v>45131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70" t="str">
        <f>IFERROR(_xll.qlRateHelperRate(X28,Trigger),"")</f>
        <v/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6" t="e">
        <v>#N/A</v>
      </c>
    </row>
    <row r="29" spans="1:30" ht="11.25" customHeight="1" x14ac:dyDescent="0.2">
      <c r="A29" s="60" t="s">
        <v>152</v>
      </c>
      <c r="B29" s="61" t="s">
        <v>78</v>
      </c>
      <c r="C29" s="62" t="s">
        <v>6</v>
      </c>
      <c r="D29" s="62" t="s">
        <v>8</v>
      </c>
      <c r="E29" s="62" t="s">
        <v>7</v>
      </c>
      <c r="F29" s="62" t="s">
        <v>27</v>
      </c>
      <c r="G29" s="62" t="str">
        <f t="shared" si="14"/>
        <v>UsdLibor1M</v>
      </c>
      <c r="H29" s="60" t="str">
        <f t="shared" si="15"/>
        <v>USDAM3L4Y_Quote</v>
      </c>
      <c r="I29" s="145" t="str">
        <f t="shared" si="16"/>
        <v>USD3L1L4Y_Quote</v>
      </c>
      <c r="J29" s="175" t="str">
        <f>IF(P25,_xll.qlSwapRateHelper2(,H29,,B29,JoinCalendar,D29,E29,F29,G29,I29,C29,Discounting,PillarDate,,Permanent,Trigger,ObjectOverwrite),"--")</f>
        <v>obj_002ff#0002</v>
      </c>
      <c r="K29" s="50"/>
      <c r="L29" s="162" t="str">
        <f t="shared" si="11"/>
        <v>BasSw</v>
      </c>
      <c r="M29" s="183" t="str">
        <f t="shared" si="12"/>
        <v>USDAM3L8Y_Quote</v>
      </c>
      <c r="N29" s="164">
        <f>IFERROR(_xll.qlQuoteValue(H33,Trigger),"--")</f>
        <v>1.3220000000000001E-2</v>
      </c>
      <c r="O29" s="164">
        <f>IFERROR(_xll.qlQuoteValue(I33,Trigger),"--")</f>
        <v>1.2600000000000001E-3</v>
      </c>
      <c r="P29" s="101" t="b">
        <v>1</v>
      </c>
      <c r="Q29" s="98">
        <v>20</v>
      </c>
      <c r="R29" s="98">
        <v>1</v>
      </c>
      <c r="S29" s="98" t="str">
        <f t="shared" si="13"/>
        <v>obj_002f6#0002</v>
      </c>
      <c r="T29" s="102">
        <f>IFERROR(_xll.qlRateHelperEarliestDate(S29,Trigger),"--")</f>
        <v>42573</v>
      </c>
      <c r="U29" s="102">
        <f>IFERROR(_xll.qlRateHelperPillarDate(S29,Trigger),"--")</f>
        <v>45495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70" t="str">
        <f>IFERROR(_xll.qlRateHelperRate(X29,Trigger),"")</f>
        <v/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6" t="e">
        <v>#N/A</v>
      </c>
    </row>
    <row r="30" spans="1:30" ht="11.25" customHeight="1" x14ac:dyDescent="0.2">
      <c r="A30" s="60" t="s">
        <v>152</v>
      </c>
      <c r="B30" s="61" t="s">
        <v>82</v>
      </c>
      <c r="C30" s="62" t="s">
        <v>6</v>
      </c>
      <c r="D30" s="62" t="s">
        <v>8</v>
      </c>
      <c r="E30" s="62" t="s">
        <v>7</v>
      </c>
      <c r="F30" s="62" t="s">
        <v>27</v>
      </c>
      <c r="G30" s="62" t="str">
        <f t="shared" si="14"/>
        <v>UsdLibor1M</v>
      </c>
      <c r="H30" s="60" t="str">
        <f t="shared" si="15"/>
        <v>USDAM3L5Y_Quote</v>
      </c>
      <c r="I30" s="145" t="str">
        <f t="shared" si="16"/>
        <v>USD3L1L5Y_Quote</v>
      </c>
      <c r="J30" s="175" t="str">
        <f>IF(P26,_xll.qlSwapRateHelper2(,H30,,B30,JoinCalendar,D30,E30,F30,G30,I30,C30,Discounting,PillarDate,,Permanent,Trigger,ObjectOverwrite),"--")</f>
        <v>obj_002f9#0002</v>
      </c>
      <c r="K30" s="50"/>
      <c r="L30" s="162" t="str">
        <f t="shared" si="11"/>
        <v>BasSw</v>
      </c>
      <c r="M30" s="183" t="str">
        <f t="shared" si="12"/>
        <v>USDAM3L9Y_Quote</v>
      </c>
      <c r="N30" s="164">
        <f>IFERROR(_xll.qlQuoteValue(H34,Trigger),"--")</f>
        <v>1.379E-2</v>
      </c>
      <c r="O30" s="164">
        <f>IFERROR(_xll.qlQuoteValue(I34,Trigger),"--")</f>
        <v>1.1800000000000001E-3</v>
      </c>
      <c r="P30" s="101" t="b">
        <v>1</v>
      </c>
      <c r="Q30" s="98">
        <v>20</v>
      </c>
      <c r="R30" s="98">
        <v>1</v>
      </c>
      <c r="S30" s="98" t="str">
        <f t="shared" si="13"/>
        <v>obj_002e7#0002</v>
      </c>
      <c r="T30" s="102">
        <f>IFERROR(_xll.qlRateHelperEarliestDate(S30,Trigger),"--")</f>
        <v>42573</v>
      </c>
      <c r="U30" s="102">
        <f>IFERROR(_xll.qlRateHelperPillarDate(S30,Trigger),"--")</f>
        <v>45860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152</v>
      </c>
      <c r="B31" s="61" t="s">
        <v>83</v>
      </c>
      <c r="C31" s="62" t="s">
        <v>6</v>
      </c>
      <c r="D31" s="62" t="s">
        <v>8</v>
      </c>
      <c r="E31" s="62" t="s">
        <v>7</v>
      </c>
      <c r="F31" s="62" t="s">
        <v>27</v>
      </c>
      <c r="G31" s="62" t="str">
        <f t="shared" si="14"/>
        <v>UsdLibor1M</v>
      </c>
      <c r="H31" s="60" t="str">
        <f t="shared" si="15"/>
        <v>USDAM3L6Y_Quote</v>
      </c>
      <c r="I31" s="145" t="str">
        <f t="shared" si="16"/>
        <v>USD3L1L6Y_Quote</v>
      </c>
      <c r="J31" s="175" t="str">
        <f>IF(P27,_xll.qlSwapRateHelper2(,H31,,B31,JoinCalendar,D31,E31,F31,G31,I31,C31,Discounting,PillarDate,,Permanent,Trigger,ObjectOverwrite),"--")</f>
        <v>obj_002ea#0002</v>
      </c>
      <c r="K31" s="50"/>
      <c r="L31" s="162" t="str">
        <f t="shared" si="11"/>
        <v>BasSw</v>
      </c>
      <c r="M31" s="183" t="str">
        <f t="shared" si="12"/>
        <v>USDAM3L10Y_Quote</v>
      </c>
      <c r="N31" s="164">
        <f>IFERROR(_xll.qlQuoteValue(H35,Trigger),"--")</f>
        <v>1.4330000000000001E-2</v>
      </c>
      <c r="O31" s="164">
        <f>IFERROR(_xll.qlQuoteValue(I35,Trigger),"--")</f>
        <v>1.1200000000000001E-3</v>
      </c>
      <c r="P31" s="101" t="b">
        <v>1</v>
      </c>
      <c r="Q31" s="98">
        <v>40</v>
      </c>
      <c r="R31" s="98">
        <v>1</v>
      </c>
      <c r="S31" s="98" t="str">
        <f t="shared" si="13"/>
        <v>obj_002d0#0002</v>
      </c>
      <c r="T31" s="102">
        <f>IFERROR(_xll.qlRateHelperEarliestDate(S31,Trigger),"--")</f>
        <v>42573</v>
      </c>
      <c r="U31" s="102">
        <f>IFERROR(_xll.qlRateHelperPillarDate(S31,Trigger),"--")</f>
        <v>46225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152</v>
      </c>
      <c r="B32" s="61" t="s">
        <v>84</v>
      </c>
      <c r="C32" s="62" t="s">
        <v>6</v>
      </c>
      <c r="D32" s="62" t="s">
        <v>8</v>
      </c>
      <c r="E32" s="62" t="s">
        <v>7</v>
      </c>
      <c r="F32" s="62" t="s">
        <v>27</v>
      </c>
      <c r="G32" s="62" t="str">
        <f t="shared" si="14"/>
        <v>UsdLibor1M</v>
      </c>
      <c r="H32" s="60" t="str">
        <f t="shared" si="15"/>
        <v>USDAM3L7Y_Quote</v>
      </c>
      <c r="I32" s="145" t="str">
        <f t="shared" si="16"/>
        <v>USD3L1L7Y_Quote</v>
      </c>
      <c r="J32" s="175" t="str">
        <f>IF(P28,_xll.qlSwapRateHelper2(,H32,,B32,JoinCalendar,D32,E32,F32,G32,I32,C32,Discounting,PillarDate,,Permanent,Trigger,ObjectOverwrite),"--")</f>
        <v>obj_002d9#0002</v>
      </c>
      <c r="K32" s="50"/>
      <c r="L32" s="162" t="str">
        <f t="shared" si="11"/>
        <v>BasSw</v>
      </c>
      <c r="M32" s="183" t="str">
        <f t="shared" si="12"/>
        <v>USDAM3L11Y_Quote</v>
      </c>
      <c r="N32" s="164" t="str">
        <f>IFERROR(_xll.qlQuoteValue(H36,Trigger),"--")</f>
        <v>--</v>
      </c>
      <c r="O32" s="164">
        <f>IFERROR(_xll.qlQuoteValue(I36,Trigger),"--")</f>
        <v>1.0730732764378729E-3</v>
      </c>
      <c r="P32" s="101" t="b">
        <v>0</v>
      </c>
      <c r="Q32" s="98">
        <v>40</v>
      </c>
      <c r="R32" s="98">
        <v>1</v>
      </c>
      <c r="S32" s="98" t="str">
        <f t="shared" si="13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152</v>
      </c>
      <c r="B33" s="61" t="s">
        <v>85</v>
      </c>
      <c r="C33" s="62" t="s">
        <v>6</v>
      </c>
      <c r="D33" s="62" t="s">
        <v>8</v>
      </c>
      <c r="E33" s="62" t="s">
        <v>7</v>
      </c>
      <c r="F33" s="62" t="s">
        <v>27</v>
      </c>
      <c r="G33" s="62" t="str">
        <f t="shared" si="14"/>
        <v>UsdLibor1M</v>
      </c>
      <c r="H33" s="60" t="str">
        <f t="shared" si="15"/>
        <v>USDAM3L8Y_Quote</v>
      </c>
      <c r="I33" s="145" t="str">
        <f t="shared" si="16"/>
        <v>USD3L1L8Y_Quote</v>
      </c>
      <c r="J33" s="175" t="str">
        <f>IF(P29,_xll.qlSwapRateHelper2(,H33,,B33,JoinCalendar,D33,E33,F33,G33,I33,C33,Discounting,PillarDate,,Permanent,Trigger,ObjectOverwrite),"--")</f>
        <v>obj_002f6#0002</v>
      </c>
      <c r="K33" s="50"/>
      <c r="L33" s="162" t="str">
        <f t="shared" si="11"/>
        <v>BasSw</v>
      </c>
      <c r="M33" s="183" t="str">
        <f t="shared" si="12"/>
        <v>USDAM3L12Y_Quote</v>
      </c>
      <c r="N33" s="164">
        <f>IFERROR(_xll.qlQuoteValue(H37,Trigger),"--")</f>
        <v>1.528E-2</v>
      </c>
      <c r="O33" s="164">
        <f>IFERROR(_xll.qlQuoteValue(I37,Trigger),"--")</f>
        <v>1.0400000000000001E-3</v>
      </c>
      <c r="P33" s="101" t="b">
        <v>1</v>
      </c>
      <c r="Q33" s="98">
        <v>40</v>
      </c>
      <c r="R33" s="98">
        <v>1</v>
      </c>
      <c r="S33" s="98" t="str">
        <f t="shared" si="13"/>
        <v>obj_002db#0002</v>
      </c>
      <c r="T33" s="102">
        <f>IFERROR(_xll.qlRateHelperEarliestDate(S33,Trigger),"--")</f>
        <v>42573</v>
      </c>
      <c r="U33" s="102">
        <f>IFERROR(_xll.qlRateHelperPillarDate(S33,Trigger),"--")</f>
        <v>46958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152</v>
      </c>
      <c r="B34" s="61" t="s">
        <v>86</v>
      </c>
      <c r="C34" s="62" t="s">
        <v>6</v>
      </c>
      <c r="D34" s="62" t="s">
        <v>8</v>
      </c>
      <c r="E34" s="62" t="s">
        <v>7</v>
      </c>
      <c r="F34" s="62" t="s">
        <v>27</v>
      </c>
      <c r="G34" s="62" t="str">
        <f t="shared" si="14"/>
        <v>UsdLibor1M</v>
      </c>
      <c r="H34" s="60" t="str">
        <f t="shared" si="15"/>
        <v>USDAM3L9Y_Quote</v>
      </c>
      <c r="I34" s="145" t="str">
        <f t="shared" si="16"/>
        <v>USD3L1L9Y_Quote</v>
      </c>
      <c r="J34" s="175" t="str">
        <f>IF(P30,_xll.qlSwapRateHelper2(,H34,,B34,JoinCalendar,D34,E34,F34,G34,I34,C34,Discounting,PillarDate,,Permanent,Trigger,ObjectOverwrite),"--")</f>
        <v>obj_002e7#0002</v>
      </c>
      <c r="K34" s="50"/>
      <c r="L34" s="162" t="str">
        <f t="shared" si="11"/>
        <v>BasSw</v>
      </c>
      <c r="M34" s="183" t="str">
        <f t="shared" si="12"/>
        <v>USDAM3L13Y_Quote</v>
      </c>
      <c r="N34" s="164" t="str">
        <f>IFERROR(_xll.qlQuoteValue(H38,Trigger),"--")</f>
        <v>--</v>
      </c>
      <c r="O34" s="164">
        <f>IFERROR(_xll.qlQuoteValue(I38,Trigger),"--")</f>
        <v>1.0220208183533224E-3</v>
      </c>
      <c r="P34" s="101" t="b">
        <v>0</v>
      </c>
      <c r="Q34" s="98">
        <v>40</v>
      </c>
      <c r="R34" s="98">
        <v>1</v>
      </c>
      <c r="S34" s="98" t="str">
        <f t="shared" si="13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152</v>
      </c>
      <c r="B35" s="61" t="s">
        <v>87</v>
      </c>
      <c r="C35" s="62" t="s">
        <v>6</v>
      </c>
      <c r="D35" s="62" t="s">
        <v>8</v>
      </c>
      <c r="E35" s="62" t="s">
        <v>7</v>
      </c>
      <c r="F35" s="62" t="s">
        <v>27</v>
      </c>
      <c r="G35" s="62" t="str">
        <f t="shared" si="14"/>
        <v>UsdLibor1M</v>
      </c>
      <c r="H35" s="60" t="str">
        <f t="shared" si="15"/>
        <v>USDAM3L10Y_Quote</v>
      </c>
      <c r="I35" s="145" t="str">
        <f t="shared" si="16"/>
        <v>USD3L1L10Y_Quote</v>
      </c>
      <c r="J35" s="175" t="str">
        <f>IF(P31,_xll.qlSwapRateHelper2(,H35,,B35,JoinCalendar,D35,E35,F35,G35,I35,C35,Discounting,PillarDate,,Permanent,Trigger,ObjectOverwrite),"--")</f>
        <v>obj_002d0#0002</v>
      </c>
      <c r="K35" s="50"/>
      <c r="L35" s="162" t="str">
        <f t="shared" si="11"/>
        <v>BasSw</v>
      </c>
      <c r="M35" s="183" t="str">
        <f t="shared" si="12"/>
        <v>USDAM3L14Y_Quote</v>
      </c>
      <c r="N35" s="164" t="str">
        <f>IFERROR(_xll.qlQuoteValue(H39,Trigger),"--")</f>
        <v>--</v>
      </c>
      <c r="O35" s="164">
        <f>IFERROR(_xll.qlQuoteValue(I39,Trigger),"--")</f>
        <v>1.0162638589288672E-3</v>
      </c>
      <c r="P35" s="101" t="b">
        <v>0</v>
      </c>
      <c r="Q35" s="98">
        <v>40</v>
      </c>
      <c r="R35" s="98">
        <v>1</v>
      </c>
      <c r="S35" s="98" t="str">
        <f t="shared" si="13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55" si="17">IFERROR(INDEX($L$3:$L$55,MATCH(Y35,$M$3:$M$55,0),1),"")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152</v>
      </c>
      <c r="B36" s="61" t="s">
        <v>127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4"/>
        <v>UsdLibor1M</v>
      </c>
      <c r="H36" s="60" t="str">
        <f t="shared" si="15"/>
        <v>USDAM3L11Y_Quote</v>
      </c>
      <c r="I36" s="145" t="str">
        <f t="shared" si="16"/>
        <v>USD3L1L11Y_Quote</v>
      </c>
      <c r="J36" s="175" t="str">
        <f>IF(P32,_xll.qlSwapRateHelper2(,H36,,B36,JoinCalendar,D36,E36,F36,G36,I36,C36,Discounting,PillarDate,,Permanent,Trigger,ObjectOverwrite),"--")</f>
        <v>--</v>
      </c>
      <c r="K36" s="50"/>
      <c r="L36" s="162" t="str">
        <f t="shared" si="11"/>
        <v>BasSw</v>
      </c>
      <c r="M36" s="183" t="str">
        <f t="shared" si="12"/>
        <v>USDAM3L15Y_Quote</v>
      </c>
      <c r="N36" s="164">
        <f>IFERROR(_xll.qlQuoteValue(H40,Trigger),"--")</f>
        <v>1.635E-2</v>
      </c>
      <c r="O36" s="164">
        <f>IFERROR(_xll.qlQuoteValue(I40,Trigger),"--")</f>
        <v>1.0200000000000001E-3</v>
      </c>
      <c r="P36" s="101" t="b">
        <v>1</v>
      </c>
      <c r="Q36" s="98">
        <v>40</v>
      </c>
      <c r="R36" s="98">
        <v>1</v>
      </c>
      <c r="S36" s="98" t="str">
        <f t="shared" si="13"/>
        <v>obj_002f0#0002</v>
      </c>
      <c r="T36" s="102">
        <f>IFERROR(_xll.qlRateHelperEarliestDate(S36,Trigger),"--")</f>
        <v>42573</v>
      </c>
      <c r="U36" s="102">
        <f>IFERROR(_xll.qlRateHelperPillarDate(S36,Trigger),"--")</f>
        <v>48051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152</v>
      </c>
      <c r="B37" s="61" t="s">
        <v>88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4"/>
        <v>UsdLibor1M</v>
      </c>
      <c r="H37" s="60" t="str">
        <f t="shared" si="15"/>
        <v>USDAM3L12Y_Quote</v>
      </c>
      <c r="I37" s="145" t="str">
        <f t="shared" si="16"/>
        <v>USD3L1L12Y_Quote</v>
      </c>
      <c r="J37" s="175" t="str">
        <f>IF(P33,_xll.qlSwapRateHelper2(,H37,,B37,JoinCalendar,D37,E37,F37,G37,I37,C37,Discounting,PillarDate,,Permanent,Trigger,ObjectOverwrite),"--")</f>
        <v>obj_002db#0002</v>
      </c>
      <c r="K37" s="50"/>
      <c r="L37" s="162" t="str">
        <f t="shared" si="11"/>
        <v>BasSw</v>
      </c>
      <c r="M37" s="183" t="str">
        <f t="shared" si="12"/>
        <v>USDAM3L16Y_Quote</v>
      </c>
      <c r="N37" s="164" t="str">
        <f>IFERROR(_xll.qlQuoteValue(H41,Trigger),"--")</f>
        <v>--</v>
      </c>
      <c r="O37" s="164">
        <f>IFERROR(_xll.qlQuoteValue(I41,Trigger),"--")</f>
        <v>1.0305883152770183E-3</v>
      </c>
      <c r="P37" s="101" t="b">
        <v>0</v>
      </c>
      <c r="Q37" s="98">
        <v>40</v>
      </c>
      <c r="R37" s="98">
        <v>1</v>
      </c>
      <c r="S37" s="98" t="str">
        <f t="shared" si="13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152</v>
      </c>
      <c r="B38" s="61" t="s">
        <v>128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4"/>
        <v>UsdLibor1M</v>
      </c>
      <c r="H38" s="60" t="str">
        <f t="shared" si="15"/>
        <v>USDAM3L13Y_Quote</v>
      </c>
      <c r="I38" s="145" t="str">
        <f t="shared" si="16"/>
        <v>USD3L1L13Y_Quote</v>
      </c>
      <c r="J38" s="175" t="str">
        <f>IF(P34,_xll.qlSwapRateHelper2(,H38,,B38,JoinCalendar,D38,E38,F38,G38,I38,C38,Discounting,PillarDate,,Permanent,Trigger,ObjectOverwrite),"--")</f>
        <v>--</v>
      </c>
      <c r="K38" s="50"/>
      <c r="L38" s="162" t="str">
        <f t="shared" si="11"/>
        <v>BasSw</v>
      </c>
      <c r="M38" s="183" t="str">
        <f t="shared" si="12"/>
        <v>USDAM3L17Y_Quote</v>
      </c>
      <c r="N38" s="164" t="str">
        <f>IFERROR(_xll.qlQuoteValue(H42,Trigger),"--")</f>
        <v>--</v>
      </c>
      <c r="O38" s="164">
        <f>IFERROR(_xll.qlQuoteValue(I42,Trigger),"--")</f>
        <v>1.0466773649389959E-3</v>
      </c>
      <c r="P38" s="101" t="b">
        <v>0</v>
      </c>
      <c r="Q38" s="98">
        <v>40</v>
      </c>
      <c r="R38" s="98">
        <v>1</v>
      </c>
      <c r="S38" s="98" t="str">
        <f t="shared" si="13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152</v>
      </c>
      <c r="B39" s="61" t="s">
        <v>129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4"/>
        <v>UsdLibor1M</v>
      </c>
      <c r="H39" s="60" t="str">
        <f t="shared" si="15"/>
        <v>USDAM3L14Y_Quote</v>
      </c>
      <c r="I39" s="145" t="str">
        <f t="shared" si="16"/>
        <v>USD3L1L14Y_Quote</v>
      </c>
      <c r="J39" s="175" t="str">
        <f>IF(P35,_xll.qlSwapRateHelper2(,H39,,B39,JoinCalendar,D39,E39,F39,G39,I39,C39,Discounting,PillarDate,,Permanent,Trigger,ObjectOverwrite),"--")</f>
        <v>--</v>
      </c>
      <c r="K39" s="50"/>
      <c r="L39" s="162" t="str">
        <f t="shared" si="11"/>
        <v>BasSw</v>
      </c>
      <c r="M39" s="183" t="str">
        <f t="shared" si="12"/>
        <v>USDAM3L18Y_Quote</v>
      </c>
      <c r="N39" s="164" t="str">
        <f>IFERROR(_xll.qlQuoteValue(H43,Trigger),"--")</f>
        <v>--</v>
      </c>
      <c r="O39" s="164">
        <f>IFERROR(_xll.qlQuoteValue(I43,Trigger),"--")</f>
        <v>1.0674722569624642E-3</v>
      </c>
      <c r="P39" s="101" t="b">
        <v>0</v>
      </c>
      <c r="Q39" s="98">
        <v>40</v>
      </c>
      <c r="R39" s="98">
        <v>1</v>
      </c>
      <c r="S39" s="98" t="str">
        <f t="shared" si="13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152</v>
      </c>
      <c r="B40" s="61" t="s">
        <v>89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4"/>
        <v>UsdLibor1M</v>
      </c>
      <c r="H40" s="60" t="str">
        <f t="shared" si="15"/>
        <v>USDAM3L15Y_Quote</v>
      </c>
      <c r="I40" s="145" t="str">
        <f t="shared" si="16"/>
        <v>USD3L1L15Y_Quote</v>
      </c>
      <c r="J40" s="175" t="str">
        <f>IF(P36,_xll.qlSwapRateHelper2(,H40,,B40,JoinCalendar,D40,E40,F40,G40,I40,C40,Discounting,PillarDate,,Permanent,Trigger,ObjectOverwrite),"--")</f>
        <v>obj_002f0#0002</v>
      </c>
      <c r="K40" s="50"/>
      <c r="L40" s="162" t="str">
        <f t="shared" si="11"/>
        <v>BasSw</v>
      </c>
      <c r="M40" s="183" t="str">
        <f t="shared" si="12"/>
        <v>USDAM3L19Y_Quote</v>
      </c>
      <c r="N40" s="164" t="str">
        <f>IFERROR(_xll.qlQuoteValue(H44,Trigger),"--")</f>
        <v>--</v>
      </c>
      <c r="O40" s="164">
        <f>IFERROR(_xll.qlQuoteValue(I44,Trigger),"--")</f>
        <v>1.0921780993239549E-3</v>
      </c>
      <c r="P40" s="101" t="b">
        <v>0</v>
      </c>
      <c r="Q40" s="98">
        <v>40</v>
      </c>
      <c r="R40" s="98">
        <v>1</v>
      </c>
      <c r="S40" s="98" t="str">
        <f t="shared" si="13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152</v>
      </c>
      <c r="B41" s="61" t="s">
        <v>130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4"/>
        <v>UsdLibor1M</v>
      </c>
      <c r="H41" s="60" t="str">
        <f t="shared" si="15"/>
        <v>USDAM3L16Y_Quote</v>
      </c>
      <c r="I41" s="145" t="str">
        <f t="shared" si="16"/>
        <v>USD3L1L16Y_Quote</v>
      </c>
      <c r="J41" s="175" t="str">
        <f>IF(P37,_xll.qlSwapRateHelper2(,H41,,B41,JoinCalendar,D41,E41,F41,G41,I41,C41,Discounting,PillarDate,,Permanent,Trigger,ObjectOverwrite),"--")</f>
        <v>--</v>
      </c>
      <c r="L41" s="162" t="str">
        <f t="shared" si="11"/>
        <v>BasSw</v>
      </c>
      <c r="M41" s="183" t="str">
        <f t="shared" si="12"/>
        <v>USDAM3L20Y_Quote</v>
      </c>
      <c r="N41" s="164">
        <f>IFERROR(_xll.qlQuoteValue(H45,Trigger),"--")</f>
        <v>1.7500000000000002E-2</v>
      </c>
      <c r="O41" s="164">
        <f>IFERROR(_xll.qlQuoteValue(I45,Trigger),"--")</f>
        <v>1.1200000000000001E-3</v>
      </c>
      <c r="P41" s="101" t="b">
        <v>1</v>
      </c>
      <c r="Q41" s="98">
        <v>40</v>
      </c>
      <c r="R41" s="98">
        <v>1</v>
      </c>
      <c r="S41" s="98" t="str">
        <f t="shared" si="13"/>
        <v>obj_00304#0002</v>
      </c>
      <c r="T41" s="102">
        <f>IFERROR(_xll.qlRateHelperEarliestDate(S41,Trigger),"--")</f>
        <v>42573</v>
      </c>
      <c r="U41" s="102">
        <f>IFERROR(_xll.qlRateHelperPillarDate(S41,Trigger),"--")</f>
        <v>49878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152</v>
      </c>
      <c r="B42" s="61" t="s">
        <v>131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4"/>
        <v>UsdLibor1M</v>
      </c>
      <c r="H42" s="60" t="str">
        <f t="shared" si="15"/>
        <v>USDAM3L17Y_Quote</v>
      </c>
      <c r="I42" s="145" t="str">
        <f t="shared" si="16"/>
        <v>USD3L1L17Y_Quote</v>
      </c>
      <c r="J42" s="175" t="str">
        <f>IF(P38,_xll.qlSwapRateHelper2(,H42,,B42,JoinCalendar,D42,E42,F42,G42,I42,C42,Discounting,PillarDate,,Permanent,Trigger,ObjectOverwrite),"--")</f>
        <v>--</v>
      </c>
      <c r="L42" s="162" t="str">
        <f t="shared" si="11"/>
        <v>BasSw</v>
      </c>
      <c r="M42" s="183" t="str">
        <f t="shared" si="12"/>
        <v>USDAM3L21Y_Quote</v>
      </c>
      <c r="N42" s="164" t="str">
        <f>IFERROR(_xll.qlQuoteValue(H46,Trigger),"--")</f>
        <v>--</v>
      </c>
      <c r="O42" s="164">
        <f>IFERROR(_xll.qlQuoteValue(I46,Trigger),"--")</f>
        <v>1.1500788337089141E-3</v>
      </c>
      <c r="P42" s="101" t="b">
        <v>0</v>
      </c>
      <c r="Q42" s="98">
        <v>40</v>
      </c>
      <c r="R42" s="98">
        <v>1</v>
      </c>
      <c r="S42" s="98" t="str">
        <f t="shared" si="13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152</v>
      </c>
      <c r="B43" s="61" t="s">
        <v>132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4"/>
        <v>UsdLibor1M</v>
      </c>
      <c r="H43" s="60" t="str">
        <f t="shared" si="15"/>
        <v>USDAM3L18Y_Quote</v>
      </c>
      <c r="I43" s="145" t="str">
        <f t="shared" si="16"/>
        <v>USD3L1L18Y_Quote</v>
      </c>
      <c r="J43" s="175" t="str">
        <f>IF(P39,_xll.qlSwapRateHelper2(,H43,,B43,JoinCalendar,D43,E43,F43,G43,I43,C43,Discounting,PillarDate,,Permanent,Trigger,ObjectOverwrite),"--")</f>
        <v>--</v>
      </c>
      <c r="L43" s="162" t="str">
        <f t="shared" si="11"/>
        <v>BasSw</v>
      </c>
      <c r="M43" s="183" t="str">
        <f t="shared" si="12"/>
        <v>USDAM3L22Y_Quote</v>
      </c>
      <c r="N43" s="164" t="str">
        <f>IFERROR(_xll.qlQuoteValue(H47,Trigger),"--")</f>
        <v>--</v>
      </c>
      <c r="O43" s="164">
        <f>IFERROR(_xll.qlQuoteValue(I47,Trigger),"--")</f>
        <v>1.1812985421361425E-3</v>
      </c>
      <c r="P43" s="101" t="b">
        <v>0</v>
      </c>
      <c r="Q43" s="98">
        <v>40</v>
      </c>
      <c r="R43" s="98">
        <v>1</v>
      </c>
      <c r="S43" s="98" t="str">
        <f t="shared" si="13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152</v>
      </c>
      <c r="B44" s="61" t="s">
        <v>133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4"/>
        <v>UsdLibor1M</v>
      </c>
      <c r="H44" s="60" t="str">
        <f t="shared" si="15"/>
        <v>USDAM3L19Y_Quote</v>
      </c>
      <c r="I44" s="145" t="str">
        <f t="shared" si="16"/>
        <v>USD3L1L19Y_Quote</v>
      </c>
      <c r="J44" s="175" t="str">
        <f>IF(P40,_xll.qlSwapRateHelper2(,H44,,B44,JoinCalendar,D44,E44,F44,G44,I44,C44,Discounting,PillarDate,,Permanent,Trigger,ObjectOverwrite),"--")</f>
        <v>--</v>
      </c>
      <c r="L44" s="162" t="str">
        <f t="shared" si="11"/>
        <v>BasSw</v>
      </c>
      <c r="M44" s="183" t="str">
        <f t="shared" si="12"/>
        <v>USDAM3L23Y_Quote</v>
      </c>
      <c r="N44" s="164" t="str">
        <f>IFERROR(_xll.qlQuoteValue(H48,Trigger),"--")</f>
        <v>--</v>
      </c>
      <c r="O44" s="164">
        <f>IFERROR(_xll.qlQuoteValue(I48,Trigger),"--")</f>
        <v>1.2124788337089141E-3</v>
      </c>
      <c r="P44" s="101" t="b">
        <v>0</v>
      </c>
      <c r="Q44" s="98">
        <v>40</v>
      </c>
      <c r="R44" s="98">
        <v>1</v>
      </c>
      <c r="S44" s="98" t="str">
        <f t="shared" si="13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152</v>
      </c>
      <c r="B45" s="61" t="s">
        <v>90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4"/>
        <v>UsdLibor1M</v>
      </c>
      <c r="H45" s="60" t="str">
        <f t="shared" si="15"/>
        <v>USDAM3L20Y_Quote</v>
      </c>
      <c r="I45" s="145" t="str">
        <f t="shared" si="16"/>
        <v>USD3L1L20Y_Quote</v>
      </c>
      <c r="J45" s="175" t="str">
        <f>IF(P41,_xll.qlSwapRateHelper2(,H45,,B45,JoinCalendar,D45,E45,F45,G45,I45,C45,Discounting,PillarDate,,Permanent,Trigger,ObjectOverwrite),"--")</f>
        <v>obj_00304#0002</v>
      </c>
      <c r="L45" s="162" t="str">
        <f t="shared" si="11"/>
        <v>BasSw</v>
      </c>
      <c r="M45" s="183" t="str">
        <f t="shared" si="12"/>
        <v>USDAM3L24Y_Quote</v>
      </c>
      <c r="N45" s="164" t="str">
        <f>IFERROR(_xll.qlQuoteValue(H49,Trigger),"--")</f>
        <v>--</v>
      </c>
      <c r="O45" s="164">
        <f>IFERROR(_xll.qlQuoteValue(I49,Trigger),"--")</f>
        <v>1.2424394168544569E-3</v>
      </c>
      <c r="P45" s="101" t="b">
        <v>0</v>
      </c>
      <c r="Q45" s="98">
        <v>40</v>
      </c>
      <c r="R45" s="98">
        <v>1</v>
      </c>
      <c r="S45" s="98" t="str">
        <f t="shared" si="13"/>
        <v>--</v>
      </c>
      <c r="T45" s="102" t="str">
        <f>IFERROR(_xll.qlRateHelperEarliestDate(S45,Trigger),"--")</f>
        <v>--</v>
      </c>
      <c r="U45" s="102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152</v>
      </c>
      <c r="B46" s="61" t="s">
        <v>134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4"/>
        <v>UsdLibor1M</v>
      </c>
      <c r="H46" s="60" t="str">
        <f t="shared" si="15"/>
        <v>USDAM3L21Y_Quote</v>
      </c>
      <c r="I46" s="145" t="str">
        <f t="shared" si="16"/>
        <v>USD3L1L21Y_Quote</v>
      </c>
      <c r="J46" s="175" t="str">
        <f>IF(P42,_xll.qlSwapRateHelper2(,H46,,B46,JoinCalendar,D46,E46,F46,G46,I46,C46,Discounting,PillarDate,,Permanent,Trigger,ObjectOverwrite),"--")</f>
        <v>--</v>
      </c>
      <c r="L46" s="162" t="str">
        <f t="shared" si="11"/>
        <v>BasSw</v>
      </c>
      <c r="M46" s="183" t="str">
        <f t="shared" si="12"/>
        <v>USDAM3L25Y_Quote</v>
      </c>
      <c r="N46" s="164">
        <f>IFERROR(_xll.qlQuoteValue(H50,Trigger),"--")</f>
        <v>1.805E-2</v>
      </c>
      <c r="O46" s="164">
        <f>IFERROR(_xll.qlQuoteValue(I50,Trigger),"--")</f>
        <v>1.2700000000000001E-3</v>
      </c>
      <c r="P46" s="101" t="b">
        <v>1</v>
      </c>
      <c r="Q46" s="98">
        <v>40</v>
      </c>
      <c r="R46" s="98">
        <v>1</v>
      </c>
      <c r="S46" s="98" t="str">
        <f t="shared" si="13"/>
        <v>obj_002e4#0002</v>
      </c>
      <c r="T46" s="102">
        <f>IFERROR(_xll.qlRateHelperEarliestDate(S46,Trigger),"--")</f>
        <v>42573</v>
      </c>
      <c r="U46" s="102">
        <f>IFERROR(_xll.qlRateHelperPillarDate(S46,Trigger),"--")</f>
        <v>51704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152</v>
      </c>
      <c r="B47" s="61" t="s">
        <v>135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4"/>
        <v>UsdLibor1M</v>
      </c>
      <c r="H47" s="60" t="str">
        <f t="shared" si="15"/>
        <v>USDAM3L22Y_Quote</v>
      </c>
      <c r="I47" s="145" t="str">
        <f t="shared" si="16"/>
        <v>USD3L1L22Y_Quote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1"/>
        <v>BasSw</v>
      </c>
      <c r="M47" s="183" t="str">
        <f t="shared" si="12"/>
        <v>USDAM3L26Y_Quote</v>
      </c>
      <c r="N47" s="164" t="str">
        <f>IFERROR(_xll.qlQuoteValue(H51,Trigger),"--")</f>
        <v>--</v>
      </c>
      <c r="O47" s="164">
        <f>IFERROR(_xll.qlQuoteValue(I51,Trigger),"--")</f>
        <v>1.294296349887326E-3</v>
      </c>
      <c r="P47" s="101" t="b">
        <v>0</v>
      </c>
      <c r="Q47" s="98">
        <v>40</v>
      </c>
      <c r="R47" s="98">
        <v>1</v>
      </c>
      <c r="S47" s="98" t="str">
        <f t="shared" si="13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152</v>
      </c>
      <c r="B48" s="61" t="s">
        <v>136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4"/>
        <v>UsdLibor1M</v>
      </c>
      <c r="H48" s="60" t="str">
        <f t="shared" si="15"/>
        <v>USDAM3L23Y_Quote</v>
      </c>
      <c r="I48" s="145" t="str">
        <f t="shared" si="16"/>
        <v>USD3L1L23Y_Quote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1"/>
        <v>BasSw</v>
      </c>
      <c r="M48" s="183" t="str">
        <f t="shared" si="12"/>
        <v>USDAM3L27Y_Quote</v>
      </c>
      <c r="N48" s="164" t="str">
        <f>IFERROR(_xll.qlQuoteValue(H52,Trigger),"--")</f>
        <v>--</v>
      </c>
      <c r="O48" s="164">
        <f>IFERROR(_xll.qlQuoteValue(I52,Trigger),"--")</f>
        <v>1.3157284665164346E-3</v>
      </c>
      <c r="P48" s="101" t="b">
        <v>0</v>
      </c>
      <c r="Q48" s="98">
        <v>40</v>
      </c>
      <c r="R48" s="98">
        <v>1</v>
      </c>
      <c r="S48" s="98" t="str">
        <f t="shared" si="13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152</v>
      </c>
      <c r="B49" s="61" t="s">
        <v>137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4"/>
        <v>UsdLibor1M</v>
      </c>
      <c r="H49" s="60" t="str">
        <f t="shared" si="15"/>
        <v>USDAM3L24Y_Quote</v>
      </c>
      <c r="I49" s="145" t="str">
        <f t="shared" si="16"/>
        <v>USD3L1L24Y_Quote</v>
      </c>
      <c r="J49" s="175" t="str">
        <f>IF(P45,_xll.qlSwapRateHelper2(,H49,,B49,JoinCalendar,D49,E49,F49,G49,I49,C49,Discounting,PillarDate,,Permanent,Trigger,ObjectOverwrite),"--")</f>
        <v>--</v>
      </c>
      <c r="L49" s="162" t="str">
        <f t="shared" si="11"/>
        <v>BasSw</v>
      </c>
      <c r="M49" s="183" t="str">
        <f t="shared" si="12"/>
        <v>USDAM3L28Y_Quote</v>
      </c>
      <c r="N49" s="164" t="str">
        <f>IFERROR(_xll.qlQuoteValue(H53,Trigger),"--")</f>
        <v>--</v>
      </c>
      <c r="O49" s="164">
        <f>IFERROR(_xll.qlQuoteValue(I53,Trigger),"--")</f>
        <v>1.3350124082018801E-3</v>
      </c>
      <c r="P49" s="101" t="b">
        <v>0</v>
      </c>
      <c r="Q49" s="98">
        <v>40</v>
      </c>
      <c r="R49" s="98">
        <v>1</v>
      </c>
      <c r="S49" s="98" t="str">
        <f t="shared" si="13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152</v>
      </c>
      <c r="B50" s="61" t="s">
        <v>91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4"/>
        <v>UsdLibor1M</v>
      </c>
      <c r="H50" s="60" t="str">
        <f t="shared" si="15"/>
        <v>USDAM3L25Y_Quote</v>
      </c>
      <c r="I50" s="145" t="str">
        <f t="shared" si="16"/>
        <v>USD3L1L25Y_Quote</v>
      </c>
      <c r="J50" s="175" t="str">
        <f>IF(P46,_xll.qlSwapRateHelper2(,H50,,B50,JoinCalendar,D50,E50,F50,G50,I50,C50,Discounting,PillarDate,,Permanent,Trigger,ObjectOverwrite),"--")</f>
        <v>obj_002e4#0002</v>
      </c>
      <c r="L50" s="162" t="str">
        <f t="shared" si="11"/>
        <v>BasSw</v>
      </c>
      <c r="M50" s="183" t="str">
        <f t="shared" si="12"/>
        <v>USDAM3L29Y_Quote</v>
      </c>
      <c r="N50" s="164" t="str">
        <f>IFERROR(_xll.qlQuoteValue(H54,Trigger),"--")</f>
        <v>--</v>
      </c>
      <c r="O50" s="164">
        <f>IFERROR(_xll.qlQuoteValue(I54,Trigger),"--")</f>
        <v>1.3528642332582173E-3</v>
      </c>
      <c r="P50" s="101" t="b">
        <v>0</v>
      </c>
      <c r="Q50" s="98">
        <v>40</v>
      </c>
      <c r="R50" s="98">
        <v>1</v>
      </c>
      <c r="S50" s="98" t="str">
        <f t="shared" si="13"/>
        <v>--</v>
      </c>
      <c r="T50" s="102" t="str">
        <f>IFERROR(_xll.qlRateHelperEarliestDate(S50,Trigger),"--")</f>
        <v>--</v>
      </c>
      <c r="U50" s="102" t="str">
        <f>IFERROR(_xll.qlRateHelperPillarDate(S50,Trigger),"--")</f>
        <v>--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152</v>
      </c>
      <c r="B51" s="61" t="s">
        <v>138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4"/>
        <v>UsdLibor1M</v>
      </c>
      <c r="H51" s="60" t="str">
        <f t="shared" si="15"/>
        <v>USDAM3L26Y_Quote</v>
      </c>
      <c r="I51" s="145" t="str">
        <f t="shared" si="16"/>
        <v>USD3L1L26Y_Quote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1"/>
        <v>BasSw</v>
      </c>
      <c r="M51" s="183" t="str">
        <f t="shared" si="12"/>
        <v>USDAM3L30Y_Quote</v>
      </c>
      <c r="N51" s="164">
        <f>IFERROR(_xll.qlQuoteValue(H55,Trigger),"--")</f>
        <v>1.8370000000000001E-2</v>
      </c>
      <c r="O51" s="164">
        <f>IFERROR(_xll.qlQuoteValue(I55,Trigger),"--")</f>
        <v>1.3700000000000001E-3</v>
      </c>
      <c r="P51" s="101" t="b">
        <v>1</v>
      </c>
      <c r="Q51" s="98">
        <v>40</v>
      </c>
      <c r="R51" s="98">
        <v>1</v>
      </c>
      <c r="S51" s="98" t="str">
        <f t="shared" si="13"/>
        <v>obj_00306#0002</v>
      </c>
      <c r="T51" s="102">
        <f>IFERROR(_xll.qlRateHelperEarliestDate(S51,Trigger),"--")</f>
        <v>42573</v>
      </c>
      <c r="U51" s="102">
        <f>IFERROR(_xll.qlRateHelperPillarDate(S51,Trigger),"--")</f>
        <v>53531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152</v>
      </c>
      <c r="B52" s="61" t="s">
        <v>92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4"/>
        <v>UsdLibor1M</v>
      </c>
      <c r="H52" s="60" t="str">
        <f t="shared" si="15"/>
        <v>USDAM3L27Y_Quote</v>
      </c>
      <c r="I52" s="145" t="str">
        <f t="shared" si="16"/>
        <v>USD3L1L27Y_Quote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1"/>
        <v>BasSw</v>
      </c>
      <c r="M52" s="183" t="str">
        <f t="shared" si="12"/>
        <v>USDAM3L35Y_Quote</v>
      </c>
      <c r="N52" s="164" t="str">
        <f>IFERROR(_xll.qlQuoteValue(H56,Trigger),"--")</f>
        <v>--</v>
      </c>
      <c r="O52" s="164">
        <f>IFERROR(_xll.qlQuoteValue(I56,Trigger),"--")</f>
        <v>1.3700000000000001E-3</v>
      </c>
      <c r="P52" s="101" t="b">
        <v>0</v>
      </c>
      <c r="Q52" s="98">
        <v>40</v>
      </c>
      <c r="R52" s="98">
        <v>1</v>
      </c>
      <c r="S52" s="98" t="str">
        <f t="shared" si="13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152</v>
      </c>
      <c r="B53" s="61" t="s">
        <v>139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4"/>
        <v>UsdLibor1M</v>
      </c>
      <c r="H53" s="60" t="str">
        <f t="shared" si="15"/>
        <v>USDAM3L28Y_Quote</v>
      </c>
      <c r="I53" s="145" t="str">
        <f t="shared" si="16"/>
        <v>USD3L1L28Y_Quote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1"/>
        <v>BasSw</v>
      </c>
      <c r="M53" s="183" t="str">
        <f t="shared" si="12"/>
        <v>USDAM3L40Y_Quote</v>
      </c>
      <c r="N53" s="164">
        <f>IFERROR(_xll.qlQuoteValue(H57,Trigger),"--")</f>
        <v>1.8550000000000001E-2</v>
      </c>
      <c r="O53" s="164">
        <f>IFERROR(_xll.qlQuoteValue(I57,Trigger),"--")</f>
        <v>1.3700000000000001E-3</v>
      </c>
      <c r="P53" s="149" t="b">
        <f>NOT(ISERROR(_xll.qlQuoteValue(M53)))</f>
        <v>1</v>
      </c>
      <c r="Q53" s="98">
        <v>40</v>
      </c>
      <c r="R53" s="98">
        <v>1</v>
      </c>
      <c r="S53" s="98" t="str">
        <f t="shared" si="13"/>
        <v>obj_002d4#0002</v>
      </c>
      <c r="T53" s="102">
        <f>IFERROR(_xll.qlRateHelperEarliestDate(S53,Trigger),"--")</f>
        <v>42573</v>
      </c>
      <c r="U53" s="102">
        <f>IFERROR(_xll.qlRateHelperPillarDate(S53,Trigger),"--")</f>
        <v>57185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152</v>
      </c>
      <c r="B54" s="61" t="s">
        <v>140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4"/>
        <v>UsdLibor1M</v>
      </c>
      <c r="H54" s="60" t="str">
        <f t="shared" si="15"/>
        <v>USDAM3L29Y_Quote</v>
      </c>
      <c r="I54" s="145" t="str">
        <f t="shared" si="16"/>
        <v>USD3L1L29Y_Quote</v>
      </c>
      <c r="J54" s="175" t="str">
        <f>IF(P50,_xll.qlSwapRateHelper2(,H54,,B54,JoinCalendar,D54,E54,F54,G54,I54,C54,Discounting,PillarDate,,Permanent,Trigger,ObjectOverwrite),"--")</f>
        <v>--</v>
      </c>
      <c r="L54" s="162" t="str">
        <f t="shared" si="11"/>
        <v>BasSw</v>
      </c>
      <c r="M54" s="183" t="str">
        <f t="shared" si="12"/>
        <v>USDAM3L50Y_Quote</v>
      </c>
      <c r="N54" s="164">
        <f>IFERROR(_xll.qlQuoteValue(H58,Trigger),"--")</f>
        <v>1.8420000000000002E-2</v>
      </c>
      <c r="O54" s="164">
        <f>IFERROR(_xll.qlQuoteValue(I58,Trigger),"--")</f>
        <v>1.3700000000000001E-3</v>
      </c>
      <c r="P54" s="149" t="b">
        <f>NOT(ISERROR(_xll.qlQuoteValue(M54)))</f>
        <v>1</v>
      </c>
      <c r="Q54" s="98">
        <v>40</v>
      </c>
      <c r="R54" s="98">
        <v>1</v>
      </c>
      <c r="S54" s="98" t="str">
        <f t="shared" si="13"/>
        <v>obj_002e0#0002</v>
      </c>
      <c r="T54" s="102">
        <f>IFERROR(_xll.qlRateHelperEarliestDate(S54,Trigger),"--")</f>
        <v>42573</v>
      </c>
      <c r="U54" s="102">
        <f>IFERROR(_xll.qlRateHelperPillarDate(S54,Trigger),"--")</f>
        <v>60835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152</v>
      </c>
      <c r="B55" s="61" t="s">
        <v>93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4"/>
        <v>UsdLibor1M</v>
      </c>
      <c r="H55" s="60" t="str">
        <f t="shared" si="15"/>
        <v>USDAM3L30Y_Quote</v>
      </c>
      <c r="I55" s="145" t="str">
        <f t="shared" si="16"/>
        <v>USD3L1L30Y_Quote</v>
      </c>
      <c r="J55" s="175" t="str">
        <f>IF(P51,_xll.qlSwapRateHelper2(,H55,,B55,JoinCalendar,D55,E55,F55,G55,I55,C55,Discounting,PillarDate,,Permanent,Trigger,ObjectOverwrite),"--")</f>
        <v>obj_00306#0002</v>
      </c>
      <c r="L55" s="168" t="str">
        <f t="shared" si="11"/>
        <v>BasSw</v>
      </c>
      <c r="M55" s="184" t="str">
        <f t="shared" si="12"/>
        <v>USDAM3L60Y_Quote</v>
      </c>
      <c r="N55" s="170" t="str">
        <f>IFERROR(_xll.qlQuoteValue(H59,Trigger),"--")</f>
        <v>--</v>
      </c>
      <c r="O55" s="170">
        <f>IFERROR(_xll.qlQuoteValue(I59,Trigger),"--")</f>
        <v>1.3700000000000001E-3</v>
      </c>
      <c r="P55" s="103" t="b">
        <v>0</v>
      </c>
      <c r="Q55" s="99">
        <v>40</v>
      </c>
      <c r="R55" s="99">
        <v>1</v>
      </c>
      <c r="S55" s="99" t="str">
        <f t="shared" si="13"/>
        <v>--</v>
      </c>
      <c r="T55" s="104" t="str">
        <f>IFERROR(_xll.qlRateHelperEarliestDate(S55,Trigger),"--")</f>
        <v>--</v>
      </c>
      <c r="U55" s="104" t="str">
        <f>IFERROR(_xll.qlRateHelperPillarDate(S55,Trigger),"--")</f>
        <v>--</v>
      </c>
      <c r="W55" s="5" t="str">
        <f t="shared" si="17"/>
        <v/>
      </c>
      <c r="X55" s="5" t="e">
        <v>#N/A</v>
      </c>
      <c r="Y55" s="5" t="str">
        <f>IFERROR(_xll.qlRateHelperQuoteName(X55,Trigger),"")</f>
        <v/>
      </c>
      <c r="Z55" s="78" t="str">
        <f>IFERROR(_xll.qlRateHelperRate(X55,Trigger),"")</f>
        <v/>
      </c>
      <c r="AA55" s="107" t="str">
        <f>IF(ISERROR(_xll.qlSwapRateHelperSpread($X55)),IF(ISERROR(_xll.qlFuturesRateHelperConvexityAdjustment($X55)),"",_xll.qlFuturesRateHelperConvexityAdjustment($X55)),_xll.qlSwapRateHelperSpread($X55))</f>
        <v/>
      </c>
      <c r="AB55" s="10" t="str">
        <f>IFERROR(_xll.qlRateHelperEarliestDate(X55,Trigger),"")</f>
        <v/>
      </c>
      <c r="AC55" s="10" t="str">
        <f>IFERROR(_xll.qlRateHelperPillarDate(X55,Trigger),"")</f>
        <v/>
      </c>
      <c r="AD55" s="77" t="e">
        <v>#N/A</v>
      </c>
    </row>
    <row r="56" spans="1:30" ht="11.25" customHeight="1" x14ac:dyDescent="0.2">
      <c r="A56" s="60" t="s">
        <v>152</v>
      </c>
      <c r="B56" s="61" t="s">
        <v>94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4"/>
        <v>UsdLibor1M</v>
      </c>
      <c r="H56" s="60" t="str">
        <f t="shared" si="15"/>
        <v>USDAM3L35Y_Quote</v>
      </c>
      <c r="I56" s="145" t="str">
        <f t="shared" si="16"/>
        <v>USD3L1L35Y_Quote</v>
      </c>
      <c r="J56" s="175" t="str">
        <f>IF(P52,_xll.qlSwapRateHelper2(,H56,,B56,JoinCalendar,D56,E56,F56,G56,I56,C56,Discounting,PillarDate,,Permanent,Trigger,ObjectOverwrite),"--")</f>
        <v>--</v>
      </c>
      <c r="Y56" s="192" t="str">
        <f>_xll.ohGroup(W1&amp;"_instruments",Y3:Y55,Permanent,Trigger,ObjectOverwrite)</f>
        <v>USD1M_instruments#0002</v>
      </c>
    </row>
    <row r="57" spans="1:30" ht="11.25" customHeight="1" x14ac:dyDescent="0.2">
      <c r="A57" s="60" t="s">
        <v>152</v>
      </c>
      <c r="B57" s="61" t="s">
        <v>95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4"/>
        <v>UsdLibor1M</v>
      </c>
      <c r="H57" s="60" t="str">
        <f t="shared" si="15"/>
        <v>USDAM3L40Y_Quote</v>
      </c>
      <c r="I57" s="145" t="str">
        <f t="shared" si="16"/>
        <v>USD3L1L40Y_Quote</v>
      </c>
      <c r="J57" s="179" t="str">
        <f>_xll.qlSwapRateHelper2(,H57,,B57,JoinCalendar,D57,E57,F57,G57,I57,C57,Discounting,PillarDate,,Permanent,Trigger,ObjectOverwrite)</f>
        <v>obj_002d4#0002</v>
      </c>
    </row>
    <row r="58" spans="1:30" ht="11.25" customHeight="1" x14ac:dyDescent="0.2">
      <c r="A58" s="60" t="s">
        <v>152</v>
      </c>
      <c r="B58" s="61" t="s">
        <v>97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4"/>
        <v>UsdLibor1M</v>
      </c>
      <c r="H58" s="60" t="str">
        <f t="shared" si="15"/>
        <v>USDAM3L50Y_Quote</v>
      </c>
      <c r="I58" s="145" t="str">
        <f t="shared" si="16"/>
        <v>USD3L1L50Y_Quote</v>
      </c>
      <c r="J58" s="179" t="str">
        <f>_xll.qlSwapRateHelper2(,H58,,B58,JoinCalendar,D58,E58,F58,G58,I58,C58,Discounting,PillarDate,,Permanent,Trigger,ObjectOverwrite)</f>
        <v>obj_002e0#0002</v>
      </c>
    </row>
    <row r="59" spans="1:30" ht="11.25" customHeight="1" x14ac:dyDescent="0.2">
      <c r="A59" s="1" t="s">
        <v>152</v>
      </c>
      <c r="B59" s="8" t="s">
        <v>141</v>
      </c>
      <c r="C59" s="6" t="s">
        <v>6</v>
      </c>
      <c r="D59" s="6" t="s">
        <v>8</v>
      </c>
      <c r="E59" s="6" t="s">
        <v>7</v>
      </c>
      <c r="F59" s="6" t="s">
        <v>27</v>
      </c>
      <c r="G59" s="6" t="str">
        <f t="shared" si="14"/>
        <v>UsdLibor1M</v>
      </c>
      <c r="H59" s="1" t="str">
        <f t="shared" si="15"/>
        <v>USDAM3L60Y_Quote</v>
      </c>
      <c r="I59" s="146" t="str">
        <f t="shared" si="16"/>
        <v>USD3L1L60Y_Quote</v>
      </c>
      <c r="J59" s="174" t="str">
        <f>IF(P55,_xll.qlSwapRateHelper2(,H59,,B59,JoinCalendar,D59,E59,F59,G59,I59,C59,Discounting,PillarDate,,Permanent,Trigger,ObjectOverwrite),"--")</f>
        <v>--</v>
      </c>
    </row>
    <row r="60" spans="1:30" ht="11.25" customHeight="1" x14ac:dyDescent="0.2"/>
    <row r="61" spans="1:30" ht="11.25" customHeight="1" x14ac:dyDescent="0.2"/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28</v>
      </c>
      <c r="H1" s="52" t="str">
        <f>"_SYNTH"&amp;Tenor</f>
        <v>_SYNTH1Y</v>
      </c>
      <c r="L1" s="68" t="s">
        <v>159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USD1Y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78">_xll.qlPiecewiseYieldCurveData(YieldCurve_1Y,Trigger)</f>
        <v>1</v>
      </c>
      <c r="AF2" s="201" t="s">
        <v>113</v>
      </c>
      <c r="AG2" s="202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obj_00271#0002</v>
      </c>
      <c r="H3" s="121" t="str">
        <f t="shared" ref="H3:H18" si="0">Currency&amp;$B3&amp;"D"&amp;$H$1&amp;QuoteSuffix</f>
        <v>USDSND_SYNTH1Y_Quote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USDSND_SYNTH1Y_Quote</v>
      </c>
      <c r="N3" s="182">
        <f>IFERROR(_xll.qlQuoteValue(H3,Trigger),"--")</f>
        <v>1.4872E-2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78">_xll.qlRateHelperSelection(_xll.ohFilter(RateHelpers,IncludeFlag),_xll.ohFilter(Priority,IncludeFlag),$AG$3,$AG$4,$AG$5,$AG$6,_xll.ohFilter(MinDistance,IncludeFlag),Trigger)</f>
        <v>obj_002b9</v>
      </c>
      <c r="Y3" s="3" t="str">
        <f>IFERROR(_xll.qlRateHelperQuoteName(X3,Trigger),"")</f>
        <v>USD1MD_SYNTH1Y_Quote</v>
      </c>
      <c r="Z3" s="70">
        <f>IFERROR(_xll.qlRateHelperRate(X3,Trigger),"")</f>
        <v>1.4504E-2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42573</v>
      </c>
      <c r="AC3" s="4">
        <f>IFERROR(_xll.qlRateHelperPillarDate(X3,Trigger),"")</f>
        <v>42604</v>
      </c>
      <c r="AD3" s="76">
        <v>0.99875260238862118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Currency&amp;FamilyName&amp;B4</f>
        <v>USDLiborSW</v>
      </c>
      <c r="H4" s="144" t="str">
        <f t="shared" si="0"/>
        <v>USDSWD_SYNTH1Y_Quote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18" si="2">A4</f>
        <v>Dp</v>
      </c>
      <c r="M4" s="183" t="str">
        <f t="shared" ref="M4:M18" si="3">H4</f>
        <v>USDSWD_SYNTH1Y_Quote</v>
      </c>
      <c r="N4" s="164">
        <f>IFERROR(_xll.qlQuoteValue(H4,Trigger),"--")</f>
        <v>1.4805E-2</v>
      </c>
      <c r="O4" s="167"/>
      <c r="P4" s="101" t="b">
        <v>0</v>
      </c>
      <c r="Q4" s="98">
        <v>10</v>
      </c>
      <c r="R4" s="98">
        <v>1</v>
      </c>
      <c r="S4" s="98" t="str">
        <f t="shared" ref="S4:S18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obj_002c2</v>
      </c>
      <c r="Y4" s="3" t="str">
        <f>IFERROR(_xll.qlRateHelperQuoteName(X4,Trigger),"")</f>
        <v>USD2MD_SYNTH1Y_Quote</v>
      </c>
      <c r="Z4" s="70">
        <f>IFERROR(_xll.qlRateHelperRate(X4,Trigger),"")</f>
        <v>1.4335000000000001E-2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42573</v>
      </c>
      <c r="AC4" s="4">
        <f>IFERROR(_xll.qlRateHelperPillarDate(X4,Trigger),"")</f>
        <v>42635</v>
      </c>
      <c r="AD4" s="76">
        <v>0.99753727443500106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obj_0027f#0002</v>
      </c>
      <c r="H5" s="154" t="str">
        <f t="shared" si="0"/>
        <v>USD2WD_SYNTH1Y_Quote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USD2WD_SYNTH1Y_Quote</v>
      </c>
      <c r="N5" s="164">
        <f>IFERROR(_xll.qlQuoteValue(H5,Trigger),"--")</f>
        <v>1.4701000000000001E-2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obj_002a4</v>
      </c>
      <c r="Y5" s="3" t="str">
        <f>IFERROR(_xll.qlRateHelperQuoteName(X5,Trigger),"")</f>
        <v>USD3MD_SYNTH1Y_Quote</v>
      </c>
      <c r="Z5" s="70">
        <f>IFERROR(_xll.qlRateHelperRate(X5,Trigger),"")</f>
        <v>1.4290000000000001E-2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42573</v>
      </c>
      <c r="AC5" s="4">
        <f>IFERROR(_xll.qlRateHelperPillarDate(X5,Trigger),"")</f>
        <v>42667</v>
      </c>
      <c r="AD5" s="76">
        <v>0.99628259290072285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obj_00278#0002</v>
      </c>
      <c r="H6" s="159" t="str">
        <f t="shared" si="0"/>
        <v>USD3WD_SYNTH1Y_Quote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USD3WD_SYNTH1Y_Quote</v>
      </c>
      <c r="N6" s="164">
        <f>IFERROR(_xll.qlQuoteValue(H6,Trigger),"--")</f>
        <v>1.461E-2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obj_002ac</v>
      </c>
      <c r="Y6" s="3" t="str">
        <f>IFERROR(_xll.qlRateHelperQuoteName(X6,Trigger),"")</f>
        <v>USD4MD_SYNTH1Y_Quote</v>
      </c>
      <c r="Z6" s="70">
        <f>IFERROR(_xll.qlRateHelperRate(X6,Trigger),"")</f>
        <v>1.4192E-2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42573</v>
      </c>
      <c r="AC6" s="4">
        <f>IFERROR(_xll.qlRateHelperPillarDate(X6,Trigger),"")</f>
        <v>42696</v>
      </c>
      <c r="AD6" s="76">
        <v>0.99517446536242193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Currency&amp;FamilyName&amp;B7</f>
        <v>USDLibor1M</v>
      </c>
      <c r="H7" s="122" t="str">
        <f t="shared" si="0"/>
        <v>USD1MD_SYNTH1Y_Quote</v>
      </c>
      <c r="I7" s="125"/>
      <c r="J7" s="175" t="str">
        <f>IF(P7,_xll.qlDepositRateHelper(,H7,G7,Permanent,Trigger,ObjectOverwrite),"--")</f>
        <v>obj_002b9#0002</v>
      </c>
      <c r="K7" s="50"/>
      <c r="L7" s="162" t="str">
        <f t="shared" si="2"/>
        <v>Dp</v>
      </c>
      <c r="M7" s="183" t="str">
        <f t="shared" si="3"/>
        <v>USD1MD_SYNTH1Y_Quote</v>
      </c>
      <c r="N7" s="164">
        <f>IFERROR(_xll.qlQuoteValue(H7,Trigger),"--")</f>
        <v>1.4504E-2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obj_002b9#0002</v>
      </c>
      <c r="T7" s="102">
        <f>IFERROR(_xll.qlRateHelperEarliestDate(S7,Trigger),"--")</f>
        <v>42573</v>
      </c>
      <c r="U7" s="102">
        <f>IFERROR(_xll.qlRateHelperPillarDate(S7,Trigger),"--")</f>
        <v>42604</v>
      </c>
      <c r="W7" s="3" t="str">
        <f t="shared" si="1"/>
        <v>Dp</v>
      </c>
      <c r="X7" s="3" t="str">
        <v>obj_002c5</v>
      </c>
      <c r="Y7" s="3" t="str">
        <f>IFERROR(_xll.qlRateHelperQuoteName(X7,Trigger),"")</f>
        <v>USD5MD_SYNTH1Y_Quote</v>
      </c>
      <c r="Z7" s="70">
        <f>IFERROR(_xll.qlRateHelperRate(X7,Trigger),"")</f>
        <v>1.4097999999999999E-2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42573</v>
      </c>
      <c r="AC7" s="4">
        <f>IFERROR(_xll.qlRateHelperPillarDate(X7,Trigger),"")</f>
        <v>42726</v>
      </c>
      <c r="AD7" s="76">
        <v>0.99404403605139269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Currency&amp;FamilyName&amp;B8</f>
        <v>USDLibor2M</v>
      </c>
      <c r="H8" s="122" t="str">
        <f t="shared" si="0"/>
        <v>USD2MD_SYNTH1Y_Quote</v>
      </c>
      <c r="I8" s="125"/>
      <c r="J8" s="175" t="str">
        <f>IF(P8,_xll.qlDepositRateHelper(,H8,G8,Permanent,Trigger,ObjectOverwrite),"--")</f>
        <v>obj_002c2#0002</v>
      </c>
      <c r="K8" s="50"/>
      <c r="L8" s="162" t="str">
        <f t="shared" si="2"/>
        <v>Dp</v>
      </c>
      <c r="M8" s="183" t="str">
        <f t="shared" si="3"/>
        <v>USD2MD_SYNTH1Y_Quote</v>
      </c>
      <c r="N8" s="164">
        <f>IFERROR(_xll.qlQuoteValue(H8,Trigger),"--")</f>
        <v>1.4335000000000001E-2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obj_002c2#0002</v>
      </c>
      <c r="T8" s="102">
        <f>IFERROR(_xll.qlRateHelperEarliestDate(S8,Trigger),"--")</f>
        <v>42573</v>
      </c>
      <c r="U8" s="102">
        <f>IFERROR(_xll.qlRateHelperPillarDate(S8,Trigger),"--")</f>
        <v>42635</v>
      </c>
      <c r="W8" s="3" t="str">
        <f t="shared" si="1"/>
        <v>Dp</v>
      </c>
      <c r="X8" s="3" t="str">
        <v>obj_00299</v>
      </c>
      <c r="Y8" s="3" t="str">
        <f>IFERROR(_xll.qlRateHelperQuoteName(X8,Trigger),"")</f>
        <v>USD6MD_SYNTH1Y_Quote</v>
      </c>
      <c r="Z8" s="70">
        <f>IFERROR(_xll.qlRateHelperRate(X8,Trigger),"")</f>
        <v>1.4042000000000001E-2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42573</v>
      </c>
      <c r="AC8" s="4">
        <f>IFERROR(_xll.qlRateHelperPillarDate(X8,Trigger),"")</f>
        <v>42758</v>
      </c>
      <c r="AD8" s="76">
        <v>0.99283567022488872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Currency&amp;FamilyName&amp;B9</f>
        <v>USDLibor3M</v>
      </c>
      <c r="H9" s="122" t="str">
        <f t="shared" si="0"/>
        <v>USD3MD_SYNTH1Y_Quote</v>
      </c>
      <c r="I9" s="125"/>
      <c r="J9" s="175" t="str">
        <f>IF(P9,_xll.qlDepositRateHelper(,H9,G9,Permanent,Trigger,ObjectOverwrite),"--")</f>
        <v>obj_002a4#0002</v>
      </c>
      <c r="K9" s="50"/>
      <c r="L9" s="162" t="str">
        <f t="shared" si="2"/>
        <v>Dp</v>
      </c>
      <c r="M9" s="183" t="str">
        <f t="shared" si="3"/>
        <v>USD3MD_SYNTH1Y_Quote</v>
      </c>
      <c r="N9" s="164">
        <f>IFERROR(_xll.qlQuoteValue(H9,Trigger),"--")</f>
        <v>1.4290000000000001E-2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obj_002a4#0002</v>
      </c>
      <c r="T9" s="102">
        <f>IFERROR(_xll.qlRateHelperEarliestDate(S9,Trigger),"--")</f>
        <v>42573</v>
      </c>
      <c r="U9" s="102">
        <f>IFERROR(_xll.qlRateHelperPillarDate(S9,Trigger),"--")</f>
        <v>42667</v>
      </c>
      <c r="W9" s="3" t="str">
        <f t="shared" si="1"/>
        <v>Dp</v>
      </c>
      <c r="X9" s="3" t="str">
        <v>obj_002b4</v>
      </c>
      <c r="Y9" s="3" t="str">
        <f>IFERROR(_xll.qlRateHelperQuoteName(X9,Trigger),"")</f>
        <v>USD9MD_SYNTH1Y_Quote</v>
      </c>
      <c r="Z9" s="70">
        <f>IFERROR(_xll.qlRateHelperRate(X9,Trigger),"")</f>
        <v>1.3772E-2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42573</v>
      </c>
      <c r="AC9" s="4">
        <f>IFERROR(_xll.qlRateHelperPillarDate(X9,Trigger),"")</f>
        <v>42849</v>
      </c>
      <c r="AD9" s="76">
        <v>0.98955178449831482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obj_0027d#0002</v>
      </c>
      <c r="H10" s="154" t="str">
        <f t="shared" si="0"/>
        <v>USD4MD_SYNTH1Y_Quote</v>
      </c>
      <c r="I10" s="152"/>
      <c r="J10" s="177" t="str">
        <f>IF(P10,_xll.qlDepositRateHelper(,H10,G10,Permanent,Trigger,ObjectOverwrite),"--")</f>
        <v>obj_002ac#0002</v>
      </c>
      <c r="K10" s="50"/>
      <c r="L10" s="162" t="str">
        <f t="shared" si="2"/>
        <v>Dp</v>
      </c>
      <c r="M10" s="183" t="str">
        <f t="shared" si="3"/>
        <v>USD4MD_SYNTH1Y_Quote</v>
      </c>
      <c r="N10" s="164">
        <f>IFERROR(_xll.qlQuoteValue(H10,Trigger),"--")</f>
        <v>1.4192E-2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obj_002ac#0002</v>
      </c>
      <c r="T10" s="102">
        <f>IFERROR(_xll.qlRateHelperEarliestDate(S10,Trigger),"--")</f>
        <v>42573</v>
      </c>
      <c r="U10" s="102">
        <f>IFERROR(_xll.qlRateHelperPillarDate(S10,Trigger),"--")</f>
        <v>42696</v>
      </c>
      <c r="W10" s="3" t="str">
        <f t="shared" si="1"/>
        <v>Dp</v>
      </c>
      <c r="X10" s="3" t="str">
        <v>obj_002ae</v>
      </c>
      <c r="Y10" s="3" t="str">
        <f>IFERROR(_xll.qlRateHelperQuoteName(X10,Trigger),"")</f>
        <v>USD1YD_SYNTH1Y_Quote</v>
      </c>
      <c r="Z10" s="70">
        <f>IFERROR(_xll.qlRateHelperRate(X10,Trigger),"")</f>
        <v>1.3448999999999999E-2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42573</v>
      </c>
      <c r="AC10" s="4">
        <f>IFERROR(_xll.qlRateHelperPillarDate(X10,Trigger),"")</f>
        <v>42940</v>
      </c>
      <c r="AD10" s="76">
        <v>0.9864749272887815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obj_00277#0002</v>
      </c>
      <c r="H11" s="159" t="str">
        <f t="shared" si="0"/>
        <v>USD5MD_SYNTH1Y_Quote</v>
      </c>
      <c r="I11" s="157"/>
      <c r="J11" s="178" t="str">
        <f>IF(P11,_xll.qlDepositRateHelper(,H11,G11,Permanent,Trigger,ObjectOverwrite),"--")</f>
        <v>obj_002c5#0002</v>
      </c>
      <c r="K11" s="50"/>
      <c r="L11" s="162" t="str">
        <f t="shared" si="2"/>
        <v>Dp</v>
      </c>
      <c r="M11" s="183" t="str">
        <f t="shared" si="3"/>
        <v>USD5MD_SYNTH1Y_Quote</v>
      </c>
      <c r="N11" s="164">
        <f>IFERROR(_xll.qlQuoteValue(H11,Trigger),"--")</f>
        <v>1.4097999999999999E-2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obj_002c5#0002</v>
      </c>
      <c r="T11" s="102">
        <f>IFERROR(_xll.qlRateHelperEarliestDate(S11,Trigger),"--")</f>
        <v>42573</v>
      </c>
      <c r="U11" s="102">
        <f>IFERROR(_xll.qlRateHelperPillarDate(S11,Trigger),"--")</f>
        <v>42726</v>
      </c>
      <c r="W11" s="3" t="str">
        <f t="shared" si="1"/>
        <v>FRA</v>
      </c>
      <c r="X11" s="3" t="str">
        <v>obj_0029c</v>
      </c>
      <c r="Y11" s="3" t="str">
        <f>IFERROR(_xll.qlRateHelperQuoteName(X11,Trigger),"")</f>
        <v>USD1x13F_Quote</v>
      </c>
      <c r="Z11" s="70">
        <f>IFERROR(_xll.qlRateHelperRate(X11,Trigger),"")</f>
        <v>1.3229999999999999E-2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42604</v>
      </c>
      <c r="AC11" s="4">
        <f>IFERROR(_xll.qlRateHelperPillarDate(X11,Trigger),"")</f>
        <v>42969</v>
      </c>
      <c r="AD11" s="76">
        <v>0.98553291031291146</v>
      </c>
    </row>
    <row r="12" spans="1:33" ht="11.25" customHeight="1" x14ac:dyDescent="0.2">
      <c r="A12" s="60" t="s">
        <v>26</v>
      </c>
      <c r="B12" s="61" t="s">
        <v>3</v>
      </c>
      <c r="C12" s="125"/>
      <c r="D12" s="125"/>
      <c r="E12" s="125"/>
      <c r="F12" s="125"/>
      <c r="G12" s="62" t="str">
        <f>Currency&amp;FamilyName&amp;B12</f>
        <v>USDLibor6M</v>
      </c>
      <c r="H12" s="122" t="str">
        <f t="shared" si="0"/>
        <v>USD6MD_SYNTH1Y_Quote</v>
      </c>
      <c r="I12" s="125"/>
      <c r="J12" s="175" t="str">
        <f>IF(P12,_xll.qlDepositRateHelper(,H12,G12,Permanent,Trigger,ObjectOverwrite),"--")</f>
        <v>obj_00299#0002</v>
      </c>
      <c r="K12" s="50" t="s">
        <v>45</v>
      </c>
      <c r="L12" s="162" t="str">
        <f t="shared" si="2"/>
        <v>Dp</v>
      </c>
      <c r="M12" s="183" t="str">
        <f t="shared" si="3"/>
        <v>USD6MD_SYNTH1Y_Quote</v>
      </c>
      <c r="N12" s="164">
        <f>IFERROR(_xll.qlQuoteValue(H12,Trigger),"--")</f>
        <v>1.4042000000000001E-2</v>
      </c>
      <c r="O12" s="167"/>
      <c r="P12" s="101" t="b">
        <v>1</v>
      </c>
      <c r="Q12" s="98">
        <v>10</v>
      </c>
      <c r="R12" s="98">
        <v>1</v>
      </c>
      <c r="S12" s="98" t="str">
        <f t="shared" si="4"/>
        <v>obj_00299#0002</v>
      </c>
      <c r="T12" s="102">
        <f>IFERROR(_xll.qlRateHelperEarliestDate(S12,Trigger),"--")</f>
        <v>42573</v>
      </c>
      <c r="U12" s="102">
        <f>IFERROR(_xll.qlRateHelperPillarDate(S12,Trigger),"--")</f>
        <v>42758</v>
      </c>
      <c r="W12" s="3" t="str">
        <f t="shared" si="1"/>
        <v>FRA</v>
      </c>
      <c r="X12" s="3" t="str">
        <v>obj_0028b</v>
      </c>
      <c r="Y12" s="3" t="str">
        <f>IFERROR(_xll.qlRateHelperQuoteName(X12,Trigger),"")</f>
        <v>USD2x14F_Quote</v>
      </c>
      <c r="Z12" s="70">
        <f>IFERROR(_xll.qlRateHelperRate(X12,Trigger),"")</f>
        <v>1.2850000000000002E-2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42635</v>
      </c>
      <c r="AC12" s="4">
        <f>IFERROR(_xll.qlRateHelperPillarDate(X12,Trigger),"")</f>
        <v>43000</v>
      </c>
      <c r="AD12" s="76">
        <v>0.98470803317774569</v>
      </c>
    </row>
    <row r="13" spans="1:33" ht="11.25" customHeight="1" x14ac:dyDescent="0.2">
      <c r="A13" s="150" t="s">
        <v>26</v>
      </c>
      <c r="B13" s="151" t="s">
        <v>54</v>
      </c>
      <c r="C13" s="152"/>
      <c r="D13" s="152"/>
      <c r="E13" s="152"/>
      <c r="F13" s="152"/>
      <c r="G13" s="153" t="str">
        <f>_xll.qlLibor(,Currency,B13,,Permanent,Trigger,ObjectOverwrite)</f>
        <v>obj_0027c#0002</v>
      </c>
      <c r="H13" s="154" t="str">
        <f t="shared" si="0"/>
        <v>USD7MD_SYNTH1Y_Quote</v>
      </c>
      <c r="I13" s="152"/>
      <c r="J13" s="177" t="str">
        <f>IF(P13,_xll.qlDepositRateHelper(,H13,G13,Permanent,Trigger,ObjectOverwrite),"--")</f>
        <v>--</v>
      </c>
      <c r="K13" s="50"/>
      <c r="L13" s="162" t="str">
        <f t="shared" si="2"/>
        <v>Dp</v>
      </c>
      <c r="M13" s="183" t="str">
        <f t="shared" si="3"/>
        <v>USD7MD_SYNTH1Y_Quote</v>
      </c>
      <c r="N13" s="164">
        <f>IFERROR(_xll.qlQuoteValue(H13,Trigger),"--")</f>
        <v>1.3958E-2</v>
      </c>
      <c r="O13" s="167"/>
      <c r="P13" s="101" t="b">
        <v>0</v>
      </c>
      <c r="Q13" s="98">
        <v>10</v>
      </c>
      <c r="R13" s="98">
        <v>1</v>
      </c>
      <c r="S13" s="98" t="str">
        <f t="shared" si="4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FRA</v>
      </c>
      <c r="X13" s="3" t="str">
        <v>obj_0029a</v>
      </c>
      <c r="Y13" s="3" t="str">
        <f>IFERROR(_xll.qlRateHelperQuoteName(X13,Trigger),"")</f>
        <v>USD3x15F_Quote</v>
      </c>
      <c r="Z13" s="70">
        <f>IFERROR(_xll.qlRateHelperRate(X13,Trigger),"")</f>
        <v>1.2430000000000002E-2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42667</v>
      </c>
      <c r="AC13" s="4">
        <f>IFERROR(_xll.qlRateHelperPillarDate(X13,Trigger),"")</f>
        <v>43031</v>
      </c>
      <c r="AD13" s="76">
        <v>0.98391731277839112</v>
      </c>
    </row>
    <row r="14" spans="1:33" ht="11.25" customHeight="1" x14ac:dyDescent="0.2">
      <c r="A14" s="60" t="s">
        <v>26</v>
      </c>
      <c r="B14" s="61" t="s">
        <v>55</v>
      </c>
      <c r="C14" s="125"/>
      <c r="D14" s="125"/>
      <c r="E14" s="125"/>
      <c r="F14" s="125"/>
      <c r="G14" s="62" t="str">
        <f>_xll.qlLibor(,Currency,B14,,Permanent,Trigger,ObjectOverwrite)</f>
        <v>obj_00279#0002</v>
      </c>
      <c r="H14" s="122" t="str">
        <f t="shared" si="0"/>
        <v>USD8MD_SYNTH1Y_Quote</v>
      </c>
      <c r="I14" s="125"/>
      <c r="J14" s="175" t="str">
        <f>IF(P14,_xll.qlDepositRateHelper(,H14,G14,Permanent,Trigger,ObjectOverwrite),"--")</f>
        <v>--</v>
      </c>
      <c r="K14" s="50"/>
      <c r="L14" s="162" t="str">
        <f t="shared" si="2"/>
        <v>Dp</v>
      </c>
      <c r="M14" s="183" t="str">
        <f t="shared" si="3"/>
        <v>USD8MD_SYNTH1Y_Quote</v>
      </c>
      <c r="N14" s="164">
        <f>IFERROR(_xll.qlQuoteValue(H14,Trigger),"--")</f>
        <v>1.3875999999999999E-2</v>
      </c>
      <c r="O14" s="167"/>
      <c r="P14" s="101" t="b">
        <v>0</v>
      </c>
      <c r="Q14" s="98">
        <v>10</v>
      </c>
      <c r="R14" s="98">
        <v>1</v>
      </c>
      <c r="S14" s="98" t="str">
        <f t="shared" si="4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FRA</v>
      </c>
      <c r="X14" s="3" t="str">
        <v>obj_00293</v>
      </c>
      <c r="Y14" s="3" t="str">
        <f>IFERROR(_xll.qlRateHelperQuoteName(X14,Trigger),"")</f>
        <v>USD4x16F_Quote</v>
      </c>
      <c r="Z14" s="70">
        <f>IFERROR(_xll.qlRateHelperRate(X14,Trigger),"")</f>
        <v>1.255E-2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42696</v>
      </c>
      <c r="AC14" s="4">
        <f>IFERROR(_xll.qlRateHelperPillarDate(X14,Trigger),"")</f>
        <v>43061</v>
      </c>
      <c r="AD14" s="76">
        <v>0.98267066357857114</v>
      </c>
    </row>
    <row r="15" spans="1:33" ht="11.25" customHeight="1" x14ac:dyDescent="0.2">
      <c r="A15" s="60" t="s">
        <v>26</v>
      </c>
      <c r="B15" s="61" t="s">
        <v>56</v>
      </c>
      <c r="C15" s="125"/>
      <c r="D15" s="125"/>
      <c r="E15" s="125"/>
      <c r="F15" s="125"/>
      <c r="G15" s="62" t="str">
        <f>_xll.qlLibor(,Currency,B15,,Permanent,Trigger,ObjectOverwrite)</f>
        <v>obj_00281#0002</v>
      </c>
      <c r="H15" s="122" t="str">
        <f t="shared" si="0"/>
        <v>USD9MD_SYNTH1Y_Quote</v>
      </c>
      <c r="I15" s="125"/>
      <c r="J15" s="175" t="str">
        <f>IF(P15,_xll.qlDepositRateHelper(,H15,G15,Permanent,Trigger,ObjectOverwrite),"--")</f>
        <v>obj_002b4#0002</v>
      </c>
      <c r="K15" s="50"/>
      <c r="L15" s="162" t="str">
        <f t="shared" si="2"/>
        <v>Dp</v>
      </c>
      <c r="M15" s="183" t="str">
        <f t="shared" si="3"/>
        <v>USD9MD_SYNTH1Y_Quote</v>
      </c>
      <c r="N15" s="164">
        <f>IFERROR(_xll.qlQuoteValue(H15,Trigger),"--")</f>
        <v>1.3772E-2</v>
      </c>
      <c r="O15" s="167"/>
      <c r="P15" s="101" t="b">
        <v>1</v>
      </c>
      <c r="Q15" s="98">
        <v>10</v>
      </c>
      <c r="R15" s="98">
        <v>1</v>
      </c>
      <c r="S15" s="98" t="str">
        <f t="shared" si="4"/>
        <v>obj_002b4#0002</v>
      </c>
      <c r="T15" s="102">
        <f>IFERROR(_xll.qlRateHelperEarliestDate(S15,Trigger),"--")</f>
        <v>42573</v>
      </c>
      <c r="U15" s="102">
        <f>IFERROR(_xll.qlRateHelperPillarDate(S15,Trigger),"--")</f>
        <v>42849</v>
      </c>
      <c r="W15" s="3" t="str">
        <f t="shared" si="1"/>
        <v>FRA</v>
      </c>
      <c r="X15" s="3" t="str">
        <v>obj_0028d</v>
      </c>
      <c r="Y15" s="3" t="str">
        <f>IFERROR(_xll.qlRateHelperQuoteName(X15,Trigger),"")</f>
        <v>USD5x17F_Quote</v>
      </c>
      <c r="Z15" s="70">
        <f>IFERROR(_xll.qlRateHelperRate(X15,Trigger),"")</f>
        <v>1.2670000000000001E-2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42726</v>
      </c>
      <c r="AC15" s="4">
        <f>IFERROR(_xll.qlRateHelperPillarDate(X15,Trigger),"")</f>
        <v>43091</v>
      </c>
      <c r="AD15" s="76">
        <v>0.98143652965359141</v>
      </c>
    </row>
    <row r="16" spans="1:33" ht="11.25" customHeight="1" x14ac:dyDescent="0.2">
      <c r="A16" s="60" t="s">
        <v>26</v>
      </c>
      <c r="B16" s="61" t="s">
        <v>57</v>
      </c>
      <c r="C16" s="125"/>
      <c r="D16" s="125"/>
      <c r="E16" s="125"/>
      <c r="F16" s="125"/>
      <c r="G16" s="62" t="str">
        <f>_xll.qlLibor(,Currency,B16,,Permanent,Trigger,ObjectOverwrite)</f>
        <v>obj_00280#0002</v>
      </c>
      <c r="H16" s="122" t="str">
        <f t="shared" si="0"/>
        <v>USD10MD_SYNTH1Y_Quote</v>
      </c>
      <c r="I16" s="125"/>
      <c r="J16" s="175" t="str">
        <f>IF(P16,_xll.qlDepositRateHelper(,H16,G16,Permanent,Trigger,ObjectOverwrite),"--")</f>
        <v>--</v>
      </c>
      <c r="K16" s="50"/>
      <c r="L16" s="162" t="str">
        <f t="shared" si="2"/>
        <v>Dp</v>
      </c>
      <c r="M16" s="183" t="str">
        <f t="shared" si="3"/>
        <v>USD10MD_SYNTH1Y_Quote</v>
      </c>
      <c r="N16" s="164">
        <f>IFERROR(_xll.qlQuoteValue(H16,Trigger),"--")</f>
        <v>1.3679E-2</v>
      </c>
      <c r="O16" s="167"/>
      <c r="P16" s="101" t="b">
        <v>0</v>
      </c>
      <c r="Q16" s="98">
        <v>10</v>
      </c>
      <c r="R16" s="98">
        <v>1</v>
      </c>
      <c r="S16" s="98" t="str">
        <f t="shared" si="4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FRA</v>
      </c>
      <c r="X16" s="3" t="str">
        <v>obj_00295</v>
      </c>
      <c r="Y16" s="3" t="str">
        <f>IFERROR(_xll.qlRateHelperQuoteName(X16,Trigger),"")</f>
        <v>USD6x18F_Quote</v>
      </c>
      <c r="Z16" s="70">
        <f>IFERROR(_xll.qlRateHelperRate(X16,Trigger),"")</f>
        <v>1.278E-2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42758</v>
      </c>
      <c r="AC16" s="4">
        <f>IFERROR(_xll.qlRateHelperPillarDate(X16,Trigger),"")</f>
        <v>43122</v>
      </c>
      <c r="AD16" s="76">
        <v>0.98017482417984847</v>
      </c>
    </row>
    <row r="17" spans="1:30" ht="11.25" customHeight="1" x14ac:dyDescent="0.2">
      <c r="A17" s="155" t="s">
        <v>26</v>
      </c>
      <c r="B17" s="156" t="s">
        <v>58</v>
      </c>
      <c r="C17" s="157"/>
      <c r="D17" s="157"/>
      <c r="E17" s="157"/>
      <c r="F17" s="157"/>
      <c r="G17" s="158" t="str">
        <f>_xll.qlLibor(,Currency,B17,,Permanent,Trigger,ObjectOverwrite)</f>
        <v>obj_0027a#0002</v>
      </c>
      <c r="H17" s="159" t="str">
        <f t="shared" si="0"/>
        <v>USD11MD_SYNTH1Y_Quote</v>
      </c>
      <c r="I17" s="157"/>
      <c r="J17" s="178" t="str">
        <f>IF(P17,_xll.qlDepositRateHelper(,H17,G17,Permanent,Trigger,ObjectOverwrite),"--")</f>
        <v>--</v>
      </c>
      <c r="K17" s="50"/>
      <c r="L17" s="162" t="str">
        <f t="shared" si="2"/>
        <v>Dp</v>
      </c>
      <c r="M17" s="183" t="str">
        <f t="shared" si="3"/>
        <v>USD11MD_SYNTH1Y_Quote</v>
      </c>
      <c r="N17" s="164">
        <f>IFERROR(_xll.qlQuoteValue(H17,Trigger),"--")</f>
        <v>1.3566999999999999E-2</v>
      </c>
      <c r="O17" s="167"/>
      <c r="P17" s="101" t="b">
        <v>0</v>
      </c>
      <c r="Q17" s="98">
        <v>10</v>
      </c>
      <c r="R17" s="98">
        <v>1</v>
      </c>
      <c r="S17" s="98" t="str">
        <f t="shared" si="4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FRA</v>
      </c>
      <c r="X17" s="3" t="str">
        <v>obj_0029b</v>
      </c>
      <c r="Y17" s="3" t="str">
        <f>IFERROR(_xll.qlRateHelperQuoteName(X17,Trigger),"")</f>
        <v>USD9x21F_Quote</v>
      </c>
      <c r="Z17" s="70">
        <f>IFERROR(_xll.qlRateHelperRate(X17,Trigger),"")</f>
        <v>1.3140000000000001E-2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42849</v>
      </c>
      <c r="AC17" s="4">
        <f>IFERROR(_xll.qlRateHelperPillarDate(X17,Trigger),"")</f>
        <v>43213</v>
      </c>
      <c r="AD17" s="76">
        <v>0.97658944784751966</v>
      </c>
    </row>
    <row r="18" spans="1:30" ht="11.25" customHeight="1" x14ac:dyDescent="0.2">
      <c r="A18" s="1" t="s">
        <v>26</v>
      </c>
      <c r="B18" s="8" t="s">
        <v>28</v>
      </c>
      <c r="C18" s="126"/>
      <c r="D18" s="126"/>
      <c r="E18" s="126"/>
      <c r="F18" s="126"/>
      <c r="G18" s="6" t="str">
        <f>Currency&amp;FamilyName&amp;B18</f>
        <v>USDLibor1Y</v>
      </c>
      <c r="H18" s="123" t="str">
        <f t="shared" si="0"/>
        <v>USD1YD_SYNTH1Y_Quote</v>
      </c>
      <c r="I18" s="126"/>
      <c r="J18" s="174" t="str">
        <f>IF(P18,_xll.qlDepositRateHelper(,H18,G18,Permanent,Trigger,ObjectOverwrite),"--")</f>
        <v>obj_002ae#0002</v>
      </c>
      <c r="K18" s="50"/>
      <c r="L18" s="168" t="str">
        <f t="shared" si="2"/>
        <v>Dp</v>
      </c>
      <c r="M18" s="184" t="str">
        <f t="shared" si="3"/>
        <v>USD1YD_SYNTH1Y_Quote</v>
      </c>
      <c r="N18" s="170">
        <f>IFERROR(_xll.qlQuoteValue(H18,Trigger),"--")</f>
        <v>1.3448999999999999E-2</v>
      </c>
      <c r="O18" s="171"/>
      <c r="P18" s="103" t="b">
        <v>1</v>
      </c>
      <c r="Q18" s="99">
        <v>10</v>
      </c>
      <c r="R18" s="99">
        <v>1</v>
      </c>
      <c r="S18" s="99" t="str">
        <f t="shared" si="4"/>
        <v>obj_002ae#0002</v>
      </c>
      <c r="T18" s="104">
        <f>IFERROR(_xll.qlRateHelperEarliestDate(S18,Trigger),"--")</f>
        <v>42573</v>
      </c>
      <c r="U18" s="104">
        <f>IFERROR(_xll.qlRateHelperPillarDate(S18,Trigger),"--")</f>
        <v>42940</v>
      </c>
      <c r="W18" s="3" t="str">
        <f t="shared" si="1"/>
        <v>BasSw</v>
      </c>
      <c r="X18" s="3" t="str">
        <v>obj_002ed</v>
      </c>
      <c r="Y18" s="3" t="str">
        <f>IFERROR(_xll.qlRateHelperQuoteName(X18,Trigger),"")</f>
        <v>USDAM3L2Y_S12L3L_Quote</v>
      </c>
      <c r="Z18" s="70">
        <f>IFERROR(_xll.qlRateHelperRate(X18,Trigger),"")</f>
        <v>1.433531814726381E-2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42573</v>
      </c>
      <c r="AC18" s="4">
        <f>IFERROR(_xll.qlRateHelperPillarDate(X18,Trigger),"")</f>
        <v>43304</v>
      </c>
      <c r="AD18" s="76">
        <v>0.97150965891824848</v>
      </c>
    </row>
    <row r="19" spans="1:30" ht="11.25" customHeight="1" x14ac:dyDescent="0.2">
      <c r="B19" s="48"/>
      <c r="C19" s="48">
        <v>12</v>
      </c>
      <c r="D19" s="48"/>
      <c r="E19" s="48"/>
      <c r="F19" s="48"/>
      <c r="G19" s="48"/>
      <c r="H19" s="48"/>
      <c r="K19" s="50"/>
      <c r="L19" s="180" t="str">
        <f>A21</f>
        <v>FRA</v>
      </c>
      <c r="M19" s="181" t="str">
        <f>H21</f>
        <v>USD1x13F_Quote</v>
      </c>
      <c r="N19" s="182">
        <f>IFERROR(_xll.qlQuoteValue(H21,Trigger),"--")</f>
        <v>1.3229999999999999E-2</v>
      </c>
      <c r="O19" s="165"/>
      <c r="P19" s="134" t="b">
        <v>1</v>
      </c>
      <c r="Q19" s="133">
        <v>20</v>
      </c>
      <c r="R19" s="133">
        <v>1</v>
      </c>
      <c r="S19" s="133" t="str">
        <f>J21</f>
        <v>obj_0029c#0002</v>
      </c>
      <c r="T19" s="135">
        <f>IFERROR(_xll.qlRateHelperEarliestDate(S19,Trigger),"--")</f>
        <v>42604</v>
      </c>
      <c r="U19" s="135">
        <f>IFERROR(_xll.qlRateHelperPillarDate(S19,Trigger),"--")</f>
        <v>42969</v>
      </c>
      <c r="W19" s="3" t="str">
        <f t="shared" si="1"/>
        <v>BasSw</v>
      </c>
      <c r="X19" s="3" t="str">
        <v>obj_002d5</v>
      </c>
      <c r="Y19" s="3" t="str">
        <f>IFERROR(_xll.qlRateHelperQuoteName(X19,Trigger),"")</f>
        <v>USDAM3L3Y_S12L3L_Quote</v>
      </c>
      <c r="Z19" s="70">
        <f>IFERROR(_xll.qlRateHelperRate(X19,Trigger),"")</f>
        <v>1.4749886227563758E-2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42573</v>
      </c>
      <c r="AC19" s="4">
        <f>IFERROR(_xll.qlRateHelperPillarDate(X19,Trigger),"")</f>
        <v>43668</v>
      </c>
      <c r="AD19" s="76">
        <v>0.95643158485637436</v>
      </c>
    </row>
    <row r="20" spans="1:30" ht="11.25" customHeight="1" x14ac:dyDescent="0.2">
      <c r="A20" s="66" t="s">
        <v>9</v>
      </c>
      <c r="B20" s="66" t="s">
        <v>120</v>
      </c>
      <c r="C20" s="66" t="s">
        <v>121</v>
      </c>
      <c r="D20" s="66"/>
      <c r="E20" s="66"/>
      <c r="F20" s="66"/>
      <c r="G20" s="66" t="s">
        <v>4</v>
      </c>
      <c r="H20" s="66" t="s">
        <v>1</v>
      </c>
      <c r="I20" s="66"/>
      <c r="J20" s="66" t="s">
        <v>24</v>
      </c>
      <c r="K20" s="50"/>
      <c r="L20" s="162" t="str">
        <f t="shared" ref="L20:L42" si="5">A22</f>
        <v>FRA</v>
      </c>
      <c r="M20" s="183" t="str">
        <f t="shared" ref="M20:M42" si="6">H22</f>
        <v>USD2x14F_Quote</v>
      </c>
      <c r="N20" s="164">
        <f>IFERROR(_xll.qlQuoteValue(H22,Trigger),"--")</f>
        <v>1.2850000000000002E-2</v>
      </c>
      <c r="O20" s="167"/>
      <c r="P20" s="101" t="b">
        <v>1</v>
      </c>
      <c r="Q20" s="98">
        <v>20</v>
      </c>
      <c r="R20" s="98">
        <v>1</v>
      </c>
      <c r="S20" s="98" t="str">
        <f t="shared" ref="S20:S42" si="7">J22</f>
        <v>obj_0028b#0002</v>
      </c>
      <c r="T20" s="102">
        <f>IFERROR(_xll.qlRateHelperEarliestDate(S20,Trigger),"--")</f>
        <v>42635</v>
      </c>
      <c r="U20" s="102">
        <f>IFERROR(_xll.qlRateHelperPillarDate(S20,Trigger),"--")</f>
        <v>43000</v>
      </c>
      <c r="W20" s="3" t="str">
        <f t="shared" si="1"/>
        <v>BasSw</v>
      </c>
      <c r="X20" s="3" t="str">
        <v>obj_002d2</v>
      </c>
      <c r="Y20" s="3" t="str">
        <f>IFERROR(_xll.qlRateHelperQuoteName(X20,Trigger),"")</f>
        <v>USDAM3L4Y_S12L3L_Quote</v>
      </c>
      <c r="Z20" s="70">
        <f>IFERROR(_xll.qlRateHelperRate(X20,Trigger),"")</f>
        <v>1.5320656972914558E-2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42573</v>
      </c>
      <c r="AC20" s="4">
        <f>IFERROR(_xll.qlRateHelperPillarDate(X20,Trigger),"")</f>
        <v>44034</v>
      </c>
      <c r="AD20" s="76">
        <v>0.94012930855176824</v>
      </c>
    </row>
    <row r="21" spans="1:30" ht="11.25" customHeight="1" x14ac:dyDescent="0.2">
      <c r="A21" s="55" t="s">
        <v>122</v>
      </c>
      <c r="B21" s="115">
        <v>1</v>
      </c>
      <c r="C21" s="58" t="str">
        <f>"x"&amp;B21+$C$19&amp;"F"</f>
        <v>x13F</v>
      </c>
      <c r="D21" s="131"/>
      <c r="E21" s="131"/>
      <c r="F21" s="131"/>
      <c r="G21" s="57" t="str">
        <f t="shared" ref="G21:G44" si="8">PROPER(Currency)&amp;FamilyName&amp;Tenor</f>
        <v>UsdLibor1Y</v>
      </c>
      <c r="H21" s="118" t="str">
        <f t="shared" ref="H21:H29" si="9">Currency&amp;B21&amp;C21&amp;QuoteSuffix</f>
        <v>USD1x13F_Quote</v>
      </c>
      <c r="I21" s="131"/>
      <c r="J21" s="173" t="str">
        <f>IF(P19,_xll.qlFraRateHelper(,H21,B21&amp;"M",G21,PillarDate,,Permanent,Trigger,ObjectOverwrite),"--")</f>
        <v>obj_0029c#0002</v>
      </c>
      <c r="K21" s="50"/>
      <c r="L21" s="162" t="str">
        <f t="shared" si="5"/>
        <v>FRA</v>
      </c>
      <c r="M21" s="183" t="str">
        <f t="shared" si="6"/>
        <v>USD3x15F_Quote</v>
      </c>
      <c r="N21" s="164">
        <f>IFERROR(_xll.qlQuoteValue(H23,Trigger),"--")</f>
        <v>1.2430000000000002E-2</v>
      </c>
      <c r="O21" s="167"/>
      <c r="P21" s="101" t="b">
        <v>1</v>
      </c>
      <c r="Q21" s="98">
        <v>20</v>
      </c>
      <c r="R21" s="98">
        <v>1</v>
      </c>
      <c r="S21" s="98" t="str">
        <f t="shared" si="7"/>
        <v>obj_0029a#0002</v>
      </c>
      <c r="T21" s="102">
        <f>IFERROR(_xll.qlRateHelperEarliestDate(S21,Trigger),"--")</f>
        <v>42667</v>
      </c>
      <c r="U21" s="102">
        <f>IFERROR(_xll.qlRateHelperPillarDate(S21,Trigger),"--")</f>
        <v>43031</v>
      </c>
      <c r="W21" s="3" t="str">
        <f t="shared" si="1"/>
        <v>BasSw</v>
      </c>
      <c r="X21" s="3" t="str">
        <v>obj_002eb</v>
      </c>
      <c r="Y21" s="3" t="str">
        <f>IFERROR(_xll.qlRateHelperQuoteName(X21,Trigger),"")</f>
        <v>USDAM3L5Y_S12L3L_Quote</v>
      </c>
      <c r="Z21" s="70">
        <f>IFERROR(_xll.qlRateHelperRate(X21,Trigger),"")</f>
        <v>1.5903953438279037E-2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42573</v>
      </c>
      <c r="AC21" s="4">
        <f>IFERROR(_xll.qlRateHelperPillarDate(X21,Trigger),"")</f>
        <v>44399</v>
      </c>
      <c r="AD21" s="76">
        <v>0.92301195724407015</v>
      </c>
    </row>
    <row r="22" spans="1:30" ht="11.25" customHeight="1" x14ac:dyDescent="0.2">
      <c r="A22" s="60" t="s">
        <v>122</v>
      </c>
      <c r="B22" s="116">
        <v>2</v>
      </c>
      <c r="C22" s="64" t="str">
        <f t="shared" ref="C22:C44" si="10">"x"&amp;B22+$C$19&amp;"F"</f>
        <v>x14F</v>
      </c>
      <c r="D22" s="125"/>
      <c r="E22" s="125"/>
      <c r="F22" s="125"/>
      <c r="G22" s="62" t="str">
        <f t="shared" si="8"/>
        <v>UsdLibor1Y</v>
      </c>
      <c r="H22" s="119" t="str">
        <f t="shared" si="9"/>
        <v>USD2x14F_Quote</v>
      </c>
      <c r="I22" s="125"/>
      <c r="J22" s="175" t="str">
        <f>IF(P20,_xll.qlFraRateHelper(,H22,B22&amp;"M",G22,PillarDate,,Permanent,Trigger,ObjectOverwrite),"--")</f>
        <v>obj_0028b#0002</v>
      </c>
      <c r="K22" s="50"/>
      <c r="L22" s="162" t="str">
        <f t="shared" si="5"/>
        <v>FRA</v>
      </c>
      <c r="M22" s="183" t="str">
        <f t="shared" si="6"/>
        <v>USD4x16F_Quote</v>
      </c>
      <c r="N22" s="164">
        <f>IFERROR(_xll.qlQuoteValue(H24,Trigger),"--")</f>
        <v>1.255E-2</v>
      </c>
      <c r="O22" s="167"/>
      <c r="P22" s="101" t="b">
        <v>1</v>
      </c>
      <c r="Q22" s="98">
        <v>20</v>
      </c>
      <c r="R22" s="98">
        <v>1</v>
      </c>
      <c r="S22" s="98" t="str">
        <f t="shared" si="7"/>
        <v>obj_00293#0002</v>
      </c>
      <c r="T22" s="102">
        <f>IFERROR(_xll.qlRateHelperEarliestDate(S22,Trigger),"--")</f>
        <v>42696</v>
      </c>
      <c r="U22" s="102">
        <f>IFERROR(_xll.qlRateHelperPillarDate(S22,Trigger),"--")</f>
        <v>43061</v>
      </c>
      <c r="W22" s="3" t="str">
        <f t="shared" si="1"/>
        <v>BasSw</v>
      </c>
      <c r="X22" s="3" t="str">
        <v>obj_002e1</v>
      </c>
      <c r="Y22" s="3" t="str">
        <f>IFERROR(_xll.qlRateHelperQuoteName(X22,Trigger),"")</f>
        <v>USDAM3L6Y_S12L3L_Quote</v>
      </c>
      <c r="Z22" s="70">
        <f>IFERROR(_xll.qlRateHelperRate(X22,Trigger),"")</f>
        <v>1.6499692745457338E-2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42573</v>
      </c>
      <c r="AC22" s="4">
        <f>IFERROR(_xll.qlRateHelperPillarDate(X22,Trigger),"")</f>
        <v>44764</v>
      </c>
      <c r="AD22" s="76">
        <v>0.9050551919240214</v>
      </c>
    </row>
    <row r="23" spans="1:30" ht="11.25" customHeight="1" x14ac:dyDescent="0.2">
      <c r="A23" s="60" t="s">
        <v>122</v>
      </c>
      <c r="B23" s="116">
        <v>3</v>
      </c>
      <c r="C23" s="64" t="str">
        <f t="shared" si="10"/>
        <v>x15F</v>
      </c>
      <c r="D23" s="125"/>
      <c r="E23" s="125"/>
      <c r="F23" s="125"/>
      <c r="G23" s="62" t="str">
        <f t="shared" si="8"/>
        <v>UsdLibor1Y</v>
      </c>
      <c r="H23" s="119" t="str">
        <f t="shared" si="9"/>
        <v>USD3x15F_Quote</v>
      </c>
      <c r="I23" s="125"/>
      <c r="J23" s="175" t="str">
        <f>IF(P21,_xll.qlFraRateHelper(,H23,B23&amp;"M",G23,PillarDate,,Permanent,Trigger,ObjectOverwrite),"--")</f>
        <v>obj_0029a#0002</v>
      </c>
      <c r="K23" s="50"/>
      <c r="L23" s="162" t="str">
        <f t="shared" si="5"/>
        <v>FRA</v>
      </c>
      <c r="M23" s="183" t="str">
        <f t="shared" si="6"/>
        <v>USD5x17F_Quote</v>
      </c>
      <c r="N23" s="164">
        <f>IFERROR(_xll.qlQuoteValue(H25,Trigger),"--")</f>
        <v>1.2670000000000001E-2</v>
      </c>
      <c r="O23" s="167"/>
      <c r="P23" s="101" t="b">
        <v>1</v>
      </c>
      <c r="Q23" s="98">
        <v>20</v>
      </c>
      <c r="R23" s="98">
        <v>1</v>
      </c>
      <c r="S23" s="98" t="str">
        <f t="shared" si="7"/>
        <v>obj_0028d#0002</v>
      </c>
      <c r="T23" s="102">
        <f>IFERROR(_xll.qlRateHelperEarliestDate(S23,Trigger),"--")</f>
        <v>42726</v>
      </c>
      <c r="U23" s="102">
        <f>IFERROR(_xll.qlRateHelperPillarDate(S23,Trigger),"--")</f>
        <v>43091</v>
      </c>
      <c r="W23" s="3" t="str">
        <f t="shared" si="1"/>
        <v>BasSw</v>
      </c>
      <c r="X23" s="3" t="str">
        <v>obj_00303</v>
      </c>
      <c r="Y23" s="3" t="str">
        <f>IFERROR(_xll.qlRateHelperQuoteName(X23,Trigger),"")</f>
        <v>USDAM3L7Y_S12L3L_Quote</v>
      </c>
      <c r="Z23" s="70">
        <f>IFERROR(_xll.qlRateHelperRate(X23,Trigger),"")</f>
        <v>1.7067875769372597E-2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42573</v>
      </c>
      <c r="AC23" s="4">
        <f>IFERROR(_xll.qlRateHelperPillarDate(X23,Trigger),"")</f>
        <v>45131</v>
      </c>
      <c r="AD23" s="76">
        <v>0.88644933462356801</v>
      </c>
    </row>
    <row r="24" spans="1:30" ht="11.25" customHeight="1" x14ac:dyDescent="0.2">
      <c r="A24" s="60" t="s">
        <v>122</v>
      </c>
      <c r="B24" s="116">
        <v>4</v>
      </c>
      <c r="C24" s="64" t="str">
        <f t="shared" si="10"/>
        <v>x16F</v>
      </c>
      <c r="D24" s="125"/>
      <c r="E24" s="125"/>
      <c r="F24" s="125"/>
      <c r="G24" s="62" t="str">
        <f t="shared" si="8"/>
        <v>UsdLibor1Y</v>
      </c>
      <c r="H24" s="119" t="str">
        <f t="shared" si="9"/>
        <v>USD4x16F_Quote</v>
      </c>
      <c r="I24" s="125"/>
      <c r="J24" s="175" t="str">
        <f>IF(P22,_xll.qlFraRateHelper(,H24,B24&amp;"M",G24,PillarDate,,Permanent,Trigger,ObjectOverwrite),"--")</f>
        <v>obj_00293#0002</v>
      </c>
      <c r="K24" s="50"/>
      <c r="L24" s="162" t="str">
        <f t="shared" si="5"/>
        <v>FRA</v>
      </c>
      <c r="M24" s="183" t="str">
        <f t="shared" si="6"/>
        <v>USD6x18F_Quote</v>
      </c>
      <c r="N24" s="164">
        <f>IFERROR(_xll.qlQuoteValue(H26,Trigger),"--")</f>
        <v>1.278E-2</v>
      </c>
      <c r="O24" s="167"/>
      <c r="P24" s="101" t="b">
        <v>1</v>
      </c>
      <c r="Q24" s="98">
        <v>20</v>
      </c>
      <c r="R24" s="98">
        <v>1</v>
      </c>
      <c r="S24" s="98" t="str">
        <f t="shared" si="7"/>
        <v>obj_00295#0002</v>
      </c>
      <c r="T24" s="102">
        <f>IFERROR(_xll.qlRateHelperEarliestDate(S24,Trigger),"--")</f>
        <v>42758</v>
      </c>
      <c r="U24" s="102">
        <f>IFERROR(_xll.qlRateHelperPillarDate(S24,Trigger),"--")</f>
        <v>43122</v>
      </c>
      <c r="W24" s="3" t="str">
        <f t="shared" si="1"/>
        <v>BasSw</v>
      </c>
      <c r="X24" s="3" t="str">
        <v>obj_00315</v>
      </c>
      <c r="Y24" s="3" t="str">
        <f>IFERROR(_xll.qlRateHelperQuoteName(X24,Trigger),"")</f>
        <v>USDAM3L8Y_S12L3L_Quote</v>
      </c>
      <c r="Z24" s="70">
        <f>IFERROR(_xll.qlRateHelperRate(X24,Trigger),"")</f>
        <v>1.761098665451679E-2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42573</v>
      </c>
      <c r="AC24" s="4">
        <f>IFERROR(_xll.qlRateHelperPillarDate(X24,Trigger),"")</f>
        <v>45495</v>
      </c>
      <c r="AD24" s="76">
        <v>0.86749798082820306</v>
      </c>
    </row>
    <row r="25" spans="1:30" ht="11.25" customHeight="1" x14ac:dyDescent="0.2">
      <c r="A25" s="60" t="s">
        <v>122</v>
      </c>
      <c r="B25" s="116">
        <v>5</v>
      </c>
      <c r="C25" s="64" t="str">
        <f t="shared" si="10"/>
        <v>x17F</v>
      </c>
      <c r="D25" s="125"/>
      <c r="E25" s="125"/>
      <c r="F25" s="125"/>
      <c r="G25" s="62" t="str">
        <f t="shared" si="8"/>
        <v>UsdLibor1Y</v>
      </c>
      <c r="H25" s="119" t="str">
        <f t="shared" si="9"/>
        <v>USD5x17F_Quote</v>
      </c>
      <c r="I25" s="125"/>
      <c r="J25" s="175" t="str">
        <f>IF(P23,_xll.qlFraRateHelper(,H25,B25&amp;"M",G25,PillarDate,,Permanent,Trigger,ObjectOverwrite),"--")</f>
        <v>obj_0028d#0002</v>
      </c>
      <c r="K25" s="50"/>
      <c r="L25" s="162" t="str">
        <f t="shared" si="5"/>
        <v>FRA</v>
      </c>
      <c r="M25" s="183" t="str">
        <f t="shared" si="6"/>
        <v>USD7x19F_Quote</v>
      </c>
      <c r="N25" s="164" t="str">
        <f>IFERROR(_xll.qlQuoteValue(H27,Trigger),"--")</f>
        <v>--</v>
      </c>
      <c r="O25" s="167"/>
      <c r="P25" s="101" t="b">
        <v>0</v>
      </c>
      <c r="Q25" s="98">
        <v>20</v>
      </c>
      <c r="R25" s="98">
        <v>1</v>
      </c>
      <c r="S25" s="98" t="str">
        <f t="shared" si="7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1"/>
        <v>BasSw</v>
      </c>
      <c r="X25" s="3" t="str">
        <v>obj_002e5</v>
      </c>
      <c r="Y25" s="3" t="str">
        <f>IFERROR(_xll.qlRateHelperQuoteName(X25,Trigger),"")</f>
        <v>USDAM3L9Y_S12L3L_Quote</v>
      </c>
      <c r="Z25" s="70">
        <f>IFERROR(_xll.qlRateHelperRate(X25,Trigger),"")</f>
        <v>1.8094014126107831E-2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42573</v>
      </c>
      <c r="AC25" s="4">
        <f>IFERROR(_xll.qlRateHelperPillarDate(X25,Trigger),"")</f>
        <v>45860</v>
      </c>
      <c r="AD25" s="76">
        <v>0.84842070056295993</v>
      </c>
    </row>
    <row r="26" spans="1:30" ht="11.25" customHeight="1" x14ac:dyDescent="0.2">
      <c r="A26" s="60" t="s">
        <v>122</v>
      </c>
      <c r="B26" s="116">
        <v>6</v>
      </c>
      <c r="C26" s="64" t="str">
        <f t="shared" si="10"/>
        <v>x18F</v>
      </c>
      <c r="D26" s="125"/>
      <c r="E26" s="125"/>
      <c r="F26" s="125"/>
      <c r="G26" s="62" t="str">
        <f t="shared" si="8"/>
        <v>UsdLibor1Y</v>
      </c>
      <c r="H26" s="119" t="str">
        <f t="shared" si="9"/>
        <v>USD6x18F_Quote</v>
      </c>
      <c r="I26" s="125"/>
      <c r="J26" s="175" t="str">
        <f>IF(P24,_xll.qlFraRateHelper(,H26,B26&amp;"M",G26,PillarDate,,Permanent,Trigger,ObjectOverwrite),"--")</f>
        <v>obj_00295#0002</v>
      </c>
      <c r="K26" s="50"/>
      <c r="L26" s="162" t="str">
        <f t="shared" si="5"/>
        <v>FRA</v>
      </c>
      <c r="M26" s="183" t="str">
        <f t="shared" si="6"/>
        <v>USD8x20F_Quote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7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obj_002ee</v>
      </c>
      <c r="Y26" s="3" t="str">
        <f>IFERROR(_xll.qlRateHelperQuoteName(X26,Trigger),"")</f>
        <v>USDAM3L10Y_S12L3L_Quote</v>
      </c>
      <c r="Z26" s="70">
        <f>IFERROR(_xll.qlRateHelperRate(X26,Trigger),"")</f>
        <v>1.8559543319260567E-2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42573</v>
      </c>
      <c r="AC26" s="4">
        <f>IFERROR(_xll.qlRateHelperPillarDate(X26,Trigger),"")</f>
        <v>46225</v>
      </c>
      <c r="AD26" s="76">
        <v>0.82906264611268754</v>
      </c>
    </row>
    <row r="27" spans="1:30" ht="11.25" customHeight="1" x14ac:dyDescent="0.2">
      <c r="A27" s="60" t="s">
        <v>122</v>
      </c>
      <c r="B27" s="116">
        <v>7</v>
      </c>
      <c r="C27" s="64" t="str">
        <f t="shared" si="10"/>
        <v>x19F</v>
      </c>
      <c r="D27" s="125"/>
      <c r="E27" s="125"/>
      <c r="F27" s="125"/>
      <c r="G27" s="62" t="str">
        <f t="shared" si="8"/>
        <v>UsdLibor1Y</v>
      </c>
      <c r="H27" s="119" t="str">
        <f t="shared" si="9"/>
        <v>USD7x19F_Quote</v>
      </c>
      <c r="I27" s="125"/>
      <c r="J27" s="175" t="str">
        <f>IF(P25,_xll.qlFraRateHelper(,H27,B27&amp;"M",G27,PillarDate,,Permanent,Trigger,ObjectOverwrite),"--")</f>
        <v>--</v>
      </c>
      <c r="K27" s="50"/>
      <c r="L27" s="162" t="str">
        <f t="shared" si="5"/>
        <v>FRA</v>
      </c>
      <c r="M27" s="183" t="str">
        <f t="shared" si="6"/>
        <v>USD9x21F_Quote</v>
      </c>
      <c r="N27" s="164">
        <f>IFERROR(_xll.qlQuoteValue(H29,Trigger),"--")</f>
        <v>1.3140000000000001E-2</v>
      </c>
      <c r="O27" s="167"/>
      <c r="P27" s="101" t="b">
        <v>1</v>
      </c>
      <c r="Q27" s="98">
        <v>20</v>
      </c>
      <c r="R27" s="98">
        <v>1</v>
      </c>
      <c r="S27" s="98" t="str">
        <f t="shared" si="7"/>
        <v>obj_0029b#0002</v>
      </c>
      <c r="T27" s="102">
        <f>IFERROR(_xll.qlRateHelperEarliestDate(S27,Trigger),"--")</f>
        <v>42849</v>
      </c>
      <c r="U27" s="102">
        <f>IFERROR(_xll.qlRateHelperPillarDate(S27,Trigger),"--")</f>
        <v>43213</v>
      </c>
      <c r="W27" s="3" t="str">
        <f t="shared" si="1"/>
        <v>BasSw</v>
      </c>
      <c r="X27" s="3" t="str">
        <v>obj_002d1</v>
      </c>
      <c r="Y27" s="3" t="str">
        <f>IFERROR(_xll.qlRateHelperQuoteName(X27,Trigger),"")</f>
        <v>USDAM3L11Y_S12L3L_Quote</v>
      </c>
      <c r="Z27" s="70">
        <f>IFERROR(_xll.qlRateHelperRate(X27,Trigger),"")</f>
        <v>1.8995631306075178E-2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42573</v>
      </c>
      <c r="AC27" s="4">
        <f>IFERROR(_xll.qlRateHelperPillarDate(X27,Trigger),"")</f>
        <v>46590</v>
      </c>
      <c r="AD27" s="76">
        <v>0.80961281960927989</v>
      </c>
    </row>
    <row r="28" spans="1:30" ht="11.25" customHeight="1" x14ac:dyDescent="0.2">
      <c r="A28" s="60" t="s">
        <v>122</v>
      </c>
      <c r="B28" s="116">
        <v>8</v>
      </c>
      <c r="C28" s="64" t="str">
        <f t="shared" si="10"/>
        <v>x20F</v>
      </c>
      <c r="D28" s="125"/>
      <c r="E28" s="125"/>
      <c r="F28" s="125"/>
      <c r="G28" s="62" t="str">
        <f t="shared" si="8"/>
        <v>UsdLibor1Y</v>
      </c>
      <c r="H28" s="119" t="str">
        <f t="shared" si="9"/>
        <v>USD8x20F_Quote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si="5"/>
        <v>FRA</v>
      </c>
      <c r="M28" s="183" t="str">
        <f t="shared" si="6"/>
        <v>USD10x22F_Quote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7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obj_0030f</v>
      </c>
      <c r="Y28" s="3" t="str">
        <f>IFERROR(_xll.qlRateHelperQuoteName(X28,Trigger),"")</f>
        <v>USDAM3L12Y_S12L3L_Quote</v>
      </c>
      <c r="Z28" s="70">
        <f>IFERROR(_xll.qlRateHelperRate(X28,Trigger),"")</f>
        <v>1.9398009739464504E-2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42573</v>
      </c>
      <c r="AC28" s="4">
        <f>IFERROR(_xll.qlRateHelperPillarDate(X28,Trigger),"")</f>
        <v>46958</v>
      </c>
      <c r="AD28" s="76">
        <v>0.79008617587149621</v>
      </c>
    </row>
    <row r="29" spans="1:30" ht="11.25" customHeight="1" x14ac:dyDescent="0.2">
      <c r="A29" s="60" t="s">
        <v>122</v>
      </c>
      <c r="B29" s="116">
        <v>9</v>
      </c>
      <c r="C29" s="64" t="str">
        <f t="shared" si="10"/>
        <v>x21F</v>
      </c>
      <c r="D29" s="125"/>
      <c r="E29" s="125"/>
      <c r="F29" s="125"/>
      <c r="G29" s="62" t="str">
        <f t="shared" si="8"/>
        <v>UsdLibor1Y</v>
      </c>
      <c r="H29" s="119" t="str">
        <f t="shared" si="9"/>
        <v>USD9x21F_Quote</v>
      </c>
      <c r="I29" s="125"/>
      <c r="J29" s="175" t="str">
        <f>IF(P27,_xll.qlFraRateHelper(,H29,B29&amp;"M",G29,PillarDate,,Permanent,Trigger,ObjectOverwrite),"--")</f>
        <v>obj_0029b#0002</v>
      </c>
      <c r="K29" s="50"/>
      <c r="L29" s="162" t="str">
        <f t="shared" si="5"/>
        <v>FRA</v>
      </c>
      <c r="M29" s="183" t="str">
        <f t="shared" si="6"/>
        <v>USD11x23F_Quote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7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obj_002f1</v>
      </c>
      <c r="Y29" s="3" t="str">
        <f>IFERROR(_xll.qlRateHelperQuoteName(X29,Trigger),"")</f>
        <v>USDAM3L13Y_S12L3L_Quote</v>
      </c>
      <c r="Z29" s="70">
        <f>IFERROR(_xll.qlRateHelperRate(X29,Trigger),"")</f>
        <v>1.9758540071665453E-2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42573</v>
      </c>
      <c r="AC29" s="4">
        <f>IFERROR(_xll.qlRateHelperPillarDate(X29,Trigger),"")</f>
        <v>47322</v>
      </c>
      <c r="AD29" s="76">
        <v>0.77096201352258675</v>
      </c>
    </row>
    <row r="30" spans="1:30" ht="11.25" customHeight="1" x14ac:dyDescent="0.2">
      <c r="A30" s="60" t="s">
        <v>122</v>
      </c>
      <c r="B30" s="116">
        <v>10</v>
      </c>
      <c r="C30" s="64" t="str">
        <f t="shared" si="10"/>
        <v>x22F</v>
      </c>
      <c r="D30" s="125"/>
      <c r="E30" s="125"/>
      <c r="F30" s="125"/>
      <c r="G30" s="62" t="str">
        <f t="shared" si="8"/>
        <v>UsdLibor1Y</v>
      </c>
      <c r="H30" s="119" t="str">
        <f t="shared" ref="H30:H44" si="11">Currency&amp;B30&amp;C30&amp;QuoteSuffix</f>
        <v>USD10x22F_Quote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2" t="str">
        <f t="shared" si="5"/>
        <v>FRA</v>
      </c>
      <c r="M30" s="183" t="str">
        <f t="shared" si="6"/>
        <v>USD12x24F_Quote</v>
      </c>
      <c r="N30" s="164">
        <f>IFERROR(_xll.qlQuoteValue(H32,Trigger),"--")</f>
        <v>1.3460000000000001E-2</v>
      </c>
      <c r="O30" s="167"/>
      <c r="P30" s="101" t="b">
        <v>1</v>
      </c>
      <c r="Q30" s="98">
        <v>20</v>
      </c>
      <c r="R30" s="98">
        <v>1</v>
      </c>
      <c r="S30" s="98" t="str">
        <f t="shared" si="7"/>
        <v>obj_0028e#0002</v>
      </c>
      <c r="T30" s="102">
        <f>IFERROR(_xll.qlRateHelperEarliestDate(S30,Trigger),"--")</f>
        <v>42940</v>
      </c>
      <c r="U30" s="102">
        <f>IFERROR(_xll.qlRateHelperPillarDate(S30,Trigger),"--")</f>
        <v>43304</v>
      </c>
      <c r="W30" s="3" t="str">
        <f t="shared" si="1"/>
        <v>BasSw</v>
      </c>
      <c r="X30" s="3" t="str">
        <v>obj_00302</v>
      </c>
      <c r="Y30" s="3" t="str">
        <f>IFERROR(_xll.qlRateHelperQuoteName(X30,Trigger),"")</f>
        <v>USDAM3L14Y_S12L3L_Quote</v>
      </c>
      <c r="Z30" s="70">
        <f>IFERROR(_xll.qlRateHelperRate(X30,Trigger),"")</f>
        <v>2.0085641019779537E-2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42573</v>
      </c>
      <c r="AC30" s="4">
        <f>IFERROR(_xll.qlRateHelperPillarDate(X30,Trigger),"")</f>
        <v>47686</v>
      </c>
      <c r="AD30" s="76">
        <v>0.75208337651811241</v>
      </c>
    </row>
    <row r="31" spans="1:30" ht="11.25" customHeight="1" x14ac:dyDescent="0.2">
      <c r="A31" s="60" t="s">
        <v>122</v>
      </c>
      <c r="B31" s="116">
        <v>11</v>
      </c>
      <c r="C31" s="64" t="str">
        <f t="shared" si="10"/>
        <v>x23F</v>
      </c>
      <c r="D31" s="125"/>
      <c r="E31" s="125"/>
      <c r="F31" s="125"/>
      <c r="G31" s="62" t="str">
        <f t="shared" si="8"/>
        <v>UsdLibor1Y</v>
      </c>
      <c r="H31" s="119" t="str">
        <f t="shared" si="11"/>
        <v>USD11x23F_Quote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 t="shared" si="5"/>
        <v>FRA</v>
      </c>
      <c r="M31" s="183" t="str">
        <f t="shared" si="6"/>
        <v>USD13x25F_Quote</v>
      </c>
      <c r="N31" s="164" t="str">
        <f>IFERROR(_xll.qlQuoteValue(H33,Trigger),"--")</f>
        <v>--</v>
      </c>
      <c r="O31" s="167"/>
      <c r="P31" s="101" t="b">
        <v>0</v>
      </c>
      <c r="Q31" s="98">
        <v>40</v>
      </c>
      <c r="R31" s="98">
        <v>1</v>
      </c>
      <c r="S31" s="98" t="str">
        <f t="shared" si="7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obj_00312</v>
      </c>
      <c r="Y31" s="3" t="str">
        <f>IFERROR(_xll.qlRateHelperQuoteName(X31,Trigger),"")</f>
        <v>USDAM3L15Y_S12L3L_Quote</v>
      </c>
      <c r="Z31" s="70">
        <f>IFERROR(_xll.qlRateHelperRate(X31,Trigger),"")</f>
        <v>2.0381702597544866E-2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42573</v>
      </c>
      <c r="AC31" s="4">
        <f>IFERROR(_xll.qlRateHelperPillarDate(X31,Trigger),"")</f>
        <v>48051</v>
      </c>
      <c r="AD31" s="76">
        <v>0.73346462174036664</v>
      </c>
    </row>
    <row r="32" spans="1:30" ht="11.25" customHeight="1" x14ac:dyDescent="0.2">
      <c r="A32" s="60" t="s">
        <v>122</v>
      </c>
      <c r="B32" s="116">
        <v>12</v>
      </c>
      <c r="C32" s="64" t="str">
        <f t="shared" si="10"/>
        <v>x24F</v>
      </c>
      <c r="D32" s="125"/>
      <c r="E32" s="125"/>
      <c r="F32" s="125"/>
      <c r="G32" s="62" t="str">
        <f t="shared" si="8"/>
        <v>UsdLibor1Y</v>
      </c>
      <c r="H32" s="119" t="str">
        <f t="shared" si="11"/>
        <v>USD12x24F_Quote</v>
      </c>
      <c r="I32" s="125"/>
      <c r="J32" s="175" t="str">
        <f>IF(P30,_xll.qlFraRateHelper(,H32,B32&amp;"M",G32,PillarDate,,Permanent,Trigger,ObjectOverwrite),"--")</f>
        <v>obj_0028e#0002</v>
      </c>
      <c r="K32" s="50"/>
      <c r="L32" s="162" t="str">
        <f t="shared" si="5"/>
        <v>FRA</v>
      </c>
      <c r="M32" s="183" t="str">
        <f t="shared" si="6"/>
        <v>USD14x26F_Quote</v>
      </c>
      <c r="N32" s="164" t="str">
        <f>IFERROR(_xll.qlQuoteValue(H34,Trigger),"--")</f>
        <v>--</v>
      </c>
      <c r="O32" s="167"/>
      <c r="P32" s="101" t="b">
        <v>0</v>
      </c>
      <c r="Q32" s="98">
        <v>40</v>
      </c>
      <c r="R32" s="98">
        <v>1</v>
      </c>
      <c r="S32" s="98" t="str">
        <f t="shared" si="7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>BasSw</v>
      </c>
      <c r="X32" s="3" t="str">
        <v>obj_002fe</v>
      </c>
      <c r="Y32" s="3" t="str">
        <f>IFERROR(_xll.qlRateHelperQuoteName(X32,Trigger),"")</f>
        <v>USDAM3L20Y_S12L3L_Quote</v>
      </c>
      <c r="Z32" s="70">
        <f>IFERROR(_xll.qlRateHelperRate(X32,Trigger),"")</f>
        <v>2.1407745900617576E-2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42573</v>
      </c>
      <c r="AC32" s="4">
        <f>IFERROR(_xll.qlRateHelperPillarDate(X32,Trigger),"")</f>
        <v>49878</v>
      </c>
      <c r="AD32" s="76">
        <v>0.64702919507649348</v>
      </c>
    </row>
    <row r="33" spans="1:30" ht="11.25" customHeight="1" x14ac:dyDescent="0.2">
      <c r="A33" s="60" t="s">
        <v>122</v>
      </c>
      <c r="B33" s="116">
        <v>13</v>
      </c>
      <c r="C33" s="64" t="str">
        <f t="shared" si="10"/>
        <v>x25F</v>
      </c>
      <c r="D33" s="125"/>
      <c r="E33" s="125"/>
      <c r="F33" s="125"/>
      <c r="G33" s="62" t="str">
        <f t="shared" si="8"/>
        <v>UsdLibor1Y</v>
      </c>
      <c r="H33" s="119" t="str">
        <f t="shared" si="11"/>
        <v>USD13x25F_Quote</v>
      </c>
      <c r="I33" s="125"/>
      <c r="J33" s="175" t="str">
        <f>IF(P31,_xll.qlFraRateHelper(,H33,B33&amp;"M",G33,PillarDate,,Permanent,Trigger,ObjectOverwrite),"--")</f>
        <v>--</v>
      </c>
      <c r="K33" s="50"/>
      <c r="L33" s="162" t="str">
        <f t="shared" si="5"/>
        <v>FRA</v>
      </c>
      <c r="M33" s="183" t="str">
        <f t="shared" si="6"/>
        <v>USD15x27F_Quote</v>
      </c>
      <c r="N33" s="164">
        <f>IFERROR(_xll.qlQuoteValue(H35,Trigger),"--")</f>
        <v>1.375E-2</v>
      </c>
      <c r="O33" s="167"/>
      <c r="P33" s="101" t="b">
        <v>0</v>
      </c>
      <c r="Q33" s="98">
        <v>40</v>
      </c>
      <c r="R33" s="98">
        <v>1</v>
      </c>
      <c r="S33" s="98" t="str">
        <f t="shared" si="7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1"/>
        <v>BasSw</v>
      </c>
      <c r="X33" s="3" t="str">
        <v>obj_0030c</v>
      </c>
      <c r="Y33" s="3" t="str">
        <f>IFERROR(_xll.qlRateHelperQuoteName(X33,Trigger),"")</f>
        <v>USDAM3L25Y_S12L3L_Quote</v>
      </c>
      <c r="Z33" s="70">
        <f>IFERROR(_xll.qlRateHelperRate(X33,Trigger),"")</f>
        <v>2.1883118482975097E-2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42573</v>
      </c>
      <c r="AC33" s="4">
        <f>IFERROR(_xll.qlRateHelperPillarDate(X33,Trigger),"")</f>
        <v>51704</v>
      </c>
      <c r="AD33" s="76">
        <v>0.57306318255347755</v>
      </c>
    </row>
    <row r="34" spans="1:30" ht="11.25" customHeight="1" x14ac:dyDescent="0.2">
      <c r="A34" s="60" t="s">
        <v>122</v>
      </c>
      <c r="B34" s="116">
        <v>14</v>
      </c>
      <c r="C34" s="64" t="str">
        <f t="shared" si="10"/>
        <v>x26F</v>
      </c>
      <c r="D34" s="125"/>
      <c r="E34" s="125"/>
      <c r="F34" s="125"/>
      <c r="G34" s="62" t="str">
        <f t="shared" si="8"/>
        <v>UsdLibor1Y</v>
      </c>
      <c r="H34" s="119" t="str">
        <f t="shared" si="11"/>
        <v>USD14x26F_Quote</v>
      </c>
      <c r="I34" s="125"/>
      <c r="J34" s="175" t="str">
        <f>IF(P32,_xll.qlFraRateHelper(,H34,B34&amp;"M",G34,PillarDate,,Permanent,Trigger,ObjectOverwrite),"--")</f>
        <v>--</v>
      </c>
      <c r="K34" s="50"/>
      <c r="L34" s="162" t="str">
        <f t="shared" si="5"/>
        <v>FRA</v>
      </c>
      <c r="M34" s="183" t="str">
        <f t="shared" si="6"/>
        <v>USD16x28F_Quote</v>
      </c>
      <c r="N34" s="164" t="str">
        <f>IFERROR(_xll.qlQuoteValue(H36,Trigger),"--")</f>
        <v>--</v>
      </c>
      <c r="O34" s="167"/>
      <c r="P34" s="101" t="b">
        <v>0</v>
      </c>
      <c r="Q34" s="98">
        <v>40</v>
      </c>
      <c r="R34" s="98">
        <v>1</v>
      </c>
      <c r="S34" s="98" t="str">
        <f t="shared" si="7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>BasSw</v>
      </c>
      <c r="X34" s="3" t="str">
        <v>obj_002fb</v>
      </c>
      <c r="Y34" s="3" t="str">
        <f>IFERROR(_xll.qlRateHelperQuoteName(X34,Trigger),"")</f>
        <v>USDAM3L30Y_S12L3L_Quote</v>
      </c>
      <c r="Z34" s="70">
        <f>IFERROR(_xll.qlRateHelperRate(X34,Trigger),"")</f>
        <v>2.219098621827997E-2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42573</v>
      </c>
      <c r="AC34" s="4">
        <f>IFERROR(_xll.qlRateHelperPillarDate(X34,Trigger),"")</f>
        <v>53531</v>
      </c>
      <c r="AD34" s="76">
        <v>0.50764577250855791</v>
      </c>
    </row>
    <row r="35" spans="1:30" ht="11.25" customHeight="1" x14ac:dyDescent="0.2">
      <c r="A35" s="60" t="s">
        <v>122</v>
      </c>
      <c r="B35" s="116">
        <v>15</v>
      </c>
      <c r="C35" s="64" t="str">
        <f t="shared" si="10"/>
        <v>x27F</v>
      </c>
      <c r="D35" s="125"/>
      <c r="E35" s="125"/>
      <c r="F35" s="125"/>
      <c r="G35" s="62" t="str">
        <f t="shared" si="8"/>
        <v>UsdLibor1Y</v>
      </c>
      <c r="H35" s="119" t="str">
        <f t="shared" si="11"/>
        <v>USD15x27F_Quote</v>
      </c>
      <c r="I35" s="125"/>
      <c r="J35" s="175" t="str">
        <f>IF(P33,_xll.qlFraRateHelper(,H35,B35&amp;"M",G35,PillarDate,,Permanent,Trigger,ObjectOverwrite),"--")</f>
        <v>--</v>
      </c>
      <c r="K35" s="50"/>
      <c r="L35" s="162" t="str">
        <f t="shared" si="5"/>
        <v>FRA</v>
      </c>
      <c r="M35" s="183" t="str">
        <f t="shared" si="6"/>
        <v>USD17x29F_Quote</v>
      </c>
      <c r="N35" s="164" t="str">
        <f>IFERROR(_xll.qlQuoteValue(H37,Trigger),"--")</f>
        <v>--</v>
      </c>
      <c r="O35" s="167"/>
      <c r="P35" s="101" t="b">
        <v>0</v>
      </c>
      <c r="Q35" s="98">
        <v>40</v>
      </c>
      <c r="R35" s="98">
        <v>1</v>
      </c>
      <c r="S35" s="98" t="str">
        <f t="shared" si="7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66" si="12">IFERROR(INDEX($L$3:$L$88,MATCH(Y35,$M$3:$M$88,0),1),"")</f>
        <v>BasSw</v>
      </c>
      <c r="X35" s="3" t="str">
        <v>obj_002f2</v>
      </c>
      <c r="Y35" s="3" t="str">
        <f>IFERROR(_xll.qlRateHelperQuoteName(X35,Trigger),"")</f>
        <v>USDAM3L35Y_S12L3L_Quote</v>
      </c>
      <c r="Z35" s="70">
        <f>IFERROR(_xll.qlRateHelperRate(X35,Trigger),"")</f>
        <v>2.2343294255692512E-2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42573</v>
      </c>
      <c r="AC35" s="4">
        <f>IFERROR(_xll.qlRateHelperPillarDate(X35,Trigger),"")</f>
        <v>55358</v>
      </c>
      <c r="AD35" s="76">
        <v>0.45105062324191653</v>
      </c>
    </row>
    <row r="36" spans="1:30" ht="11.25" customHeight="1" x14ac:dyDescent="0.2">
      <c r="A36" s="60" t="s">
        <v>122</v>
      </c>
      <c r="B36" s="116">
        <v>16</v>
      </c>
      <c r="C36" s="64" t="str">
        <f t="shared" si="10"/>
        <v>x28F</v>
      </c>
      <c r="D36" s="125"/>
      <c r="E36" s="125"/>
      <c r="F36" s="125"/>
      <c r="G36" s="62" t="str">
        <f t="shared" si="8"/>
        <v>UsdLibor1Y</v>
      </c>
      <c r="H36" s="119" t="str">
        <f t="shared" si="11"/>
        <v>USD16x28F_Quote</v>
      </c>
      <c r="I36" s="125"/>
      <c r="J36" s="175" t="str">
        <f>IF(P34,_xll.qlFraRateHelper(,H36,B36&amp;"M",G36,PillarDate,,Permanent,Trigger,ObjectOverwrite),"--")</f>
        <v>--</v>
      </c>
      <c r="K36" s="50"/>
      <c r="L36" s="162" t="str">
        <f t="shared" si="5"/>
        <v>FRA</v>
      </c>
      <c r="M36" s="183" t="str">
        <f t="shared" si="6"/>
        <v>USD18x30F_Quote</v>
      </c>
      <c r="N36" s="164">
        <f>IFERROR(_xll.qlQuoteValue(H38,Trigger),"--")</f>
        <v>1.401E-2</v>
      </c>
      <c r="O36" s="167"/>
      <c r="P36" s="101" t="b">
        <v>0</v>
      </c>
      <c r="Q36" s="98">
        <v>40</v>
      </c>
      <c r="R36" s="98">
        <v>1</v>
      </c>
      <c r="S36" s="98" t="str">
        <f t="shared" si="7"/>
        <v>--</v>
      </c>
      <c r="T36" s="102" t="str">
        <f>IFERROR(_xll.qlRateHelperEarliestDate(S36,Trigger),"--")</f>
        <v>--</v>
      </c>
      <c r="U36" s="102" t="str">
        <f>IFERROR(_xll.qlRateHelperPillarDate(S36,Trigger),"--")</f>
        <v>--</v>
      </c>
      <c r="W36" s="3" t="str">
        <f t="shared" si="12"/>
        <v>BasSw</v>
      </c>
      <c r="X36" s="3" t="str">
        <v>obj_002d7</v>
      </c>
      <c r="Y36" s="3" t="str">
        <f>IFERROR(_xll.qlRateHelperQuoteName(X36,Trigger),"")</f>
        <v>USDAM3L40Y_S12L3L_Quote</v>
      </c>
      <c r="Z36" s="70">
        <f>IFERROR(_xll.qlRateHelperRate(X36,Trigger),"")</f>
        <v>2.2371252569540791E-2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42573</v>
      </c>
      <c r="AC36" s="4">
        <f>IFERROR(_xll.qlRateHelperPillarDate(X36,Trigger),"")</f>
        <v>57185</v>
      </c>
      <c r="AD36" s="76">
        <v>0.40261587079580496</v>
      </c>
    </row>
    <row r="37" spans="1:30" ht="11.25" customHeight="1" x14ac:dyDescent="0.2">
      <c r="A37" s="60" t="s">
        <v>122</v>
      </c>
      <c r="B37" s="116">
        <v>17</v>
      </c>
      <c r="C37" s="64" t="str">
        <f t="shared" si="10"/>
        <v>x29F</v>
      </c>
      <c r="D37" s="125"/>
      <c r="E37" s="125"/>
      <c r="F37" s="125"/>
      <c r="G37" s="62" t="str">
        <f t="shared" si="8"/>
        <v>UsdLibor1Y</v>
      </c>
      <c r="H37" s="119" t="str">
        <f t="shared" si="11"/>
        <v>USD17x29F_Quote</v>
      </c>
      <c r="I37" s="125"/>
      <c r="J37" s="175" t="str">
        <f>IF(P35,_xll.qlFraRateHelper(,H37,B37&amp;"M",G37,PillarDate,,Permanent,Trigger,ObjectOverwrite),"--")</f>
        <v>--</v>
      </c>
      <c r="K37" s="50"/>
      <c r="L37" s="162" t="str">
        <f t="shared" si="5"/>
        <v>FRA</v>
      </c>
      <c r="M37" s="183" t="str">
        <f t="shared" si="6"/>
        <v>USD19x31F_Quote</v>
      </c>
      <c r="N37" s="164" t="str">
        <f>IFERROR(_xll.qlQuoteValue(H39,Trigger),"--")</f>
        <v>--</v>
      </c>
      <c r="O37" s="167"/>
      <c r="P37" s="101" t="b">
        <v>0</v>
      </c>
      <c r="Q37" s="98">
        <v>40</v>
      </c>
      <c r="R37" s="98">
        <v>1</v>
      </c>
      <c r="S37" s="98" t="str">
        <f t="shared" si="7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2"/>
        <v>BasSw</v>
      </c>
      <c r="X37" s="3" t="str">
        <v>obj_002e8</v>
      </c>
      <c r="Y37" s="3" t="str">
        <f>IFERROR(_xll.qlRateHelperQuoteName(X37,Trigger),"")</f>
        <v>USDAM3L50Y_S12L3L_Quote</v>
      </c>
      <c r="Z37" s="70">
        <f>IFERROR(_xll.qlRateHelperRate(X37,Trigger),"")</f>
        <v>2.2241130684139548E-2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42573</v>
      </c>
      <c r="AC37" s="4">
        <f>IFERROR(_xll.qlRateHelperPillarDate(X37,Trigger),"")</f>
        <v>60835</v>
      </c>
      <c r="AD37" s="76">
        <v>0.32470022656613773</v>
      </c>
    </row>
    <row r="38" spans="1:30" ht="11.25" customHeight="1" x14ac:dyDescent="0.2">
      <c r="A38" s="60" t="s">
        <v>122</v>
      </c>
      <c r="B38" s="116">
        <v>18</v>
      </c>
      <c r="C38" s="64" t="str">
        <f t="shared" si="10"/>
        <v>x30F</v>
      </c>
      <c r="D38" s="125"/>
      <c r="E38" s="125"/>
      <c r="F38" s="125"/>
      <c r="G38" s="62" t="str">
        <f t="shared" si="8"/>
        <v>UsdLibor1Y</v>
      </c>
      <c r="H38" s="119" t="str">
        <f t="shared" si="11"/>
        <v>USD18x30F_Quote</v>
      </c>
      <c r="I38" s="125"/>
      <c r="J38" s="175" t="str">
        <f>IF(P36,_xll.qlFraRateHelper(,H38,B38&amp;"M",G38,PillarDate,,Permanent,Trigger,ObjectOverwrite),"--")</f>
        <v>--</v>
      </c>
      <c r="K38" s="50"/>
      <c r="L38" s="162" t="str">
        <f t="shared" si="5"/>
        <v>FRA</v>
      </c>
      <c r="M38" s="183" t="str">
        <f t="shared" si="6"/>
        <v>USD20x32F_Quote</v>
      </c>
      <c r="N38" s="164" t="str">
        <f>IFERROR(_xll.qlQuoteValue(H40,Trigger),"--")</f>
        <v>--</v>
      </c>
      <c r="O38" s="167"/>
      <c r="P38" s="101" t="b">
        <v>0</v>
      </c>
      <c r="Q38" s="98">
        <v>40</v>
      </c>
      <c r="R38" s="98">
        <v>1</v>
      </c>
      <c r="S38" s="98" t="str">
        <f t="shared" si="7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2"/>
        <v>BasSw</v>
      </c>
      <c r="X38" s="3" t="str">
        <v>obj_002e2</v>
      </c>
      <c r="Y38" s="3" t="str">
        <f>IFERROR(_xll.qlRateHelperQuoteName(X38,Trigger),"")</f>
        <v>USDAM3L60Y_S12L3L_Quote</v>
      </c>
      <c r="Z38" s="70">
        <f>IFERROR(_xll.qlRateHelperRate(X38,Trigger),"")</f>
        <v>2.2115236703335494E-2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42573</v>
      </c>
      <c r="AC38" s="4">
        <f>IFERROR(_xll.qlRateHelperPillarDate(X38,Trigger),"")</f>
        <v>64488</v>
      </c>
      <c r="AD38" s="76">
        <v>0.26272059492491956</v>
      </c>
    </row>
    <row r="39" spans="1:30" ht="11.25" customHeight="1" x14ac:dyDescent="0.2">
      <c r="A39" s="60" t="s">
        <v>122</v>
      </c>
      <c r="B39" s="116">
        <v>19</v>
      </c>
      <c r="C39" s="64" t="str">
        <f t="shared" si="10"/>
        <v>x31F</v>
      </c>
      <c r="D39" s="125"/>
      <c r="E39" s="125"/>
      <c r="F39" s="125"/>
      <c r="G39" s="62" t="str">
        <f t="shared" si="8"/>
        <v>UsdLibor1Y</v>
      </c>
      <c r="H39" s="119" t="str">
        <f t="shared" si="11"/>
        <v>USD19x31F_Quote</v>
      </c>
      <c r="I39" s="125"/>
      <c r="J39" s="175" t="str">
        <f>IF(P37,_xll.qlFraRateHelper(,H39,B39&amp;"M",G39,PillarDate,,Permanent,Trigger,ObjectOverwrite),"--")</f>
        <v>--</v>
      </c>
      <c r="K39" s="50"/>
      <c r="L39" s="162" t="str">
        <f t="shared" si="5"/>
        <v>FRA</v>
      </c>
      <c r="M39" s="183" t="str">
        <f t="shared" si="6"/>
        <v>USD21x33F_Quote</v>
      </c>
      <c r="N39" s="164">
        <f>IFERROR(_xll.qlQuoteValue(H41,Trigger),"--")</f>
        <v>1.409E-2</v>
      </c>
      <c r="O39" s="167"/>
      <c r="P39" s="101" t="b">
        <v>0</v>
      </c>
      <c r="Q39" s="98">
        <v>40</v>
      </c>
      <c r="R39" s="98">
        <v>1</v>
      </c>
      <c r="S39" s="98" t="str">
        <f t="shared" si="7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2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122</v>
      </c>
      <c r="B40" s="116">
        <v>20</v>
      </c>
      <c r="C40" s="64" t="str">
        <f t="shared" si="10"/>
        <v>x32F</v>
      </c>
      <c r="D40" s="125"/>
      <c r="E40" s="125"/>
      <c r="F40" s="125"/>
      <c r="G40" s="62" t="str">
        <f t="shared" si="8"/>
        <v>UsdLibor1Y</v>
      </c>
      <c r="H40" s="119" t="str">
        <f t="shared" si="11"/>
        <v>USD20x32F_Quote</v>
      </c>
      <c r="I40" s="125"/>
      <c r="J40" s="175" t="str">
        <f>IF(P38,_xll.qlFraRateHelper(,H40,B40&amp;"M",G40,PillarDate,,Permanent,Trigger,ObjectOverwrite),"--")</f>
        <v>--</v>
      </c>
      <c r="K40" s="50"/>
      <c r="L40" s="162" t="str">
        <f t="shared" si="5"/>
        <v>FRA</v>
      </c>
      <c r="M40" s="183" t="str">
        <f t="shared" si="6"/>
        <v>USD22x34F_Quote</v>
      </c>
      <c r="N40" s="164" t="str">
        <f>IFERROR(_xll.qlQuoteValue(H42,Trigger),"--")</f>
        <v>--</v>
      </c>
      <c r="O40" s="167"/>
      <c r="P40" s="101" t="b">
        <v>0</v>
      </c>
      <c r="Q40" s="98">
        <v>40</v>
      </c>
      <c r="R40" s="98">
        <v>1</v>
      </c>
      <c r="S40" s="98" t="str">
        <f t="shared" si="7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2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122</v>
      </c>
      <c r="B41" s="116">
        <v>21</v>
      </c>
      <c r="C41" s="64" t="str">
        <f t="shared" si="10"/>
        <v>x33F</v>
      </c>
      <c r="D41" s="125"/>
      <c r="E41" s="125"/>
      <c r="F41" s="125"/>
      <c r="G41" s="62" t="str">
        <f t="shared" si="8"/>
        <v>UsdLibor1Y</v>
      </c>
      <c r="H41" s="119" t="str">
        <f t="shared" si="11"/>
        <v>USD21x33F_Quote</v>
      </c>
      <c r="I41" s="125"/>
      <c r="J41" s="175" t="str">
        <f>IF(P39,_xll.qlFraRateHelper(,H41,B41&amp;"M",G41,PillarDate,,Permanent,Trigger,ObjectOverwrite),"--")</f>
        <v>--</v>
      </c>
      <c r="L41" s="162" t="str">
        <f t="shared" si="5"/>
        <v>FRA</v>
      </c>
      <c r="M41" s="183" t="str">
        <f t="shared" si="6"/>
        <v>USD23x35F_Quote</v>
      </c>
      <c r="N41" s="164" t="str">
        <f>IFERROR(_xll.qlQuoteValue(H43,Trigger),"--")</f>
        <v>--</v>
      </c>
      <c r="O41" s="167"/>
      <c r="P41" s="101" t="b">
        <v>0</v>
      </c>
      <c r="Q41" s="98">
        <v>40</v>
      </c>
      <c r="R41" s="98">
        <v>1</v>
      </c>
      <c r="S41" s="98" t="str">
        <f t="shared" si="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2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122</v>
      </c>
      <c r="B42" s="116">
        <v>22</v>
      </c>
      <c r="C42" s="64" t="str">
        <f t="shared" si="10"/>
        <v>x34F</v>
      </c>
      <c r="D42" s="125"/>
      <c r="E42" s="125"/>
      <c r="F42" s="125"/>
      <c r="G42" s="62" t="str">
        <f t="shared" si="8"/>
        <v>UsdLibor1Y</v>
      </c>
      <c r="H42" s="119" t="str">
        <f t="shared" si="11"/>
        <v>USD22x34F_Quote</v>
      </c>
      <c r="I42" s="125"/>
      <c r="J42" s="175" t="str">
        <f>IF(P40,_xll.qlFraRateHelper(,H42,B42&amp;"M",G42,PillarDate,,Permanent,Trigger,ObjectOverwrite),"--")</f>
        <v>--</v>
      </c>
      <c r="L42" s="168" t="str">
        <f t="shared" si="5"/>
        <v>FRA</v>
      </c>
      <c r="M42" s="184" t="str">
        <f t="shared" si="6"/>
        <v>USD24x36F_Quote</v>
      </c>
      <c r="N42" s="170">
        <f>IFERROR(_xll.qlQuoteValue(H44,Trigger),"--")</f>
        <v>1.417E-2</v>
      </c>
      <c r="O42" s="171"/>
      <c r="P42" s="103" t="b">
        <v>0</v>
      </c>
      <c r="Q42" s="99">
        <v>40</v>
      </c>
      <c r="R42" s="99">
        <v>1</v>
      </c>
      <c r="S42" s="99" t="str">
        <f t="shared" si="7"/>
        <v>--</v>
      </c>
      <c r="T42" s="104" t="str">
        <f>IFERROR(_xll.qlRateHelperEarliestDate(S42,Trigger),"--")</f>
        <v>--</v>
      </c>
      <c r="U42" s="104" t="str">
        <f>IFERROR(_xll.qlRateHelperPillarDate(S42,Trigger),"--")</f>
        <v>--</v>
      </c>
      <c r="W42" s="3" t="str">
        <f t="shared" si="12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122</v>
      </c>
      <c r="B43" s="116">
        <v>23</v>
      </c>
      <c r="C43" s="64" t="str">
        <f t="shared" si="10"/>
        <v>x35F</v>
      </c>
      <c r="D43" s="125"/>
      <c r="E43" s="125"/>
      <c r="F43" s="125"/>
      <c r="G43" s="62" t="str">
        <f t="shared" si="8"/>
        <v>UsdLibor1Y</v>
      </c>
      <c r="H43" s="119" t="str">
        <f t="shared" si="11"/>
        <v>USD23x35F_Quote</v>
      </c>
      <c r="I43" s="125"/>
      <c r="J43" s="175" t="str">
        <f>IF(P41,_xll.qlFraRateHelper(,H43,B43&amp;"M",G43,PillarDate,,Permanent,Trigger,ObjectOverwrite),"--")</f>
        <v>--</v>
      </c>
      <c r="L43" s="180" t="str">
        <f>A47</f>
        <v>BasSw</v>
      </c>
      <c r="M43" s="188" t="str">
        <f>H47</f>
        <v>USDAM3L1Y_S12L3L_Quote</v>
      </c>
      <c r="N43" s="182">
        <f>IFERROR(_xll.qlQuoteValue(H47,Trigger),"--")</f>
        <v>1.3463715771521088E-2</v>
      </c>
      <c r="O43" s="182">
        <f>I47</f>
        <v>0</v>
      </c>
      <c r="P43" s="134" t="b">
        <v>0</v>
      </c>
      <c r="Q43" s="133">
        <v>40</v>
      </c>
      <c r="R43" s="133">
        <v>1</v>
      </c>
      <c r="S43" s="133" t="str">
        <f>J47</f>
        <v>--</v>
      </c>
      <c r="T43" s="135" t="str">
        <f>IFERROR(_xll.qlRateHelperEarliestDate(S43,Trigger),"--")</f>
        <v>--</v>
      </c>
      <c r="U43" s="135" t="str">
        <f>IFERROR(_xll.qlRateHelperPillarDate(S43,Trigger),"--")</f>
        <v>--</v>
      </c>
      <c r="W43" s="3" t="str">
        <f t="shared" si="12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1" t="s">
        <v>122</v>
      </c>
      <c r="B44" s="117">
        <v>24</v>
      </c>
      <c r="C44" s="9" t="str">
        <f t="shared" si="10"/>
        <v>x36F</v>
      </c>
      <c r="D44" s="126"/>
      <c r="E44" s="126"/>
      <c r="F44" s="126"/>
      <c r="G44" s="6" t="str">
        <f t="shared" si="8"/>
        <v>UsdLibor1Y</v>
      </c>
      <c r="H44" s="120" t="str">
        <f t="shared" si="11"/>
        <v>USD24x36F_Quote</v>
      </c>
      <c r="I44" s="126"/>
      <c r="J44" s="174" t="str">
        <f>IF(P42,_xll.qlFraRateHelper(,H44,B44&amp;"M",G44,PillarDate,,Permanent,Trigger,ObjectOverwrite),"--")</f>
        <v>--</v>
      </c>
      <c r="L44" s="162" t="str">
        <f t="shared" ref="L44:L78" si="13">A48</f>
        <v>BasSw</v>
      </c>
      <c r="M44" s="183" t="str">
        <f t="shared" ref="M44:M78" si="14">H48</f>
        <v>USDAM3L2Y_S12L3L_Quote</v>
      </c>
      <c r="N44" s="164">
        <f>IFERROR(_xll.qlQuoteValue(H48,Trigger),"--")</f>
        <v>1.433531814726381E-2</v>
      </c>
      <c r="O44" s="164">
        <f t="shared" ref="O44:O78" si="15">I48</f>
        <v>0</v>
      </c>
      <c r="P44" s="101" t="b">
        <v>1</v>
      </c>
      <c r="Q44" s="98">
        <v>40</v>
      </c>
      <c r="R44" s="98">
        <v>7</v>
      </c>
      <c r="S44" s="98" t="str">
        <f t="shared" ref="S44:S78" si="16">J48</f>
        <v>obj_002ed#0002</v>
      </c>
      <c r="T44" s="102">
        <f>IFERROR(_xll.qlRateHelperEarliestDate(S44,Trigger),"--")</f>
        <v>42573</v>
      </c>
      <c r="U44" s="102">
        <f>IFERROR(_xll.qlRateHelperPillarDate(S44,Trigger),"--")</f>
        <v>43304</v>
      </c>
      <c r="W44" s="3" t="str">
        <f t="shared" si="12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B45" s="48"/>
      <c r="C45" s="48"/>
      <c r="D45" s="48"/>
      <c r="E45" s="48"/>
      <c r="F45" s="48" t="s">
        <v>144</v>
      </c>
      <c r="G45" s="48" t="s">
        <v>143</v>
      </c>
      <c r="H45" s="48" t="s">
        <v>153</v>
      </c>
      <c r="L45" s="162" t="str">
        <f t="shared" si="13"/>
        <v>BasSw</v>
      </c>
      <c r="M45" s="183" t="str">
        <f t="shared" si="14"/>
        <v>USDAM3L3Y_S12L3L_Quote</v>
      </c>
      <c r="N45" s="164">
        <f>IFERROR(_xll.qlQuoteValue(H49,Trigger),"--")</f>
        <v>1.4749886227563758E-2</v>
      </c>
      <c r="O45" s="164">
        <f t="shared" si="15"/>
        <v>0</v>
      </c>
      <c r="P45" s="101" t="b">
        <v>1</v>
      </c>
      <c r="Q45" s="98">
        <v>40</v>
      </c>
      <c r="R45" s="98">
        <v>1</v>
      </c>
      <c r="S45" s="98" t="str">
        <f t="shared" si="16"/>
        <v>obj_002d5#0002</v>
      </c>
      <c r="T45" s="102">
        <f>IFERROR(_xll.qlRateHelperEarliestDate(S45,Trigger),"--")</f>
        <v>42573</v>
      </c>
      <c r="U45" s="102">
        <f>IFERROR(_xll.qlRateHelperPillarDate(S45,Trigger),"--")</f>
        <v>43668</v>
      </c>
      <c r="W45" s="3" t="str">
        <f t="shared" si="12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6" t="s">
        <v>9</v>
      </c>
      <c r="B46" s="66" t="s">
        <v>29</v>
      </c>
      <c r="C46" s="66" t="s">
        <v>145</v>
      </c>
      <c r="D46" s="66" t="s">
        <v>5</v>
      </c>
      <c r="E46" s="66" t="s">
        <v>34</v>
      </c>
      <c r="F46" s="66" t="s">
        <v>146</v>
      </c>
      <c r="G46" s="66" t="s">
        <v>4</v>
      </c>
      <c r="H46" s="66" t="s">
        <v>1</v>
      </c>
      <c r="I46" s="66" t="s">
        <v>142</v>
      </c>
      <c r="J46" s="66" t="s">
        <v>24</v>
      </c>
      <c r="L46" s="162" t="str">
        <f t="shared" si="13"/>
        <v>BasSw</v>
      </c>
      <c r="M46" s="183" t="str">
        <f t="shared" si="14"/>
        <v>USDAM3L4Y_S12L3L_Quote</v>
      </c>
      <c r="N46" s="164">
        <f>IFERROR(_xll.qlQuoteValue(H50,Trigger),"--")</f>
        <v>1.5320656972914558E-2</v>
      </c>
      <c r="O46" s="164">
        <f t="shared" si="15"/>
        <v>0</v>
      </c>
      <c r="P46" s="101" t="b">
        <v>1</v>
      </c>
      <c r="Q46" s="98">
        <v>40</v>
      </c>
      <c r="R46" s="98">
        <v>1</v>
      </c>
      <c r="S46" s="98" t="str">
        <f t="shared" si="16"/>
        <v>obj_002d2#0002</v>
      </c>
      <c r="T46" s="102">
        <f>IFERROR(_xll.qlRateHelperEarliestDate(S46,Trigger),"--")</f>
        <v>42573</v>
      </c>
      <c r="U46" s="102">
        <f>IFERROR(_xll.qlRateHelperPillarDate(S46,Trigger),"--")</f>
        <v>44034</v>
      </c>
      <c r="W46" s="3" t="str">
        <f t="shared" si="12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55" t="s">
        <v>152</v>
      </c>
      <c r="B47" s="56" t="s">
        <v>28</v>
      </c>
      <c r="C47" s="57" t="s">
        <v>6</v>
      </c>
      <c r="D47" s="57" t="s">
        <v>8</v>
      </c>
      <c r="E47" s="57" t="s">
        <v>7</v>
      </c>
      <c r="F47" s="57" t="s">
        <v>27</v>
      </c>
      <c r="G47" s="57" t="str">
        <f t="shared" ref="G47:G82" si="17">PROPER(Currency)&amp;FamilyName&amp;Tenor</f>
        <v>UsdLibor1Y</v>
      </c>
      <c r="H47" s="55" t="str">
        <f t="shared" ref="H47:H82" si="18">Currency&amp;$G$45&amp;$F$45&amp;$B47&amp;"_S"&amp;$H$45&amp;$F$45&amp;QuoteSuffix</f>
        <v>USDAM3L1Y_S12L3L_Quote</v>
      </c>
      <c r="I47" s="128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3"/>
        <v>BasSw</v>
      </c>
      <c r="M47" s="183" t="str">
        <f t="shared" si="14"/>
        <v>USDAM3L5Y_S12L3L_Quote</v>
      </c>
      <c r="N47" s="164">
        <f>IFERROR(_xll.qlQuoteValue(H51,Trigger),"--")</f>
        <v>1.5903953438279037E-2</v>
      </c>
      <c r="O47" s="164">
        <f t="shared" si="15"/>
        <v>0</v>
      </c>
      <c r="P47" s="101" t="b">
        <v>1</v>
      </c>
      <c r="Q47" s="98">
        <v>40</v>
      </c>
      <c r="R47" s="98">
        <v>1</v>
      </c>
      <c r="S47" s="98" t="str">
        <f t="shared" si="16"/>
        <v>obj_002eb#0002</v>
      </c>
      <c r="T47" s="102">
        <f>IFERROR(_xll.qlRateHelperEarliestDate(S47,Trigger),"--")</f>
        <v>42573</v>
      </c>
      <c r="U47" s="102">
        <f>IFERROR(_xll.qlRateHelperPillarDate(S47,Trigger),"--")</f>
        <v>44399</v>
      </c>
      <c r="W47" s="3" t="str">
        <f t="shared" si="12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152</v>
      </c>
      <c r="B48" s="61" t="s">
        <v>70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7"/>
        <v>UsdLibor1Y</v>
      </c>
      <c r="H48" s="60" t="str">
        <f t="shared" si="18"/>
        <v>USDAM3L2Y_S12L3L_Quote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obj_002ed#0002</v>
      </c>
      <c r="L48" s="162" t="str">
        <f t="shared" si="13"/>
        <v>BasSw</v>
      </c>
      <c r="M48" s="183" t="str">
        <f t="shared" si="14"/>
        <v>USDAM3L6Y_S12L3L_Quote</v>
      </c>
      <c r="N48" s="164">
        <f>IFERROR(_xll.qlQuoteValue(H52,Trigger),"--")</f>
        <v>1.6499692745457338E-2</v>
      </c>
      <c r="O48" s="164">
        <f t="shared" si="15"/>
        <v>0</v>
      </c>
      <c r="P48" s="101" t="b">
        <v>1</v>
      </c>
      <c r="Q48" s="98">
        <v>40</v>
      </c>
      <c r="R48" s="98">
        <v>1</v>
      </c>
      <c r="S48" s="98" t="str">
        <f t="shared" si="16"/>
        <v>obj_002e1#0002</v>
      </c>
      <c r="T48" s="102">
        <f>IFERROR(_xll.qlRateHelperEarliestDate(S48,Trigger),"--")</f>
        <v>42573</v>
      </c>
      <c r="U48" s="102">
        <f>IFERROR(_xll.qlRateHelperPillarDate(S48,Trigger),"--")</f>
        <v>44764</v>
      </c>
      <c r="W48" s="3" t="str">
        <f t="shared" si="12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152</v>
      </c>
      <c r="B49" s="61" t="s">
        <v>74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7"/>
        <v>UsdLibor1Y</v>
      </c>
      <c r="H49" s="60" t="str">
        <f t="shared" si="18"/>
        <v>USDAM3L3Y_S12L3L_Quote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obj_002d5#0002</v>
      </c>
      <c r="L49" s="162" t="str">
        <f t="shared" si="13"/>
        <v>BasSw</v>
      </c>
      <c r="M49" s="183" t="str">
        <f t="shared" si="14"/>
        <v>USDAM3L7Y_S12L3L_Quote</v>
      </c>
      <c r="N49" s="164">
        <f>IFERROR(_xll.qlQuoteValue(H53,Trigger),"--")</f>
        <v>1.7067875769372597E-2</v>
      </c>
      <c r="O49" s="164">
        <f t="shared" si="15"/>
        <v>0</v>
      </c>
      <c r="P49" s="101" t="b">
        <v>1</v>
      </c>
      <c r="Q49" s="98">
        <v>40</v>
      </c>
      <c r="R49" s="98">
        <v>1</v>
      </c>
      <c r="S49" s="98" t="str">
        <f t="shared" si="16"/>
        <v>obj_00303#0002</v>
      </c>
      <c r="T49" s="102">
        <f>IFERROR(_xll.qlRateHelperEarliestDate(S49,Trigger),"--")</f>
        <v>42573</v>
      </c>
      <c r="U49" s="102">
        <f>IFERROR(_xll.qlRateHelperPillarDate(S49,Trigger),"--")</f>
        <v>45131</v>
      </c>
      <c r="W49" s="3" t="str">
        <f t="shared" si="12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152</v>
      </c>
      <c r="B50" s="61" t="s">
        <v>78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7"/>
        <v>UsdLibor1Y</v>
      </c>
      <c r="H50" s="60" t="str">
        <f t="shared" si="18"/>
        <v>USDAM3L4Y_S12L3L_Quote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obj_002d2#0002</v>
      </c>
      <c r="L50" s="162" t="str">
        <f t="shared" si="13"/>
        <v>BasSw</v>
      </c>
      <c r="M50" s="183" t="str">
        <f t="shared" si="14"/>
        <v>USDAM3L8Y_S12L3L_Quote</v>
      </c>
      <c r="N50" s="164">
        <f>IFERROR(_xll.qlQuoteValue(H54,Trigger),"--")</f>
        <v>1.761098665451679E-2</v>
      </c>
      <c r="O50" s="164">
        <f t="shared" si="15"/>
        <v>0</v>
      </c>
      <c r="P50" s="101" t="b">
        <v>1</v>
      </c>
      <c r="Q50" s="98">
        <v>40</v>
      </c>
      <c r="R50" s="98">
        <v>1</v>
      </c>
      <c r="S50" s="98" t="str">
        <f t="shared" si="16"/>
        <v>obj_00315#0002</v>
      </c>
      <c r="T50" s="102">
        <f>IFERROR(_xll.qlRateHelperEarliestDate(S50,Trigger),"--")</f>
        <v>42573</v>
      </c>
      <c r="U50" s="102">
        <f>IFERROR(_xll.qlRateHelperPillarDate(S50,Trigger),"--")</f>
        <v>45495</v>
      </c>
      <c r="W50" s="3" t="str">
        <f t="shared" si="12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152</v>
      </c>
      <c r="B51" s="61" t="s">
        <v>82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7"/>
        <v>UsdLibor1Y</v>
      </c>
      <c r="H51" s="60" t="str">
        <f t="shared" si="18"/>
        <v>USDAM3L5Y_S12L3L_Quote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obj_002eb#0002</v>
      </c>
      <c r="L51" s="162" t="str">
        <f t="shared" si="13"/>
        <v>BasSw</v>
      </c>
      <c r="M51" s="183" t="str">
        <f t="shared" si="14"/>
        <v>USDAM3L9Y_S12L3L_Quote</v>
      </c>
      <c r="N51" s="164">
        <f>IFERROR(_xll.qlQuoteValue(H55,Trigger),"--")</f>
        <v>1.8094014126107831E-2</v>
      </c>
      <c r="O51" s="164">
        <f t="shared" si="15"/>
        <v>0</v>
      </c>
      <c r="P51" s="101" t="b">
        <v>1</v>
      </c>
      <c r="Q51" s="98">
        <v>40</v>
      </c>
      <c r="R51" s="98">
        <v>1</v>
      </c>
      <c r="S51" s="98" t="str">
        <f t="shared" si="16"/>
        <v>obj_002e5#0002</v>
      </c>
      <c r="T51" s="102">
        <f>IFERROR(_xll.qlRateHelperEarliestDate(S51,Trigger),"--")</f>
        <v>42573</v>
      </c>
      <c r="U51" s="102">
        <f>IFERROR(_xll.qlRateHelperPillarDate(S51,Trigger),"--")</f>
        <v>45860</v>
      </c>
      <c r="W51" s="3" t="str">
        <f t="shared" si="12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152</v>
      </c>
      <c r="B52" s="61" t="s">
        <v>83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7"/>
        <v>UsdLibor1Y</v>
      </c>
      <c r="H52" s="60" t="str">
        <f t="shared" si="18"/>
        <v>USDAM3L6Y_S12L3L_Quote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obj_002e1#0002</v>
      </c>
      <c r="L52" s="162" t="str">
        <f t="shared" si="13"/>
        <v>BasSw</v>
      </c>
      <c r="M52" s="183" t="str">
        <f t="shared" si="14"/>
        <v>USDAM3L10Y_S12L3L_Quote</v>
      </c>
      <c r="N52" s="164">
        <f>IFERROR(_xll.qlQuoteValue(H56,Trigger),"--")</f>
        <v>1.8559543319260567E-2</v>
      </c>
      <c r="O52" s="164">
        <f t="shared" si="15"/>
        <v>0</v>
      </c>
      <c r="P52" s="101" t="b">
        <v>1</v>
      </c>
      <c r="Q52" s="98">
        <v>40</v>
      </c>
      <c r="R52" s="98">
        <v>1</v>
      </c>
      <c r="S52" s="98" t="str">
        <f t="shared" si="16"/>
        <v>obj_002ee#0002</v>
      </c>
      <c r="T52" s="102">
        <f>IFERROR(_xll.qlRateHelperEarliestDate(S52,Trigger),"--")</f>
        <v>42573</v>
      </c>
      <c r="U52" s="102">
        <f>IFERROR(_xll.qlRateHelperPillarDate(S52,Trigger),"--")</f>
        <v>46225</v>
      </c>
      <c r="W52" s="3" t="str">
        <f t="shared" si="12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152</v>
      </c>
      <c r="B53" s="61" t="s">
        <v>84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7"/>
        <v>UsdLibor1Y</v>
      </c>
      <c r="H53" s="60" t="str">
        <f t="shared" si="18"/>
        <v>USDAM3L7Y_S12L3L_Quote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obj_00303#0002</v>
      </c>
      <c r="L53" s="162" t="str">
        <f t="shared" si="13"/>
        <v>BasSw</v>
      </c>
      <c r="M53" s="183" t="str">
        <f t="shared" si="14"/>
        <v>USDAM3L11Y_S12L3L_Quote</v>
      </c>
      <c r="N53" s="164">
        <f>IFERROR(_xll.qlQuoteValue(H57,Trigger),"--")</f>
        <v>1.8995631306075178E-2</v>
      </c>
      <c r="O53" s="164">
        <f t="shared" si="15"/>
        <v>0</v>
      </c>
      <c r="P53" s="101" t="b">
        <v>1</v>
      </c>
      <c r="Q53" s="98">
        <v>40</v>
      </c>
      <c r="R53" s="98">
        <v>1</v>
      </c>
      <c r="S53" s="98" t="str">
        <f t="shared" si="16"/>
        <v>obj_002d1#0002</v>
      </c>
      <c r="T53" s="102">
        <f>IFERROR(_xll.qlRateHelperEarliestDate(S53,Trigger),"--")</f>
        <v>42573</v>
      </c>
      <c r="U53" s="102">
        <f>IFERROR(_xll.qlRateHelperPillarDate(S53,Trigger),"--")</f>
        <v>46590</v>
      </c>
      <c r="W53" s="3" t="str">
        <f t="shared" si="12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152</v>
      </c>
      <c r="B54" s="61" t="s">
        <v>85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7"/>
        <v>UsdLibor1Y</v>
      </c>
      <c r="H54" s="60" t="str">
        <f t="shared" si="18"/>
        <v>USDAM3L8Y_S12L3L_Quote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obj_00315#0002</v>
      </c>
      <c r="L54" s="162" t="str">
        <f t="shared" si="13"/>
        <v>BasSw</v>
      </c>
      <c r="M54" s="183" t="str">
        <f t="shared" si="14"/>
        <v>USDAM3L12Y_S12L3L_Quote</v>
      </c>
      <c r="N54" s="164">
        <f>IFERROR(_xll.qlQuoteValue(H58,Trigger),"--")</f>
        <v>1.9398009739464504E-2</v>
      </c>
      <c r="O54" s="164">
        <f t="shared" si="15"/>
        <v>0</v>
      </c>
      <c r="P54" s="101" t="b">
        <v>1</v>
      </c>
      <c r="Q54" s="98">
        <v>40</v>
      </c>
      <c r="R54" s="98">
        <v>1</v>
      </c>
      <c r="S54" s="98" t="str">
        <f t="shared" si="16"/>
        <v>obj_0030f#0002</v>
      </c>
      <c r="T54" s="102">
        <f>IFERROR(_xll.qlRateHelperEarliestDate(S54,Trigger),"--")</f>
        <v>42573</v>
      </c>
      <c r="U54" s="102">
        <f>IFERROR(_xll.qlRateHelperPillarDate(S54,Trigger),"--")</f>
        <v>46958</v>
      </c>
      <c r="W54" s="3" t="str">
        <f t="shared" si="12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152</v>
      </c>
      <c r="B55" s="61" t="s">
        <v>86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7"/>
        <v>UsdLibor1Y</v>
      </c>
      <c r="H55" s="60" t="str">
        <f t="shared" si="18"/>
        <v>USDAM3L9Y_S12L3L_Quote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obj_002e5#0002</v>
      </c>
      <c r="L55" s="162" t="str">
        <f t="shared" si="13"/>
        <v>BasSw</v>
      </c>
      <c r="M55" s="183" t="str">
        <f t="shared" si="14"/>
        <v>USDAM3L13Y_S12L3L_Quote</v>
      </c>
      <c r="N55" s="164">
        <f>IFERROR(_xll.qlQuoteValue(H59,Trigger),"--")</f>
        <v>1.9758540071665453E-2</v>
      </c>
      <c r="O55" s="164">
        <f t="shared" si="15"/>
        <v>0</v>
      </c>
      <c r="P55" s="101" t="b">
        <v>1</v>
      </c>
      <c r="Q55" s="98">
        <v>40</v>
      </c>
      <c r="R55" s="98">
        <v>1</v>
      </c>
      <c r="S55" s="98" t="str">
        <f t="shared" si="16"/>
        <v>obj_002f1#0002</v>
      </c>
      <c r="T55" s="102">
        <f>IFERROR(_xll.qlRateHelperEarliestDate(S55,Trigger),"--")</f>
        <v>42573</v>
      </c>
      <c r="U55" s="102">
        <f>IFERROR(_xll.qlRateHelperPillarDate(S55,Trigger),"--")</f>
        <v>47322</v>
      </c>
      <c r="W55" s="3" t="str">
        <f t="shared" si="12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152</v>
      </c>
      <c r="B56" s="61" t="s">
        <v>87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7"/>
        <v>UsdLibor1Y</v>
      </c>
      <c r="H56" s="60" t="str">
        <f t="shared" si="18"/>
        <v>USDAM3L10Y_S12L3L_Quote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obj_002ee#0002</v>
      </c>
      <c r="L56" s="162" t="str">
        <f t="shared" si="13"/>
        <v>BasSw</v>
      </c>
      <c r="M56" s="183" t="str">
        <f t="shared" si="14"/>
        <v>USDAM3L14Y_S12L3L_Quote</v>
      </c>
      <c r="N56" s="164">
        <f>IFERROR(_xll.qlQuoteValue(H60,Trigger),"--")</f>
        <v>2.0085641019779537E-2</v>
      </c>
      <c r="O56" s="164">
        <f t="shared" si="15"/>
        <v>0</v>
      </c>
      <c r="P56" s="101" t="b">
        <v>1</v>
      </c>
      <c r="Q56" s="98">
        <v>40</v>
      </c>
      <c r="R56" s="98">
        <v>1</v>
      </c>
      <c r="S56" s="98" t="str">
        <f t="shared" si="16"/>
        <v>obj_00302#0002</v>
      </c>
      <c r="T56" s="102">
        <f>IFERROR(_xll.qlRateHelperEarliestDate(S56,Trigger),"--")</f>
        <v>42573</v>
      </c>
      <c r="U56" s="102">
        <f>IFERROR(_xll.qlRateHelperPillarDate(S56,Trigger),"--")</f>
        <v>47686</v>
      </c>
      <c r="W56" s="3" t="str">
        <f t="shared" si="12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152</v>
      </c>
      <c r="B57" s="61" t="s">
        <v>127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7"/>
        <v>UsdLibor1Y</v>
      </c>
      <c r="H57" s="60" t="str">
        <f t="shared" si="18"/>
        <v>USDAM3L11Y_S12L3L_Quote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obj_002d1#0002</v>
      </c>
      <c r="L57" s="162" t="str">
        <f t="shared" si="13"/>
        <v>BasSw</v>
      </c>
      <c r="M57" s="183" t="str">
        <f t="shared" si="14"/>
        <v>USDAM3L15Y_S12L3L_Quote</v>
      </c>
      <c r="N57" s="164">
        <f>IFERROR(_xll.qlQuoteValue(H61,Trigger),"--")</f>
        <v>2.0381702597544866E-2</v>
      </c>
      <c r="O57" s="164">
        <f t="shared" si="15"/>
        <v>0</v>
      </c>
      <c r="P57" s="101" t="b">
        <v>1</v>
      </c>
      <c r="Q57" s="98">
        <v>40</v>
      </c>
      <c r="R57" s="98">
        <v>1</v>
      </c>
      <c r="S57" s="98" t="str">
        <f t="shared" si="16"/>
        <v>obj_00312#0002</v>
      </c>
      <c r="T57" s="102">
        <f>IFERROR(_xll.qlRateHelperEarliestDate(S57,Trigger),"--")</f>
        <v>42573</v>
      </c>
      <c r="U57" s="102">
        <f>IFERROR(_xll.qlRateHelperPillarDate(S57,Trigger),"--")</f>
        <v>48051</v>
      </c>
      <c r="W57" s="3" t="str">
        <f t="shared" si="12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152</v>
      </c>
      <c r="B58" s="61" t="s">
        <v>88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7"/>
        <v>UsdLibor1Y</v>
      </c>
      <c r="H58" s="60" t="str">
        <f t="shared" si="18"/>
        <v>USDAM3L12Y_S12L3L_Quote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obj_0030f#0002</v>
      </c>
      <c r="L58" s="162" t="str">
        <f t="shared" si="13"/>
        <v>BasSw</v>
      </c>
      <c r="M58" s="183" t="str">
        <f t="shared" si="14"/>
        <v>USDAM3L16Y_S12L3L_Quote</v>
      </c>
      <c r="N58" s="164">
        <f>IFERROR(_xll.qlQuoteValue(H62,Trigger),"--")</f>
        <v>2.0646653449300542E-2</v>
      </c>
      <c r="O58" s="164">
        <f t="shared" si="15"/>
        <v>0</v>
      </c>
      <c r="P58" s="101" t="b">
        <v>0</v>
      </c>
      <c r="Q58" s="98">
        <v>40</v>
      </c>
      <c r="R58" s="98">
        <v>1</v>
      </c>
      <c r="S58" s="98" t="str">
        <f t="shared" si="16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2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152</v>
      </c>
      <c r="B59" s="61" t="s">
        <v>128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7"/>
        <v>UsdLibor1Y</v>
      </c>
      <c r="H59" s="60" t="str">
        <f t="shared" si="18"/>
        <v>USDAM3L13Y_S12L3L_Quote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obj_002f1#0002</v>
      </c>
      <c r="L59" s="162" t="str">
        <f t="shared" si="13"/>
        <v>BasSw</v>
      </c>
      <c r="M59" s="183" t="str">
        <f t="shared" si="14"/>
        <v>USDAM3L17Y_S12L3L_Quote</v>
      </c>
      <c r="N59" s="164">
        <f>IFERROR(_xll.qlQuoteValue(H63,Trigger),"--")</f>
        <v>2.0879829076981174E-2</v>
      </c>
      <c r="O59" s="164">
        <f t="shared" si="15"/>
        <v>0</v>
      </c>
      <c r="P59" s="101" t="b">
        <v>0</v>
      </c>
      <c r="Q59" s="98">
        <v>40</v>
      </c>
      <c r="R59" s="98">
        <v>1</v>
      </c>
      <c r="S59" s="98" t="str">
        <f t="shared" si="16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12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152</v>
      </c>
      <c r="B60" s="61" t="s">
        <v>129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7"/>
        <v>UsdLibor1Y</v>
      </c>
      <c r="H60" s="60" t="str">
        <f t="shared" si="18"/>
        <v>USDAM3L14Y_S12L3L_Quote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obj_00302#0002</v>
      </c>
      <c r="L60" s="162" t="str">
        <f t="shared" si="13"/>
        <v>BasSw</v>
      </c>
      <c r="M60" s="183" t="str">
        <f t="shared" si="14"/>
        <v>USDAM3L18Y_S12L3L_Quote</v>
      </c>
      <c r="N60" s="164">
        <f>IFERROR(_xll.qlQuoteValue(H64,Trigger),"--")</f>
        <v>2.1084649523164526E-2</v>
      </c>
      <c r="O60" s="164">
        <f t="shared" si="15"/>
        <v>0</v>
      </c>
      <c r="P60" s="101" t="b">
        <v>0</v>
      </c>
      <c r="Q60" s="98">
        <v>40</v>
      </c>
      <c r="R60" s="98">
        <v>1</v>
      </c>
      <c r="S60" s="98" t="str">
        <f t="shared" si="16"/>
        <v>--</v>
      </c>
      <c r="T60" s="102" t="str">
        <f>IFERROR(_xll.qlRateHelperEarliestDate(S60,Trigger),"--")</f>
        <v>--</v>
      </c>
      <c r="U60" s="102" t="str">
        <f>IFERROR(_xll.qlRateHelperPillarDate(S60,Trigger),"--")</f>
        <v>--</v>
      </c>
      <c r="W60" s="3" t="str">
        <f t="shared" si="12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152</v>
      </c>
      <c r="B61" s="61" t="s">
        <v>89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7"/>
        <v>UsdLibor1Y</v>
      </c>
      <c r="H61" s="60" t="str">
        <f t="shared" si="18"/>
        <v>USDAM3L15Y_S12L3L_Quote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obj_00312#0002</v>
      </c>
      <c r="L61" s="162" t="str">
        <f t="shared" si="13"/>
        <v>BasSw</v>
      </c>
      <c r="M61" s="183" t="str">
        <f t="shared" si="14"/>
        <v>USDAM3L19Y_S12L3L_Quote</v>
      </c>
      <c r="N61" s="164">
        <f>IFERROR(_xll.qlQuoteValue(H65,Trigger),"--")</f>
        <v>2.1259319502487422E-2</v>
      </c>
      <c r="O61" s="164">
        <f t="shared" si="15"/>
        <v>0</v>
      </c>
      <c r="P61" s="101" t="b">
        <v>0</v>
      </c>
      <c r="Q61" s="98">
        <v>40</v>
      </c>
      <c r="R61" s="98">
        <v>1</v>
      </c>
      <c r="S61" s="98" t="str">
        <f t="shared" si="16"/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12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152</v>
      </c>
      <c r="B62" s="61" t="s">
        <v>130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7"/>
        <v>UsdLibor1Y</v>
      </c>
      <c r="H62" s="60" t="str">
        <f t="shared" si="18"/>
        <v>USDAM3L16Y_S12L3L_Quote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3"/>
        <v>BasSw</v>
      </c>
      <c r="M62" s="183" t="str">
        <f t="shared" si="14"/>
        <v>USDAM3L20Y_S12L3L_Quote</v>
      </c>
      <c r="N62" s="164">
        <f>IFERROR(_xll.qlQuoteValue(H66,Trigger),"--")</f>
        <v>2.1407745900617576E-2</v>
      </c>
      <c r="O62" s="164">
        <f t="shared" si="15"/>
        <v>0</v>
      </c>
      <c r="P62" s="101" t="b">
        <v>1</v>
      </c>
      <c r="Q62" s="98">
        <v>40</v>
      </c>
      <c r="R62" s="98">
        <v>1</v>
      </c>
      <c r="S62" s="98" t="str">
        <f t="shared" si="16"/>
        <v>obj_002fe#0002</v>
      </c>
      <c r="T62" s="102">
        <f>IFERROR(_xll.qlRateHelperEarliestDate(S62,Trigger),"--")</f>
        <v>42573</v>
      </c>
      <c r="U62" s="102">
        <f>IFERROR(_xll.qlRateHelperPillarDate(S62,Trigger),"--")</f>
        <v>49878</v>
      </c>
      <c r="W62" s="3" t="str">
        <f t="shared" si="12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152</v>
      </c>
      <c r="B63" s="61" t="s">
        <v>131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7"/>
        <v>UsdLibor1Y</v>
      </c>
      <c r="H63" s="60" t="str">
        <f t="shared" si="18"/>
        <v>USDAM3L17Y_S12L3L_Quote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3"/>
        <v>BasSw</v>
      </c>
      <c r="M63" s="183" t="str">
        <f t="shared" si="14"/>
        <v>USDAM3L21Y_S12L3L_Quote</v>
      </c>
      <c r="N63" s="164">
        <f>IFERROR(_xll.qlQuoteValue(H67,Trigger),"--")</f>
        <v>2.1531565983986967E-2</v>
      </c>
      <c r="O63" s="164">
        <f t="shared" si="15"/>
        <v>0</v>
      </c>
      <c r="P63" s="101" t="b">
        <v>0</v>
      </c>
      <c r="Q63" s="98">
        <v>40</v>
      </c>
      <c r="R63" s="98">
        <v>1</v>
      </c>
      <c r="S63" s="98" t="str">
        <f t="shared" si="16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12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152</v>
      </c>
      <c r="B64" s="61" t="s">
        <v>132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7"/>
        <v>UsdLibor1Y</v>
      </c>
      <c r="H64" s="60" t="str">
        <f t="shared" si="18"/>
        <v>USDAM3L18Y_S12L3L_Quote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--</v>
      </c>
      <c r="L64" s="162" t="str">
        <f t="shared" si="13"/>
        <v>BasSw</v>
      </c>
      <c r="M64" s="183" t="str">
        <f t="shared" si="14"/>
        <v>USDAM3L22Y_S12L3L_Quote</v>
      </c>
      <c r="N64" s="164">
        <f>IFERROR(_xll.qlQuoteValue(H68,Trigger),"--")</f>
        <v>2.1636172227855233E-2</v>
      </c>
      <c r="O64" s="164">
        <f t="shared" si="15"/>
        <v>0</v>
      </c>
      <c r="P64" s="101" t="b">
        <v>0</v>
      </c>
      <c r="Q64" s="98">
        <v>40</v>
      </c>
      <c r="R64" s="98">
        <v>1</v>
      </c>
      <c r="S64" s="98" t="str">
        <f t="shared" si="16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12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152</v>
      </c>
      <c r="B65" s="61" t="s">
        <v>133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7"/>
        <v>UsdLibor1Y</v>
      </c>
      <c r="H65" s="60" t="str">
        <f t="shared" si="18"/>
        <v>USDAM3L19Y_S12L3L_Quote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--</v>
      </c>
      <c r="L65" s="162" t="str">
        <f t="shared" si="13"/>
        <v>BasSw</v>
      </c>
      <c r="M65" s="183" t="str">
        <f t="shared" si="14"/>
        <v>USDAM3L23Y_S12L3L_Quote</v>
      </c>
      <c r="N65" s="164">
        <f>IFERROR(_xll.qlQuoteValue(H69,Trigger),"--")</f>
        <v>2.1726821272809886E-2</v>
      </c>
      <c r="O65" s="164">
        <f t="shared" si="15"/>
        <v>0</v>
      </c>
      <c r="P65" s="101" t="b">
        <v>0</v>
      </c>
      <c r="Q65" s="98">
        <v>40</v>
      </c>
      <c r="R65" s="98">
        <v>1</v>
      </c>
      <c r="S65" s="98" t="str">
        <f t="shared" si="16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12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152</v>
      </c>
      <c r="B66" s="61" t="s">
        <v>90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7"/>
        <v>UsdLibor1Y</v>
      </c>
      <c r="H66" s="60" t="str">
        <f t="shared" si="18"/>
        <v>USDAM3L20Y_S12L3L_Quote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obj_002fe#0002</v>
      </c>
      <c r="L66" s="162" t="str">
        <f t="shared" si="13"/>
        <v>BasSw</v>
      </c>
      <c r="M66" s="183" t="str">
        <f t="shared" si="14"/>
        <v>USDAM3L24Y_S12L3L_Quote</v>
      </c>
      <c r="N66" s="164">
        <f>IFERROR(_xll.qlQuoteValue(H70,Trigger),"--")</f>
        <v>2.1808370989431201E-2</v>
      </c>
      <c r="O66" s="164">
        <f t="shared" si="15"/>
        <v>0</v>
      </c>
      <c r="P66" s="101" t="b">
        <v>0</v>
      </c>
      <c r="Q66" s="98">
        <v>40</v>
      </c>
      <c r="R66" s="98">
        <v>1</v>
      </c>
      <c r="S66" s="98" t="str">
        <f t="shared" si="16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12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152</v>
      </c>
      <c r="B67" s="61" t="s">
        <v>134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7"/>
        <v>UsdLibor1Y</v>
      </c>
      <c r="H67" s="60" t="str">
        <f t="shared" si="18"/>
        <v>USDAM3L21Y_S12L3L_Quote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L67" s="162" t="str">
        <f t="shared" si="13"/>
        <v>BasSw</v>
      </c>
      <c r="M67" s="183" t="str">
        <f t="shared" si="14"/>
        <v>USDAM3L25Y_S12L3L_Quote</v>
      </c>
      <c r="N67" s="164">
        <f>IFERROR(_xll.qlQuoteValue(H71,Trigger),"--")</f>
        <v>2.1883118482975097E-2</v>
      </c>
      <c r="O67" s="164">
        <f t="shared" si="15"/>
        <v>0</v>
      </c>
      <c r="P67" s="101" t="b">
        <v>1</v>
      </c>
      <c r="Q67" s="98">
        <v>40</v>
      </c>
      <c r="R67" s="98">
        <v>1</v>
      </c>
      <c r="S67" s="98" t="str">
        <f t="shared" si="16"/>
        <v>obj_0030c#0002</v>
      </c>
      <c r="T67" s="102">
        <f>IFERROR(_xll.qlRateHelperEarliestDate(S67,Trigger),"--")</f>
        <v>42573</v>
      </c>
      <c r="U67" s="102">
        <f>IFERROR(_xll.qlRateHelperPillarDate(S67,Trigger),"--")</f>
        <v>51704</v>
      </c>
      <c r="W67" s="3" t="str">
        <f t="shared" ref="W67:W78" si="19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152</v>
      </c>
      <c r="B68" s="61" t="s">
        <v>135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7"/>
        <v>UsdLibor1Y</v>
      </c>
      <c r="H68" s="60" t="str">
        <f t="shared" si="18"/>
        <v>USDAM3L22Y_S12L3L_Quote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--</v>
      </c>
      <c r="L68" s="162" t="str">
        <f t="shared" si="13"/>
        <v>BasSw</v>
      </c>
      <c r="M68" s="183" t="str">
        <f t="shared" si="14"/>
        <v>USDAM3L26Y_S12L3L_Quote</v>
      </c>
      <c r="N68" s="164">
        <f>IFERROR(_xll.qlQuoteValue(H72,Trigger),"--")</f>
        <v>2.1954472775353982E-2</v>
      </c>
      <c r="O68" s="164">
        <f t="shared" si="15"/>
        <v>0</v>
      </c>
      <c r="P68" s="101" t="b">
        <v>0</v>
      </c>
      <c r="Q68" s="98">
        <v>40</v>
      </c>
      <c r="R68" s="98">
        <v>1</v>
      </c>
      <c r="S68" s="98" t="str">
        <f t="shared" si="16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19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152</v>
      </c>
      <c r="B69" s="61" t="s">
        <v>136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7"/>
        <v>UsdLibor1Y</v>
      </c>
      <c r="H69" s="60" t="str">
        <f t="shared" si="18"/>
        <v>USDAM3L23Y_S12L3L_Quote</v>
      </c>
      <c r="I69" s="129">
        <v>0</v>
      </c>
      <c r="J69" s="175" t="str">
        <f>IF(P65,_xll.qlSwapRateHelper2(,H69,,B69,JoinCalendar,D69,E69,F69,G69,I69,C69,Discounting,PillarDate,,Permanent,Trigger,ObjectOverwrite),"--")</f>
        <v>--</v>
      </c>
      <c r="L69" s="162" t="str">
        <f t="shared" si="13"/>
        <v>BasSw</v>
      </c>
      <c r="M69" s="183" t="str">
        <f t="shared" si="14"/>
        <v>USDAM3L27Y_S12L3L_Quote</v>
      </c>
      <c r="N69" s="164">
        <f>IFERROR(_xll.qlQuoteValue(H73,Trigger),"--")</f>
        <v>2.2021780951887237E-2</v>
      </c>
      <c r="O69" s="164">
        <f t="shared" si="15"/>
        <v>0</v>
      </c>
      <c r="P69" s="101" t="b">
        <v>0</v>
      </c>
      <c r="Q69" s="98">
        <v>40</v>
      </c>
      <c r="R69" s="98">
        <v>1</v>
      </c>
      <c r="S69" s="98" t="str">
        <f t="shared" si="16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19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152</v>
      </c>
      <c r="B70" s="61" t="s">
        <v>137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17"/>
        <v>UsdLibor1Y</v>
      </c>
      <c r="H70" s="60" t="str">
        <f t="shared" si="18"/>
        <v>USDAM3L24Y_S12L3L_Quote</v>
      </c>
      <c r="I70" s="129">
        <v>0</v>
      </c>
      <c r="J70" s="175" t="str">
        <f>IF(P66,_xll.qlSwapRateHelper2(,H70,,B70,JoinCalendar,D70,E70,F70,G70,I70,C70,Discounting,PillarDate,,Permanent,Trigger,ObjectOverwrite),"--")</f>
        <v>--</v>
      </c>
      <c r="L70" s="162" t="str">
        <f t="shared" si="13"/>
        <v>BasSw</v>
      </c>
      <c r="M70" s="183" t="str">
        <f t="shared" si="14"/>
        <v>USDAM3L28Y_S12L3L_Quote</v>
      </c>
      <c r="N70" s="164">
        <f>IFERROR(_xll.qlQuoteValue(H74,Trigger),"--")</f>
        <v>2.2084322502919494E-2</v>
      </c>
      <c r="O70" s="164">
        <f t="shared" si="15"/>
        <v>0</v>
      </c>
      <c r="P70" s="101" t="b">
        <v>0</v>
      </c>
      <c r="Q70" s="98">
        <v>40</v>
      </c>
      <c r="R70" s="98">
        <v>1</v>
      </c>
      <c r="S70" s="98" t="str">
        <f t="shared" si="16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19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152</v>
      </c>
      <c r="B71" s="61" t="s">
        <v>91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17"/>
        <v>UsdLibor1Y</v>
      </c>
      <c r="H71" s="60" t="str">
        <f t="shared" si="18"/>
        <v>USDAM3L25Y_S12L3L_Quote</v>
      </c>
      <c r="I71" s="129">
        <v>0</v>
      </c>
      <c r="J71" s="175" t="str">
        <f>IF(P67,_xll.qlSwapRateHelper2(,H71,,B71,JoinCalendar,D71,E71,F71,G71,I71,C71,Discounting,PillarDate,,Permanent,Trigger,ObjectOverwrite),"--")</f>
        <v>obj_0030c#0002</v>
      </c>
      <c r="L71" s="162" t="str">
        <f t="shared" si="13"/>
        <v>BasSw</v>
      </c>
      <c r="M71" s="183" t="str">
        <f t="shared" si="14"/>
        <v>USDAM3L29Y_S12L3L_Quote</v>
      </c>
      <c r="N71" s="164">
        <f>IFERROR(_xll.qlQuoteValue(H75,Trigger),"--")</f>
        <v>2.2141196096270566E-2</v>
      </c>
      <c r="O71" s="164">
        <f t="shared" si="15"/>
        <v>0</v>
      </c>
      <c r="P71" s="101" t="b">
        <v>0</v>
      </c>
      <c r="Q71" s="98">
        <v>40</v>
      </c>
      <c r="R71" s="98">
        <v>1</v>
      </c>
      <c r="S71" s="98" t="str">
        <f t="shared" si="16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19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152</v>
      </c>
      <c r="B72" s="61" t="s">
        <v>138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17"/>
        <v>UsdLibor1Y</v>
      </c>
      <c r="H72" s="60" t="str">
        <f t="shared" si="18"/>
        <v>USDAM3L26Y_S12L3L_Quote</v>
      </c>
      <c r="I72" s="129">
        <v>0</v>
      </c>
      <c r="J72" s="175" t="str">
        <f>IF(P68,_xll.qlSwapRateHelper2(,H72,,B72,JoinCalendar,D72,E72,F72,G72,I72,C72,Discounting,PillarDate,,Permanent,Trigger,ObjectOverwrite),"--")</f>
        <v>--</v>
      </c>
      <c r="L72" s="162" t="str">
        <f t="shared" si="13"/>
        <v>BasSw</v>
      </c>
      <c r="M72" s="183" t="str">
        <f t="shared" si="14"/>
        <v>USDAM3L30Y_S12L3L_Quote</v>
      </c>
      <c r="N72" s="164">
        <f>IFERROR(_xll.qlQuoteValue(H76,Trigger),"--")</f>
        <v>2.219098621827997E-2</v>
      </c>
      <c r="O72" s="164">
        <f t="shared" si="15"/>
        <v>0</v>
      </c>
      <c r="P72" s="101" t="b">
        <v>1</v>
      </c>
      <c r="Q72" s="98">
        <v>40</v>
      </c>
      <c r="R72" s="98">
        <v>1</v>
      </c>
      <c r="S72" s="98" t="str">
        <f t="shared" si="16"/>
        <v>obj_002fb#0002</v>
      </c>
      <c r="T72" s="102">
        <f>IFERROR(_xll.qlRateHelperEarliestDate(S72,Trigger),"--")</f>
        <v>42573</v>
      </c>
      <c r="U72" s="102">
        <f>IFERROR(_xll.qlRateHelperPillarDate(S72,Trigger),"--")</f>
        <v>53531</v>
      </c>
      <c r="W72" s="3" t="str">
        <f t="shared" si="19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152</v>
      </c>
      <c r="B73" s="61" t="s">
        <v>92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17"/>
        <v>UsdLibor1Y</v>
      </c>
      <c r="H73" s="60" t="str">
        <f t="shared" si="18"/>
        <v>USDAM3L27Y_S12L3L_Quote</v>
      </c>
      <c r="I73" s="129">
        <v>0</v>
      </c>
      <c r="J73" s="175" t="str">
        <f>IF(P69,_xll.qlSwapRateHelper2(,H73,,B73,JoinCalendar,D73,E73,F73,G73,I73,C73,Discounting,PillarDate,,Permanent,Trigger,ObjectOverwrite),"--")</f>
        <v>--</v>
      </c>
      <c r="L73" s="162" t="str">
        <f t="shared" si="13"/>
        <v>BasSw</v>
      </c>
      <c r="M73" s="183" t="str">
        <f t="shared" si="14"/>
        <v>USDAM3L35Y_S12L3L_Quote</v>
      </c>
      <c r="N73" s="164">
        <f>IFERROR(_xll.qlQuoteValue(H77,Trigger),"--")</f>
        <v>2.2343294255692512E-2</v>
      </c>
      <c r="O73" s="164">
        <f t="shared" si="15"/>
        <v>0</v>
      </c>
      <c r="P73" s="101" t="b">
        <v>1</v>
      </c>
      <c r="Q73" s="98">
        <v>40</v>
      </c>
      <c r="R73" s="98">
        <v>1</v>
      </c>
      <c r="S73" s="98" t="str">
        <f t="shared" si="16"/>
        <v>obj_002f2#0002</v>
      </c>
      <c r="T73" s="102">
        <f>IFERROR(_xll.qlRateHelperEarliestDate(S73,Trigger),"--")</f>
        <v>42573</v>
      </c>
      <c r="U73" s="102">
        <f>IFERROR(_xll.qlRateHelperPillarDate(S73,Trigger),"--")</f>
        <v>55358</v>
      </c>
      <c r="W73" s="3" t="str">
        <f t="shared" si="19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152</v>
      </c>
      <c r="B74" s="61" t="s">
        <v>139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17"/>
        <v>UsdLibor1Y</v>
      </c>
      <c r="H74" s="60" t="str">
        <f t="shared" si="18"/>
        <v>USDAM3L28Y_S12L3L_Quote</v>
      </c>
      <c r="I74" s="129">
        <v>0</v>
      </c>
      <c r="J74" s="175" t="str">
        <f>IF(P70,_xll.qlSwapRateHelper2(,H74,,B74,JoinCalendar,D74,E74,F74,G74,I74,C74,Discounting,PillarDate,,Permanent,Trigger,ObjectOverwrite),"--")</f>
        <v>--</v>
      </c>
      <c r="L74" s="162" t="str">
        <f t="shared" si="13"/>
        <v>BasSw</v>
      </c>
      <c r="M74" s="183" t="str">
        <f t="shared" si="14"/>
        <v>USDAM3L40Y_S12L3L_Quote</v>
      </c>
      <c r="N74" s="164">
        <f>IFERROR(_xll.qlQuoteValue(H78,Trigger),"--")</f>
        <v>2.2371252569540791E-2</v>
      </c>
      <c r="O74" s="164">
        <f t="shared" si="15"/>
        <v>0</v>
      </c>
      <c r="P74" s="101" t="b">
        <v>1</v>
      </c>
      <c r="Q74" s="98">
        <v>40</v>
      </c>
      <c r="R74" s="98">
        <v>1</v>
      </c>
      <c r="S74" s="98" t="str">
        <f t="shared" si="16"/>
        <v>obj_002d7#0002</v>
      </c>
      <c r="T74" s="102">
        <f>IFERROR(_xll.qlRateHelperEarliestDate(S74,Trigger),"--")</f>
        <v>42573</v>
      </c>
      <c r="U74" s="102">
        <f>IFERROR(_xll.qlRateHelperPillarDate(S74,Trigger),"--")</f>
        <v>57185</v>
      </c>
      <c r="W74" s="3" t="str">
        <f t="shared" si="19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152</v>
      </c>
      <c r="B75" s="61" t="s">
        <v>140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17"/>
        <v>UsdLibor1Y</v>
      </c>
      <c r="H75" s="60" t="str">
        <f t="shared" si="18"/>
        <v>USDAM3L29Y_S12L3L_Quote</v>
      </c>
      <c r="I75" s="129">
        <v>0</v>
      </c>
      <c r="J75" s="175" t="str">
        <f>IF(P71,_xll.qlSwapRateHelper2(,H75,,B75,JoinCalendar,D75,E75,F75,G75,I75,C75,Discounting,PillarDate,,Permanent,Trigger,ObjectOverwrite),"--")</f>
        <v>--</v>
      </c>
      <c r="L75" s="162" t="str">
        <f t="shared" si="13"/>
        <v>BasSw</v>
      </c>
      <c r="M75" s="183" t="str">
        <f t="shared" si="14"/>
        <v>USDAM3L45Y_S12L3L_Quote</v>
      </c>
      <c r="N75" s="164" t="str">
        <f>IFERROR(_xll.qlQuoteValue(H79,Trigger),"--")</f>
        <v>--</v>
      </c>
      <c r="O75" s="164">
        <f t="shared" si="15"/>
        <v>0</v>
      </c>
      <c r="P75" s="101" t="b">
        <v>0</v>
      </c>
      <c r="Q75" s="98">
        <v>40</v>
      </c>
      <c r="R75" s="98">
        <v>1</v>
      </c>
      <c r="S75" s="98" t="str">
        <f t="shared" si="16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19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152</v>
      </c>
      <c r="B76" s="61" t="s">
        <v>93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17"/>
        <v>UsdLibor1Y</v>
      </c>
      <c r="H76" s="60" t="str">
        <f t="shared" si="18"/>
        <v>USDAM3L30Y_S12L3L_Quote</v>
      </c>
      <c r="I76" s="129">
        <v>0</v>
      </c>
      <c r="J76" s="175" t="str">
        <f>IF(P72,_xll.qlSwapRateHelper2(,H76,,B76,JoinCalendar,D76,E76,F76,G76,I76,C76,Discounting,PillarDate,,Permanent,Trigger,ObjectOverwrite),"--")</f>
        <v>obj_002fb#0002</v>
      </c>
      <c r="L76" s="162" t="str">
        <f>A80</f>
        <v>BasSw</v>
      </c>
      <c r="M76" s="183" t="str">
        <f t="shared" si="14"/>
        <v>USDAM3L50Y_S12L3L_Quote</v>
      </c>
      <c r="N76" s="164">
        <f>IFERROR(_xll.qlQuoteValue(H80,Trigger),"--")</f>
        <v>2.2241130684139548E-2</v>
      </c>
      <c r="O76" s="164">
        <f t="shared" si="15"/>
        <v>0</v>
      </c>
      <c r="P76" s="101" t="b">
        <v>1</v>
      </c>
      <c r="Q76" s="98">
        <v>40</v>
      </c>
      <c r="R76" s="98">
        <v>1</v>
      </c>
      <c r="S76" s="98" t="str">
        <f t="shared" si="16"/>
        <v>obj_002e8#0002</v>
      </c>
      <c r="T76" s="102">
        <f>IFERROR(_xll.qlRateHelperEarliestDate(S76,Trigger),"--")</f>
        <v>42573</v>
      </c>
      <c r="U76" s="102">
        <f>IFERROR(_xll.qlRateHelperPillarDate(S76,Trigger),"--")</f>
        <v>60835</v>
      </c>
      <c r="W76" s="3" t="str">
        <f t="shared" si="19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152</v>
      </c>
      <c r="B77" s="61" t="s">
        <v>94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17"/>
        <v>UsdLibor1Y</v>
      </c>
      <c r="H77" s="60" t="str">
        <f t="shared" si="18"/>
        <v>USDAM3L35Y_S12L3L_Quote</v>
      </c>
      <c r="I77" s="129">
        <v>0</v>
      </c>
      <c r="J77" s="175" t="str">
        <f>IF(P73,_xll.qlSwapRateHelper2(,H77,,B77,JoinCalendar,D77,E77,F77,G77,I77,C77,Discounting,PillarDate,,Permanent,Trigger,ObjectOverwrite),"--")</f>
        <v>obj_002f2#0002</v>
      </c>
      <c r="L77" s="162" t="str">
        <f t="shared" si="13"/>
        <v>BasSw</v>
      </c>
      <c r="M77" s="183" t="str">
        <f t="shared" si="14"/>
        <v>USDAM3L55Y_S12L3L_Quote</v>
      </c>
      <c r="N77" s="164" t="str">
        <f>IFERROR(_xll.qlQuoteValue(H81,Trigger),"--")</f>
        <v>--</v>
      </c>
      <c r="O77" s="164">
        <f t="shared" si="15"/>
        <v>0</v>
      </c>
      <c r="P77" s="101" t="b">
        <v>0</v>
      </c>
      <c r="Q77" s="98">
        <v>40</v>
      </c>
      <c r="R77" s="98">
        <v>1</v>
      </c>
      <c r="S77" s="98" t="str">
        <f t="shared" si="16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19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152</v>
      </c>
      <c r="B78" s="61" t="s">
        <v>95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17"/>
        <v>UsdLibor1Y</v>
      </c>
      <c r="H78" s="60" t="str">
        <f t="shared" si="18"/>
        <v>USDAM3L40Y_S12L3L_Quote</v>
      </c>
      <c r="I78" s="129">
        <v>0</v>
      </c>
      <c r="J78" s="175" t="str">
        <f>IF(P74,_xll.qlSwapRateHelper2(,H78,,B78,JoinCalendar,D78,E78,F78,G78,I78,C78,Discounting,PillarDate,,Permanent,Trigger,ObjectOverwrite),"--")</f>
        <v>obj_002d7#0002</v>
      </c>
      <c r="L78" s="168" t="str">
        <f t="shared" si="13"/>
        <v>BasSw</v>
      </c>
      <c r="M78" s="184" t="str">
        <f t="shared" si="14"/>
        <v>USDAM3L60Y_S12L3L_Quote</v>
      </c>
      <c r="N78" s="170">
        <f>IFERROR(_xll.qlQuoteValue(H82,Trigger),"--")</f>
        <v>2.2115236703335494E-2</v>
      </c>
      <c r="O78" s="170">
        <f t="shared" si="15"/>
        <v>0</v>
      </c>
      <c r="P78" s="103" t="b">
        <v>1</v>
      </c>
      <c r="Q78" s="99">
        <v>40</v>
      </c>
      <c r="R78" s="99">
        <v>1</v>
      </c>
      <c r="S78" s="99" t="str">
        <f t="shared" si="16"/>
        <v>obj_002e2#0002</v>
      </c>
      <c r="T78" s="104">
        <f>IFERROR(_xll.qlRateHelperEarliestDate(S78,Trigger),"--")</f>
        <v>42573</v>
      </c>
      <c r="U78" s="104">
        <f>IFERROR(_xll.qlRateHelperPillarDate(S78,Trigger),"--")</f>
        <v>64488</v>
      </c>
      <c r="W78" s="5" t="str">
        <f t="shared" si="19"/>
        <v/>
      </c>
      <c r="X78" s="5" t="e">
        <v>#N/A</v>
      </c>
      <c r="Y78" s="5" t="str">
        <f>IFERROR(_xll.qlRateHelperQuoteName(X78,Trigger),"")</f>
        <v/>
      </c>
      <c r="Z78" s="78" t="str">
        <f>IFERROR(_xll.qlRateHelperRate(X78,Trigger),"")</f>
        <v/>
      </c>
      <c r="AA78" s="107" t="str">
        <f>IF(ISERROR(_xll.qlSwapRateHelperSpread($X78)),IF(ISERROR(_xll.qlFuturesRateHelperConvexityAdjustment($X78)),"",_xll.qlFuturesRateHelperConvexityAdjustment($X78)),_xll.qlSwapRateHelperSpread($X78))</f>
        <v/>
      </c>
      <c r="AB78" s="10" t="str">
        <f>IFERROR(_xll.qlRateHelperEarliestDate(X78,Trigger),"")</f>
        <v/>
      </c>
      <c r="AC78" s="10" t="str">
        <f>IFERROR(_xll.qlRateHelperPillarDate(X78,Trigger),"")</f>
        <v/>
      </c>
      <c r="AD78" s="77" t="e">
        <v>#N/A</v>
      </c>
    </row>
    <row r="79" spans="1:30" ht="11.25" customHeight="1" x14ac:dyDescent="0.2">
      <c r="A79" s="60" t="s">
        <v>152</v>
      </c>
      <c r="B79" s="61" t="s">
        <v>96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17"/>
        <v>UsdLibor1Y</v>
      </c>
      <c r="H79" s="60" t="str">
        <f t="shared" si="18"/>
        <v>USDAM3L45Y_S12L3L_Quote</v>
      </c>
      <c r="I79" s="129">
        <v>0</v>
      </c>
      <c r="J79" s="175" t="str">
        <f>IF(P75,_xll.qlSwapRateHelper2(,H79,,B79,JoinCalendar,D79,E79,F79,G79,I79,C79,Discounting,PillarDate,,Permanent,Trigger,ObjectOverwrite),"--")</f>
        <v>--</v>
      </c>
      <c r="Y79" s="192" t="str">
        <f>_xll.ohGroup(W1&amp;"_instruments",Y3:Y78,Permanent,Trigger,ObjectOverwrite)</f>
        <v>USD1Y_instruments#0002</v>
      </c>
    </row>
    <row r="80" spans="1:30" ht="11.25" customHeight="1" x14ac:dyDescent="0.2">
      <c r="A80" s="60" t="s">
        <v>152</v>
      </c>
      <c r="B80" s="61" t="s">
        <v>97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17"/>
        <v>UsdLibor1Y</v>
      </c>
      <c r="H80" s="60" t="str">
        <f t="shared" si="18"/>
        <v>USDAM3L50Y_S12L3L_Quote</v>
      </c>
      <c r="I80" s="129">
        <v>0</v>
      </c>
      <c r="J80" s="175" t="str">
        <f>IF(P76,_xll.qlSwapRateHelper2(,H80,,B80,JoinCalendar,D80,E80,F80,G80,I80,C80,Discounting,PillarDate,,Permanent,Trigger,ObjectOverwrite),"--")</f>
        <v>obj_002e8#0002</v>
      </c>
    </row>
    <row r="81" spans="1:11" x14ac:dyDescent="0.2">
      <c r="A81" s="60" t="s">
        <v>152</v>
      </c>
      <c r="B81" s="61" t="s">
        <v>147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17"/>
        <v>UsdLibor1Y</v>
      </c>
      <c r="H81" s="60" t="str">
        <f t="shared" si="18"/>
        <v>USDAM3L55Y_S12L3L_Quote</v>
      </c>
      <c r="I81" s="127">
        <v>0</v>
      </c>
      <c r="J81" s="175" t="str">
        <f>IF(P77,_xll.qlSwapRateHelper2(,H81,,B81,JoinCalendar,D81,E81,F81,G81,I81,C81,Discounting,PillarDate,,Permanent,Trigger,ObjectOverwrite),"--")</f>
        <v>--</v>
      </c>
    </row>
    <row r="82" spans="1:11" x14ac:dyDescent="0.2">
      <c r="A82" s="1" t="s">
        <v>152</v>
      </c>
      <c r="B82" s="8" t="s">
        <v>141</v>
      </c>
      <c r="C82" s="6" t="s">
        <v>6</v>
      </c>
      <c r="D82" s="6" t="s">
        <v>8</v>
      </c>
      <c r="E82" s="6" t="s">
        <v>7</v>
      </c>
      <c r="F82" s="6" t="s">
        <v>27</v>
      </c>
      <c r="G82" s="6" t="str">
        <f t="shared" si="17"/>
        <v>UsdLibor1Y</v>
      </c>
      <c r="H82" s="1" t="str">
        <f t="shared" si="18"/>
        <v>USDAM3L60Y_S12L3L_Quote</v>
      </c>
      <c r="I82" s="130">
        <v>0</v>
      </c>
      <c r="J82" s="174" t="str">
        <f>IF(P78,_xll.qlSwapRateHelper2(,H82,,B82,JoinCalendar,D82,E82,F82,G82,I82,C82,Discounting,PillarDate,,Permanent,Trigger,ObjectOverwrite),"--")</f>
        <v>obj_002e2#0002</v>
      </c>
    </row>
    <row r="90" spans="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78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GeneralSettings</vt:lpstr>
      <vt:lpstr>USDON</vt:lpstr>
      <vt:lpstr>USD3M</vt:lpstr>
      <vt:lpstr>USD6M</vt:lpstr>
      <vt:lpstr>USD1M</vt:lpstr>
      <vt:lpstr>USD1Y</vt:lpstr>
      <vt:lpstr>Currency</vt:lpstr>
      <vt:lpstr>CurveCalendar</vt:lpstr>
      <vt:lpstr>Discounting</vt:lpstr>
      <vt:lpstr>Evaluationdate</vt:lpstr>
      <vt:lpstr>FamilyName</vt:lpstr>
      <vt:lpstr>FirstLiborFixingDate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LiborSettlementDate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2016-07-20T14:47:42Z</dcterms:modified>
</cp:coreProperties>
</file>