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30" yWindow="-15" windowWidth="18690" windowHeight="12030"/>
  </bookViews>
  <sheets>
    <sheet name="GeneralSettings" sheetId="1" r:id="rId1"/>
    <sheet name="GBPON" sheetId="14" r:id="rId2"/>
    <sheet name="GBP3M" sheetId="15" r:id="rId3"/>
    <sheet name="GBP6M" sheetId="16" r:id="rId4"/>
    <sheet name="GBP1M" sheetId="17" r:id="rId5"/>
    <sheet name="GBP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GBP3M!$H$24</definedName>
    <definedName name="IncludeFlag" localSheetId="4">GBP1M!$P$3:$P$55</definedName>
    <definedName name="IncludeFlag" localSheetId="5">GBP1Y!$P$3:$P$79</definedName>
    <definedName name="IncludeFlag" localSheetId="2">GBP3M!$P$3:$P$130</definedName>
    <definedName name="IncludeFlag" localSheetId="3">GBP6M!$P$3:$P$67</definedName>
    <definedName name="IncludeFlag" localSheetId="1">GBPON!$P$3:$P$39</definedName>
    <definedName name="JumpDates_1M">GBP1M!$AG$11:$AG$23</definedName>
    <definedName name="JumpDates_3M">GBP3M!$AG$11:$AG$23</definedName>
    <definedName name="JumpDates_6M">GBP6M!$AG$11:$AG$23</definedName>
    <definedName name="JumpDates_ON">GBPON!$AG$11:$AG$23</definedName>
    <definedName name="JumpQuotes_1M">GBP1M!$AM$11:$AM$23</definedName>
    <definedName name="JumpQuotes_3M">GBP3M!$AM$11:$AM$23</definedName>
    <definedName name="JumpQuotes_6M">GBP6M!$AM$11:$AM$23</definedName>
    <definedName name="JumpQuotes_ON">GBPON!$AM$11:$AM$23</definedName>
    <definedName name="JumpSuffix">GeneralSettings!$I$9</definedName>
    <definedName name="MinDistance" localSheetId="4">GBP1M!$R$3:$R$55</definedName>
    <definedName name="MinDistance" localSheetId="5">GBP1Y!$R$3:$R$79</definedName>
    <definedName name="MinDistance" localSheetId="2">GBP3M!$R$3:$R$130</definedName>
    <definedName name="MinDistance" localSheetId="3">GBP6M!$R$3:$R$67</definedName>
    <definedName name="MinDistance" localSheetId="1">GBPON!$R$3:$R$39</definedName>
    <definedName name="ObjectOverwrite">GeneralSettings!$D$6</definedName>
    <definedName name="Permanent">GeneralSettings!$D$4</definedName>
    <definedName name="PillarDate">GeneralSettings!$D$8</definedName>
    <definedName name="Priority" localSheetId="4">GBP1M!$Q$3:$Q$55</definedName>
    <definedName name="Priority" localSheetId="5">GBP1Y!$Q$3:$Q$79</definedName>
    <definedName name="Priority" localSheetId="2">GBP3M!$Q$3:$Q$130</definedName>
    <definedName name="Priority" localSheetId="3">GBP6M!$Q$3:$Q$67</definedName>
    <definedName name="Priority" localSheetId="1">GBPON!$Q$3:$Q$39</definedName>
    <definedName name="QuoteSuffix">GeneralSettings!$I$8</definedName>
    <definedName name="RateHelpers" localSheetId="4">GBP1M!$S$3:$S$55</definedName>
    <definedName name="RateHelpers" localSheetId="5">GBP1Y!$S$3:$S$79</definedName>
    <definedName name="RateHelpers" localSheetId="2">GBP3M!$S$3:$S$130</definedName>
    <definedName name="RateHelpers" localSheetId="3">GBP6M!$S$3:$S$67</definedName>
    <definedName name="RateHelpers" localSheetId="1">GBPON!$S$3:$S$39</definedName>
    <definedName name="RateHelpers1M">GBP1M!$X$3:$X$55</definedName>
    <definedName name="RateHelpers1Y">GBP1Y!$X$3:$X$79</definedName>
    <definedName name="RateHelpers3M">GBP3M!$X$3:$X$130</definedName>
    <definedName name="RateHelpers6M">GBP6M!$X$3:$X$67</definedName>
    <definedName name="RateHelpersON">GBPON!$X$3:$X$39</definedName>
    <definedName name="Settlementdate">GeneralSettings!$I$4</definedName>
    <definedName name="Tenor" localSheetId="4">GBP1M!$G$1</definedName>
    <definedName name="Tenor" localSheetId="5">GBP1Y!$G$1</definedName>
    <definedName name="Tenor" localSheetId="2">GBP3M!$G$1</definedName>
    <definedName name="Tenor" localSheetId="3">GBP6M!$G$1</definedName>
    <definedName name="Trigger">GeneralSettings!$D$5</definedName>
    <definedName name="YieldCurve_1M">GeneralSettings!$I$29</definedName>
    <definedName name="YieldCurve_1Y">GeneralSettings!$D$45</definedName>
    <definedName name="YieldCurve_3M">GeneralSettings!$I$13</definedName>
    <definedName name="YieldCurve_6M">GeneralSettings!$D$29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G3" i="16" l="1"/>
  <c r="G3" i="17"/>
  <c r="G3" i="18"/>
  <c r="G3" i="15"/>
  <c r="J3" i="18" l="1"/>
  <c r="J3" i="17"/>
  <c r="J3" i="16"/>
  <c r="J3" i="15"/>
  <c r="J3" i="14"/>
  <c r="G6" i="16"/>
  <c r="G5" i="16"/>
  <c r="O79" i="18" l="1"/>
  <c r="O78" i="18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M79" i="18"/>
  <c r="M78" i="18"/>
  <c r="M77" i="18"/>
  <c r="M76" i="18"/>
  <c r="M75" i="18"/>
  <c r="M74" i="18"/>
  <c r="M73" i="18"/>
  <c r="M72" i="18"/>
  <c r="M71" i="18"/>
  <c r="M70" i="18"/>
  <c r="M69" i="18"/>
  <c r="M68" i="18"/>
  <c r="M67" i="18"/>
  <c r="M66" i="18"/>
  <c r="M65" i="18"/>
  <c r="M64" i="18"/>
  <c r="M63" i="18"/>
  <c r="M62" i="18"/>
  <c r="M61" i="18"/>
  <c r="M60" i="18"/>
  <c r="M59" i="18"/>
  <c r="M58" i="18"/>
  <c r="M57" i="18"/>
  <c r="M56" i="18"/>
  <c r="M55" i="18"/>
  <c r="M54" i="18"/>
  <c r="M53" i="18"/>
  <c r="M52" i="18"/>
  <c r="M51" i="18"/>
  <c r="M50" i="18"/>
  <c r="M49" i="18"/>
  <c r="M48" i="18"/>
  <c r="M47" i="18"/>
  <c r="M46" i="18"/>
  <c r="M45" i="18"/>
  <c r="M44" i="18"/>
  <c r="M43" i="18"/>
  <c r="M42" i="18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M3" i="18"/>
  <c r="J80" i="18"/>
  <c r="S76" i="18" s="1"/>
  <c r="J78" i="18"/>
  <c r="S74" i="18" s="1"/>
  <c r="J77" i="18"/>
  <c r="S73" i="18" s="1"/>
  <c r="J76" i="18"/>
  <c r="S72" i="18" s="1"/>
  <c r="J75" i="18"/>
  <c r="S71" i="18" s="1"/>
  <c r="J73" i="18"/>
  <c r="S69" i="18" s="1"/>
  <c r="J72" i="18"/>
  <c r="S68" i="18" s="1"/>
  <c r="J71" i="18"/>
  <c r="S67" i="18" s="1"/>
  <c r="J70" i="18"/>
  <c r="S66" i="18" s="1"/>
  <c r="J68" i="18"/>
  <c r="S64" i="18" s="1"/>
  <c r="J67" i="18"/>
  <c r="S63" i="18" s="1"/>
  <c r="J66" i="18"/>
  <c r="S62" i="18" s="1"/>
  <c r="J65" i="18"/>
  <c r="S61" i="18" s="1"/>
  <c r="J63" i="18"/>
  <c r="S59" i="18" s="1"/>
  <c r="J62" i="18"/>
  <c r="S58" i="18" s="1"/>
  <c r="J60" i="18"/>
  <c r="S56" i="18" s="1"/>
  <c r="J51" i="18"/>
  <c r="S47" i="18" s="1"/>
  <c r="J50" i="18"/>
  <c r="S46" i="18" s="1"/>
  <c r="J49" i="18"/>
  <c r="S45" i="18" s="1"/>
  <c r="J48" i="18"/>
  <c r="S44" i="18" s="1"/>
  <c r="J47" i="18"/>
  <c r="S43" i="18" s="1"/>
  <c r="J44" i="18"/>
  <c r="S42" i="18" s="1"/>
  <c r="J43" i="18"/>
  <c r="S41" i="18" s="1"/>
  <c r="J42" i="18"/>
  <c r="S40" i="18" s="1"/>
  <c r="J41" i="18"/>
  <c r="S39" i="18" s="1"/>
  <c r="J39" i="18"/>
  <c r="S37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31" i="18"/>
  <c r="S29" i="18" s="1"/>
  <c r="J30" i="18"/>
  <c r="S28" i="18" s="1"/>
  <c r="J28" i="18"/>
  <c r="S26" i="18" s="1"/>
  <c r="J27" i="18"/>
  <c r="S25" i="18" s="1"/>
  <c r="J6" i="18"/>
  <c r="S6" i="18" s="1"/>
  <c r="J5" i="18"/>
  <c r="S5" i="18" s="1"/>
  <c r="J4" i="18"/>
  <c r="S4" i="18" s="1"/>
  <c r="S3" i="18"/>
  <c r="O18" i="17"/>
  <c r="O17" i="17"/>
  <c r="O16" i="17"/>
  <c r="O15" i="17"/>
  <c r="O14" i="17"/>
  <c r="O13" i="17"/>
  <c r="O12" i="17"/>
  <c r="O11" i="17"/>
  <c r="O10" i="17"/>
  <c r="O9" i="17"/>
  <c r="O8" i="17"/>
  <c r="M55" i="17"/>
  <c r="M54" i="17"/>
  <c r="M53" i="17"/>
  <c r="M52" i="17"/>
  <c r="M51" i="17"/>
  <c r="M50" i="17"/>
  <c r="M49" i="17"/>
  <c r="M48" i="17"/>
  <c r="M47" i="17"/>
  <c r="M46" i="17"/>
  <c r="M45" i="17"/>
  <c r="M44" i="17"/>
  <c r="M43" i="17"/>
  <c r="M42" i="17"/>
  <c r="M41" i="17"/>
  <c r="M40" i="17"/>
  <c r="M39" i="17"/>
  <c r="M38" i="17"/>
  <c r="M37" i="17"/>
  <c r="M36" i="17"/>
  <c r="M35" i="17"/>
  <c r="M34" i="17"/>
  <c r="M33" i="17"/>
  <c r="M32" i="17"/>
  <c r="M31" i="17"/>
  <c r="M30" i="17"/>
  <c r="M29" i="17"/>
  <c r="M28" i="17"/>
  <c r="M27" i="17"/>
  <c r="M26" i="17"/>
  <c r="M25" i="17"/>
  <c r="M24" i="17"/>
  <c r="M23" i="17"/>
  <c r="M22" i="17"/>
  <c r="M21" i="17"/>
  <c r="M20" i="17"/>
  <c r="M19" i="17"/>
  <c r="M18" i="17"/>
  <c r="M17" i="17"/>
  <c r="M16" i="17"/>
  <c r="M15" i="17"/>
  <c r="M14" i="17"/>
  <c r="M13" i="17"/>
  <c r="M12" i="17"/>
  <c r="M11" i="17"/>
  <c r="M10" i="17"/>
  <c r="M9" i="17"/>
  <c r="M8" i="17"/>
  <c r="M7" i="17"/>
  <c r="M6" i="17"/>
  <c r="M5" i="17"/>
  <c r="M4" i="17"/>
  <c r="M3" i="17"/>
  <c r="J56" i="17"/>
  <c r="S52" i="17" s="1"/>
  <c r="J54" i="17"/>
  <c r="S50" i="17" s="1"/>
  <c r="J53" i="17"/>
  <c r="S49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S22" i="17" s="1"/>
  <c r="J24" i="17"/>
  <c r="S20" i="17" s="1"/>
  <c r="J6" i="17"/>
  <c r="S6" i="17" s="1"/>
  <c r="J5" i="17"/>
  <c r="S5" i="17" s="1"/>
  <c r="S3" i="17"/>
  <c r="S110" i="15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M67" i="16"/>
  <c r="M66" i="16"/>
  <c r="M65" i="16"/>
  <c r="M64" i="16"/>
  <c r="M63" i="16"/>
  <c r="M62" i="16"/>
  <c r="M61" i="16"/>
  <c r="M60" i="16"/>
  <c r="M59" i="16"/>
  <c r="M58" i="16"/>
  <c r="M57" i="16"/>
  <c r="M56" i="16"/>
  <c r="M55" i="16"/>
  <c r="M54" i="16"/>
  <c r="M53" i="16"/>
  <c r="M52" i="16"/>
  <c r="M51" i="16"/>
  <c r="M50" i="16"/>
  <c r="M49" i="16"/>
  <c r="M48" i="16"/>
  <c r="M47" i="16"/>
  <c r="M46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5" i="16"/>
  <c r="M24" i="16"/>
  <c r="M23" i="16"/>
  <c r="M22" i="16"/>
  <c r="M21" i="16"/>
  <c r="M20" i="16"/>
  <c r="M19" i="1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J68" i="16"/>
  <c r="S64" i="16" s="1"/>
  <c r="J66" i="16"/>
  <c r="S62" i="16" s="1"/>
  <c r="J65" i="16"/>
  <c r="S61" i="16" s="1"/>
  <c r="J64" i="16"/>
  <c r="S60" i="16" s="1"/>
  <c r="J63" i="16"/>
  <c r="S59" i="16" s="1"/>
  <c r="J61" i="16"/>
  <c r="S57" i="16" s="1"/>
  <c r="J60" i="16"/>
  <c r="S56" i="16" s="1"/>
  <c r="J59" i="16"/>
  <c r="S55" i="16" s="1"/>
  <c r="J58" i="16"/>
  <c r="S54" i="16" s="1"/>
  <c r="J56" i="16"/>
  <c r="S52" i="16" s="1"/>
  <c r="J55" i="16"/>
  <c r="S51" i="16" s="1"/>
  <c r="J54" i="16"/>
  <c r="S50" i="16" s="1"/>
  <c r="J53" i="16"/>
  <c r="S49" i="16" s="1"/>
  <c r="J51" i="16"/>
  <c r="S47" i="16" s="1"/>
  <c r="J50" i="16"/>
  <c r="S46" i="16" s="1"/>
  <c r="J38" i="16"/>
  <c r="S34" i="16" s="1"/>
  <c r="J37" i="16"/>
  <c r="S33" i="16" s="1"/>
  <c r="J36" i="16"/>
  <c r="S32" i="16" s="1"/>
  <c r="J35" i="16"/>
  <c r="S31" i="16" s="1"/>
  <c r="L32" i="16"/>
  <c r="L33" i="16"/>
  <c r="L34" i="16"/>
  <c r="L35" i="16"/>
  <c r="J32" i="16"/>
  <c r="S30" i="16" s="1"/>
  <c r="J31" i="16"/>
  <c r="S29" i="16" s="1"/>
  <c r="J30" i="16"/>
  <c r="S28" i="16" s="1"/>
  <c r="J28" i="16"/>
  <c r="S26" i="16" s="1"/>
  <c r="J27" i="16"/>
  <c r="S25" i="16" s="1"/>
  <c r="J25" i="16"/>
  <c r="S23" i="16" s="1"/>
  <c r="J24" i="16"/>
  <c r="S22" i="16" s="1"/>
  <c r="J22" i="16"/>
  <c r="S20" i="16" s="1"/>
  <c r="J21" i="16"/>
  <c r="S19" i="16" s="1"/>
  <c r="J6" i="16"/>
  <c r="S6" i="16" s="1"/>
  <c r="J5" i="16"/>
  <c r="S5" i="16" s="1"/>
  <c r="J4" i="16"/>
  <c r="S4" i="16" s="1"/>
  <c r="S3" i="16"/>
  <c r="J142" i="15"/>
  <c r="S130" i="15" s="1"/>
  <c r="J141" i="15"/>
  <c r="S129" i="15" s="1"/>
  <c r="J140" i="15"/>
  <c r="S128" i="15" s="1"/>
  <c r="J139" i="15"/>
  <c r="S127" i="15" s="1"/>
  <c r="J138" i="15"/>
  <c r="S126" i="15" s="1"/>
  <c r="J137" i="15"/>
  <c r="S125" i="15" s="1"/>
  <c r="J136" i="15"/>
  <c r="S124" i="15" s="1"/>
  <c r="J135" i="15"/>
  <c r="S123" i="15" s="1"/>
  <c r="J134" i="15"/>
  <c r="S122" i="15" s="1"/>
  <c r="J133" i="15"/>
  <c r="S121" i="15" s="1"/>
  <c r="J132" i="15"/>
  <c r="S120" i="15" s="1"/>
  <c r="J131" i="15"/>
  <c r="S119" i="15" s="1"/>
  <c r="J130" i="15"/>
  <c r="S118" i="15" s="1"/>
  <c r="J129" i="15"/>
  <c r="S117" i="15" s="1"/>
  <c r="J128" i="15"/>
  <c r="S116" i="15" s="1"/>
  <c r="J127" i="15"/>
  <c r="S115" i="15" s="1"/>
  <c r="J126" i="15"/>
  <c r="S114" i="15" s="1"/>
  <c r="J125" i="15"/>
  <c r="S113" i="15" s="1"/>
  <c r="J124" i="15"/>
  <c r="S112" i="15" s="1"/>
  <c r="J123" i="15"/>
  <c r="S111" i="15" s="1"/>
  <c r="J122" i="15"/>
  <c r="J121" i="15"/>
  <c r="S109" i="15" s="1"/>
  <c r="J120" i="15"/>
  <c r="S108" i="15" s="1"/>
  <c r="J119" i="15"/>
  <c r="S107" i="15" s="1"/>
  <c r="J118" i="15"/>
  <c r="S106" i="15" s="1"/>
  <c r="J117" i="15"/>
  <c r="S105" i="15" s="1"/>
  <c r="J116" i="15"/>
  <c r="S104" i="15" s="1"/>
  <c r="J115" i="15"/>
  <c r="S103" i="15" s="1"/>
  <c r="J114" i="15"/>
  <c r="S102" i="15" s="1"/>
  <c r="J113" i="15"/>
  <c r="S101" i="15" s="1"/>
  <c r="J112" i="15"/>
  <c r="S100" i="15" s="1"/>
  <c r="J111" i="15"/>
  <c r="S99" i="15" s="1"/>
  <c r="J110" i="15"/>
  <c r="S98" i="15" s="1"/>
  <c r="J109" i="15"/>
  <c r="S97" i="15" s="1"/>
  <c r="J108" i="15"/>
  <c r="S96" i="15" s="1"/>
  <c r="J107" i="15"/>
  <c r="S95" i="15" s="1"/>
  <c r="J106" i="15"/>
  <c r="S94" i="15" s="1"/>
  <c r="J103" i="15"/>
  <c r="S93" i="15" s="1"/>
  <c r="J102" i="15"/>
  <c r="S92" i="15" s="1"/>
  <c r="J101" i="15"/>
  <c r="S91" i="15" s="1"/>
  <c r="J100" i="15"/>
  <c r="S90" i="15" s="1"/>
  <c r="J99" i="15"/>
  <c r="S89" i="15" s="1"/>
  <c r="J98" i="15"/>
  <c r="S88" i="15" s="1"/>
  <c r="J97" i="15"/>
  <c r="S87" i="15" s="1"/>
  <c r="J55" i="15"/>
  <c r="S49" i="15" s="1"/>
  <c r="J54" i="15"/>
  <c r="S48" i="15" s="1"/>
  <c r="J53" i="15"/>
  <c r="S47" i="15" s="1"/>
  <c r="J52" i="15"/>
  <c r="S46" i="15" s="1"/>
  <c r="J51" i="15"/>
  <c r="S45" i="15" s="1"/>
  <c r="J50" i="15"/>
  <c r="S44" i="15" s="1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M130" i="15"/>
  <c r="M129" i="15"/>
  <c r="M128" i="15"/>
  <c r="M127" i="15"/>
  <c r="M126" i="15"/>
  <c r="M125" i="15"/>
  <c r="M124" i="15"/>
  <c r="M123" i="15"/>
  <c r="M122" i="15"/>
  <c r="M121" i="15"/>
  <c r="M120" i="15"/>
  <c r="M119" i="15"/>
  <c r="M118" i="15"/>
  <c r="M117" i="15"/>
  <c r="M116" i="15"/>
  <c r="M115" i="15"/>
  <c r="M114" i="15"/>
  <c r="M113" i="15"/>
  <c r="M112" i="15"/>
  <c r="M111" i="15"/>
  <c r="M110" i="15"/>
  <c r="M109" i="15"/>
  <c r="M108" i="15"/>
  <c r="M107" i="15"/>
  <c r="M106" i="15"/>
  <c r="M105" i="15"/>
  <c r="M104" i="15"/>
  <c r="M103" i="15"/>
  <c r="M102" i="15"/>
  <c r="M101" i="15"/>
  <c r="M100" i="15"/>
  <c r="M99" i="15"/>
  <c r="M98" i="15"/>
  <c r="M97" i="15"/>
  <c r="M96" i="15"/>
  <c r="M95" i="15"/>
  <c r="J40" i="18"/>
  <c r="S38" i="18" s="1"/>
  <c r="J4" i="17"/>
  <c r="S4" i="17" s="1"/>
  <c r="J25" i="17"/>
  <c r="S21" i="17" s="1"/>
  <c r="J23" i="17"/>
  <c r="S19" i="17" s="1"/>
  <c r="J29" i="16"/>
  <c r="S27" i="16" s="1"/>
  <c r="N77" i="18"/>
  <c r="J69" i="18"/>
  <c r="O44" i="17"/>
  <c r="J59" i="17"/>
  <c r="N62" i="16"/>
  <c r="O130" i="15"/>
  <c r="N129" i="15"/>
  <c r="N79" i="15"/>
  <c r="N55" i="15"/>
  <c r="N40" i="18"/>
  <c r="G6" i="18"/>
  <c r="N45" i="17"/>
  <c r="N33" i="16"/>
  <c r="J49" i="16"/>
  <c r="O101" i="15"/>
  <c r="N51" i="15"/>
  <c r="N32" i="18"/>
  <c r="O23" i="17"/>
  <c r="N26" i="17"/>
  <c r="N56" i="16"/>
  <c r="J40" i="16"/>
  <c r="N24" i="18"/>
  <c r="O26" i="17"/>
  <c r="N41" i="17"/>
  <c r="N40" i="16"/>
  <c r="J70" i="16"/>
  <c r="N35" i="18"/>
  <c r="O46" i="17"/>
  <c r="N24" i="17"/>
  <c r="N47" i="16"/>
  <c r="J46" i="16"/>
  <c r="N107" i="15"/>
  <c r="N62" i="18"/>
  <c r="J59" i="18"/>
  <c r="N59" i="18"/>
  <c r="N17" i="18"/>
  <c r="O21" i="17"/>
  <c r="N18" i="17"/>
  <c r="N42" i="16"/>
  <c r="U33" i="16"/>
  <c r="N90" i="15"/>
  <c r="N21" i="15"/>
  <c r="N30" i="16"/>
  <c r="N49" i="15"/>
  <c r="O54" i="17"/>
  <c r="O112" i="15"/>
  <c r="N19" i="18"/>
  <c r="N42" i="17"/>
  <c r="O102" i="15"/>
  <c r="O103" i="15"/>
  <c r="J7" i="17"/>
  <c r="N109" i="15"/>
  <c r="N20" i="15"/>
  <c r="N38" i="17"/>
  <c r="N63" i="15"/>
  <c r="N25" i="18"/>
  <c r="N71" i="15"/>
  <c r="N35" i="16"/>
  <c r="N127" i="15"/>
  <c r="N31" i="16"/>
  <c r="N115" i="15"/>
  <c r="N36" i="16"/>
  <c r="N23" i="17"/>
  <c r="O115" i="15"/>
  <c r="N3" i="18"/>
  <c r="N125" i="15"/>
  <c r="N92" i="15"/>
  <c r="T34" i="16"/>
  <c r="N5" i="15"/>
  <c r="N47" i="18"/>
  <c r="J81" i="18"/>
  <c r="N33" i="18"/>
  <c r="N34" i="17"/>
  <c r="N56" i="15"/>
  <c r="J47" i="16"/>
  <c r="O98" i="15"/>
  <c r="N100" i="15"/>
  <c r="N13" i="18"/>
  <c r="N30" i="17"/>
  <c r="N33" i="17"/>
  <c r="J41" i="16"/>
  <c r="N55" i="16"/>
  <c r="N61" i="16"/>
  <c r="J12" i="18"/>
  <c r="N48" i="17"/>
  <c r="J14" i="17"/>
  <c r="N39" i="18"/>
  <c r="N7" i="16"/>
  <c r="O47" i="17"/>
  <c r="N48" i="15"/>
  <c r="N50" i="18"/>
  <c r="O106" i="15"/>
  <c r="O117" i="15"/>
  <c r="N128" i="15"/>
  <c r="O124" i="15"/>
  <c r="N66" i="18"/>
  <c r="J24" i="18"/>
  <c r="O24" i="17"/>
  <c r="J55" i="17"/>
  <c r="N19" i="16"/>
  <c r="O129" i="15"/>
  <c r="N112" i="15"/>
  <c r="N75" i="15"/>
  <c r="N71" i="18"/>
  <c r="N6" i="18"/>
  <c r="O31" i="17"/>
  <c r="N50" i="17"/>
  <c r="N45" i="16"/>
  <c r="J57" i="16"/>
  <c r="O99" i="15"/>
  <c r="N63" i="18"/>
  <c r="N9" i="18"/>
  <c r="O40" i="17"/>
  <c r="N9" i="17"/>
  <c r="N60" i="16"/>
  <c r="N55" i="18"/>
  <c r="N16" i="18"/>
  <c r="O53" i="17"/>
  <c r="N14" i="17"/>
  <c r="N44" i="16"/>
  <c r="J48" i="16"/>
  <c r="N15" i="18"/>
  <c r="O37" i="17"/>
  <c r="N10" i="17"/>
  <c r="N58" i="16"/>
  <c r="U34" i="16"/>
  <c r="N87" i="15"/>
  <c r="N49" i="18"/>
  <c r="J55" i="18"/>
  <c r="N54" i="18"/>
  <c r="J64" i="18"/>
  <c r="O52" i="17"/>
  <c r="N3" i="17"/>
  <c r="N39" i="16"/>
  <c r="O94" i="15"/>
  <c r="N74" i="15"/>
  <c r="N4" i="15"/>
  <c r="J62" i="16"/>
  <c r="N11" i="15"/>
  <c r="N51" i="17"/>
  <c r="O110" i="15"/>
  <c r="O50" i="17"/>
  <c r="N13" i="17"/>
  <c r="N105" i="15"/>
  <c r="N59" i="15"/>
  <c r="N50" i="16"/>
  <c r="N91" i="15"/>
  <c r="N96" i="15"/>
  <c r="N5" i="17"/>
  <c r="N6" i="15"/>
  <c r="G15" i="18"/>
  <c r="G11" i="16"/>
  <c r="O108" i="15"/>
  <c r="J32" i="18"/>
  <c r="J15" i="17"/>
  <c r="N48" i="16"/>
  <c r="N80" i="15"/>
  <c r="N23" i="16"/>
  <c r="J32" i="17"/>
  <c r="N111" i="15"/>
  <c r="N102" i="15"/>
  <c r="J21" i="18"/>
  <c r="J34" i="17"/>
  <c r="N120" i="15"/>
  <c r="N21" i="16"/>
  <c r="N70" i="15"/>
  <c r="N7" i="15"/>
  <c r="N47" i="17"/>
  <c r="O123" i="15"/>
  <c r="J20" i="17"/>
  <c r="J10" i="17"/>
  <c r="N45" i="15"/>
  <c r="N43" i="17"/>
  <c r="J30" i="17"/>
  <c r="N54" i="17"/>
  <c r="O113" i="15"/>
  <c r="N38" i="18"/>
  <c r="J9" i="18"/>
  <c r="N53" i="17"/>
  <c r="J27" i="17"/>
  <c r="N26" i="16"/>
  <c r="O128" i="15"/>
  <c r="N118" i="15"/>
  <c r="N44" i="15"/>
  <c r="N74" i="18"/>
  <c r="N12" i="18"/>
  <c r="O34" i="17"/>
  <c r="N11" i="17"/>
  <c r="N57" i="16"/>
  <c r="U32" i="16"/>
  <c r="N121" i="15"/>
  <c r="N73" i="18"/>
  <c r="N4" i="18"/>
  <c r="O19" i="17"/>
  <c r="N8" i="17"/>
  <c r="N41" i="16"/>
  <c r="N64" i="18"/>
  <c r="N11" i="18"/>
  <c r="O42" i="17"/>
  <c r="N7" i="17"/>
  <c r="N64" i="16"/>
  <c r="N68" i="18"/>
  <c r="N5" i="18"/>
  <c r="O25" i="17"/>
  <c r="N6" i="17"/>
  <c r="N32" i="16"/>
  <c r="O116" i="15"/>
  <c r="N77" i="15"/>
  <c r="N44" i="18"/>
  <c r="J25" i="18"/>
  <c r="N72" i="18"/>
  <c r="J54" i="18"/>
  <c r="O41" i="17"/>
  <c r="J40" i="17"/>
  <c r="N27" i="16"/>
  <c r="O125" i="15"/>
  <c r="N84" i="15"/>
  <c r="N78" i="18"/>
  <c r="O100" i="15"/>
  <c r="N8" i="15"/>
  <c r="N12" i="17"/>
  <c r="N113" i="15"/>
  <c r="N52" i="16"/>
  <c r="J19" i="17"/>
  <c r="N117" i="15"/>
  <c r="N3" i="15"/>
  <c r="N29" i="16"/>
  <c r="N65" i="15"/>
  <c r="N83" i="15"/>
  <c r="G5" i="17"/>
  <c r="N6" i="16"/>
  <c r="O51" i="17"/>
  <c r="N16" i="15"/>
  <c r="J52" i="16"/>
  <c r="N54" i="15"/>
  <c r="O35" i="17"/>
  <c r="O122" i="15"/>
  <c r="N104" i="15"/>
  <c r="J58" i="18"/>
  <c r="J58" i="17"/>
  <c r="N53" i="16"/>
  <c r="J57" i="18"/>
  <c r="J50" i="17"/>
  <c r="N70" i="18"/>
  <c r="J83" i="18"/>
  <c r="J57" i="17"/>
  <c r="N31" i="18"/>
  <c r="N67" i="18"/>
  <c r="J37" i="17"/>
  <c r="N20" i="17"/>
  <c r="N66" i="16"/>
  <c r="N85" i="15"/>
  <c r="N44" i="17"/>
  <c r="N55" i="17"/>
  <c r="N14" i="16"/>
  <c r="N72" i="15"/>
  <c r="N23" i="18"/>
  <c r="J11" i="17"/>
  <c r="N93" i="15"/>
  <c r="N15" i="16"/>
  <c r="J33" i="17"/>
  <c r="N46" i="15"/>
  <c r="N5" i="16"/>
  <c r="N94" i="15"/>
  <c r="N45" i="18"/>
  <c r="O96" i="15"/>
  <c r="N50" i="15"/>
  <c r="N68" i="15"/>
  <c r="N11" i="16"/>
  <c r="G5" i="18"/>
  <c r="N32" i="17"/>
  <c r="J18" i="18"/>
  <c r="N7" i="18"/>
  <c r="N65" i="16"/>
  <c r="N53" i="15"/>
  <c r="J52" i="18"/>
  <c r="N19" i="15"/>
  <c r="N28" i="18"/>
  <c r="J7" i="18"/>
  <c r="N49" i="17"/>
  <c r="J18" i="17"/>
  <c r="N13" i="16"/>
  <c r="O127" i="15"/>
  <c r="N116" i="15"/>
  <c r="N14" i="15"/>
  <c r="N60" i="18"/>
  <c r="J74" i="18"/>
  <c r="N16" i="17"/>
  <c r="N38" i="16"/>
  <c r="N75" i="18"/>
  <c r="O28" i="17"/>
  <c r="N58" i="18"/>
  <c r="O20" i="17"/>
  <c r="N37" i="16"/>
  <c r="O27" i="17"/>
  <c r="N57" i="15"/>
  <c r="N62" i="15"/>
  <c r="N34" i="18"/>
  <c r="G10" i="18"/>
  <c r="N22" i="17"/>
  <c r="J39" i="16"/>
  <c r="N12" i="16"/>
  <c r="O126" i="15"/>
  <c r="N89" i="15"/>
  <c r="N12" i="15"/>
  <c r="N69" i="18"/>
  <c r="J61" i="18"/>
  <c r="O36" i="17"/>
  <c r="J35" i="17"/>
  <c r="N17" i="16"/>
  <c r="O121" i="15"/>
  <c r="N110" i="15"/>
  <c r="N61" i="18"/>
  <c r="J53" i="18"/>
  <c r="O48" i="17"/>
  <c r="J45" i="17"/>
  <c r="N16" i="16"/>
  <c r="N53" i="18"/>
  <c r="J29" i="17"/>
  <c r="J79" i="18"/>
  <c r="N103" i="15"/>
  <c r="N17" i="15"/>
  <c r="O22" i="17"/>
  <c r="N58" i="15"/>
  <c r="N37" i="17"/>
  <c r="N88" i="15"/>
  <c r="N37" i="18"/>
  <c r="N46" i="17"/>
  <c r="O38" i="17"/>
  <c r="J69" i="16"/>
  <c r="N78" i="15"/>
  <c r="N79" i="18"/>
  <c r="N14" i="18"/>
  <c r="O39" i="17"/>
  <c r="N35" i="17"/>
  <c r="N49" i="16"/>
  <c r="J42" i="16"/>
  <c r="O109" i="15"/>
  <c r="N66" i="15"/>
  <c r="N9" i="15"/>
  <c r="N57" i="18"/>
  <c r="J23" i="18"/>
  <c r="O33" i="17"/>
  <c r="J31" i="17"/>
  <c r="N18" i="16"/>
  <c r="O120" i="15"/>
  <c r="N108" i="15"/>
  <c r="N56" i="18"/>
  <c r="J22" i="18"/>
  <c r="N52" i="17"/>
  <c r="J12" i="17"/>
  <c r="N25" i="16"/>
  <c r="N48" i="18"/>
  <c r="J29" i="18"/>
  <c r="N36" i="17"/>
  <c r="J17" i="17"/>
  <c r="N24" i="16"/>
  <c r="N76" i="18"/>
  <c r="J26" i="18"/>
  <c r="N27" i="17"/>
  <c r="J13" i="17"/>
  <c r="N22" i="16"/>
  <c r="N95" i="15"/>
  <c r="N69" i="15"/>
  <c r="N27" i="18"/>
  <c r="O55" i="17"/>
  <c r="N36" i="18"/>
  <c r="G11" i="18"/>
  <c r="N52" i="15"/>
  <c r="N81" i="15"/>
  <c r="N123" i="15"/>
  <c r="N15" i="15"/>
  <c r="N51" i="18"/>
  <c r="N8" i="18"/>
  <c r="N15" i="17"/>
  <c r="J67" i="16"/>
  <c r="O119" i="15"/>
  <c r="J8" i="18"/>
  <c r="N119" i="15"/>
  <c r="J43" i="16"/>
  <c r="N29" i="18"/>
  <c r="N46" i="18"/>
  <c r="J82" i="18"/>
  <c r="O43" i="17"/>
  <c r="N17" i="17"/>
  <c r="N34" i="16"/>
  <c r="T32" i="16"/>
  <c r="O107" i="15"/>
  <c r="N61" i="15"/>
  <c r="N60" i="15"/>
  <c r="N20" i="18"/>
  <c r="G17" i="18"/>
  <c r="J17" i="18" s="1"/>
  <c r="N25" i="17"/>
  <c r="J16" i="17"/>
  <c r="N4" i="16"/>
  <c r="O118" i="15"/>
  <c r="N67" i="15"/>
  <c r="N42" i="18"/>
  <c r="N29" i="17"/>
  <c r="N67" i="16"/>
  <c r="N3" i="16"/>
  <c r="N41" i="18"/>
  <c r="G16" i="18"/>
  <c r="N21" i="17"/>
  <c r="N59" i="16"/>
  <c r="J71" i="16"/>
  <c r="N21" i="18"/>
  <c r="G14" i="18"/>
  <c r="N28" i="17"/>
  <c r="N43" i="16"/>
  <c r="J45" i="16"/>
  <c r="N101" i="15"/>
  <c r="N52" i="18"/>
  <c r="N10" i="18"/>
  <c r="O29" i="17"/>
  <c r="N18" i="18"/>
  <c r="O30" i="17"/>
  <c r="N19" i="17"/>
  <c r="N46" i="16"/>
  <c r="J44" i="16"/>
  <c r="N124" i="15"/>
  <c r="N18" i="15"/>
  <c r="N63" i="16"/>
  <c r="N64" i="15"/>
  <c r="J56" i="18"/>
  <c r="O114" i="15"/>
  <c r="N10" i="15"/>
  <c r="O45" i="17"/>
  <c r="O104" i="15"/>
  <c r="N51" i="16"/>
  <c r="N4" i="17"/>
  <c r="N97" i="15"/>
  <c r="N76" i="15"/>
  <c r="O32" i="17"/>
  <c r="N99" i="15"/>
  <c r="N122" i="15"/>
  <c r="N130" i="15"/>
  <c r="J28" i="17"/>
  <c r="N114" i="15"/>
  <c r="J10" i="18"/>
  <c r="N28" i="16"/>
  <c r="N98" i="15"/>
  <c r="O105" i="15"/>
  <c r="N43" i="18"/>
  <c r="O111" i="15"/>
  <c r="G10" i="16"/>
  <c r="N65" i="18"/>
  <c r="N39" i="17"/>
  <c r="N106" i="15"/>
  <c r="G13" i="18"/>
  <c r="N20" i="16"/>
  <c r="N31" i="17"/>
  <c r="N54" i="16"/>
  <c r="N73" i="15"/>
  <c r="N8" i="16"/>
  <c r="O97" i="15"/>
  <c r="N47" i="15"/>
  <c r="O49" i="17"/>
  <c r="T33" i="16"/>
  <c r="O95" i="15"/>
  <c r="N30" i="18"/>
  <c r="N22" i="18"/>
  <c r="N10" i="16"/>
  <c r="N9" i="16"/>
  <c r="G6" i="17"/>
  <c r="N26" i="18"/>
  <c r="N126" i="15"/>
  <c r="N86" i="15"/>
  <c r="N13" i="15"/>
  <c r="N82" i="15"/>
  <c r="N40" i="17"/>
  <c r="S48" i="16" l="1"/>
  <c r="S24" i="17"/>
  <c r="S30" i="17"/>
  <c r="S29" i="17"/>
  <c r="S7" i="17"/>
  <c r="S19" i="18"/>
  <c r="S37" i="16"/>
  <c r="S17" i="17"/>
  <c r="S48" i="18"/>
  <c r="S65" i="16"/>
  <c r="S13" i="17"/>
  <c r="S52" i="18"/>
  <c r="S43" i="16"/>
  <c r="S58" i="16"/>
  <c r="S26" i="17"/>
  <c r="S40" i="16"/>
  <c r="S39" i="16"/>
  <c r="S9" i="17"/>
  <c r="S33" i="17"/>
  <c r="S36" i="17"/>
  <c r="S17" i="18"/>
  <c r="S30" i="18"/>
  <c r="S50" i="18"/>
  <c r="S60" i="18"/>
  <c r="S10" i="18"/>
  <c r="S23" i="18"/>
  <c r="S51" i="18"/>
  <c r="S55" i="18"/>
  <c r="S42" i="16"/>
  <c r="S41" i="16"/>
  <c r="S11" i="17"/>
  <c r="S28" i="17"/>
  <c r="S53" i="17"/>
  <c r="S18" i="18"/>
  <c r="S24" i="18"/>
  <c r="S75" i="18"/>
  <c r="S79" i="18"/>
  <c r="S44" i="16"/>
  <c r="S66" i="16"/>
  <c r="S67" i="16"/>
  <c r="S8" i="17"/>
  <c r="S15" i="17"/>
  <c r="S25" i="17"/>
  <c r="S46" i="17"/>
  <c r="S8" i="18"/>
  <c r="S27" i="18"/>
  <c r="S77" i="18"/>
  <c r="S53" i="18"/>
  <c r="S36" i="16"/>
  <c r="S12" i="17"/>
  <c r="S10" i="17"/>
  <c r="S41" i="17"/>
  <c r="S54" i="17"/>
  <c r="S20" i="18"/>
  <c r="S49" i="18"/>
  <c r="S54" i="18"/>
  <c r="S53" i="16"/>
  <c r="S45" i="16"/>
  <c r="S14" i="17"/>
  <c r="S18" i="17"/>
  <c r="S27" i="17"/>
  <c r="S31" i="17"/>
  <c r="S12" i="18"/>
  <c r="S21" i="18"/>
  <c r="S57" i="18"/>
  <c r="S70" i="18"/>
  <c r="S63" i="16"/>
  <c r="S38" i="16"/>
  <c r="S16" i="17"/>
  <c r="S23" i="17"/>
  <c r="S51" i="17"/>
  <c r="S55" i="17"/>
  <c r="S7" i="18"/>
  <c r="S9" i="18"/>
  <c r="S22" i="18"/>
  <c r="S65" i="18"/>
  <c r="S78" i="18"/>
  <c r="S35" i="16"/>
  <c r="L130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J91" i="15"/>
  <c r="S83" i="15" s="1"/>
  <c r="J89" i="15"/>
  <c r="S81" i="15" s="1"/>
  <c r="J88" i="15"/>
  <c r="S80" i="15" s="1"/>
  <c r="J87" i="15"/>
  <c r="S79" i="15" s="1"/>
  <c r="J86" i="15"/>
  <c r="S78" i="15" s="1"/>
  <c r="J84" i="15"/>
  <c r="S76" i="15" s="1"/>
  <c r="J83" i="15"/>
  <c r="S75" i="15" s="1"/>
  <c r="J82" i="15"/>
  <c r="S74" i="15" s="1"/>
  <c r="J81" i="15"/>
  <c r="S73" i="15" s="1"/>
  <c r="J79" i="15"/>
  <c r="S71" i="15" s="1"/>
  <c r="J78" i="15"/>
  <c r="S70" i="15" s="1"/>
  <c r="J77" i="15"/>
  <c r="S69" i="15" s="1"/>
  <c r="J76" i="15"/>
  <c r="S68" i="15" s="1"/>
  <c r="J74" i="15"/>
  <c r="S66" i="15" s="1"/>
  <c r="J73" i="15"/>
  <c r="S65" i="15" s="1"/>
  <c r="J71" i="15"/>
  <c r="S63" i="15" s="1"/>
  <c r="J62" i="15"/>
  <c r="S54" i="15" s="1"/>
  <c r="J61" i="15"/>
  <c r="S53" i="15" s="1"/>
  <c r="J60" i="15"/>
  <c r="S52" i="15" s="1"/>
  <c r="J59" i="15"/>
  <c r="S51" i="15" s="1"/>
  <c r="J58" i="15"/>
  <c r="S50" i="15" s="1"/>
  <c r="J23" i="15"/>
  <c r="S21" i="15" s="1"/>
  <c r="J22" i="15"/>
  <c r="S20" i="15" s="1"/>
  <c r="J21" i="15"/>
  <c r="S19" i="15" s="1"/>
  <c r="J20" i="15"/>
  <c r="S18" i="15" s="1"/>
  <c r="J19" i="15"/>
  <c r="S17" i="15" s="1"/>
  <c r="J17" i="15"/>
  <c r="S15" i="15" s="1"/>
  <c r="J16" i="15"/>
  <c r="S14" i="15" s="1"/>
  <c r="J14" i="15"/>
  <c r="S12" i="15" s="1"/>
  <c r="J13" i="15"/>
  <c r="S11" i="15" s="1"/>
  <c r="J12" i="15"/>
  <c r="S10" i="15" s="1"/>
  <c r="J6" i="15"/>
  <c r="S6" i="15" s="1"/>
  <c r="J5" i="15"/>
  <c r="S5" i="15" s="1"/>
  <c r="S3" i="15"/>
  <c r="J33" i="14"/>
  <c r="S31" i="14" s="1"/>
  <c r="J8" i="14"/>
  <c r="S6" i="14" s="1"/>
  <c r="J18" i="15"/>
  <c r="S16" i="15" s="1"/>
  <c r="J15" i="15"/>
  <c r="S13" i="15" s="1"/>
  <c r="J23" i="14"/>
  <c r="S21" i="14" s="1"/>
  <c r="J4" i="15"/>
  <c r="J13" i="18"/>
  <c r="U35" i="16"/>
  <c r="J14" i="18"/>
  <c r="T35" i="16"/>
  <c r="J16" i="18"/>
  <c r="J11" i="18"/>
  <c r="J15" i="18"/>
  <c r="U130" i="15"/>
  <c r="T130" i="15"/>
  <c r="G6" i="15"/>
  <c r="G5" i="15"/>
  <c r="S4" i="15" l="1"/>
  <c r="S15" i="18"/>
  <c r="S11" i="18"/>
  <c r="S16" i="18"/>
  <c r="S14" i="18"/>
  <c r="S13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55" i="15"/>
  <c r="M49" i="15" s="1"/>
  <c r="G55" i="15"/>
  <c r="H54" i="15"/>
  <c r="M48" i="15" s="1"/>
  <c r="G54" i="15"/>
  <c r="H53" i="15"/>
  <c r="M47" i="15" s="1"/>
  <c r="G53" i="15"/>
  <c r="H52" i="15"/>
  <c r="M46" i="15" s="1"/>
  <c r="G52" i="15"/>
  <c r="H51" i="15"/>
  <c r="M45" i="15" s="1"/>
  <c r="G51" i="15"/>
  <c r="H50" i="15"/>
  <c r="M44" i="15" s="1"/>
  <c r="G50" i="15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N21" i="14"/>
  <c r="N36" i="14"/>
  <c r="N27" i="14"/>
  <c r="N18" i="14"/>
  <c r="N6" i="14"/>
  <c r="T46" i="15"/>
  <c r="N13" i="14"/>
  <c r="N28" i="14"/>
  <c r="N19" i="14"/>
  <c r="N39" i="14"/>
  <c r="N32" i="14"/>
  <c r="T49" i="15"/>
  <c r="N5" i="14"/>
  <c r="N20" i="14"/>
  <c r="N11" i="14"/>
  <c r="N33" i="14"/>
  <c r="U48" i="15"/>
  <c r="U44" i="15"/>
  <c r="N4" i="14"/>
  <c r="N12" i="14"/>
  <c r="N26" i="14"/>
  <c r="N31" i="14"/>
  <c r="U47" i="15"/>
  <c r="U49" i="15"/>
  <c r="N10" i="14"/>
  <c r="N25" i="14"/>
  <c r="N9" i="14"/>
  <c r="N38" i="14"/>
  <c r="U46" i="15"/>
  <c r="U45" i="15"/>
  <c r="N17" i="14"/>
  <c r="N24" i="14"/>
  <c r="N8" i="14"/>
  <c r="N30" i="14"/>
  <c r="T45" i="15"/>
  <c r="T44" i="15"/>
  <c r="N16" i="14"/>
  <c r="N15" i="14"/>
  <c r="N22" i="14"/>
  <c r="T48" i="15"/>
  <c r="N29" i="14"/>
  <c r="N34" i="14"/>
  <c r="T47" i="15"/>
  <c r="N7" i="14"/>
  <c r="N23" i="14"/>
  <c r="N14" i="14"/>
  <c r="N37" i="14"/>
  <c r="N35" i="14"/>
  <c r="M32" i="14" l="1"/>
  <c r="M6" i="14"/>
  <c r="M14" i="14"/>
  <c r="M22" i="14"/>
  <c r="M30" i="14"/>
  <c r="M38" i="14"/>
  <c r="M31" i="14"/>
  <c r="M33" i="14"/>
  <c r="M39" i="14"/>
  <c r="M18" i="14"/>
  <c r="M34" i="14"/>
  <c r="M15" i="14"/>
  <c r="M8" i="14"/>
  <c r="M9" i="14"/>
  <c r="M26" i="14"/>
  <c r="M11" i="14"/>
  <c r="M19" i="14"/>
  <c r="M27" i="14"/>
  <c r="M35" i="14"/>
  <c r="M7" i="14"/>
  <c r="M24" i="14"/>
  <c r="M25" i="14"/>
  <c r="M12" i="14"/>
  <c r="M20" i="14"/>
  <c r="M28" i="14"/>
  <c r="M36" i="14"/>
  <c r="M23" i="14"/>
  <c r="M16" i="14"/>
  <c r="M17" i="14"/>
  <c r="M10" i="14"/>
  <c r="M4" i="14"/>
  <c r="M5" i="14"/>
  <c r="M13" i="14"/>
  <c r="M21" i="14"/>
  <c r="M29" i="14"/>
  <c r="M37" i="14"/>
  <c r="M94" i="15"/>
  <c r="L79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2" i="18"/>
  <c r="G9" i="18"/>
  <c r="G8" i="18"/>
  <c r="G7" i="18"/>
  <c r="G4" i="18"/>
  <c r="H1" i="18"/>
  <c r="H3" i="18" s="1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H8" i="17"/>
  <c r="H18" i="17" s="1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G4" i="17"/>
  <c r="U45" i="17"/>
  <c r="T35" i="17"/>
  <c r="U48" i="17"/>
  <c r="U40" i="17"/>
  <c r="T47" i="17"/>
  <c r="T19" i="17"/>
  <c r="U42" i="17"/>
  <c r="U34" i="17"/>
  <c r="T37" i="17"/>
  <c r="U22" i="17"/>
  <c r="T48" i="17"/>
  <c r="T34" i="17"/>
  <c r="U21" i="17"/>
  <c r="U19" i="17"/>
  <c r="T21" i="17"/>
  <c r="U50" i="17"/>
  <c r="T44" i="17"/>
  <c r="T43" i="17"/>
  <c r="U43" i="17"/>
  <c r="T49" i="17"/>
  <c r="U35" i="17"/>
  <c r="U44" i="17"/>
  <c r="U37" i="17"/>
  <c r="U38" i="17"/>
  <c r="T42" i="17"/>
  <c r="U47" i="17"/>
  <c r="T40" i="17"/>
  <c r="U20" i="17"/>
  <c r="T45" i="17"/>
  <c r="T50" i="17"/>
  <c r="T39" i="17"/>
  <c r="T32" i="17"/>
  <c r="T38" i="17"/>
  <c r="U39" i="17"/>
  <c r="U52" i="17"/>
  <c r="U32" i="17"/>
  <c r="T20" i="17"/>
  <c r="T22" i="17"/>
  <c r="T52" i="17"/>
  <c r="U49" i="17"/>
  <c r="H6" i="17" l="1"/>
  <c r="H3" i="17"/>
  <c r="H12" i="17"/>
  <c r="H14" i="17"/>
  <c r="H15" i="17"/>
  <c r="H13" i="17"/>
  <c r="H16" i="17"/>
  <c r="H19" i="17"/>
  <c r="H11" i="17"/>
  <c r="H5" i="17"/>
  <c r="H20" i="17"/>
  <c r="H4" i="17"/>
  <c r="H17" i="17"/>
  <c r="H10" i="17"/>
  <c r="AH23" i="16"/>
  <c r="AM23" i="16" s="1"/>
  <c r="AH22" i="16"/>
  <c r="AM22" i="16" s="1"/>
  <c r="AH21" i="16"/>
  <c r="AM21" i="16" s="1"/>
  <c r="AH20" i="16"/>
  <c r="AM20" i="16" s="1"/>
  <c r="AH19" i="16"/>
  <c r="AM19" i="16" s="1"/>
  <c r="AH18" i="16"/>
  <c r="AM18" i="16" s="1"/>
  <c r="AH17" i="16"/>
  <c r="AM17" i="16" s="1"/>
  <c r="AH16" i="16"/>
  <c r="AM16" i="16" s="1"/>
  <c r="AH15" i="16"/>
  <c r="AM15" i="16" s="1"/>
  <c r="AH14" i="16"/>
  <c r="AM14" i="16" s="1"/>
  <c r="AH13" i="16"/>
  <c r="AM13" i="16" s="1"/>
  <c r="AH12" i="16"/>
  <c r="AM12" i="16" s="1"/>
  <c r="AH11" i="16"/>
  <c r="AM11" i="16" s="1"/>
  <c r="G36" i="16"/>
  <c r="H36" i="16"/>
  <c r="G37" i="16"/>
  <c r="H37" i="16"/>
  <c r="G38" i="16"/>
  <c r="H38" i="16"/>
  <c r="L67" i="16"/>
  <c r="L66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4" i="16"/>
  <c r="AH23" i="15" l="1"/>
  <c r="AM23" i="15" s="1"/>
  <c r="AH22" i="15"/>
  <c r="AM22" i="15" s="1"/>
  <c r="AH21" i="15"/>
  <c r="AM21" i="15" s="1"/>
  <c r="AH20" i="15"/>
  <c r="AM20" i="15" s="1"/>
  <c r="AH19" i="15"/>
  <c r="AM19" i="15" s="1"/>
  <c r="AH18" i="15"/>
  <c r="AM18" i="15" s="1"/>
  <c r="AH17" i="15"/>
  <c r="AM17" i="15" s="1"/>
  <c r="AH16" i="15"/>
  <c r="AM16" i="15" s="1"/>
  <c r="AH15" i="15"/>
  <c r="AM15" i="15" s="1"/>
  <c r="AH14" i="15"/>
  <c r="AM14" i="15" s="1"/>
  <c r="AH13" i="15"/>
  <c r="AM13" i="15" s="1"/>
  <c r="AH12" i="15"/>
  <c r="AM12" i="15" s="1"/>
  <c r="AH11" i="15"/>
  <c r="AM11" i="15" s="1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3" i="15"/>
  <c r="G102" i="15"/>
  <c r="G101" i="15"/>
  <c r="G100" i="15"/>
  <c r="G99" i="15"/>
  <c r="G98" i="15"/>
  <c r="G97" i="15"/>
  <c r="H103" i="15"/>
  <c r="M93" i="15" s="1"/>
  <c r="H102" i="15"/>
  <c r="M92" i="15" s="1"/>
  <c r="H101" i="15"/>
  <c r="M91" i="15" s="1"/>
  <c r="H100" i="15"/>
  <c r="M90" i="15" s="1"/>
  <c r="H99" i="15"/>
  <c r="M89" i="15" s="1"/>
  <c r="H98" i="15"/>
  <c r="M88" i="15" s="1"/>
  <c r="H97" i="15"/>
  <c r="M87" i="15" s="1"/>
  <c r="H58" i="15"/>
  <c r="M50" i="15" s="1"/>
  <c r="H94" i="15"/>
  <c r="H93" i="15"/>
  <c r="H92" i="15"/>
  <c r="H91" i="15"/>
  <c r="M83" i="15" s="1"/>
  <c r="H90" i="15"/>
  <c r="H89" i="15"/>
  <c r="M81" i="15" s="1"/>
  <c r="H88" i="15"/>
  <c r="M80" i="15" s="1"/>
  <c r="H87" i="15"/>
  <c r="M79" i="15" s="1"/>
  <c r="H86" i="15"/>
  <c r="M78" i="15" s="1"/>
  <c r="H85" i="15"/>
  <c r="H84" i="15"/>
  <c r="M76" i="15" s="1"/>
  <c r="H83" i="15"/>
  <c r="M75" i="15" s="1"/>
  <c r="H82" i="15"/>
  <c r="M74" i="15" s="1"/>
  <c r="H81" i="15"/>
  <c r="M73" i="15" s="1"/>
  <c r="H80" i="15"/>
  <c r="H79" i="15"/>
  <c r="M71" i="15" s="1"/>
  <c r="H78" i="15"/>
  <c r="M70" i="15" s="1"/>
  <c r="H77" i="15"/>
  <c r="M69" i="15" s="1"/>
  <c r="H76" i="15"/>
  <c r="M68" i="15" s="1"/>
  <c r="H75" i="15"/>
  <c r="H74" i="15"/>
  <c r="M66" i="15" s="1"/>
  <c r="H73" i="15"/>
  <c r="M65" i="15" s="1"/>
  <c r="H72" i="15"/>
  <c r="H71" i="15"/>
  <c r="M63" i="15" s="1"/>
  <c r="H70" i="15"/>
  <c r="H69" i="15"/>
  <c r="H68" i="15"/>
  <c r="H67" i="15"/>
  <c r="H66" i="15"/>
  <c r="H65" i="15"/>
  <c r="H64" i="15"/>
  <c r="H63" i="15"/>
  <c r="H62" i="15"/>
  <c r="M54" i="15" s="1"/>
  <c r="H61" i="15"/>
  <c r="M53" i="15" s="1"/>
  <c r="H60" i="15"/>
  <c r="M52" i="15" s="1"/>
  <c r="H59" i="15"/>
  <c r="M51" i="15" s="1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J75" i="15"/>
  <c r="J65" i="15"/>
  <c r="J68" i="15"/>
  <c r="J63" i="15"/>
  <c r="J80" i="15"/>
  <c r="J90" i="15"/>
  <c r="J93" i="15"/>
  <c r="J67" i="15"/>
  <c r="J72" i="15"/>
  <c r="J66" i="15"/>
  <c r="J94" i="15"/>
  <c r="J64" i="15"/>
  <c r="J85" i="15"/>
  <c r="J70" i="15"/>
  <c r="J69" i="15"/>
  <c r="J92" i="15"/>
  <c r="S57" i="15" l="1"/>
  <c r="S84" i="15"/>
  <c r="S62" i="15"/>
  <c r="S56" i="15"/>
  <c r="S58" i="15"/>
  <c r="S59" i="15"/>
  <c r="S82" i="15"/>
  <c r="S55" i="15"/>
  <c r="S67" i="15"/>
  <c r="S61" i="15"/>
  <c r="S77" i="15"/>
  <c r="S86" i="15"/>
  <c r="S64" i="15"/>
  <c r="S85" i="15"/>
  <c r="S72" i="15"/>
  <c r="S60" i="15"/>
  <c r="M72" i="15"/>
  <c r="M57" i="15"/>
  <c r="M62" i="15"/>
  <c r="M55" i="15"/>
  <c r="M59" i="15"/>
  <c r="M67" i="15"/>
  <c r="M86" i="15"/>
  <c r="M64" i="15"/>
  <c r="M60" i="15"/>
  <c r="M84" i="15"/>
  <c r="M56" i="15"/>
  <c r="M58" i="15"/>
  <c r="M82" i="15"/>
  <c r="M61" i="15"/>
  <c r="M77" i="15"/>
  <c r="M85" i="15"/>
  <c r="L94" i="15"/>
  <c r="G7" i="15"/>
  <c r="G8" i="15"/>
  <c r="G9" i="15"/>
  <c r="G4" i="15"/>
  <c r="D47" i="1" l="1"/>
  <c r="I31" i="1"/>
  <c r="D31" i="1"/>
  <c r="I15" i="1"/>
  <c r="AH23" i="14" l="1"/>
  <c r="AM23" i="14" s="1"/>
  <c r="AH22" i="14"/>
  <c r="AM22" i="14" s="1"/>
  <c r="AH21" i="14"/>
  <c r="AM21" i="14" s="1"/>
  <c r="AH20" i="14"/>
  <c r="AM20" i="14" s="1"/>
  <c r="AH19" i="14"/>
  <c r="AM19" i="14" s="1"/>
  <c r="AH18" i="14"/>
  <c r="AM18" i="14" s="1"/>
  <c r="AH17" i="14"/>
  <c r="AM17" i="14" s="1"/>
  <c r="AH16" i="14"/>
  <c r="AM16" i="14" s="1"/>
  <c r="AH15" i="14"/>
  <c r="AM15" i="14" s="1"/>
  <c r="AH14" i="14"/>
  <c r="AM14" i="14" s="1"/>
  <c r="AH13" i="14"/>
  <c r="AM13" i="14" s="1"/>
  <c r="AH12" i="14"/>
  <c r="AM12" i="14" s="1"/>
  <c r="AH11" i="14"/>
  <c r="AM11" i="14" s="1"/>
  <c r="W1" i="14"/>
  <c r="L34" i="14"/>
  <c r="L35" i="14"/>
  <c r="L36" i="14"/>
  <c r="L37" i="14"/>
  <c r="L38" i="14"/>
  <c r="L39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4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3" i="14"/>
  <c r="D15" i="1"/>
  <c r="J35" i="14"/>
  <c r="J34" i="14"/>
  <c r="J9" i="14"/>
  <c r="J15" i="14"/>
  <c r="J20" i="14"/>
  <c r="AJ23" i="14"/>
  <c r="U113" i="15"/>
  <c r="T112" i="15"/>
  <c r="T103" i="15"/>
  <c r="T107" i="15"/>
  <c r="T105" i="15"/>
  <c r="T117" i="15"/>
  <c r="AJ17" i="16"/>
  <c r="U110" i="15"/>
  <c r="T126" i="15"/>
  <c r="T128" i="15"/>
  <c r="T115" i="15"/>
  <c r="U99" i="15"/>
  <c r="U105" i="15"/>
  <c r="AJ20" i="16"/>
  <c r="J17" i="14"/>
  <c r="J6" i="14"/>
  <c r="U126" i="15"/>
  <c r="AJ16" i="15"/>
  <c r="AJ15" i="14"/>
  <c r="U129" i="15"/>
  <c r="T118" i="15"/>
  <c r="T123" i="15"/>
  <c r="AJ22" i="17"/>
  <c r="J11" i="14"/>
  <c r="J32" i="14"/>
  <c r="T95" i="15"/>
  <c r="U94" i="15"/>
  <c r="AJ17" i="15"/>
  <c r="U108" i="15"/>
  <c r="U96" i="15"/>
  <c r="U102" i="15"/>
  <c r="U121" i="15"/>
  <c r="AJ13" i="17"/>
  <c r="AJ21" i="15"/>
  <c r="J37" i="14"/>
  <c r="J28" i="14"/>
  <c r="T97" i="15"/>
  <c r="T98" i="15"/>
  <c r="AJ20" i="15"/>
  <c r="AJ22" i="15"/>
  <c r="AJ14" i="17"/>
  <c r="AJ14" i="14"/>
  <c r="U118" i="15"/>
  <c r="J13" i="14"/>
  <c r="U97" i="15"/>
  <c r="AJ23" i="16"/>
  <c r="U100" i="15"/>
  <c r="T94" i="15"/>
  <c r="T127" i="15"/>
  <c r="T108" i="15"/>
  <c r="AJ19" i="15"/>
  <c r="J30" i="14"/>
  <c r="U111" i="15"/>
  <c r="AJ11" i="17"/>
  <c r="U114" i="15"/>
  <c r="AJ12" i="14"/>
  <c r="AJ18" i="15"/>
  <c r="U122" i="15"/>
  <c r="J21" i="14"/>
  <c r="J12" i="14"/>
  <c r="T101" i="15"/>
  <c r="U120" i="15"/>
  <c r="AJ17" i="17"/>
  <c r="U107" i="15"/>
  <c r="J27" i="14"/>
  <c r="J18" i="14"/>
  <c r="J14" i="14"/>
  <c r="J38" i="14"/>
  <c r="T106" i="15"/>
  <c r="U103" i="15"/>
  <c r="AJ16" i="14"/>
  <c r="U117" i="15"/>
  <c r="U127" i="15"/>
  <c r="AJ23" i="15"/>
  <c r="T109" i="15"/>
  <c r="AJ13" i="15"/>
  <c r="T99" i="15"/>
  <c r="T124" i="15"/>
  <c r="U119" i="15"/>
  <c r="AJ17" i="14"/>
  <c r="U98" i="15"/>
  <c r="T114" i="15"/>
  <c r="T121" i="15"/>
  <c r="AJ12" i="17"/>
  <c r="J19" i="14"/>
  <c r="J40" i="14"/>
  <c r="AJ11" i="14"/>
  <c r="T102" i="15"/>
  <c r="T100" i="15"/>
  <c r="U128" i="15"/>
  <c r="T111" i="15"/>
  <c r="AJ20" i="17"/>
  <c r="AJ16" i="16"/>
  <c r="AJ11" i="15"/>
  <c r="J22" i="14"/>
  <c r="J29" i="14"/>
  <c r="T119" i="15"/>
  <c r="AJ14" i="16"/>
  <c r="T110" i="15"/>
  <c r="AJ19" i="16"/>
  <c r="U125" i="15"/>
  <c r="T125" i="15"/>
  <c r="T96" i="15"/>
  <c r="J26" i="14"/>
  <c r="J24" i="14"/>
  <c r="T113" i="15"/>
  <c r="T104" i="15"/>
  <c r="U95" i="15"/>
  <c r="AJ13" i="16"/>
  <c r="T120" i="15"/>
  <c r="U124" i="15"/>
  <c r="J10" i="14"/>
  <c r="AJ15" i="15"/>
  <c r="AJ14" i="15"/>
  <c r="U106" i="15"/>
  <c r="AJ19" i="14"/>
  <c r="AJ21" i="17"/>
  <c r="J36" i="14"/>
  <c r="U115" i="15"/>
  <c r="AJ13" i="14"/>
  <c r="AJ21" i="14"/>
  <c r="J31" i="14"/>
  <c r="T116" i="15"/>
  <c r="AJ22" i="16"/>
  <c r="AJ16" i="17"/>
  <c r="AJ15" i="16"/>
  <c r="T129" i="15"/>
  <c r="AJ23" i="17"/>
  <c r="U101" i="15"/>
  <c r="J7" i="14"/>
  <c r="AJ22" i="14"/>
  <c r="J41" i="14"/>
  <c r="U123" i="15"/>
  <c r="AJ12" i="15"/>
  <c r="T122" i="15"/>
  <c r="J25" i="14"/>
  <c r="AJ19" i="17"/>
  <c r="AJ20" i="14"/>
  <c r="AJ21" i="16"/>
  <c r="U116" i="15"/>
  <c r="AJ18" i="14"/>
  <c r="J16" i="14"/>
  <c r="U104" i="15"/>
  <c r="AJ18" i="17"/>
  <c r="J39" i="14"/>
  <c r="AJ11" i="16"/>
  <c r="AJ18" i="16"/>
  <c r="AJ15" i="17"/>
  <c r="U112" i="15"/>
  <c r="U109" i="15"/>
  <c r="AJ12" i="16"/>
  <c r="S18" i="14" l="1"/>
  <c r="S10" i="14"/>
  <c r="S34" i="14"/>
  <c r="S5" i="14"/>
  <c r="S26" i="14"/>
  <c r="S27" i="14"/>
  <c r="S4" i="14"/>
  <c r="S36" i="14"/>
  <c r="S13" i="14"/>
  <c r="S29" i="14"/>
  <c r="S37" i="14"/>
  <c r="S14" i="14"/>
  <c r="S22" i="14"/>
  <c r="S30" i="14"/>
  <c r="S38" i="14"/>
  <c r="S12" i="14"/>
  <c r="S7" i="14"/>
  <c r="S23" i="14"/>
  <c r="S39" i="14"/>
  <c r="S11" i="14"/>
  <c r="S35" i="14"/>
  <c r="S20" i="14"/>
  <c r="S15" i="14"/>
  <c r="S16" i="14"/>
  <c r="S32" i="14"/>
  <c r="S19" i="14"/>
  <c r="S28" i="14"/>
  <c r="S8" i="14"/>
  <c r="S24" i="14"/>
  <c r="S9" i="14"/>
  <c r="S17" i="14"/>
  <c r="S25" i="14"/>
  <c r="S33" i="14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C44" i="18"/>
  <c r="H44" i="18" s="1"/>
  <c r="C43" i="18"/>
  <c r="H43" i="18" s="1"/>
  <c r="C42" i="18"/>
  <c r="H42" i="18" s="1"/>
  <c r="C41" i="18"/>
  <c r="H41" i="18" s="1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H30" i="18" s="1"/>
  <c r="C31" i="18"/>
  <c r="H31" i="18" s="1"/>
  <c r="C32" i="18"/>
  <c r="H32" i="18" s="1"/>
  <c r="C33" i="18"/>
  <c r="H33" i="18" s="1"/>
  <c r="C34" i="18"/>
  <c r="H34" i="18" s="1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H22" i="18"/>
  <c r="L10" i="18"/>
  <c r="L9" i="18"/>
  <c r="L8" i="18"/>
  <c r="L7" i="18"/>
  <c r="L6" i="18"/>
  <c r="L5" i="18"/>
  <c r="L4" i="18"/>
  <c r="L3" i="18"/>
  <c r="W1" i="18"/>
  <c r="H12" i="18"/>
  <c r="L9" i="17"/>
  <c r="L10" i="17"/>
  <c r="L11" i="17"/>
  <c r="L12" i="17"/>
  <c r="L13" i="17"/>
  <c r="L14" i="17"/>
  <c r="L15" i="17"/>
  <c r="L16" i="17"/>
  <c r="L17" i="17"/>
  <c r="L18" i="17"/>
  <c r="L8" i="17"/>
  <c r="L7" i="17"/>
  <c r="L6" i="17"/>
  <c r="L5" i="17"/>
  <c r="L4" i="17"/>
  <c r="L3" i="17"/>
  <c r="W1" i="17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W1" i="16"/>
  <c r="H8" i="16"/>
  <c r="J19" i="16"/>
  <c r="J15" i="16"/>
  <c r="J18" i="16"/>
  <c r="J26" i="16"/>
  <c r="J20" i="16"/>
  <c r="J17" i="16"/>
  <c r="J16" i="16"/>
  <c r="J8" i="16"/>
  <c r="J23" i="16"/>
  <c r="S13" i="16" l="1"/>
  <c r="S8" i="16"/>
  <c r="S21" i="16"/>
  <c r="S14" i="16"/>
  <c r="S15" i="16"/>
  <c r="S18" i="16"/>
  <c r="S24" i="16"/>
  <c r="S16" i="16"/>
  <c r="S17" i="16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H11" i="16"/>
  <c r="H12" i="16"/>
  <c r="H10" i="16"/>
  <c r="H4" i="16"/>
  <c r="H9" i="16"/>
  <c r="H7" i="16"/>
  <c r="H6" i="16"/>
  <c r="H5" i="16"/>
  <c r="L88" i="15"/>
  <c r="L89" i="15"/>
  <c r="L90" i="15"/>
  <c r="L91" i="15"/>
  <c r="L92" i="15"/>
  <c r="L93" i="15"/>
  <c r="L87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M21" i="15" s="1"/>
  <c r="H22" i="15"/>
  <c r="M20" i="15" s="1"/>
  <c r="H21" i="15"/>
  <c r="M19" i="15" s="1"/>
  <c r="H20" i="15"/>
  <c r="M18" i="15" s="1"/>
  <c r="H19" i="15"/>
  <c r="M17" i="15" s="1"/>
  <c r="H18" i="15"/>
  <c r="M16" i="15" s="1"/>
  <c r="H17" i="15"/>
  <c r="M15" i="15" s="1"/>
  <c r="H16" i="15"/>
  <c r="M14" i="15" s="1"/>
  <c r="H15" i="15"/>
  <c r="M13" i="15" s="1"/>
  <c r="H14" i="15"/>
  <c r="M12" i="15" s="1"/>
  <c r="H13" i="15"/>
  <c r="M11" i="15" s="1"/>
  <c r="H12" i="15"/>
  <c r="M10" i="15" s="1"/>
  <c r="H4" i="15"/>
  <c r="M4" i="15" s="1"/>
  <c r="H9" i="15"/>
  <c r="W1" i="15"/>
  <c r="L3" i="15"/>
  <c r="L3" i="14"/>
  <c r="H3" i="14"/>
  <c r="U26" i="18"/>
  <c r="U28" i="16"/>
  <c r="T3" i="17"/>
  <c r="J10" i="16"/>
  <c r="U6" i="17"/>
  <c r="T31" i="18"/>
  <c r="U60" i="16"/>
  <c r="T30" i="16"/>
  <c r="U59" i="16"/>
  <c r="U28" i="18"/>
  <c r="U23" i="16"/>
  <c r="U41" i="18"/>
  <c r="T54" i="16"/>
  <c r="J9" i="16"/>
  <c r="U31" i="16"/>
  <c r="T28" i="18"/>
  <c r="T52" i="16"/>
  <c r="T43" i="18"/>
  <c r="T60" i="16"/>
  <c r="U6" i="18"/>
  <c r="U3" i="17"/>
  <c r="U43" i="18"/>
  <c r="T50" i="16"/>
  <c r="J7" i="16"/>
  <c r="J9" i="15"/>
  <c r="T4" i="18"/>
  <c r="U55" i="16"/>
  <c r="U49" i="16"/>
  <c r="T59" i="16"/>
  <c r="T49" i="16"/>
  <c r="T5" i="17"/>
  <c r="U30" i="16"/>
  <c r="T29" i="16"/>
  <c r="T28" i="16"/>
  <c r="T6" i="18"/>
  <c r="T23" i="16"/>
  <c r="T41" i="18"/>
  <c r="U3" i="16"/>
  <c r="T55" i="16"/>
  <c r="T3" i="16"/>
  <c r="U5" i="17"/>
  <c r="T26" i="18"/>
  <c r="N3" i="14"/>
  <c r="U50" i="16"/>
  <c r="T26" i="16"/>
  <c r="T27" i="16"/>
  <c r="U31" i="18"/>
  <c r="U4" i="18"/>
  <c r="U52" i="16"/>
  <c r="T57" i="16"/>
  <c r="U26" i="16"/>
  <c r="U62" i="16"/>
  <c r="T31" i="16"/>
  <c r="T25" i="18"/>
  <c r="U25" i="18"/>
  <c r="T29" i="18"/>
  <c r="T47" i="16"/>
  <c r="J12" i="16"/>
  <c r="T62" i="16"/>
  <c r="U57" i="16"/>
  <c r="U3" i="18"/>
  <c r="J11" i="16"/>
  <c r="U29" i="18"/>
  <c r="T6" i="17"/>
  <c r="U47" i="16"/>
  <c r="U29" i="16"/>
  <c r="T3" i="18"/>
  <c r="U54" i="16"/>
  <c r="U27" i="16"/>
  <c r="S3" i="14" l="1"/>
  <c r="M3" i="14"/>
  <c r="S9" i="15"/>
  <c r="S7" i="16"/>
  <c r="S9" i="16"/>
  <c r="S10" i="16"/>
  <c r="S12" i="16"/>
  <c r="S11" i="16"/>
  <c r="M9" i="15"/>
  <c r="H8" i="15"/>
  <c r="H7" i="15"/>
  <c r="H5" i="15"/>
  <c r="M5" i="15" s="1"/>
  <c r="H3" i="15"/>
  <c r="M3" i="15" s="1"/>
  <c r="H6" i="15"/>
  <c r="M6" i="15" s="1"/>
  <c r="J8" i="15"/>
  <c r="J7" i="15"/>
  <c r="S7" i="15" l="1"/>
  <c r="S8" i="15"/>
  <c r="M7" i="15"/>
  <c r="M8" i="15"/>
  <c r="D7" i="1"/>
  <c r="U33" i="17"/>
  <c r="U46" i="17"/>
  <c r="T24" i="17"/>
  <c r="U36" i="17"/>
  <c r="T58" i="18"/>
  <c r="T64" i="18"/>
  <c r="U41" i="17"/>
  <c r="T46" i="17"/>
  <c r="T61" i="18"/>
  <c r="T30" i="17"/>
  <c r="U58" i="18"/>
  <c r="T23" i="17"/>
  <c r="T41" i="17"/>
  <c r="T51" i="17"/>
  <c r="U61" i="18"/>
  <c r="T25" i="17"/>
  <c r="T53" i="17"/>
  <c r="U23" i="17"/>
  <c r="U31" i="17"/>
  <c r="U51" i="17"/>
  <c r="U25" i="17"/>
  <c r="U30" i="17"/>
  <c r="T29" i="17"/>
  <c r="T31" i="17"/>
  <c r="T27" i="17"/>
  <c r="T71" i="18"/>
  <c r="U66" i="18"/>
  <c r="U53" i="17"/>
  <c r="U59" i="18"/>
  <c r="U27" i="17"/>
  <c r="U71" i="18"/>
  <c r="T63" i="18"/>
  <c r="T66" i="18"/>
  <c r="U28" i="17"/>
  <c r="U29" i="17"/>
  <c r="U68" i="18"/>
  <c r="X3" i="16" a="1"/>
  <c r="U63" i="18"/>
  <c r="U69" i="18"/>
  <c r="T28" i="17"/>
  <c r="T54" i="17"/>
  <c r="T59" i="18"/>
  <c r="U24" i="17"/>
  <c r="T55" i="17"/>
  <c r="T69" i="18"/>
  <c r="T26" i="17"/>
  <c r="U54" i="17"/>
  <c r="T33" i="17"/>
  <c r="T68" i="18"/>
  <c r="U55" i="17"/>
  <c r="T36" i="17"/>
  <c r="U26" i="17"/>
  <c r="U64" i="18"/>
  <c r="X10" i="16" l="1"/>
  <c r="X16" i="16"/>
  <c r="X27" i="16"/>
  <c r="X45" i="16"/>
  <c r="X31" i="16"/>
  <c r="X4" i="16"/>
  <c r="X5" i="16"/>
  <c r="X15" i="16"/>
  <c r="X57" i="16"/>
  <c r="X18" i="16"/>
  <c r="X48" i="16"/>
  <c r="X35" i="16"/>
  <c r="X61" i="16"/>
  <c r="X47" i="16"/>
  <c r="X12" i="16"/>
  <c r="X21" i="16"/>
  <c r="X39" i="16"/>
  <c r="X26" i="16"/>
  <c r="X25" i="16"/>
  <c r="X43" i="16"/>
  <c r="X6" i="16"/>
  <c r="X63" i="16"/>
  <c r="X20" i="16"/>
  <c r="X37" i="16"/>
  <c r="X55" i="16"/>
  <c r="X34" i="16"/>
  <c r="X49" i="16"/>
  <c r="X51" i="16"/>
  <c r="X30" i="16"/>
  <c r="X24" i="16"/>
  <c r="X28" i="16"/>
  <c r="X53" i="16"/>
  <c r="X8" i="16"/>
  <c r="X42" i="16"/>
  <c r="X65" i="16"/>
  <c r="X59" i="16"/>
  <c r="X46" i="16"/>
  <c r="X40" i="16"/>
  <c r="X36" i="16"/>
  <c r="X14" i="16"/>
  <c r="X32" i="16"/>
  <c r="X50" i="16"/>
  <c r="X3" i="16"/>
  <c r="X67" i="16"/>
  <c r="X62" i="16"/>
  <c r="X56" i="16"/>
  <c r="X44" i="16"/>
  <c r="X22" i="16"/>
  <c r="X64" i="16"/>
  <c r="X58" i="16"/>
  <c r="X11" i="16"/>
  <c r="X13" i="16"/>
  <c r="X7" i="16"/>
  <c r="X17" i="16"/>
  <c r="X52" i="16"/>
  <c r="X38" i="16"/>
  <c r="X9" i="16"/>
  <c r="X66" i="16"/>
  <c r="X19" i="16"/>
  <c r="X29" i="16"/>
  <c r="X23" i="16"/>
  <c r="X41" i="16"/>
  <c r="X60" i="16"/>
  <c r="X54" i="16"/>
  <c r="X33" i="16"/>
  <c r="Z32" i="16"/>
  <c r="AC35" i="16"/>
  <c r="AA34" i="16"/>
  <c r="AB33" i="16"/>
  <c r="Y33" i="16"/>
  <c r="AC32" i="16"/>
  <c r="AA36" i="16"/>
  <c r="Y35" i="16"/>
  <c r="AA35" i="16"/>
  <c r="Y34" i="16"/>
  <c r="AB36" i="16"/>
  <c r="AA32" i="16"/>
  <c r="Y36" i="16"/>
  <c r="Y32" i="16"/>
  <c r="AB34" i="16"/>
  <c r="Z33" i="16"/>
  <c r="AC33" i="16"/>
  <c r="AB35" i="16"/>
  <c r="Z34" i="16"/>
  <c r="Z35" i="16"/>
  <c r="AB32" i="16"/>
  <c r="Z36" i="16"/>
  <c r="AC36" i="16"/>
  <c r="AC34" i="16"/>
  <c r="AA33" i="16"/>
  <c r="W36" i="16" l="1"/>
  <c r="W35" i="16"/>
  <c r="W34" i="16"/>
  <c r="W33" i="16"/>
  <c r="W32" i="16"/>
  <c r="C23" i="1" l="1"/>
  <c r="U9" i="18"/>
  <c r="U5" i="16"/>
  <c r="U25" i="16"/>
  <c r="T39" i="16"/>
  <c r="T44" i="18"/>
  <c r="U48" i="16"/>
  <c r="U52" i="18"/>
  <c r="U60" i="18"/>
  <c r="T74" i="15"/>
  <c r="T44" i="16"/>
  <c r="U78" i="18"/>
  <c r="T35" i="18"/>
  <c r="T6" i="16"/>
  <c r="T84" i="15"/>
  <c r="T14" i="14"/>
  <c r="U76" i="18"/>
  <c r="T93" i="15"/>
  <c r="U64" i="15"/>
  <c r="T75" i="15"/>
  <c r="U17" i="14"/>
  <c r="U90" i="15"/>
  <c r="U61" i="15"/>
  <c r="T64" i="16"/>
  <c r="T48" i="16"/>
  <c r="T8" i="17"/>
  <c r="T65" i="15"/>
  <c r="U16" i="16"/>
  <c r="T76" i="15"/>
  <c r="U18" i="16"/>
  <c r="X3" i="18" a="1"/>
  <c r="T68" i="15"/>
  <c r="U27" i="18"/>
  <c r="U35" i="18"/>
  <c r="U40" i="18"/>
  <c r="U38" i="16"/>
  <c r="T4" i="15"/>
  <c r="U74" i="15"/>
  <c r="U57" i="15"/>
  <c r="U12" i="14"/>
  <c r="T47" i="18"/>
  <c r="T42" i="18"/>
  <c r="U4" i="17"/>
  <c r="T58" i="15"/>
  <c r="U16" i="15"/>
  <c r="T33" i="14"/>
  <c r="AB40" i="16"/>
  <c r="AA55" i="16"/>
  <c r="AC20" i="16"/>
  <c r="Y51" i="16"/>
  <c r="Z55" i="16"/>
  <c r="U38" i="14"/>
  <c r="AC41" i="16"/>
  <c r="AC67" i="16"/>
  <c r="AA11" i="16"/>
  <c r="AC6" i="16"/>
  <c r="Z51" i="16"/>
  <c r="U5" i="14"/>
  <c r="Z46" i="16"/>
  <c r="Z5" i="16"/>
  <c r="Z39" i="16"/>
  <c r="U19" i="14"/>
  <c r="Y66" i="16"/>
  <c r="AC42" i="16"/>
  <c r="AC53" i="16"/>
  <c r="AA14" i="16"/>
  <c r="Y22" i="16"/>
  <c r="Y42" i="16"/>
  <c r="Z31" i="16"/>
  <c r="AB12" i="16"/>
  <c r="T8" i="15"/>
  <c r="AC52" i="16"/>
  <c r="T34" i="14"/>
  <c r="Y60" i="16"/>
  <c r="AA54" i="16"/>
  <c r="Y14" i="16"/>
  <c r="U30" i="14"/>
  <c r="AB11" i="16"/>
  <c r="AA9" i="16"/>
  <c r="AC14" i="16"/>
  <c r="AB55" i="16"/>
  <c r="AB42" i="16"/>
  <c r="Y44" i="16"/>
  <c r="U8" i="14"/>
  <c r="AA41" i="16"/>
  <c r="Y56" i="16"/>
  <c r="Y38" i="16"/>
  <c r="T6" i="14"/>
  <c r="AA63" i="16"/>
  <c r="AB23" i="16"/>
  <c r="Z62" i="16"/>
  <c r="AA4" i="16"/>
  <c r="AB47" i="16"/>
  <c r="T5" i="14"/>
  <c r="Y27" i="16"/>
  <c r="Z41" i="16"/>
  <c r="U6" i="14"/>
  <c r="T10" i="14"/>
  <c r="AA24" i="16"/>
  <c r="AB10" i="16"/>
  <c r="AA50" i="16"/>
  <c r="AB38" i="16"/>
  <c r="Y16" i="16"/>
  <c r="T51" i="18"/>
  <c r="T17" i="16"/>
  <c r="U33" i="18"/>
  <c r="AB8" i="16"/>
  <c r="AA40" i="16"/>
  <c r="Z7" i="16"/>
  <c r="AC26" i="16"/>
  <c r="T19" i="14"/>
  <c r="AA57" i="16"/>
  <c r="Y55" i="16"/>
  <c r="AB13" i="16"/>
  <c r="Y28" i="16"/>
  <c r="AB41" i="16"/>
  <c r="T25" i="16"/>
  <c r="T30" i="18"/>
  <c r="U73" i="15"/>
  <c r="U88" i="15"/>
  <c r="U12" i="18"/>
  <c r="T91" i="15"/>
  <c r="T55" i="15"/>
  <c r="U20" i="16"/>
  <c r="T53" i="15"/>
  <c r="T36" i="16"/>
  <c r="T32" i="18"/>
  <c r="T38" i="18"/>
  <c r="T57" i="18"/>
  <c r="U51" i="16"/>
  <c r="T10" i="15"/>
  <c r="U7" i="17"/>
  <c r="T20" i="15"/>
  <c r="T24" i="16"/>
  <c r="U54" i="15"/>
  <c r="U59" i="15"/>
  <c r="T7" i="17"/>
  <c r="T15" i="14"/>
  <c r="T18" i="18"/>
  <c r="T74" i="18"/>
  <c r="T21" i="18"/>
  <c r="U44" i="16"/>
  <c r="U66" i="16"/>
  <c r="U21" i="15"/>
  <c r="U15" i="18"/>
  <c r="U55" i="18"/>
  <c r="T59" i="15"/>
  <c r="T61" i="16"/>
  <c r="T53" i="16"/>
  <c r="U17" i="17"/>
  <c r="U84" i="15"/>
  <c r="U72" i="18"/>
  <c r="T67" i="15"/>
  <c r="T34" i="18"/>
  <c r="U67" i="18"/>
  <c r="U22" i="18"/>
  <c r="U55" i="15"/>
  <c r="U13" i="18"/>
  <c r="U50" i="18"/>
  <c r="T60" i="15"/>
  <c r="AB14" i="16"/>
  <c r="U28" i="14"/>
  <c r="Z48" i="16"/>
  <c r="AC59" i="16"/>
  <c r="U9" i="15"/>
  <c r="Y50" i="16"/>
  <c r="AC51" i="16"/>
  <c r="AC60" i="16"/>
  <c r="Y67" i="16"/>
  <c r="T28" i="14"/>
  <c r="AB56" i="16"/>
  <c r="AC24" i="16"/>
  <c r="AC55" i="16"/>
  <c r="Z44" i="16"/>
  <c r="Y59" i="16"/>
  <c r="Z59" i="16"/>
  <c r="Z58" i="16"/>
  <c r="AC3" i="16"/>
  <c r="Z30" i="16"/>
  <c r="AB29" i="16"/>
  <c r="AA65" i="16"/>
  <c r="AB39" i="16"/>
  <c r="Z12" i="16"/>
  <c r="T20" i="14"/>
  <c r="U31" i="14"/>
  <c r="AC5" i="16"/>
  <c r="AB46" i="16"/>
  <c r="Z14" i="16"/>
  <c r="AB17" i="16"/>
  <c r="Z57" i="16"/>
  <c r="AB27" i="16"/>
  <c r="Y49" i="16"/>
  <c r="AC48" i="16"/>
  <c r="AC28" i="16"/>
  <c r="AC21" i="16"/>
  <c r="AB20" i="16"/>
  <c r="Z42" i="16"/>
  <c r="AC10" i="16"/>
  <c r="U18" i="18"/>
  <c r="U23" i="18"/>
  <c r="U13" i="17"/>
  <c r="AA10" i="16"/>
  <c r="T11" i="16"/>
  <c r="Y63" i="16"/>
  <c r="AB54" i="16"/>
  <c r="AB26" i="16"/>
  <c r="Y3" i="16"/>
  <c r="AB28" i="16"/>
  <c r="Y26" i="16"/>
  <c r="Z3" i="16"/>
  <c r="Z9" i="16"/>
  <c r="T70" i="15"/>
  <c r="U72" i="15"/>
  <c r="T11" i="15"/>
  <c r="U9" i="17"/>
  <c r="U79" i="18"/>
  <c r="T16" i="18"/>
  <c r="T11" i="18"/>
  <c r="U53" i="15"/>
  <c r="U68" i="15"/>
  <c r="T64" i="15"/>
  <c r="U4" i="16"/>
  <c r="U9" i="14"/>
  <c r="U67" i="16"/>
  <c r="T62" i="18"/>
  <c r="T22" i="16"/>
  <c r="U6" i="16"/>
  <c r="U5" i="18"/>
  <c r="U16" i="18"/>
  <c r="U50" i="15"/>
  <c r="U14" i="16"/>
  <c r="T90" i="15"/>
  <c r="U64" i="16"/>
  <c r="U58" i="16"/>
  <c r="T18" i="14"/>
  <c r="T18" i="15"/>
  <c r="T9" i="18"/>
  <c r="U19" i="16"/>
  <c r="T61" i="15"/>
  <c r="U71" i="15"/>
  <c r="T20" i="16"/>
  <c r="U62" i="15"/>
  <c r="T43" i="16"/>
  <c r="T52" i="15"/>
  <c r="U17" i="16"/>
  <c r="U56" i="15"/>
  <c r="T6" i="15"/>
  <c r="T83" i="15"/>
  <c r="T16" i="17"/>
  <c r="U18" i="15"/>
  <c r="U51" i="18"/>
  <c r="U10" i="15"/>
  <c r="T14" i="15"/>
  <c r="T77" i="18"/>
  <c r="T71" i="15"/>
  <c r="Y7" i="16"/>
  <c r="AB24" i="16"/>
  <c r="Y53" i="16"/>
  <c r="AC17" i="16"/>
  <c r="U10" i="16"/>
  <c r="AA17" i="16"/>
  <c r="AB22" i="16"/>
  <c r="AA6" i="16"/>
  <c r="T23" i="14"/>
  <c r="AB64" i="16"/>
  <c r="Y45" i="16"/>
  <c r="Z10" i="16"/>
  <c r="U22" i="14"/>
  <c r="T24" i="14"/>
  <c r="T8" i="14"/>
  <c r="U16" i="14"/>
  <c r="AB43" i="16"/>
  <c r="Z64" i="16"/>
  <c r="AA61" i="16"/>
  <c r="AB58" i="16"/>
  <c r="AC66" i="16"/>
  <c r="AC4" i="16"/>
  <c r="AC30" i="16"/>
  <c r="AB50" i="16"/>
  <c r="D29" i="1"/>
  <c r="Z28" i="16"/>
  <c r="Z45" i="16"/>
  <c r="Y58" i="16"/>
  <c r="U10" i="14"/>
  <c r="U7" i="14"/>
  <c r="AA62" i="16"/>
  <c r="Z61" i="16"/>
  <c r="Y43" i="16"/>
  <c r="T26" i="14"/>
  <c r="Y18" i="16"/>
  <c r="T37" i="14"/>
  <c r="AB30" i="16"/>
  <c r="AA7" i="16"/>
  <c r="U12" i="16"/>
  <c r="AA44" i="16"/>
  <c r="Z8" i="16"/>
  <c r="T36" i="14"/>
  <c r="U37" i="14"/>
  <c r="AC18" i="16"/>
  <c r="AB4" i="16"/>
  <c r="AB25" i="16"/>
  <c r="U14" i="15"/>
  <c r="T19" i="18"/>
  <c r="U10" i="18"/>
  <c r="T14" i="18"/>
  <c r="U70" i="18"/>
  <c r="T58" i="16"/>
  <c r="AC57" i="16"/>
  <c r="Y30" i="16"/>
  <c r="Y65" i="16"/>
  <c r="Z13" i="16"/>
  <c r="AB7" i="16"/>
  <c r="U21" i="14"/>
  <c r="Z65" i="16"/>
  <c r="Y9" i="16"/>
  <c r="Z18" i="16"/>
  <c r="AC61" i="16"/>
  <c r="AA16" i="16"/>
  <c r="Y25" i="16"/>
  <c r="T37" i="16"/>
  <c r="T42" i="16"/>
  <c r="U70" i="15"/>
  <c r="U18" i="14"/>
  <c r="U65" i="15"/>
  <c r="U86" i="15"/>
  <c r="U77" i="15"/>
  <c r="T73" i="15"/>
  <c r="T23" i="18"/>
  <c r="U13" i="15"/>
  <c r="U75" i="15"/>
  <c r="U8" i="17"/>
  <c r="U73" i="18"/>
  <c r="U4" i="15"/>
  <c r="T11" i="17"/>
  <c r="U11" i="18"/>
  <c r="T17" i="18"/>
  <c r="T36" i="18"/>
  <c r="T19" i="16"/>
  <c r="U21" i="16"/>
  <c r="U42" i="16"/>
  <c r="T12" i="14"/>
  <c r="T7" i="18"/>
  <c r="U91" i="15"/>
  <c r="T52" i="18"/>
  <c r="T66" i="16"/>
  <c r="U7" i="18"/>
  <c r="U13" i="16"/>
  <c r="T38" i="16"/>
  <c r="T10" i="18"/>
  <c r="T41" i="16"/>
  <c r="U22" i="16"/>
  <c r="T50" i="18"/>
  <c r="U15" i="17"/>
  <c r="U93" i="15"/>
  <c r="T65" i="16"/>
  <c r="U66" i="15"/>
  <c r="T54" i="18"/>
  <c r="U10" i="17"/>
  <c r="T18" i="17"/>
  <c r="U15" i="15"/>
  <c r="T14" i="16"/>
  <c r="U3" i="15"/>
  <c r="U39" i="18"/>
  <c r="U12" i="17"/>
  <c r="U11" i="15"/>
  <c r="T16" i="15"/>
  <c r="U14" i="17"/>
  <c r="T8" i="18"/>
  <c r="T63" i="16"/>
  <c r="T57" i="15"/>
  <c r="T56" i="16"/>
  <c r="U15" i="14"/>
  <c r="U21" i="18"/>
  <c r="X3" i="17" a="1"/>
  <c r="U5" i="15"/>
  <c r="T73" i="18"/>
  <c r="U32" i="18"/>
  <c r="T9" i="14"/>
  <c r="U53" i="18"/>
  <c r="T55" i="18"/>
  <c r="U37" i="16"/>
  <c r="T39" i="18"/>
  <c r="T5" i="18"/>
  <c r="T19" i="15"/>
  <c r="U52" i="15"/>
  <c r="U17" i="18"/>
  <c r="U45" i="18"/>
  <c r="T37" i="18"/>
  <c r="T13" i="16"/>
  <c r="T20" i="18"/>
  <c r="T9" i="17"/>
  <c r="U63" i="15"/>
  <c r="U43" i="16"/>
  <c r="U74" i="18"/>
  <c r="U54" i="18"/>
  <c r="U17" i="15"/>
  <c r="T75" i="18"/>
  <c r="U89" i="15"/>
  <c r="U14" i="14"/>
  <c r="U65" i="16"/>
  <c r="T5" i="15"/>
  <c r="U47" i="18"/>
  <c r="T22" i="18"/>
  <c r="AA56" i="16"/>
  <c r="AB62" i="16"/>
  <c r="U26" i="14"/>
  <c r="AA37" i="16"/>
  <c r="AC47" i="16"/>
  <c r="AA5" i="16"/>
  <c r="Y62" i="16"/>
  <c r="AB18" i="16"/>
  <c r="Y6" i="16"/>
  <c r="Z17" i="16"/>
  <c r="Y57" i="16"/>
  <c r="AB61" i="16"/>
  <c r="AA66" i="16"/>
  <c r="Z24" i="16"/>
  <c r="Z63" i="16"/>
  <c r="AB31" i="16"/>
  <c r="Y52" i="16"/>
  <c r="Y61" i="16"/>
  <c r="U3" i="14"/>
  <c r="AC12" i="16"/>
  <c r="Z22" i="16"/>
  <c r="T7" i="14"/>
  <c r="AC27" i="16"/>
  <c r="Y13" i="16"/>
  <c r="AA39" i="16"/>
  <c r="AC8" i="16"/>
  <c r="U82" i="15"/>
  <c r="U40" i="16"/>
  <c r="U76" i="15"/>
  <c r="T5" i="16"/>
  <c r="T69" i="15"/>
  <c r="T24" i="18"/>
  <c r="U65" i="18"/>
  <c r="U75" i="18"/>
  <c r="U19" i="18"/>
  <c r="T80" i="15"/>
  <c r="T51" i="15"/>
  <c r="T21" i="16"/>
  <c r="U80" i="15"/>
  <c r="U12" i="15"/>
  <c r="T62" i="15"/>
  <c r="U67" i="15"/>
  <c r="U36" i="16"/>
  <c r="T4" i="16"/>
  <c r="Z37" i="16"/>
  <c r="T16" i="14"/>
  <c r="AB6" i="16"/>
  <c r="AC54" i="16"/>
  <c r="T9" i="15"/>
  <c r="Z21" i="16"/>
  <c r="U7" i="15"/>
  <c r="AB37" i="16"/>
  <c r="U8" i="15"/>
  <c r="AC11" i="16"/>
  <c r="AC39" i="16"/>
  <c r="Z47" i="16"/>
  <c r="AB21" i="16"/>
  <c r="T3" i="14"/>
  <c r="U35" i="14"/>
  <c r="Z6" i="16"/>
  <c r="AA46" i="16"/>
  <c r="Y31" i="16"/>
  <c r="AB44" i="16"/>
  <c r="AB67" i="16"/>
  <c r="AC62" i="16"/>
  <c r="U39" i="14"/>
  <c r="C38" i="1"/>
  <c r="AC63" i="16"/>
  <c r="AA64" i="16"/>
  <c r="Z4" i="16"/>
  <c r="U20" i="18"/>
  <c r="Z23" i="16"/>
  <c r="Y21" i="16"/>
  <c r="Z38" i="16"/>
  <c r="Y10" i="16"/>
  <c r="AA22" i="16"/>
  <c r="Z53" i="16"/>
  <c r="AB57" i="16"/>
  <c r="AA58" i="16"/>
  <c r="Y15" i="16"/>
  <c r="T4" i="17"/>
  <c r="U69" i="15"/>
  <c r="T79" i="18"/>
  <c r="T70" i="18"/>
  <c r="U49" i="18"/>
  <c r="AA45" i="16"/>
  <c r="AB15" i="16"/>
  <c r="Y48" i="16"/>
  <c r="AA18" i="16"/>
  <c r="Y17" i="16"/>
  <c r="Z52" i="16"/>
  <c r="T86" i="15"/>
  <c r="T17" i="17"/>
  <c r="U19" i="15"/>
  <c r="T17" i="15"/>
  <c r="T10" i="17"/>
  <c r="AC50" i="16"/>
  <c r="U23" i="14"/>
  <c r="Y8" i="16"/>
  <c r="AC16" i="16"/>
  <c r="AB48" i="16"/>
  <c r="C37" i="1"/>
  <c r="T88" i="15"/>
  <c r="U30" i="18"/>
  <c r="T14" i="17"/>
  <c r="T3" i="15"/>
  <c r="T7" i="16"/>
  <c r="AC19" i="16"/>
  <c r="AC46" i="16"/>
  <c r="AC22" i="16"/>
  <c r="Y39" i="16"/>
  <c r="AC56" i="16"/>
  <c r="U29" i="14"/>
  <c r="U85" i="15"/>
  <c r="U39" i="16"/>
  <c r="U77" i="18"/>
  <c r="T13" i="18"/>
  <c r="U87" i="15"/>
  <c r="Z29" i="16"/>
  <c r="AB5" i="16"/>
  <c r="AA20" i="16"/>
  <c r="U25" i="14"/>
  <c r="T31" i="14"/>
  <c r="U24" i="14"/>
  <c r="U7" i="16"/>
  <c r="AA27" i="16"/>
  <c r="Z25" i="16"/>
  <c r="AB3" i="16"/>
  <c r="AC9" i="16"/>
  <c r="AB19" i="16"/>
  <c r="T38" i="14"/>
  <c r="T32" i="14"/>
  <c r="AA47" i="16"/>
  <c r="T8" i="16"/>
  <c r="T77" i="15"/>
  <c r="Y64" i="16"/>
  <c r="T9" i="16"/>
  <c r="AA49" i="16"/>
  <c r="Z40" i="16"/>
  <c r="Y46" i="16"/>
  <c r="Z15" i="16"/>
  <c r="T16" i="16"/>
  <c r="U45" i="16"/>
  <c r="U41" i="16"/>
  <c r="T78" i="18"/>
  <c r="T12" i="18"/>
  <c r="AB16" i="16"/>
  <c r="Z49" i="16"/>
  <c r="AA25" i="16"/>
  <c r="AB66" i="16"/>
  <c r="T12" i="16"/>
  <c r="Y12" i="16"/>
  <c r="T85" i="15"/>
  <c r="U79" i="15"/>
  <c r="U63" i="16"/>
  <c r="U8" i="16"/>
  <c r="Z19" i="16"/>
  <c r="AA42" i="16"/>
  <c r="AA38" i="16"/>
  <c r="AA28" i="16"/>
  <c r="Y37" i="16"/>
  <c r="U38" i="18"/>
  <c r="U56" i="16"/>
  <c r="U16" i="17"/>
  <c r="Z27" i="16"/>
  <c r="AA21" i="16"/>
  <c r="AC29" i="16"/>
  <c r="AA3" i="16"/>
  <c r="Z43" i="16"/>
  <c r="AA53" i="16"/>
  <c r="Y54" i="16"/>
  <c r="U11" i="17"/>
  <c r="T65" i="18"/>
  <c r="T51" i="16"/>
  <c r="U92" i="15"/>
  <c r="T39" i="14"/>
  <c r="AA15" i="16"/>
  <c r="Y19" i="16"/>
  <c r="Y23" i="16"/>
  <c r="Y20" i="16"/>
  <c r="AC43" i="16"/>
  <c r="U13" i="14"/>
  <c r="I3" i="1"/>
  <c r="T81" i="15"/>
  <c r="T15" i="15"/>
  <c r="U57" i="18"/>
  <c r="U36" i="18"/>
  <c r="T33" i="18"/>
  <c r="T45" i="16"/>
  <c r="T15" i="17"/>
  <c r="U56" i="18"/>
  <c r="T79" i="15"/>
  <c r="T72" i="18"/>
  <c r="T63" i="15"/>
  <c r="U81" i="15"/>
  <c r="U53" i="16"/>
  <c r="T78" i="15"/>
  <c r="T40" i="16"/>
  <c r="U60" i="15"/>
  <c r="T56" i="15"/>
  <c r="AC25" i="16"/>
  <c r="AA31" i="16"/>
  <c r="AA29" i="16"/>
  <c r="Y5" i="16"/>
  <c r="AA26" i="16"/>
  <c r="T10" i="16"/>
  <c r="AA19" i="16"/>
  <c r="T7" i="15"/>
  <c r="AC49" i="16"/>
  <c r="AC37" i="16"/>
  <c r="T87" i="15"/>
  <c r="U27" i="14"/>
  <c r="AC23" i="16"/>
  <c r="Z66" i="16"/>
  <c r="AA59" i="16"/>
  <c r="T46" i="16"/>
  <c r="T22" i="14"/>
  <c r="Z56" i="16"/>
  <c r="AC45" i="16"/>
  <c r="Z11" i="16"/>
  <c r="T35" i="14"/>
  <c r="AC7" i="16"/>
  <c r="AB60" i="16"/>
  <c r="AC31" i="16"/>
  <c r="U9" i="16"/>
  <c r="AB63" i="16"/>
  <c r="T46" i="18"/>
  <c r="T89" i="15"/>
  <c r="T12" i="15"/>
  <c r="U6" i="15"/>
  <c r="T66" i="15"/>
  <c r="T29" i="14"/>
  <c r="AC58" i="16"/>
  <c r="Z26" i="16"/>
  <c r="Y47" i="16"/>
  <c r="AB49" i="16"/>
  <c r="AA52" i="16"/>
  <c r="Y4" i="16"/>
  <c r="T45" i="18"/>
  <c r="T82" i="15"/>
  <c r="U46" i="16"/>
  <c r="T50" i="15"/>
  <c r="T17" i="14"/>
  <c r="U33" i="14"/>
  <c r="AC65" i="16"/>
  <c r="AB53" i="16"/>
  <c r="AB52" i="16"/>
  <c r="AA13" i="16"/>
  <c r="Y24" i="16"/>
  <c r="AB9" i="16"/>
  <c r="U11" i="14"/>
  <c r="U24" i="18"/>
  <c r="U58" i="15"/>
  <c r="T53" i="18"/>
  <c r="T13" i="17"/>
  <c r="T60" i="18"/>
  <c r="AA67" i="16"/>
  <c r="Y41" i="16"/>
  <c r="T30" i="14"/>
  <c r="AB51" i="16"/>
  <c r="Z60" i="16"/>
  <c r="T25" i="14"/>
  <c r="T18" i="16"/>
  <c r="T67" i="16"/>
  <c r="T67" i="18"/>
  <c r="T56" i="18"/>
  <c r="U11" i="16"/>
  <c r="U32" i="14"/>
  <c r="T21" i="14"/>
  <c r="U34" i="14"/>
  <c r="T27" i="14"/>
  <c r="AC38" i="16"/>
  <c r="U18" i="17"/>
  <c r="U46" i="18"/>
  <c r="U44" i="18"/>
  <c r="T54" i="15"/>
  <c r="T49" i="18"/>
  <c r="U61" i="16"/>
  <c r="U34" i="18"/>
  <c r="U51" i="15"/>
  <c r="T76" i="18"/>
  <c r="T11" i="14"/>
  <c r="U20" i="15"/>
  <c r="U8" i="18"/>
  <c r="T27" i="18"/>
  <c r="U78" i="15"/>
  <c r="T72" i="15"/>
  <c r="Z20" i="16"/>
  <c r="T13" i="14"/>
  <c r="AB45" i="16"/>
  <c r="AA30" i="16"/>
  <c r="U62" i="18"/>
  <c r="U15" i="16"/>
  <c r="AB65" i="16"/>
  <c r="AA43" i="16"/>
  <c r="AC44" i="16"/>
  <c r="AA48" i="16"/>
  <c r="T40" i="18"/>
  <c r="T15" i="18"/>
  <c r="T12" i="17"/>
  <c r="AC40" i="16"/>
  <c r="Y11" i="16"/>
  <c r="AA60" i="16"/>
  <c r="T21" i="15"/>
  <c r="T48" i="18"/>
  <c r="U83" i="15"/>
  <c r="AC15" i="16"/>
  <c r="AC13" i="16"/>
  <c r="AA23" i="16"/>
  <c r="AA51" i="16"/>
  <c r="U42" i="18"/>
  <c r="U48" i="18"/>
  <c r="T92" i="15"/>
  <c r="U20" i="14"/>
  <c r="AB59" i="16"/>
  <c r="AC64" i="16"/>
  <c r="U14" i="18"/>
  <c r="U24" i="16"/>
  <c r="Y40" i="16"/>
  <c r="Z50" i="16"/>
  <c r="U36" i="14"/>
  <c r="T13" i="15"/>
  <c r="AA8" i="16"/>
  <c r="Z54" i="16"/>
  <c r="Y29" i="16"/>
  <c r="U37" i="18"/>
  <c r="T15" i="16"/>
  <c r="AA12" i="16"/>
  <c r="Z67" i="16"/>
  <c r="Z16" i="16"/>
  <c r="D30" i="1"/>
  <c r="U4" i="14"/>
  <c r="T4" i="14"/>
  <c r="D37" i="1"/>
  <c r="D38" i="1"/>
  <c r="D41" i="1"/>
  <c r="AD2" i="16" a="1"/>
  <c r="I4" i="1"/>
  <c r="AG11" i="14"/>
  <c r="AG11" i="17"/>
  <c r="AG11" i="15"/>
  <c r="AG11" i="16"/>
  <c r="AG12" i="14"/>
  <c r="AI11" i="14"/>
  <c r="AG12" i="17"/>
  <c r="AI11" i="17"/>
  <c r="AI11" i="15"/>
  <c r="AG12" i="15"/>
  <c r="AG12" i="16"/>
  <c r="AI11" i="16"/>
  <c r="AI12" i="14"/>
  <c r="AG13" i="14"/>
  <c r="AI12" i="17"/>
  <c r="AG13" i="17"/>
  <c r="AG13" i="15"/>
  <c r="AI12" i="16"/>
  <c r="AG13" i="16"/>
  <c r="AI13" i="14"/>
  <c r="AG14" i="14"/>
  <c r="AG14" i="17"/>
  <c r="AI13" i="17"/>
  <c r="AI13" i="15"/>
  <c r="AG14" i="15"/>
  <c r="AI13" i="16"/>
  <c r="AG14" i="16"/>
  <c r="AG15" i="14"/>
  <c r="AI14" i="14"/>
  <c r="AI14" i="17"/>
  <c r="AG15" i="17"/>
  <c r="AG15" i="15"/>
  <c r="AI14" i="15"/>
  <c r="AG15" i="16"/>
  <c r="AI14" i="16"/>
  <c r="AG16" i="14"/>
  <c r="AI15" i="14"/>
  <c r="AI15" i="17"/>
  <c r="AG16" i="17"/>
  <c r="AG16" i="15"/>
  <c r="AI15" i="15"/>
  <c r="AI15" i="16"/>
  <c r="AG16" i="16"/>
  <c r="AI16" i="14"/>
  <c r="AG17" i="17"/>
  <c r="AI16" i="17"/>
  <c r="AI16" i="15"/>
  <c r="AG17" i="15"/>
  <c r="AG17" i="16"/>
  <c r="AI16" i="16"/>
  <c r="AI17" i="17"/>
  <c r="AG18" i="17"/>
  <c r="AI17" i="15"/>
  <c r="AG18" i="15"/>
  <c r="AG18" i="16"/>
  <c r="AI17" i="16"/>
  <c r="AI18" i="17"/>
  <c r="AG19" i="17"/>
  <c r="AG19" i="15"/>
  <c r="AI18" i="15"/>
  <c r="AI18" i="16"/>
  <c r="AG19" i="16"/>
  <c r="AI19" i="17"/>
  <c r="AG20" i="17"/>
  <c r="AI19" i="15"/>
  <c r="AG20" i="15"/>
  <c r="AG20" i="16"/>
  <c r="AI19" i="16"/>
  <c r="AG21" i="17"/>
  <c r="AI20" i="17"/>
  <c r="AI20" i="15"/>
  <c r="AG21" i="15"/>
  <c r="AI20" i="16"/>
  <c r="AG21" i="16"/>
  <c r="AI21" i="17"/>
  <c r="AG22" i="17"/>
  <c r="AI22" i="17" s="1"/>
  <c r="AI21" i="15"/>
  <c r="AG22" i="15"/>
  <c r="AI22" i="15" s="1"/>
  <c r="AG22" i="16"/>
  <c r="AI22" i="16" s="1"/>
  <c r="AI21" i="16"/>
  <c r="AK21" i="16" l="1"/>
  <c r="AK22" i="16"/>
  <c r="AK22" i="15"/>
  <c r="AK21" i="15"/>
  <c r="AK22" i="17"/>
  <c r="AM22" i="17"/>
  <c r="AM21" i="17"/>
  <c r="AK21" i="17"/>
  <c r="AK20" i="16"/>
  <c r="AK20" i="15"/>
  <c r="AM20" i="17"/>
  <c r="AK20" i="17"/>
  <c r="AK19" i="16"/>
  <c r="AK19" i="15"/>
  <c r="AK19" i="17"/>
  <c r="AM19" i="17"/>
  <c r="AK18" i="16"/>
  <c r="AK18" i="15"/>
  <c r="AK18" i="17"/>
  <c r="AM18" i="17"/>
  <c r="AK17" i="16"/>
  <c r="AK17" i="15"/>
  <c r="AK17" i="17"/>
  <c r="AM17" i="17"/>
  <c r="AK16" i="16"/>
  <c r="AK16" i="15"/>
  <c r="AM16" i="17"/>
  <c r="AK16" i="17"/>
  <c r="AK16" i="14"/>
  <c r="AK15" i="16"/>
  <c r="AK15" i="15"/>
  <c r="AM15" i="17"/>
  <c r="AK15" i="17"/>
  <c r="AK15" i="14"/>
  <c r="AK14" i="16"/>
  <c r="AK14" i="15"/>
  <c r="AM14" i="17"/>
  <c r="AK14" i="17"/>
  <c r="AK14" i="14"/>
  <c r="AK13" i="16"/>
  <c r="AK13" i="15"/>
  <c r="AM13" i="17"/>
  <c r="AK13" i="17"/>
  <c r="AK13" i="14"/>
  <c r="AK12" i="16"/>
  <c r="AK12" i="17"/>
  <c r="AM12" i="17"/>
  <c r="AK12" i="14"/>
  <c r="AK11" i="16"/>
  <c r="AK11" i="15"/>
  <c r="AK11" i="17"/>
  <c r="AM11" i="17"/>
  <c r="AK11" i="14"/>
  <c r="AD67" i="16"/>
  <c r="AD11" i="16"/>
  <c r="AD46" i="16"/>
  <c r="AD62" i="16"/>
  <c r="AD15" i="16"/>
  <c r="AD47" i="16"/>
  <c r="AD24" i="16"/>
  <c r="AD48" i="16"/>
  <c r="AD53" i="16"/>
  <c r="AD4" i="16"/>
  <c r="AD19" i="16"/>
  <c r="AD27" i="16"/>
  <c r="AD35" i="16"/>
  <c r="AD43" i="16"/>
  <c r="AD51" i="16"/>
  <c r="AD59" i="16"/>
  <c r="AD9" i="16"/>
  <c r="AD40" i="16"/>
  <c r="AD6" i="16"/>
  <c r="AD20" i="16"/>
  <c r="AD36" i="16"/>
  <c r="AD52" i="16"/>
  <c r="AD13" i="16"/>
  <c r="AD29" i="16"/>
  <c r="AD37" i="16"/>
  <c r="AD22" i="16"/>
  <c r="AD17" i="16"/>
  <c r="AD64" i="16"/>
  <c r="AD30" i="16"/>
  <c r="AD54" i="16"/>
  <c r="AD23" i="16"/>
  <c r="AD39" i="16"/>
  <c r="AD63" i="16"/>
  <c r="AD16" i="16"/>
  <c r="AD10" i="16"/>
  <c r="AD7" i="16"/>
  <c r="AD25" i="16"/>
  <c r="AD33" i="16"/>
  <c r="AD41" i="16"/>
  <c r="AD49" i="16"/>
  <c r="AD57" i="16"/>
  <c r="AD65" i="16"/>
  <c r="AD12" i="16"/>
  <c r="AD44" i="16"/>
  <c r="AD50" i="16"/>
  <c r="AD14" i="16"/>
  <c r="AD55" i="16"/>
  <c r="AD21" i="16"/>
  <c r="AD32" i="16"/>
  <c r="AD3" i="16"/>
  <c r="AD34" i="16"/>
  <c r="AD56" i="16"/>
  <c r="AD31" i="16"/>
  <c r="AD66" i="16"/>
  <c r="AD26" i="16"/>
  <c r="AD61" i="16"/>
  <c r="AD18" i="16"/>
  <c r="AD60" i="16"/>
  <c r="AD58" i="16"/>
  <c r="AD38" i="16"/>
  <c r="AD42" i="16"/>
  <c r="AD2" i="16"/>
  <c r="AD5" i="16"/>
  <c r="AD28" i="16"/>
  <c r="AD8" i="16"/>
  <c r="AD45" i="16"/>
  <c r="W29" i="16"/>
  <c r="W40" i="16"/>
  <c r="W11" i="16"/>
  <c r="W41" i="16"/>
  <c r="W24" i="16"/>
  <c r="W4" i="16"/>
  <c r="W47" i="16"/>
  <c r="W5" i="16"/>
  <c r="W20" i="16"/>
  <c r="W23" i="16"/>
  <c r="W19" i="16"/>
  <c r="W54" i="16"/>
  <c r="W37" i="16"/>
  <c r="W12" i="16"/>
  <c r="W46" i="16"/>
  <c r="W64" i="16"/>
  <c r="W39" i="16"/>
  <c r="W8" i="16"/>
  <c r="W17" i="16"/>
  <c r="W48" i="16"/>
  <c r="W15" i="16"/>
  <c r="W10" i="16"/>
  <c r="W21" i="16"/>
  <c r="W31" i="16"/>
  <c r="W13" i="16"/>
  <c r="W61" i="16"/>
  <c r="W52" i="16"/>
  <c r="W57" i="16"/>
  <c r="W6" i="16"/>
  <c r="W62" i="16"/>
  <c r="X6" i="17"/>
  <c r="X50" i="17"/>
  <c r="X3" i="17"/>
  <c r="X21" i="17"/>
  <c r="X33" i="17"/>
  <c r="X12" i="17"/>
  <c r="X39" i="17"/>
  <c r="X30" i="17"/>
  <c r="X34" i="17"/>
  <c r="X46" i="17"/>
  <c r="X18" i="17"/>
  <c r="X26" i="17"/>
  <c r="X55" i="17"/>
  <c r="X20" i="17"/>
  <c r="X23" i="17"/>
  <c r="X29" i="17"/>
  <c r="X35" i="17"/>
  <c r="X15" i="17"/>
  <c r="X38" i="17"/>
  <c r="X7" i="17"/>
  <c r="X51" i="17"/>
  <c r="X17" i="17"/>
  <c r="X47" i="17"/>
  <c r="X24" i="17"/>
  <c r="X48" i="17"/>
  <c r="X36" i="17"/>
  <c r="X19" i="17"/>
  <c r="X52" i="17"/>
  <c r="X9" i="17"/>
  <c r="X16" i="17"/>
  <c r="X42" i="17"/>
  <c r="X45" i="17"/>
  <c r="X32" i="17"/>
  <c r="X10" i="17"/>
  <c r="X22" i="17"/>
  <c r="X5" i="17"/>
  <c r="X37" i="17"/>
  <c r="X11" i="17"/>
  <c r="X40" i="17"/>
  <c r="X14" i="17"/>
  <c r="X8" i="17"/>
  <c r="X53" i="17"/>
  <c r="X41" i="17"/>
  <c r="X28" i="17"/>
  <c r="X44" i="17"/>
  <c r="X49" i="17"/>
  <c r="X27" i="17"/>
  <c r="X13" i="17"/>
  <c r="X43" i="17"/>
  <c r="X54" i="17"/>
  <c r="X31" i="17"/>
  <c r="X25" i="17"/>
  <c r="X4" i="17"/>
  <c r="W25" i="16"/>
  <c r="W9" i="16"/>
  <c r="W65" i="16"/>
  <c r="W30" i="16"/>
  <c r="W18" i="16"/>
  <c r="W43" i="16"/>
  <c r="W58" i="16"/>
  <c r="W45" i="16"/>
  <c r="W53" i="16"/>
  <c r="W7" i="16"/>
  <c r="W26" i="16"/>
  <c r="W3" i="16"/>
  <c r="W63" i="16"/>
  <c r="W49" i="16"/>
  <c r="W59" i="16"/>
  <c r="W67" i="16"/>
  <c r="W50" i="16"/>
  <c r="W28" i="16"/>
  <c r="W55" i="16"/>
  <c r="W16" i="16"/>
  <c r="W27" i="16"/>
  <c r="W38" i="16"/>
  <c r="W56" i="16"/>
  <c r="W44" i="16"/>
  <c r="W14" i="16"/>
  <c r="W60" i="16"/>
  <c r="W42" i="16"/>
  <c r="W22" i="16"/>
  <c r="W66" i="16"/>
  <c r="W51" i="16"/>
  <c r="X16" i="18"/>
  <c r="X7" i="18"/>
  <c r="X48" i="18"/>
  <c r="X43" i="18"/>
  <c r="X59" i="18"/>
  <c r="X62" i="18"/>
  <c r="X21" i="18"/>
  <c r="X4" i="18"/>
  <c r="X38" i="18"/>
  <c r="X18" i="18"/>
  <c r="X54" i="18"/>
  <c r="X15" i="18"/>
  <c r="X11" i="18"/>
  <c r="X42" i="18"/>
  <c r="X6" i="18"/>
  <c r="X47" i="18"/>
  <c r="X65" i="18"/>
  <c r="X45" i="18"/>
  <c r="X58" i="18"/>
  <c r="X19" i="18"/>
  <c r="X9" i="18"/>
  <c r="X25" i="18"/>
  <c r="X30" i="18"/>
  <c r="X50" i="18"/>
  <c r="X10" i="18"/>
  <c r="X23" i="18"/>
  <c r="X63" i="18"/>
  <c r="X24" i="18"/>
  <c r="X35" i="18"/>
  <c r="X37" i="18"/>
  <c r="X26" i="18"/>
  <c r="X12" i="18"/>
  <c r="X39" i="18"/>
  <c r="X34" i="18"/>
  <c r="X69" i="18"/>
  <c r="X61" i="18"/>
  <c r="X27" i="18"/>
  <c r="X55" i="18"/>
  <c r="X22" i="18"/>
  <c r="X68" i="18"/>
  <c r="X41" i="18"/>
  <c r="X77" i="18"/>
  <c r="X53" i="18"/>
  <c r="X14" i="18"/>
  <c r="X31" i="18"/>
  <c r="X49" i="18"/>
  <c r="X67" i="18"/>
  <c r="X60" i="18"/>
  <c r="X71" i="18"/>
  <c r="X76" i="18"/>
  <c r="X17" i="18"/>
  <c r="X66" i="18"/>
  <c r="X72" i="18"/>
  <c r="X40" i="18"/>
  <c r="X73" i="18"/>
  <c r="X44" i="18"/>
  <c r="X3" i="18"/>
  <c r="X13" i="18"/>
  <c r="X20" i="18"/>
  <c r="X5" i="18"/>
  <c r="X51" i="18"/>
  <c r="X56" i="18"/>
  <c r="X57" i="18"/>
  <c r="X46" i="18"/>
  <c r="X70" i="18"/>
  <c r="X75" i="18"/>
  <c r="X8" i="18"/>
  <c r="X33" i="18"/>
  <c r="X74" i="18"/>
  <c r="X36" i="18"/>
  <c r="X78" i="18"/>
  <c r="X29" i="18"/>
  <c r="X32" i="18"/>
  <c r="X52" i="18"/>
  <c r="X79" i="18"/>
  <c r="X64" i="18"/>
  <c r="X28" i="18"/>
  <c r="H23" i="1"/>
  <c r="C39" i="1"/>
  <c r="C55" i="1"/>
  <c r="H39" i="1"/>
  <c r="AG23" i="15"/>
  <c r="AI23" i="15" s="1"/>
  <c r="AC33" i="17"/>
  <c r="AB33" i="17"/>
  <c r="AA33" i="17"/>
  <c r="Z33" i="17"/>
  <c r="Y33" i="17"/>
  <c r="AA55" i="17"/>
  <c r="Y55" i="17"/>
  <c r="AC55" i="17"/>
  <c r="Z55" i="17"/>
  <c r="AB55" i="17"/>
  <c r="Y51" i="17"/>
  <c r="AC51" i="17"/>
  <c r="AB51" i="17"/>
  <c r="AA51" i="17"/>
  <c r="Z51" i="17"/>
  <c r="Y9" i="17"/>
  <c r="AB9" i="17"/>
  <c r="AA9" i="17"/>
  <c r="Z9" i="17"/>
  <c r="AC9" i="17"/>
  <c r="AC37" i="17"/>
  <c r="Z37" i="17"/>
  <c r="AB37" i="17"/>
  <c r="Y37" i="17"/>
  <c r="AA37" i="17"/>
  <c r="AC44" i="17"/>
  <c r="AB44" i="17"/>
  <c r="AA44" i="17"/>
  <c r="Z44" i="17"/>
  <c r="Y44" i="17"/>
  <c r="AA4" i="17"/>
  <c r="AC4" i="17"/>
  <c r="Y4" i="17"/>
  <c r="AB4" i="17"/>
  <c r="Z4" i="17"/>
  <c r="AA7" i="18"/>
  <c r="AB7" i="18"/>
  <c r="Y7" i="18"/>
  <c r="Z7" i="18"/>
  <c r="AC7" i="18"/>
  <c r="AC18" i="18"/>
  <c r="Z18" i="18"/>
  <c r="AA18" i="18"/>
  <c r="Y18" i="18"/>
  <c r="AB18" i="18"/>
  <c r="AB45" i="18"/>
  <c r="Y45" i="18"/>
  <c r="AC45" i="18"/>
  <c r="AA45" i="18"/>
  <c r="Z45" i="18"/>
  <c r="Z23" i="18"/>
  <c r="AB23" i="18"/>
  <c r="Y23" i="18"/>
  <c r="AA23" i="18"/>
  <c r="AC23" i="18"/>
  <c r="Z34" i="18"/>
  <c r="AA34" i="18"/>
  <c r="AB34" i="18"/>
  <c r="Y34" i="18"/>
  <c r="AC34" i="18"/>
  <c r="AA77" i="18"/>
  <c r="AC77" i="18"/>
  <c r="Y77" i="18"/>
  <c r="Z77" i="18"/>
  <c r="AB77" i="18"/>
  <c r="Y76" i="18"/>
  <c r="AA76" i="18"/>
  <c r="Z76" i="18"/>
  <c r="AB76" i="18"/>
  <c r="AC76" i="18"/>
  <c r="Z13" i="18"/>
  <c r="AA13" i="18"/>
  <c r="AB13" i="18"/>
  <c r="AC13" i="18"/>
  <c r="Y13" i="18"/>
  <c r="Y75" i="18"/>
  <c r="AB75" i="18"/>
  <c r="AC75" i="18"/>
  <c r="AA75" i="18"/>
  <c r="Z75" i="18"/>
  <c r="Y52" i="18"/>
  <c r="AC52" i="18"/>
  <c r="AA52" i="18"/>
  <c r="AB52" i="18"/>
  <c r="Z52" i="18"/>
  <c r="Y12" i="17"/>
  <c r="AC12" i="17"/>
  <c r="AA12" i="17"/>
  <c r="Z12" i="17"/>
  <c r="AB12" i="17"/>
  <c r="AB20" i="17"/>
  <c r="AA20" i="17"/>
  <c r="AC20" i="17"/>
  <c r="Z20" i="17"/>
  <c r="Y20" i="17"/>
  <c r="AC17" i="17"/>
  <c r="Z17" i="17"/>
  <c r="AA17" i="17"/>
  <c r="AB17" i="17"/>
  <c r="Y17" i="17"/>
  <c r="AC11" i="17"/>
  <c r="AA11" i="17"/>
  <c r="Y11" i="17"/>
  <c r="AB11" i="17"/>
  <c r="Z11" i="17"/>
  <c r="AA49" i="17"/>
  <c r="Z49" i="17"/>
  <c r="Y49" i="17"/>
  <c r="AB49" i="17"/>
  <c r="AC49" i="17"/>
  <c r="AC48" i="18"/>
  <c r="AB48" i="18"/>
  <c r="AA48" i="18"/>
  <c r="Z48" i="18"/>
  <c r="Y48" i="18"/>
  <c r="AB54" i="18"/>
  <c r="Y54" i="18"/>
  <c r="AC54" i="18"/>
  <c r="Z54" i="18"/>
  <c r="AA54" i="18"/>
  <c r="AC58" i="18"/>
  <c r="AA58" i="18"/>
  <c r="Z58" i="18"/>
  <c r="Y58" i="18"/>
  <c r="AB58" i="18"/>
  <c r="Y63" i="18"/>
  <c r="Z63" i="18"/>
  <c r="AB63" i="18"/>
  <c r="AA63" i="18"/>
  <c r="AC63" i="18"/>
  <c r="AA69" i="18"/>
  <c r="Z69" i="18"/>
  <c r="AB69" i="18"/>
  <c r="Y69" i="18"/>
  <c r="AC69" i="18"/>
  <c r="Z53" i="18"/>
  <c r="AC53" i="18"/>
  <c r="AA53" i="18"/>
  <c r="Y53" i="18"/>
  <c r="AB53" i="18"/>
  <c r="Z17" i="18"/>
  <c r="Y17" i="18"/>
  <c r="AB17" i="18"/>
  <c r="AA17" i="18"/>
  <c r="AC17" i="18"/>
  <c r="Z20" i="18"/>
  <c r="AC20" i="18"/>
  <c r="AA20" i="18"/>
  <c r="Y20" i="18"/>
  <c r="AB20" i="18"/>
  <c r="AB8" i="18"/>
  <c r="AA8" i="18"/>
  <c r="AC8" i="18"/>
  <c r="Z8" i="18"/>
  <c r="Y8" i="18"/>
  <c r="Y79" i="18"/>
  <c r="AB79" i="18"/>
  <c r="Z79" i="18"/>
  <c r="AA79" i="18"/>
  <c r="AC79" i="18"/>
  <c r="AG17" i="14"/>
  <c r="Y23" i="17"/>
  <c r="AA23" i="17"/>
  <c r="AC23" i="17"/>
  <c r="Z23" i="17"/>
  <c r="AB23" i="17"/>
  <c r="AA42" i="17"/>
  <c r="Z42" i="17"/>
  <c r="Y42" i="17"/>
  <c r="AC42" i="17"/>
  <c r="AB42" i="17"/>
  <c r="AB40" i="17"/>
  <c r="AA40" i="17"/>
  <c r="AC40" i="17"/>
  <c r="Z40" i="17"/>
  <c r="Y40" i="17"/>
  <c r="Y15" i="18"/>
  <c r="AC15" i="18"/>
  <c r="Z15" i="18"/>
  <c r="AA15" i="18"/>
  <c r="AB15" i="18"/>
  <c r="AB19" i="18"/>
  <c r="Y19" i="18"/>
  <c r="AC19" i="18"/>
  <c r="Z19" i="18"/>
  <c r="AA19" i="18"/>
  <c r="AA24" i="18"/>
  <c r="AC24" i="18"/>
  <c r="Y24" i="18"/>
  <c r="AB24" i="18"/>
  <c r="Z24" i="18"/>
  <c r="Y61" i="18"/>
  <c r="Z61" i="18"/>
  <c r="AC61" i="18"/>
  <c r="AB61" i="18"/>
  <c r="AA61" i="18"/>
  <c r="Z14" i="18"/>
  <c r="AC14" i="18"/>
  <c r="Y14" i="18"/>
  <c r="AB14" i="18"/>
  <c r="AA14" i="18"/>
  <c r="AB66" i="18"/>
  <c r="AA66" i="18"/>
  <c r="Y66" i="18"/>
  <c r="AC66" i="18"/>
  <c r="Z66" i="18"/>
  <c r="Y5" i="18"/>
  <c r="AC5" i="18"/>
  <c r="AB5" i="18"/>
  <c r="AA5" i="18"/>
  <c r="Z5" i="18"/>
  <c r="AA64" i="18"/>
  <c r="AC64" i="18"/>
  <c r="AB64" i="18"/>
  <c r="Y64" i="18"/>
  <c r="Z64" i="18"/>
  <c r="Z29" i="17"/>
  <c r="AB29" i="17"/>
  <c r="Y29" i="17"/>
  <c r="AA29" i="17"/>
  <c r="AC29" i="17"/>
  <c r="AA45" i="17"/>
  <c r="AB45" i="17"/>
  <c r="Z45" i="17"/>
  <c r="Y45" i="17"/>
  <c r="AC45" i="17"/>
  <c r="AB13" i="17"/>
  <c r="AA13" i="17"/>
  <c r="Z13" i="17"/>
  <c r="Y13" i="17"/>
  <c r="AC13" i="17"/>
  <c r="AC74" i="18"/>
  <c r="Y74" i="18"/>
  <c r="AB74" i="18"/>
  <c r="Z74" i="18"/>
  <c r="AA74" i="18"/>
  <c r="AA62" i="18"/>
  <c r="Y62" i="18"/>
  <c r="AC62" i="18"/>
  <c r="Z62" i="18"/>
  <c r="AB62" i="18"/>
  <c r="Z42" i="18"/>
  <c r="AC42" i="18"/>
  <c r="AA42" i="18"/>
  <c r="AB42" i="18"/>
  <c r="Y42" i="18"/>
  <c r="Z37" i="18"/>
  <c r="AA37" i="18"/>
  <c r="AC37" i="18"/>
  <c r="AB37" i="18"/>
  <c r="Y37" i="18"/>
  <c r="Z55" i="18"/>
  <c r="AB55" i="18"/>
  <c r="Y55" i="18"/>
  <c r="AA55" i="18"/>
  <c r="AC55" i="18"/>
  <c r="Y49" i="18"/>
  <c r="AA49" i="18"/>
  <c r="AC49" i="18"/>
  <c r="AB49" i="18"/>
  <c r="Z49" i="18"/>
  <c r="AA56" i="18"/>
  <c r="Z56" i="18"/>
  <c r="AC56" i="18"/>
  <c r="Y56" i="18"/>
  <c r="AB56" i="18"/>
  <c r="Z36" i="18"/>
  <c r="AA36" i="18"/>
  <c r="AC36" i="18"/>
  <c r="Y36" i="18"/>
  <c r="AB36" i="18"/>
  <c r="AB50" i="17"/>
  <c r="Y50" i="17"/>
  <c r="AC50" i="17"/>
  <c r="Z50" i="17"/>
  <c r="AA50" i="17"/>
  <c r="AA46" i="17"/>
  <c r="Z46" i="17"/>
  <c r="AC46" i="17"/>
  <c r="AB46" i="17"/>
  <c r="Y46" i="17"/>
  <c r="Z36" i="17"/>
  <c r="Y36" i="17"/>
  <c r="AC36" i="17"/>
  <c r="AA36" i="17"/>
  <c r="AB36" i="17"/>
  <c r="AC10" i="17"/>
  <c r="AB10" i="17"/>
  <c r="Z10" i="17"/>
  <c r="AA10" i="17"/>
  <c r="Y10" i="17"/>
  <c r="AA53" i="17"/>
  <c r="Z53" i="17"/>
  <c r="AB53" i="17"/>
  <c r="Y53" i="17"/>
  <c r="AC53" i="17"/>
  <c r="AB26" i="18"/>
  <c r="Z26" i="18"/>
  <c r="AC26" i="18"/>
  <c r="AA26" i="18"/>
  <c r="Y26" i="18"/>
  <c r="Y78" i="18"/>
  <c r="AC78" i="18"/>
  <c r="Z78" i="18"/>
  <c r="AB78" i="18"/>
  <c r="AA78" i="18"/>
  <c r="AB3" i="17"/>
  <c r="AA3" i="17"/>
  <c r="Z3" i="17"/>
  <c r="AC3" i="17"/>
  <c r="Y3" i="17"/>
  <c r="AC18" i="17"/>
  <c r="AB18" i="17"/>
  <c r="Z18" i="17"/>
  <c r="AA18" i="17"/>
  <c r="Y18" i="17"/>
  <c r="Z38" i="17"/>
  <c r="AB38" i="17"/>
  <c r="AA38" i="17"/>
  <c r="AC38" i="17"/>
  <c r="Y38" i="17"/>
  <c r="Z19" i="17"/>
  <c r="Y19" i="17"/>
  <c r="AB19" i="17"/>
  <c r="AC19" i="17"/>
  <c r="AA19" i="17"/>
  <c r="AB22" i="17"/>
  <c r="Z22" i="17"/>
  <c r="AA22" i="17"/>
  <c r="AC22" i="17"/>
  <c r="Y22" i="17"/>
  <c r="AB41" i="17"/>
  <c r="Z41" i="17"/>
  <c r="Y41" i="17"/>
  <c r="AC41" i="17"/>
  <c r="AA41" i="17"/>
  <c r="AA4" i="18"/>
  <c r="Z4" i="18"/>
  <c r="AC4" i="18"/>
  <c r="AB4" i="18"/>
  <c r="Y4" i="18"/>
  <c r="Z47" i="18"/>
  <c r="Y47" i="18"/>
  <c r="AC47" i="18"/>
  <c r="AA47" i="18"/>
  <c r="AB47" i="18"/>
  <c r="Z50" i="18"/>
  <c r="AC50" i="18"/>
  <c r="AA50" i="18"/>
  <c r="AB50" i="18"/>
  <c r="Y50" i="18"/>
  <c r="Z12" i="18"/>
  <c r="AC12" i="18"/>
  <c r="AB12" i="18"/>
  <c r="AA12" i="18"/>
  <c r="Y12" i="18"/>
  <c r="Z68" i="18"/>
  <c r="AC68" i="18"/>
  <c r="AB68" i="18"/>
  <c r="AA68" i="18"/>
  <c r="Y68" i="18"/>
  <c r="Y60" i="18"/>
  <c r="AC60" i="18"/>
  <c r="Z60" i="18"/>
  <c r="AA60" i="18"/>
  <c r="AB60" i="18"/>
  <c r="AB44" i="18"/>
  <c r="AC44" i="18"/>
  <c r="Y44" i="18"/>
  <c r="Z44" i="18"/>
  <c r="AA44" i="18"/>
  <c r="AB46" i="18"/>
  <c r="Y46" i="18"/>
  <c r="Z46" i="18"/>
  <c r="AA46" i="18"/>
  <c r="AC46" i="18"/>
  <c r="AC26" i="17"/>
  <c r="Z26" i="17"/>
  <c r="Y26" i="17"/>
  <c r="AB26" i="17"/>
  <c r="AA26" i="17"/>
  <c r="AB7" i="17"/>
  <c r="AA7" i="17"/>
  <c r="Y7" i="17"/>
  <c r="AC7" i="17"/>
  <c r="Z7" i="17"/>
  <c r="Y28" i="17"/>
  <c r="AC28" i="17"/>
  <c r="AB28" i="17"/>
  <c r="Z28" i="17"/>
  <c r="AA28" i="17"/>
  <c r="Z39" i="18"/>
  <c r="Y39" i="18"/>
  <c r="AB39" i="18"/>
  <c r="AA39" i="18"/>
  <c r="AC39" i="18"/>
  <c r="AB32" i="18"/>
  <c r="Y32" i="18"/>
  <c r="Z32" i="18"/>
  <c r="AA32" i="18"/>
  <c r="AC32" i="18"/>
  <c r="AG23" i="17"/>
  <c r="AI23" i="17" s="1"/>
  <c r="Z16" i="17"/>
  <c r="AC16" i="17"/>
  <c r="Y16" i="17"/>
  <c r="AB16" i="17"/>
  <c r="AA16" i="17"/>
  <c r="AI12" i="15"/>
  <c r="Z39" i="17"/>
  <c r="AA39" i="17"/>
  <c r="AC39" i="17"/>
  <c r="Y39" i="17"/>
  <c r="AB39" i="17"/>
  <c r="AC47" i="17"/>
  <c r="AA47" i="17"/>
  <c r="AB47" i="17"/>
  <c r="Z47" i="17"/>
  <c r="Y47" i="17"/>
  <c r="Z27" i="17"/>
  <c r="AC27" i="17"/>
  <c r="Y27" i="17"/>
  <c r="AB27" i="17"/>
  <c r="AA27" i="17"/>
  <c r="AC33" i="18"/>
  <c r="Z33" i="18"/>
  <c r="AA33" i="18"/>
  <c r="Y33" i="18"/>
  <c r="AB33" i="18"/>
  <c r="Z30" i="17"/>
  <c r="AB30" i="17"/>
  <c r="Y30" i="17"/>
  <c r="AA30" i="17"/>
  <c r="AC30" i="17"/>
  <c r="AC24" i="17"/>
  <c r="AB24" i="17"/>
  <c r="Y24" i="17"/>
  <c r="Z24" i="17"/>
  <c r="AA24" i="17"/>
  <c r="AB14" i="17"/>
  <c r="AC14" i="17"/>
  <c r="AA14" i="17"/>
  <c r="Z14" i="17"/>
  <c r="Y14" i="17"/>
  <c r="AA59" i="18"/>
  <c r="AC59" i="18"/>
  <c r="Y59" i="18"/>
  <c r="AB59" i="18"/>
  <c r="Z59" i="18"/>
  <c r="Y11" i="18"/>
  <c r="AB11" i="18"/>
  <c r="AC11" i="18"/>
  <c r="AA11" i="18"/>
  <c r="Z11" i="18"/>
  <c r="Z9" i="18"/>
  <c r="Y9" i="18"/>
  <c r="AA9" i="18"/>
  <c r="AC9" i="18"/>
  <c r="AB9" i="18"/>
  <c r="Y35" i="18"/>
  <c r="AC35" i="18"/>
  <c r="AA35" i="18"/>
  <c r="Z35" i="18"/>
  <c r="AB35" i="18"/>
  <c r="AC27" i="18"/>
  <c r="Z27" i="18"/>
  <c r="AA27" i="18"/>
  <c r="Y27" i="18"/>
  <c r="AB27" i="18"/>
  <c r="AC31" i="18"/>
  <c r="AA31" i="18"/>
  <c r="Y31" i="18"/>
  <c r="AB31" i="18"/>
  <c r="Z31" i="18"/>
  <c r="Y72" i="18"/>
  <c r="AC72" i="18"/>
  <c r="AB72" i="18"/>
  <c r="Z72" i="18"/>
  <c r="AA72" i="18"/>
  <c r="Z51" i="18"/>
  <c r="AB51" i="18"/>
  <c r="AA51" i="18"/>
  <c r="AC51" i="18"/>
  <c r="Y51" i="18"/>
  <c r="AC28" i="18"/>
  <c r="Z28" i="18"/>
  <c r="Y28" i="18"/>
  <c r="AA28" i="18"/>
  <c r="AB28" i="18"/>
  <c r="AB35" i="17"/>
  <c r="Z35" i="17"/>
  <c r="Y35" i="17"/>
  <c r="AC35" i="17"/>
  <c r="AA35" i="17"/>
  <c r="C26" i="15"/>
  <c r="Z15" i="17"/>
  <c r="AA15" i="17"/>
  <c r="Y15" i="17"/>
  <c r="AB15" i="17"/>
  <c r="AC15" i="17"/>
  <c r="Y54" i="17"/>
  <c r="Z54" i="17"/>
  <c r="AB54" i="17"/>
  <c r="AA54" i="17"/>
  <c r="AC54" i="17"/>
  <c r="AB21" i="18"/>
  <c r="Z21" i="18"/>
  <c r="Y21" i="18"/>
  <c r="AA21" i="18"/>
  <c r="AC21" i="18"/>
  <c r="Y6" i="18"/>
  <c r="AC6" i="18"/>
  <c r="Z6" i="18"/>
  <c r="AA6" i="18"/>
  <c r="AB6" i="18"/>
  <c r="AA30" i="18"/>
  <c r="AC30" i="18"/>
  <c r="Y30" i="18"/>
  <c r="Z30" i="18"/>
  <c r="AB30" i="18"/>
  <c r="Y22" i="18"/>
  <c r="AA22" i="18"/>
  <c r="Z22" i="18"/>
  <c r="AB22" i="18"/>
  <c r="AC22" i="18"/>
  <c r="Y67" i="18"/>
  <c r="AB67" i="18"/>
  <c r="AA67" i="18"/>
  <c r="AC67" i="18"/>
  <c r="Z67" i="18"/>
  <c r="Y73" i="18"/>
  <c r="AA73" i="18"/>
  <c r="Z73" i="18"/>
  <c r="AC73" i="18"/>
  <c r="AB73" i="18"/>
  <c r="AB57" i="18"/>
  <c r="Z57" i="18"/>
  <c r="AC57" i="18"/>
  <c r="Y57" i="18"/>
  <c r="AA57" i="18"/>
  <c r="AA31" i="17"/>
  <c r="AC31" i="17"/>
  <c r="AB31" i="17"/>
  <c r="Z31" i="17"/>
  <c r="Y31" i="17"/>
  <c r="AA29" i="18"/>
  <c r="AB29" i="18"/>
  <c r="Z29" i="18"/>
  <c r="Y29" i="18"/>
  <c r="AC29" i="18"/>
  <c r="Z21" i="17"/>
  <c r="AC21" i="17"/>
  <c r="AA21" i="17"/>
  <c r="Y21" i="17"/>
  <c r="AB21" i="17"/>
  <c r="AC52" i="17"/>
  <c r="AA52" i="17"/>
  <c r="AB52" i="17"/>
  <c r="Y52" i="17"/>
  <c r="Z52" i="17"/>
  <c r="AC25" i="17"/>
  <c r="AB25" i="17"/>
  <c r="AA25" i="17"/>
  <c r="Y25" i="17"/>
  <c r="Z25" i="17"/>
  <c r="AB10" i="18"/>
  <c r="Y10" i="18"/>
  <c r="AC10" i="18"/>
  <c r="AA10" i="18"/>
  <c r="Z10" i="18"/>
  <c r="AC3" i="18"/>
  <c r="AB3" i="18"/>
  <c r="Y3" i="18"/>
  <c r="AA3" i="18"/>
  <c r="Z3" i="18"/>
  <c r="AG23" i="14"/>
  <c r="AI23" i="14" s="1"/>
  <c r="Y43" i="18"/>
  <c r="AA43" i="18"/>
  <c r="AC43" i="18"/>
  <c r="Z43" i="18"/>
  <c r="AB43" i="18"/>
  <c r="AA6" i="17"/>
  <c r="AB6" i="17"/>
  <c r="AC6" i="17"/>
  <c r="Y6" i="17"/>
  <c r="Z6" i="17"/>
  <c r="AA34" i="17"/>
  <c r="Z34" i="17"/>
  <c r="AC34" i="17"/>
  <c r="Y34" i="17"/>
  <c r="AB34" i="17"/>
  <c r="Y48" i="17"/>
  <c r="AC48" i="17"/>
  <c r="AA48" i="17"/>
  <c r="Z48" i="17"/>
  <c r="AB48" i="17"/>
  <c r="AC32" i="17"/>
  <c r="AA32" i="17"/>
  <c r="AB32" i="17"/>
  <c r="Y32" i="17"/>
  <c r="Z32" i="17"/>
  <c r="AA8" i="17"/>
  <c r="Z8" i="17"/>
  <c r="Y8" i="17"/>
  <c r="AC8" i="17"/>
  <c r="AB8" i="17"/>
  <c r="AC43" i="17"/>
  <c r="Y43" i="17"/>
  <c r="AB43" i="17"/>
  <c r="Z43" i="17"/>
  <c r="AA43" i="17"/>
  <c r="AB40" i="18"/>
  <c r="Z40" i="18"/>
  <c r="AA40" i="18"/>
  <c r="AC40" i="18"/>
  <c r="Y40" i="18"/>
  <c r="AG23" i="16"/>
  <c r="AI23" i="16" s="1"/>
  <c r="AC5" i="17"/>
  <c r="AA5" i="17"/>
  <c r="Z5" i="17"/>
  <c r="AB5" i="17"/>
  <c r="Y5" i="17"/>
  <c r="AA16" i="18"/>
  <c r="Y16" i="18"/>
  <c r="AB16" i="18"/>
  <c r="Z16" i="18"/>
  <c r="AC16" i="18"/>
  <c r="AC38" i="18"/>
  <c r="AA38" i="18"/>
  <c r="Z38" i="18"/>
  <c r="AB38" i="18"/>
  <c r="Y38" i="18"/>
  <c r="AC65" i="18"/>
  <c r="Y65" i="18"/>
  <c r="AB65" i="18"/>
  <c r="AA65" i="18"/>
  <c r="Z65" i="18"/>
  <c r="AA41" i="18"/>
  <c r="AB41" i="18"/>
  <c r="Z41" i="18"/>
  <c r="Y41" i="18"/>
  <c r="AC41" i="18"/>
  <c r="Y71" i="18"/>
  <c r="Z71" i="18"/>
  <c r="AC71" i="18"/>
  <c r="AA71" i="18"/>
  <c r="AB71" i="18"/>
  <c r="AA70" i="18"/>
  <c r="Y70" i="18"/>
  <c r="AC70" i="18"/>
  <c r="Z70" i="18"/>
  <c r="AB70" i="18"/>
  <c r="AC25" i="18"/>
  <c r="Z25" i="18"/>
  <c r="Y25" i="18"/>
  <c r="AA25" i="18"/>
  <c r="AB25" i="18"/>
  <c r="D39" i="1"/>
  <c r="AG18" i="14"/>
  <c r="AI17" i="14"/>
  <c r="C27" i="15"/>
  <c r="AI18" i="14"/>
  <c r="AG19" i="14"/>
  <c r="C28" i="15"/>
  <c r="AI19" i="14"/>
  <c r="AG20" i="14"/>
  <c r="C29" i="15"/>
  <c r="AG21" i="14"/>
  <c r="AI21" i="14"/>
  <c r="AG22" i="14"/>
  <c r="AI22" i="14" s="1"/>
  <c r="AK22" i="14" l="1"/>
  <c r="AK21" i="14"/>
  <c r="I29" i="15"/>
  <c r="H29" i="15"/>
  <c r="AK19" i="14"/>
  <c r="I28" i="15"/>
  <c r="H28" i="15"/>
  <c r="AK18" i="14"/>
  <c r="H27" i="15"/>
  <c r="I27" i="15"/>
  <c r="AK17" i="14"/>
  <c r="W25" i="18"/>
  <c r="W70" i="18"/>
  <c r="W71" i="18"/>
  <c r="W41" i="18"/>
  <c r="W65" i="18"/>
  <c r="W38" i="18"/>
  <c r="W16" i="18"/>
  <c r="W5" i="17"/>
  <c r="AK23" i="16"/>
  <c r="W40" i="18"/>
  <c r="W43" i="17"/>
  <c r="W8" i="17"/>
  <c r="W32" i="17"/>
  <c r="W48" i="17"/>
  <c r="W34" i="17"/>
  <c r="W6" i="17"/>
  <c r="W43" i="18"/>
  <c r="AK23" i="14"/>
  <c r="W3" i="18"/>
  <c r="W10" i="18"/>
  <c r="W25" i="17"/>
  <c r="W52" i="17"/>
  <c r="W21" i="17"/>
  <c r="W29" i="18"/>
  <c r="W31" i="17"/>
  <c r="W57" i="18"/>
  <c r="W73" i="18"/>
  <c r="W67" i="18"/>
  <c r="W22" i="18"/>
  <c r="W30" i="18"/>
  <c r="W6" i="18"/>
  <c r="W21" i="18"/>
  <c r="W54" i="17"/>
  <c r="W15" i="17"/>
  <c r="I26" i="15"/>
  <c r="H26" i="15"/>
  <c r="W35" i="17"/>
  <c r="W28" i="18"/>
  <c r="W51" i="18"/>
  <c r="W72" i="18"/>
  <c r="W31" i="18"/>
  <c r="W27" i="18"/>
  <c r="W35" i="18"/>
  <c r="W9" i="18"/>
  <c r="W11" i="18"/>
  <c r="W59" i="18"/>
  <c r="W14" i="17"/>
  <c r="W24" i="17"/>
  <c r="W30" i="17"/>
  <c r="W33" i="18"/>
  <c r="W27" i="17"/>
  <c r="W47" i="17"/>
  <c r="W39" i="17"/>
  <c r="AK12" i="15"/>
  <c r="W16" i="17"/>
  <c r="AM23" i="17"/>
  <c r="AK23" i="17"/>
  <c r="W32" i="18"/>
  <c r="W39" i="18"/>
  <c r="W28" i="17"/>
  <c r="W7" i="17"/>
  <c r="W26" i="17"/>
  <c r="W46" i="18"/>
  <c r="W44" i="18"/>
  <c r="W60" i="18"/>
  <c r="W68" i="18"/>
  <c r="W12" i="18"/>
  <c r="W50" i="18"/>
  <c r="W47" i="18"/>
  <c r="W4" i="18"/>
  <c r="W41" i="17"/>
  <c r="W22" i="17"/>
  <c r="W19" i="17"/>
  <c r="W38" i="17"/>
  <c r="W18" i="17"/>
  <c r="W3" i="17"/>
  <c r="W78" i="18"/>
  <c r="W26" i="18"/>
  <c r="W53" i="17"/>
  <c r="W10" i="17"/>
  <c r="W36" i="17"/>
  <c r="W46" i="17"/>
  <c r="W50" i="17"/>
  <c r="W36" i="18"/>
  <c r="W56" i="18"/>
  <c r="W49" i="18"/>
  <c r="W55" i="18"/>
  <c r="W37" i="18"/>
  <c r="W42" i="18"/>
  <c r="W62" i="18"/>
  <c r="W74" i="18"/>
  <c r="W13" i="17"/>
  <c r="W45" i="17"/>
  <c r="W29" i="17"/>
  <c r="W64" i="18"/>
  <c r="W5" i="18"/>
  <c r="W66" i="18"/>
  <c r="W14" i="18"/>
  <c r="W61" i="18"/>
  <c r="W24" i="18"/>
  <c r="W19" i="18"/>
  <c r="W15" i="18"/>
  <c r="W40" i="17"/>
  <c r="W42" i="17"/>
  <c r="W23" i="17"/>
  <c r="W79" i="18"/>
  <c r="W8" i="18"/>
  <c r="W20" i="18"/>
  <c r="W17" i="18"/>
  <c r="W53" i="18"/>
  <c r="W69" i="18"/>
  <c r="W63" i="18"/>
  <c r="W58" i="18"/>
  <c r="W54" i="18"/>
  <c r="W48" i="18"/>
  <c r="W49" i="17"/>
  <c r="W11" i="17"/>
  <c r="W17" i="17"/>
  <c r="W20" i="17"/>
  <c r="W12" i="17"/>
  <c r="W52" i="18"/>
  <c r="W75" i="18"/>
  <c r="W13" i="18"/>
  <c r="W76" i="18"/>
  <c r="W77" i="18"/>
  <c r="W34" i="18"/>
  <c r="W23" i="18"/>
  <c r="W45" i="18"/>
  <c r="W18" i="18"/>
  <c r="W7" i="18"/>
  <c r="W4" i="17"/>
  <c r="W44" i="17"/>
  <c r="W37" i="17"/>
  <c r="W9" i="17"/>
  <c r="W51" i="17"/>
  <c r="W55" i="17"/>
  <c r="W33" i="17"/>
  <c r="AK23" i="15"/>
  <c r="J28" i="15"/>
  <c r="N24" i="15"/>
  <c r="N22" i="15"/>
  <c r="J26" i="15"/>
  <c r="Y56" i="17"/>
  <c r="Y80" i="18"/>
  <c r="O23" i="15"/>
  <c r="O24" i="15"/>
  <c r="O22" i="15"/>
  <c r="I29" i="1"/>
  <c r="O25" i="15"/>
  <c r="D45" i="1"/>
  <c r="AI20" i="14"/>
  <c r="C54" i="1"/>
  <c r="D46" i="1"/>
  <c r="C30" i="15"/>
  <c r="N23" i="15"/>
  <c r="J27" i="15"/>
  <c r="Y68" i="16"/>
  <c r="N25" i="15"/>
  <c r="J29" i="15"/>
  <c r="AD2" i="18" a="1"/>
  <c r="C53" i="1"/>
  <c r="D54" i="1"/>
  <c r="I39" i="1"/>
  <c r="D55" i="1"/>
  <c r="AD2" i="17" a="1"/>
  <c r="H37" i="1"/>
  <c r="H38" i="1"/>
  <c r="I30" i="1"/>
  <c r="I37" i="1"/>
  <c r="I41" i="1"/>
  <c r="D53" i="1"/>
  <c r="D57" i="1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H47" i="15" l="1"/>
  <c r="I47" i="15"/>
  <c r="H46" i="15"/>
  <c r="I46" i="15"/>
  <c r="I45" i="15"/>
  <c r="H45" i="15"/>
  <c r="H44" i="15"/>
  <c r="I44" i="15"/>
  <c r="I43" i="15"/>
  <c r="H43" i="15"/>
  <c r="H42" i="15"/>
  <c r="I42" i="15"/>
  <c r="I41" i="15"/>
  <c r="H41" i="15"/>
  <c r="H40" i="15"/>
  <c r="I40" i="15"/>
  <c r="H39" i="15"/>
  <c r="I39" i="15"/>
  <c r="H38" i="15"/>
  <c r="I38" i="15"/>
  <c r="I37" i="15"/>
  <c r="H37" i="15"/>
  <c r="I36" i="15"/>
  <c r="H36" i="15"/>
  <c r="H35" i="15"/>
  <c r="I35" i="15"/>
  <c r="H34" i="15"/>
  <c r="I34" i="15"/>
  <c r="H33" i="15"/>
  <c r="I33" i="15"/>
  <c r="H32" i="15"/>
  <c r="I32" i="15"/>
  <c r="I31" i="15"/>
  <c r="H31" i="15"/>
  <c r="S25" i="15"/>
  <c r="S23" i="15"/>
  <c r="H30" i="15"/>
  <c r="I30" i="15"/>
  <c r="AK20" i="14"/>
  <c r="S22" i="15"/>
  <c r="S24" i="15"/>
  <c r="M25" i="15"/>
  <c r="M23" i="15"/>
  <c r="M22" i="15"/>
  <c r="M24" i="15"/>
  <c r="AD19" i="17"/>
  <c r="AD30" i="17"/>
  <c r="AD9" i="17"/>
  <c r="AD15" i="17"/>
  <c r="AD37" i="17"/>
  <c r="AD21" i="17"/>
  <c r="AD10" i="17"/>
  <c r="AD20" i="17"/>
  <c r="AD35" i="17"/>
  <c r="AD6" i="17"/>
  <c r="AD38" i="17"/>
  <c r="AD46" i="17"/>
  <c r="AD42" i="17"/>
  <c r="AD28" i="17"/>
  <c r="AD41" i="17"/>
  <c r="AD52" i="17"/>
  <c r="AD29" i="17"/>
  <c r="AD45" i="17"/>
  <c r="AD44" i="17"/>
  <c r="AD2" i="17"/>
  <c r="AD5" i="17"/>
  <c r="AD40" i="17"/>
  <c r="AD48" i="17"/>
  <c r="AD54" i="17"/>
  <c r="AD18" i="17"/>
  <c r="AD51" i="17"/>
  <c r="AD11" i="17"/>
  <c r="AD27" i="17"/>
  <c r="AD14" i="17"/>
  <c r="AD13" i="17"/>
  <c r="AD36" i="17"/>
  <c r="AD3" i="17"/>
  <c r="AD53" i="17"/>
  <c r="AD23" i="17"/>
  <c r="AD17" i="17"/>
  <c r="AD4" i="17"/>
  <c r="AD43" i="17"/>
  <c r="AD24" i="17"/>
  <c r="AD31" i="17"/>
  <c r="AD26" i="17"/>
  <c r="AD16" i="17"/>
  <c r="AD12" i="17"/>
  <c r="AD49" i="17"/>
  <c r="AD50" i="17"/>
  <c r="AD8" i="17"/>
  <c r="AD47" i="17"/>
  <c r="AD34" i="17"/>
  <c r="AD32" i="17"/>
  <c r="AD22" i="17"/>
  <c r="AD55" i="17"/>
  <c r="AD33" i="17"/>
  <c r="AD39" i="17"/>
  <c r="AD7" i="17"/>
  <c r="AD25" i="17"/>
  <c r="AD58" i="18"/>
  <c r="AD66" i="18"/>
  <c r="AD41" i="18"/>
  <c r="AD17" i="18"/>
  <c r="AD43" i="18"/>
  <c r="AD69" i="18"/>
  <c r="AD31" i="18"/>
  <c r="AD5" i="18"/>
  <c r="AD3" i="18"/>
  <c r="AD15" i="18"/>
  <c r="AD4" i="18"/>
  <c r="AD34" i="18"/>
  <c r="AD47" i="18"/>
  <c r="AD19" i="18"/>
  <c r="AD16" i="18"/>
  <c r="AD59" i="18"/>
  <c r="AD79" i="18"/>
  <c r="AD71" i="18"/>
  <c r="AD48" i="18"/>
  <c r="AD49" i="18"/>
  <c r="AD42" i="18"/>
  <c r="AD75" i="18"/>
  <c r="AD9" i="18"/>
  <c r="AD29" i="18"/>
  <c r="AD28" i="18"/>
  <c r="AD36" i="18"/>
  <c r="AD46" i="18"/>
  <c r="AD44" i="18"/>
  <c r="AD39" i="18"/>
  <c r="AD53" i="18"/>
  <c r="AD20" i="18"/>
  <c r="AD76" i="18"/>
  <c r="AD74" i="18"/>
  <c r="AD60" i="18"/>
  <c r="AD38" i="18"/>
  <c r="AD45" i="18"/>
  <c r="AD57" i="18"/>
  <c r="AD62" i="18"/>
  <c r="AD12" i="18"/>
  <c r="AD33" i="18"/>
  <c r="AD56" i="18"/>
  <c r="AD51" i="18"/>
  <c r="AD2" i="18"/>
  <c r="AD21" i="18"/>
  <c r="AD10" i="18"/>
  <c r="AD13" i="18"/>
  <c r="AD55" i="18"/>
  <c r="AD64" i="18"/>
  <c r="AD63" i="18"/>
  <c r="AD23" i="18"/>
  <c r="AD14" i="18"/>
  <c r="AD30" i="18"/>
  <c r="AD40" i="18"/>
  <c r="AD7" i="18"/>
  <c r="AD24" i="18"/>
  <c r="AD26" i="18"/>
  <c r="AD37" i="18"/>
  <c r="AD32" i="18"/>
  <c r="AD73" i="18"/>
  <c r="AD68" i="18"/>
  <c r="AD50" i="18"/>
  <c r="AD22" i="18"/>
  <c r="AD67" i="18"/>
  <c r="AD8" i="18"/>
  <c r="AD35" i="18"/>
  <c r="AD6" i="18"/>
  <c r="AD52" i="18"/>
  <c r="AD18" i="18"/>
  <c r="AD65" i="18"/>
  <c r="AD72" i="18"/>
  <c r="AD11" i="18"/>
  <c r="AD54" i="18"/>
  <c r="AD27" i="18"/>
  <c r="AD25" i="18"/>
  <c r="AD77" i="18"/>
  <c r="AD78" i="18"/>
  <c r="AD61" i="18"/>
  <c r="AD70" i="18"/>
  <c r="N43" i="15"/>
  <c r="J47" i="15"/>
  <c r="O39" i="15"/>
  <c r="N35" i="15"/>
  <c r="J39" i="15"/>
  <c r="J35" i="15"/>
  <c r="N31" i="15"/>
  <c r="O27" i="15"/>
  <c r="T22" i="15"/>
  <c r="U22" i="15"/>
  <c r="O43" i="15"/>
  <c r="O35" i="15"/>
  <c r="O31" i="15"/>
  <c r="J31" i="15"/>
  <c r="N27" i="15"/>
  <c r="U24" i="15"/>
  <c r="T24" i="15"/>
  <c r="N38" i="15"/>
  <c r="J42" i="15"/>
  <c r="J34" i="15"/>
  <c r="N30" i="15"/>
  <c r="O42" i="15"/>
  <c r="O34" i="15"/>
  <c r="T25" i="15"/>
  <c r="U25" i="15"/>
  <c r="O41" i="15"/>
  <c r="N29" i="15"/>
  <c r="J33" i="15"/>
  <c r="U23" i="15"/>
  <c r="T23" i="15"/>
  <c r="N41" i="15"/>
  <c r="J45" i="15"/>
  <c r="O29" i="15"/>
  <c r="N26" i="15"/>
  <c r="J30" i="15"/>
  <c r="N40" i="15"/>
  <c r="J44" i="15"/>
  <c r="N28" i="15"/>
  <c r="J32" i="15"/>
  <c r="O26" i="15"/>
  <c r="O36" i="15"/>
  <c r="N39" i="15"/>
  <c r="J43" i="15"/>
  <c r="N42" i="15"/>
  <c r="J46" i="15"/>
  <c r="N34" i="15"/>
  <c r="J38" i="15"/>
  <c r="I38" i="1"/>
  <c r="O38" i="15"/>
  <c r="O30" i="15"/>
  <c r="X3" i="14" a="1"/>
  <c r="O37" i="15"/>
  <c r="N37" i="15"/>
  <c r="J41" i="15"/>
  <c r="O32" i="15"/>
  <c r="J36" i="15"/>
  <c r="N32" i="15"/>
  <c r="O33" i="15"/>
  <c r="J37" i="15"/>
  <c r="N33" i="15"/>
  <c r="N36" i="15"/>
  <c r="J40" i="15"/>
  <c r="O40" i="15"/>
  <c r="O28" i="15"/>
  <c r="S36" i="15" l="1"/>
  <c r="S33" i="15"/>
  <c r="S32" i="15"/>
  <c r="S37" i="15"/>
  <c r="X18" i="14"/>
  <c r="X7" i="14"/>
  <c r="X37" i="14"/>
  <c r="X28" i="14"/>
  <c r="X10" i="14"/>
  <c r="X27" i="14"/>
  <c r="X32" i="14"/>
  <c r="X23" i="14"/>
  <c r="X14" i="14"/>
  <c r="X38" i="14"/>
  <c r="X4" i="14"/>
  <c r="X20" i="14"/>
  <c r="X33" i="14"/>
  <c r="X24" i="14"/>
  <c r="X6" i="14"/>
  <c r="X26" i="14"/>
  <c r="X36" i="14"/>
  <c r="X35" i="14"/>
  <c r="X22" i="14"/>
  <c r="X13" i="14"/>
  <c r="X34" i="14"/>
  <c r="X17" i="14"/>
  <c r="X39" i="14"/>
  <c r="X19" i="14"/>
  <c r="X29" i="14"/>
  <c r="X11" i="14"/>
  <c r="X15" i="14"/>
  <c r="X30" i="14"/>
  <c r="X25" i="14"/>
  <c r="X5" i="14"/>
  <c r="X31" i="14"/>
  <c r="X9" i="14"/>
  <c r="X16" i="14"/>
  <c r="X21" i="14"/>
  <c r="X12" i="14"/>
  <c r="X3" i="14"/>
  <c r="X8" i="14"/>
  <c r="S34" i="15"/>
  <c r="S42" i="15"/>
  <c r="S39" i="15"/>
  <c r="S28" i="15"/>
  <c r="S40" i="15"/>
  <c r="S26" i="15"/>
  <c r="S41" i="15"/>
  <c r="S29" i="15"/>
  <c r="S30" i="15"/>
  <c r="S38" i="15"/>
  <c r="S27" i="15"/>
  <c r="S31" i="15"/>
  <c r="S35" i="15"/>
  <c r="S43" i="15"/>
  <c r="M36" i="15"/>
  <c r="M33" i="15"/>
  <c r="M32" i="15"/>
  <c r="M37" i="15"/>
  <c r="M34" i="15"/>
  <c r="M42" i="15"/>
  <c r="M39" i="15"/>
  <c r="M28" i="15"/>
  <c r="M40" i="15"/>
  <c r="M26" i="15"/>
  <c r="M41" i="15"/>
  <c r="M29" i="15"/>
  <c r="M30" i="15"/>
  <c r="M38" i="15"/>
  <c r="M27" i="15"/>
  <c r="M31" i="15"/>
  <c r="M35" i="15"/>
  <c r="M43" i="15"/>
  <c r="T36" i="15"/>
  <c r="U36" i="15"/>
  <c r="AA10" i="14"/>
  <c r="Y10" i="14"/>
  <c r="Z10" i="14"/>
  <c r="AB10" i="14"/>
  <c r="AC10" i="14"/>
  <c r="AB33" i="14"/>
  <c r="Y33" i="14"/>
  <c r="AC33" i="14"/>
  <c r="AA33" i="14"/>
  <c r="Z33" i="14"/>
  <c r="Z34" i="14"/>
  <c r="AA34" i="14"/>
  <c r="Y34" i="14"/>
  <c r="AC34" i="14"/>
  <c r="AB34" i="14"/>
  <c r="Z25" i="14"/>
  <c r="AA25" i="14"/>
  <c r="Y25" i="14"/>
  <c r="AB25" i="14"/>
  <c r="AC25" i="14"/>
  <c r="Y8" i="14"/>
  <c r="Z8" i="14"/>
  <c r="AB8" i="14"/>
  <c r="AC8" i="14"/>
  <c r="AA8" i="14"/>
  <c r="U29" i="15"/>
  <c r="T29" i="15"/>
  <c r="T33" i="15"/>
  <c r="U33" i="15"/>
  <c r="AA27" i="14"/>
  <c r="AC27" i="14"/>
  <c r="Y27" i="14"/>
  <c r="Z27" i="14"/>
  <c r="AB27" i="14"/>
  <c r="AB24" i="14"/>
  <c r="AC24" i="14"/>
  <c r="AA24" i="14"/>
  <c r="Z24" i="14"/>
  <c r="Y24" i="14"/>
  <c r="Z17" i="14"/>
  <c r="Y17" i="14"/>
  <c r="AB17" i="14"/>
  <c r="AA17" i="14"/>
  <c r="AC17" i="14"/>
  <c r="AB5" i="14"/>
  <c r="AC5" i="14"/>
  <c r="Z5" i="14"/>
  <c r="Y5" i="14"/>
  <c r="AA5" i="14"/>
  <c r="T34" i="15"/>
  <c r="U34" i="15"/>
  <c r="T30" i="15"/>
  <c r="U30" i="15"/>
  <c r="U32" i="15"/>
  <c r="T32" i="15"/>
  <c r="Z32" i="14"/>
  <c r="AC32" i="14"/>
  <c r="Y32" i="14"/>
  <c r="AB32" i="14"/>
  <c r="AA32" i="14"/>
  <c r="AA6" i="14"/>
  <c r="Z6" i="14"/>
  <c r="Y6" i="14"/>
  <c r="AC6" i="14"/>
  <c r="AB6" i="14"/>
  <c r="AA39" i="14"/>
  <c r="Z39" i="14"/>
  <c r="Y39" i="14"/>
  <c r="AC39" i="14"/>
  <c r="AB39" i="14"/>
  <c r="AA31" i="14"/>
  <c r="AC31" i="14"/>
  <c r="AB31" i="14"/>
  <c r="Z31" i="14"/>
  <c r="Y31" i="14"/>
  <c r="T42" i="15"/>
  <c r="U42" i="15"/>
  <c r="T38" i="15"/>
  <c r="U38" i="15"/>
  <c r="U37" i="15"/>
  <c r="T37" i="15"/>
  <c r="Z23" i="14"/>
  <c r="Y23" i="14"/>
  <c r="AC23" i="14"/>
  <c r="AA23" i="14"/>
  <c r="AB23" i="14"/>
  <c r="AC26" i="14"/>
  <c r="AA26" i="14"/>
  <c r="AB26" i="14"/>
  <c r="Z26" i="14"/>
  <c r="Y26" i="14"/>
  <c r="AB19" i="14"/>
  <c r="AC19" i="14"/>
  <c r="Z19" i="14"/>
  <c r="Y19" i="14"/>
  <c r="AA19" i="14"/>
  <c r="AC9" i="14"/>
  <c r="AA9" i="14"/>
  <c r="Y9" i="14"/>
  <c r="AB9" i="14"/>
  <c r="Z9" i="14"/>
  <c r="U39" i="15"/>
  <c r="T39" i="15"/>
  <c r="T27" i="15"/>
  <c r="U27" i="15"/>
  <c r="Y18" i="14"/>
  <c r="AA18" i="14"/>
  <c r="AB18" i="14"/>
  <c r="AC18" i="14"/>
  <c r="Z18" i="14"/>
  <c r="AB14" i="14"/>
  <c r="Y14" i="14"/>
  <c r="AA14" i="14"/>
  <c r="Z14" i="14"/>
  <c r="AC14" i="14"/>
  <c r="Z36" i="14"/>
  <c r="Y36" i="14"/>
  <c r="AA36" i="14"/>
  <c r="AB36" i="14"/>
  <c r="AC36" i="14"/>
  <c r="AA29" i="14"/>
  <c r="AC29" i="14"/>
  <c r="AB29" i="14"/>
  <c r="Y29" i="14"/>
  <c r="Z29" i="14"/>
  <c r="AC16" i="14"/>
  <c r="Z16" i="14"/>
  <c r="AA16" i="14"/>
  <c r="AB16" i="14"/>
  <c r="Y16" i="14"/>
  <c r="U28" i="15"/>
  <c r="T28" i="15"/>
  <c r="U31" i="15"/>
  <c r="T31" i="15"/>
  <c r="Z7" i="14"/>
  <c r="AC7" i="14"/>
  <c r="Y7" i="14"/>
  <c r="AA7" i="14"/>
  <c r="AB7" i="14"/>
  <c r="AB38" i="14"/>
  <c r="Y38" i="14"/>
  <c r="AC38" i="14"/>
  <c r="Z38" i="14"/>
  <c r="AA38" i="14"/>
  <c r="AA35" i="14"/>
  <c r="AB35" i="14"/>
  <c r="Y35" i="14"/>
  <c r="AC35" i="14"/>
  <c r="Z35" i="14"/>
  <c r="AA11" i="14"/>
  <c r="Z11" i="14"/>
  <c r="AC11" i="14"/>
  <c r="Y11" i="14"/>
  <c r="AB11" i="14"/>
  <c r="AA21" i="14"/>
  <c r="AC21" i="14"/>
  <c r="AB21" i="14"/>
  <c r="Y21" i="14"/>
  <c r="Z21" i="14"/>
  <c r="U40" i="15"/>
  <c r="T40" i="15"/>
  <c r="T35" i="15"/>
  <c r="U35" i="15"/>
  <c r="AC37" i="14"/>
  <c r="Z37" i="14"/>
  <c r="AA37" i="14"/>
  <c r="Y37" i="14"/>
  <c r="AB37" i="14"/>
  <c r="AA4" i="14"/>
  <c r="Y4" i="14"/>
  <c r="Z4" i="14"/>
  <c r="AC4" i="14"/>
  <c r="AB4" i="14"/>
  <c r="AA22" i="14"/>
  <c r="AB22" i="14"/>
  <c r="AC22" i="14"/>
  <c r="Z22" i="14"/>
  <c r="Y22" i="14"/>
  <c r="Z15" i="14"/>
  <c r="AA15" i="14"/>
  <c r="AC15" i="14"/>
  <c r="AB15" i="14"/>
  <c r="Y15" i="14"/>
  <c r="AA12" i="14"/>
  <c r="Y12" i="14"/>
  <c r="AB12" i="14"/>
  <c r="AC12" i="14"/>
  <c r="Z12" i="14"/>
  <c r="X3" i="15" a="1"/>
  <c r="U26" i="15"/>
  <c r="T26" i="15"/>
  <c r="U43" i="15"/>
  <c r="T43" i="15"/>
  <c r="D13" i="1"/>
  <c r="AB28" i="14"/>
  <c r="Y28" i="14"/>
  <c r="AA28" i="14"/>
  <c r="AC28" i="14"/>
  <c r="Z28" i="14"/>
  <c r="Y20" i="14"/>
  <c r="AA20" i="14"/>
  <c r="AC20" i="14"/>
  <c r="AB20" i="14"/>
  <c r="Z20" i="14"/>
  <c r="Z13" i="14"/>
  <c r="AA13" i="14"/>
  <c r="AC13" i="14"/>
  <c r="AB13" i="14"/>
  <c r="Y13" i="14"/>
  <c r="Y30" i="14"/>
  <c r="AC30" i="14"/>
  <c r="AB30" i="14"/>
  <c r="Z30" i="14"/>
  <c r="AA30" i="14"/>
  <c r="AB3" i="14"/>
  <c r="AA3" i="14"/>
  <c r="Y3" i="14"/>
  <c r="AC3" i="14"/>
  <c r="Z3" i="14"/>
  <c r="U41" i="15"/>
  <c r="T41" i="15"/>
  <c r="AD2" i="14" a="1"/>
  <c r="D25" i="1"/>
  <c r="D23" i="1"/>
  <c r="C22" i="1"/>
  <c r="D22" i="1" s="1"/>
  <c r="C21" i="1"/>
  <c r="D21" i="1" s="1"/>
  <c r="Y40" i="14"/>
  <c r="AD37" i="14" l="1"/>
  <c r="AD38" i="14"/>
  <c r="AD39" i="14"/>
  <c r="AD9" i="14"/>
  <c r="AD2" i="14"/>
  <c r="AD3" i="14"/>
  <c r="AD4" i="14"/>
  <c r="AD30" i="14"/>
  <c r="AD6" i="14"/>
  <c r="AD7" i="14"/>
  <c r="AD8" i="14"/>
  <c r="AD17" i="14"/>
  <c r="AD10" i="14"/>
  <c r="AD11" i="14"/>
  <c r="AD12" i="14"/>
  <c r="AD13" i="14"/>
  <c r="AD14" i="14"/>
  <c r="AD15" i="14"/>
  <c r="AD21" i="14"/>
  <c r="AD25" i="14"/>
  <c r="AD18" i="14"/>
  <c r="AD5" i="14"/>
  <c r="AD20" i="14"/>
  <c r="AD26" i="14"/>
  <c r="AD22" i="14"/>
  <c r="AD23" i="14"/>
  <c r="AD24" i="14"/>
  <c r="AD33" i="14"/>
  <c r="AD31" i="14"/>
  <c r="AD27" i="14"/>
  <c r="AD28" i="14"/>
  <c r="AD29" i="14"/>
  <c r="AD16" i="14"/>
  <c r="AD36" i="14"/>
  <c r="AD32" i="14"/>
  <c r="AD19" i="14"/>
  <c r="AD34" i="14"/>
  <c r="AD35" i="14"/>
  <c r="W3" i="14"/>
  <c r="W30" i="14"/>
  <c r="W13" i="14"/>
  <c r="W20" i="14"/>
  <c r="W28" i="14"/>
  <c r="X83" i="15"/>
  <c r="X19" i="15"/>
  <c r="X105" i="15"/>
  <c r="X61" i="15"/>
  <c r="X57" i="15"/>
  <c r="X62" i="15"/>
  <c r="X95" i="15"/>
  <c r="X93" i="15"/>
  <c r="X5" i="15"/>
  <c r="X56" i="15"/>
  <c r="X51" i="15"/>
  <c r="X66" i="15"/>
  <c r="X33" i="15"/>
  <c r="X27" i="15"/>
  <c r="X21" i="15"/>
  <c r="X84" i="15"/>
  <c r="X60" i="15"/>
  <c r="X54" i="15"/>
  <c r="X18" i="15"/>
  <c r="X52" i="15"/>
  <c r="X29" i="15"/>
  <c r="X128" i="15"/>
  <c r="X86" i="15"/>
  <c r="X20" i="15"/>
  <c r="X43" i="15"/>
  <c r="X40" i="15"/>
  <c r="X79" i="15"/>
  <c r="X16" i="15"/>
  <c r="X76" i="15"/>
  <c r="X58" i="15"/>
  <c r="X42" i="15"/>
  <c r="X126" i="15"/>
  <c r="X72" i="15"/>
  <c r="X34" i="15"/>
  <c r="X107" i="15"/>
  <c r="X113" i="15"/>
  <c r="X10" i="15"/>
  <c r="X118" i="15"/>
  <c r="X97" i="15"/>
  <c r="X130" i="15"/>
  <c r="X100" i="15"/>
  <c r="X14" i="15"/>
  <c r="X37" i="15"/>
  <c r="X73" i="15"/>
  <c r="X121" i="15"/>
  <c r="X90" i="15"/>
  <c r="X30" i="15"/>
  <c r="X114" i="15"/>
  <c r="X129" i="15"/>
  <c r="X67" i="15"/>
  <c r="X98" i="15"/>
  <c r="X32" i="15"/>
  <c r="X4" i="15"/>
  <c r="X59" i="15"/>
  <c r="X91" i="15"/>
  <c r="X89" i="15"/>
  <c r="X26" i="15"/>
  <c r="X7" i="15"/>
  <c r="X15" i="15"/>
  <c r="X70" i="15"/>
  <c r="X25" i="15"/>
  <c r="X96" i="15"/>
  <c r="X119" i="15"/>
  <c r="X63" i="15"/>
  <c r="X120" i="15"/>
  <c r="X50" i="15"/>
  <c r="X35" i="15"/>
  <c r="X77" i="15"/>
  <c r="X81" i="15"/>
  <c r="X125" i="15"/>
  <c r="X75" i="15"/>
  <c r="X94" i="15"/>
  <c r="X102" i="15"/>
  <c r="X115" i="15"/>
  <c r="X23" i="15"/>
  <c r="X22" i="15"/>
  <c r="X74" i="15"/>
  <c r="X110" i="15"/>
  <c r="X106" i="15"/>
  <c r="X49" i="15"/>
  <c r="X101" i="15"/>
  <c r="X117" i="15"/>
  <c r="X31" i="15"/>
  <c r="X11" i="15"/>
  <c r="X80" i="15"/>
  <c r="X47" i="15"/>
  <c r="X69" i="15"/>
  <c r="X41" i="15"/>
  <c r="X13" i="15"/>
  <c r="X45" i="15"/>
  <c r="X24" i="15"/>
  <c r="X38" i="15"/>
  <c r="X64" i="15"/>
  <c r="X3" i="15"/>
  <c r="X17" i="15"/>
  <c r="X122" i="15"/>
  <c r="X108" i="15"/>
  <c r="X28" i="15"/>
  <c r="X109" i="15"/>
  <c r="X78" i="15"/>
  <c r="X6" i="15"/>
  <c r="X127" i="15"/>
  <c r="X99" i="15"/>
  <c r="X8" i="15"/>
  <c r="X55" i="15"/>
  <c r="X111" i="15"/>
  <c r="X68" i="15"/>
  <c r="X46" i="15"/>
  <c r="X44" i="15"/>
  <c r="X88" i="15"/>
  <c r="X116" i="15"/>
  <c r="X92" i="15"/>
  <c r="X39" i="15"/>
  <c r="X103" i="15"/>
  <c r="X9" i="15"/>
  <c r="X124" i="15"/>
  <c r="X48" i="15"/>
  <c r="X112" i="15"/>
  <c r="X65" i="15"/>
  <c r="X82" i="15"/>
  <c r="X71" i="15"/>
  <c r="X12" i="15"/>
  <c r="X53" i="15"/>
  <c r="X123" i="15"/>
  <c r="X36" i="15"/>
  <c r="X85" i="15"/>
  <c r="X104" i="15"/>
  <c r="X87" i="15"/>
  <c r="W12" i="14"/>
  <c r="W15" i="14"/>
  <c r="W22" i="14"/>
  <c r="W4" i="14"/>
  <c r="W37" i="14"/>
  <c r="W21" i="14"/>
  <c r="W11" i="14"/>
  <c r="W35" i="14"/>
  <c r="W38" i="14"/>
  <c r="W7" i="14"/>
  <c r="W16" i="14"/>
  <c r="W29" i="14"/>
  <c r="W36" i="14"/>
  <c r="W14" i="14"/>
  <c r="W18" i="14"/>
  <c r="W9" i="14"/>
  <c r="W19" i="14"/>
  <c r="W26" i="14"/>
  <c r="W23" i="14"/>
  <c r="W31" i="14"/>
  <c r="W39" i="14"/>
  <c r="W6" i="14"/>
  <c r="W32" i="14"/>
  <c r="W5" i="14"/>
  <c r="W17" i="14"/>
  <c r="W24" i="14"/>
  <c r="W27" i="14"/>
  <c r="W8" i="14"/>
  <c r="W25" i="14"/>
  <c r="W34" i="14"/>
  <c r="W33" i="14"/>
  <c r="W10" i="14"/>
  <c r="Y57" i="15"/>
  <c r="AA57" i="15"/>
  <c r="AB57" i="15"/>
  <c r="Z57" i="15"/>
  <c r="AC57" i="15"/>
  <c r="AA33" i="15"/>
  <c r="Z33" i="15"/>
  <c r="AB33" i="15"/>
  <c r="AC33" i="15"/>
  <c r="Y33" i="15"/>
  <c r="Y29" i="15"/>
  <c r="Z29" i="15"/>
  <c r="AA29" i="15"/>
  <c r="AC29" i="15"/>
  <c r="AB29" i="15"/>
  <c r="AB76" i="15"/>
  <c r="AA76" i="15"/>
  <c r="Z76" i="15"/>
  <c r="Y76" i="15"/>
  <c r="AC76" i="15"/>
  <c r="Y10" i="15"/>
  <c r="Z10" i="15"/>
  <c r="AC10" i="15"/>
  <c r="AA10" i="15"/>
  <c r="AB10" i="15"/>
  <c r="AA121" i="15"/>
  <c r="Y121" i="15"/>
  <c r="Z121" i="15"/>
  <c r="AC121" i="15"/>
  <c r="AB121" i="15"/>
  <c r="Y4" i="15"/>
  <c r="Z4" i="15"/>
  <c r="AA4" i="15"/>
  <c r="AC4" i="15"/>
  <c r="AB4" i="15"/>
  <c r="Y25" i="15"/>
  <c r="Z25" i="15"/>
  <c r="AA25" i="15"/>
  <c r="AC25" i="15"/>
  <c r="AB25" i="15"/>
  <c r="Y81" i="15"/>
  <c r="AC81" i="15"/>
  <c r="AA81" i="15"/>
  <c r="Z81" i="15"/>
  <c r="AB81" i="15"/>
  <c r="AB74" i="15"/>
  <c r="Y74" i="15"/>
  <c r="AA74" i="15"/>
  <c r="AC74" i="15"/>
  <c r="Z74" i="15"/>
  <c r="AA80" i="15"/>
  <c r="Y80" i="15"/>
  <c r="AB80" i="15"/>
  <c r="Z80" i="15"/>
  <c r="AC80" i="15"/>
  <c r="AC64" i="15"/>
  <c r="AB64" i="15"/>
  <c r="AA64" i="15"/>
  <c r="Y64" i="15"/>
  <c r="Z64" i="15"/>
  <c r="AB6" i="15"/>
  <c r="Y6" i="15"/>
  <c r="Z6" i="15"/>
  <c r="AA6" i="15"/>
  <c r="AC6" i="15"/>
  <c r="Z44" i="15"/>
  <c r="Y44" i="15"/>
  <c r="AC44" i="15"/>
  <c r="AB44" i="15"/>
  <c r="AA44" i="15"/>
  <c r="Y48" i="15"/>
  <c r="AA48" i="15"/>
  <c r="AB48" i="15"/>
  <c r="Z48" i="15"/>
  <c r="AC48" i="15"/>
  <c r="AA36" i="15"/>
  <c r="AC36" i="15"/>
  <c r="Y36" i="15"/>
  <c r="AB36" i="15"/>
  <c r="Z36" i="15"/>
  <c r="Z69" i="15"/>
  <c r="AC69" i="15"/>
  <c r="Y69" i="15"/>
  <c r="AA69" i="15"/>
  <c r="AB69" i="15"/>
  <c r="AA62" i="15"/>
  <c r="AB62" i="15"/>
  <c r="AC62" i="15"/>
  <c r="Y62" i="15"/>
  <c r="Z62" i="15"/>
  <c r="AC27" i="15"/>
  <c r="Y27" i="15"/>
  <c r="AA27" i="15"/>
  <c r="Z27" i="15"/>
  <c r="AB27" i="15"/>
  <c r="Y128" i="15"/>
  <c r="AB128" i="15"/>
  <c r="AA128" i="15"/>
  <c r="AC128" i="15"/>
  <c r="Z128" i="15"/>
  <c r="AA58" i="15"/>
  <c r="Y58" i="15"/>
  <c r="AB58" i="15"/>
  <c r="Z58" i="15"/>
  <c r="AC58" i="15"/>
  <c r="Y118" i="15"/>
  <c r="AC118" i="15"/>
  <c r="AB118" i="15"/>
  <c r="AA118" i="15"/>
  <c r="Z118" i="15"/>
  <c r="AB90" i="15"/>
  <c r="AA90" i="15"/>
  <c r="AC90" i="15"/>
  <c r="Z90" i="15"/>
  <c r="Y90" i="15"/>
  <c r="AB59" i="15"/>
  <c r="Y59" i="15"/>
  <c r="AC59" i="15"/>
  <c r="Z59" i="15"/>
  <c r="AA59" i="15"/>
  <c r="Y96" i="15"/>
  <c r="AB96" i="15"/>
  <c r="AC96" i="15"/>
  <c r="Z96" i="15"/>
  <c r="AA96" i="15"/>
  <c r="Y125" i="15"/>
  <c r="AC125" i="15"/>
  <c r="Z125" i="15"/>
  <c r="AA125" i="15"/>
  <c r="AB125" i="15"/>
  <c r="AC110" i="15"/>
  <c r="Z110" i="15"/>
  <c r="AB110" i="15"/>
  <c r="Y110" i="15"/>
  <c r="AA110" i="15"/>
  <c r="Z47" i="15"/>
  <c r="Y47" i="15"/>
  <c r="AC47" i="15"/>
  <c r="AA47" i="15"/>
  <c r="AB47" i="15"/>
  <c r="AB3" i="15"/>
  <c r="AC3" i="15"/>
  <c r="Y3" i="15"/>
  <c r="AA3" i="15"/>
  <c r="Z3" i="15"/>
  <c r="Y127" i="15"/>
  <c r="Z127" i="15"/>
  <c r="AC127" i="15"/>
  <c r="AA127" i="15"/>
  <c r="AB127" i="15"/>
  <c r="Z88" i="15"/>
  <c r="AB88" i="15"/>
  <c r="AA88" i="15"/>
  <c r="AC88" i="15"/>
  <c r="Y88" i="15"/>
  <c r="Z112" i="15"/>
  <c r="AA112" i="15"/>
  <c r="AC112" i="15"/>
  <c r="AB112" i="15"/>
  <c r="Y112" i="15"/>
  <c r="AC85" i="15"/>
  <c r="Y85" i="15"/>
  <c r="AB85" i="15"/>
  <c r="Z85" i="15"/>
  <c r="AA85" i="15"/>
  <c r="AC95" i="15"/>
  <c r="Y95" i="15"/>
  <c r="AB95" i="15"/>
  <c r="Z95" i="15"/>
  <c r="AA95" i="15"/>
  <c r="AB21" i="15"/>
  <c r="Y21" i="15"/>
  <c r="AC21" i="15"/>
  <c r="AA21" i="15"/>
  <c r="Z21" i="15"/>
  <c r="AC86" i="15"/>
  <c r="AB86" i="15"/>
  <c r="Z86" i="15"/>
  <c r="Y86" i="15"/>
  <c r="AA86" i="15"/>
  <c r="AC42" i="15"/>
  <c r="Z42" i="15"/>
  <c r="Y42" i="15"/>
  <c r="AA42" i="15"/>
  <c r="AB42" i="15"/>
  <c r="Z97" i="15"/>
  <c r="AA97" i="15"/>
  <c r="AB97" i="15"/>
  <c r="Y97" i="15"/>
  <c r="AC97" i="15"/>
  <c r="AB30" i="15"/>
  <c r="Y30" i="15"/>
  <c r="AC30" i="15"/>
  <c r="AA30" i="15"/>
  <c r="Z30" i="15"/>
  <c r="Y91" i="15"/>
  <c r="AA91" i="15"/>
  <c r="AC91" i="15"/>
  <c r="AB91" i="15"/>
  <c r="Z91" i="15"/>
  <c r="Z119" i="15"/>
  <c r="AA119" i="15"/>
  <c r="Y119" i="15"/>
  <c r="AC119" i="15"/>
  <c r="AB119" i="15"/>
  <c r="AA75" i="15"/>
  <c r="AB75" i="15"/>
  <c r="Y75" i="15"/>
  <c r="AC75" i="15"/>
  <c r="Z75" i="15"/>
  <c r="Y106" i="15"/>
  <c r="AB106" i="15"/>
  <c r="Z106" i="15"/>
  <c r="AA106" i="15"/>
  <c r="AC106" i="15"/>
  <c r="AC17" i="15"/>
  <c r="Z17" i="15"/>
  <c r="AA17" i="15"/>
  <c r="Y17" i="15"/>
  <c r="AB17" i="15"/>
  <c r="AB99" i="15"/>
  <c r="Y99" i="15"/>
  <c r="Z99" i="15"/>
  <c r="AA99" i="15"/>
  <c r="AC99" i="15"/>
  <c r="AC116" i="15"/>
  <c r="AB116" i="15"/>
  <c r="Y116" i="15"/>
  <c r="Z116" i="15"/>
  <c r="AA116" i="15"/>
  <c r="AB65" i="15"/>
  <c r="Y65" i="15"/>
  <c r="Z65" i="15"/>
  <c r="AA65" i="15"/>
  <c r="AC65" i="15"/>
  <c r="AA104" i="15"/>
  <c r="AC104" i="15"/>
  <c r="Y104" i="15"/>
  <c r="Z104" i="15"/>
  <c r="AB104" i="15"/>
  <c r="Y19" i="15"/>
  <c r="AC19" i="15"/>
  <c r="AB19" i="15"/>
  <c r="AA19" i="15"/>
  <c r="Z19" i="15"/>
  <c r="Y56" i="15"/>
  <c r="AB56" i="15"/>
  <c r="AA56" i="15"/>
  <c r="AC56" i="15"/>
  <c r="Z56" i="15"/>
  <c r="AA54" i="15"/>
  <c r="Y54" i="15"/>
  <c r="AB54" i="15"/>
  <c r="AC54" i="15"/>
  <c r="Z54" i="15"/>
  <c r="AC34" i="15"/>
  <c r="AB34" i="15"/>
  <c r="Y34" i="15"/>
  <c r="AA34" i="15"/>
  <c r="Z34" i="15"/>
  <c r="Y14" i="15"/>
  <c r="AB14" i="15"/>
  <c r="Z14" i="15"/>
  <c r="AA14" i="15"/>
  <c r="AC14" i="15"/>
  <c r="AA67" i="15"/>
  <c r="AB67" i="15"/>
  <c r="AC67" i="15"/>
  <c r="Z67" i="15"/>
  <c r="Y67" i="15"/>
  <c r="Y7" i="15"/>
  <c r="AB7" i="15"/>
  <c r="Z7" i="15"/>
  <c r="AA7" i="15"/>
  <c r="AC7" i="15"/>
  <c r="Y50" i="15"/>
  <c r="Z50" i="15"/>
  <c r="AC50" i="15"/>
  <c r="AB50" i="15"/>
  <c r="AA50" i="15"/>
  <c r="AB115" i="15"/>
  <c r="AA115" i="15"/>
  <c r="AC115" i="15"/>
  <c r="Z115" i="15"/>
  <c r="Y115" i="15"/>
  <c r="AB117" i="15"/>
  <c r="Y117" i="15"/>
  <c r="AC117" i="15"/>
  <c r="Z117" i="15"/>
  <c r="AA117" i="15"/>
  <c r="AA45" i="15"/>
  <c r="Y45" i="15"/>
  <c r="Z45" i="15"/>
  <c r="AB45" i="15"/>
  <c r="AC45" i="15"/>
  <c r="AB28" i="15"/>
  <c r="Y28" i="15"/>
  <c r="Z28" i="15"/>
  <c r="AA28" i="15"/>
  <c r="AC28" i="15"/>
  <c r="Z111" i="15"/>
  <c r="AC111" i="15"/>
  <c r="AB111" i="15"/>
  <c r="AA111" i="15"/>
  <c r="Y111" i="15"/>
  <c r="AC103" i="15"/>
  <c r="Y103" i="15"/>
  <c r="AA103" i="15"/>
  <c r="AB103" i="15"/>
  <c r="Z103" i="15"/>
  <c r="Z12" i="15"/>
  <c r="Y12" i="15"/>
  <c r="AC12" i="15"/>
  <c r="AB12" i="15"/>
  <c r="AA12" i="15"/>
  <c r="D14" i="1"/>
  <c r="AB93" i="15"/>
  <c r="AA93" i="15"/>
  <c r="Z93" i="15"/>
  <c r="AC93" i="15"/>
  <c r="Y93" i="15"/>
  <c r="AA84" i="15"/>
  <c r="AC84" i="15"/>
  <c r="AB84" i="15"/>
  <c r="Y84" i="15"/>
  <c r="Z84" i="15"/>
  <c r="AC20" i="15"/>
  <c r="AA20" i="15"/>
  <c r="AB20" i="15"/>
  <c r="Z20" i="15"/>
  <c r="Y20" i="15"/>
  <c r="AC126" i="15"/>
  <c r="Z126" i="15"/>
  <c r="AA126" i="15"/>
  <c r="Y126" i="15"/>
  <c r="AB126" i="15"/>
  <c r="Y130" i="15"/>
  <c r="AA130" i="15"/>
  <c r="AB130" i="15"/>
  <c r="AC130" i="15"/>
  <c r="Z130" i="15"/>
  <c r="Y114" i="15"/>
  <c r="Z114" i="15"/>
  <c r="AC114" i="15"/>
  <c r="AA114" i="15"/>
  <c r="AB114" i="15"/>
  <c r="Z89" i="15"/>
  <c r="AC89" i="15"/>
  <c r="AA89" i="15"/>
  <c r="Y89" i="15"/>
  <c r="AB89" i="15"/>
  <c r="AA63" i="15"/>
  <c r="AC63" i="15"/>
  <c r="Y63" i="15"/>
  <c r="Z63" i="15"/>
  <c r="AB63" i="15"/>
  <c r="AA94" i="15"/>
  <c r="Y94" i="15"/>
  <c r="AB94" i="15"/>
  <c r="AC94" i="15"/>
  <c r="Z94" i="15"/>
  <c r="AC49" i="15"/>
  <c r="AB49" i="15"/>
  <c r="AA49" i="15"/>
  <c r="Y49" i="15"/>
  <c r="Z49" i="15"/>
  <c r="AA41" i="15"/>
  <c r="AC41" i="15"/>
  <c r="Z41" i="15"/>
  <c r="AB41" i="15"/>
  <c r="Y41" i="15"/>
  <c r="AC122" i="15"/>
  <c r="AA122" i="15"/>
  <c r="AB122" i="15"/>
  <c r="Z122" i="15"/>
  <c r="Y122" i="15"/>
  <c r="AB8" i="15"/>
  <c r="Z8" i="15"/>
  <c r="AA8" i="15"/>
  <c r="AC8" i="15"/>
  <c r="Y8" i="15"/>
  <c r="Y92" i="15"/>
  <c r="AA92" i="15"/>
  <c r="Z92" i="15"/>
  <c r="AC92" i="15"/>
  <c r="AB92" i="15"/>
  <c r="Z82" i="15"/>
  <c r="Y82" i="15"/>
  <c r="AB82" i="15"/>
  <c r="AA82" i="15"/>
  <c r="AC82" i="15"/>
  <c r="AA87" i="15"/>
  <c r="AB87" i="15"/>
  <c r="AC87" i="15"/>
  <c r="Y87" i="15"/>
  <c r="Z87" i="15"/>
  <c r="AA83" i="15"/>
  <c r="Y83" i="15"/>
  <c r="AB83" i="15"/>
  <c r="AC83" i="15"/>
  <c r="Z83" i="15"/>
  <c r="Z5" i="15"/>
  <c r="AB5" i="15"/>
  <c r="AC5" i="15"/>
  <c r="Y5" i="15"/>
  <c r="AA5" i="15"/>
  <c r="Y60" i="15"/>
  <c r="AB60" i="15"/>
  <c r="AA60" i="15"/>
  <c r="AC60" i="15"/>
  <c r="Z60" i="15"/>
  <c r="AB43" i="15"/>
  <c r="AC43" i="15"/>
  <c r="AA43" i="15"/>
  <c r="Z43" i="15"/>
  <c r="Y43" i="15"/>
  <c r="AC72" i="15"/>
  <c r="AA72" i="15"/>
  <c r="Z72" i="15"/>
  <c r="Y72" i="15"/>
  <c r="AB72" i="15"/>
  <c r="AB100" i="15"/>
  <c r="Y100" i="15"/>
  <c r="Z100" i="15"/>
  <c r="AA100" i="15"/>
  <c r="AC100" i="15"/>
  <c r="AA129" i="15"/>
  <c r="AC129" i="15"/>
  <c r="AB129" i="15"/>
  <c r="Y129" i="15"/>
  <c r="Z129" i="15"/>
  <c r="AC26" i="15"/>
  <c r="Y26" i="15"/>
  <c r="Z26" i="15"/>
  <c r="AB26" i="15"/>
  <c r="AA26" i="15"/>
  <c r="Z120" i="15"/>
  <c r="AC120" i="15"/>
  <c r="AB120" i="15"/>
  <c r="Y120" i="15"/>
  <c r="AA120" i="15"/>
  <c r="Z102" i="15"/>
  <c r="AC102" i="15"/>
  <c r="AB102" i="15"/>
  <c r="Y102" i="15"/>
  <c r="AA102" i="15"/>
  <c r="AA101" i="15"/>
  <c r="Y101" i="15"/>
  <c r="AC101" i="15"/>
  <c r="AB101" i="15"/>
  <c r="Z101" i="15"/>
  <c r="Z13" i="15"/>
  <c r="AB13" i="15"/>
  <c r="AC13" i="15"/>
  <c r="AA13" i="15"/>
  <c r="Y13" i="15"/>
  <c r="Z108" i="15"/>
  <c r="AA108" i="15"/>
  <c r="AB108" i="15"/>
  <c r="Y108" i="15"/>
  <c r="AC108" i="15"/>
  <c r="AA55" i="15"/>
  <c r="Z55" i="15"/>
  <c r="AC55" i="15"/>
  <c r="AB55" i="15"/>
  <c r="Y55" i="15"/>
  <c r="AC39" i="15"/>
  <c r="Y39" i="15"/>
  <c r="AB39" i="15"/>
  <c r="AA39" i="15"/>
  <c r="Z39" i="15"/>
  <c r="AC71" i="15"/>
  <c r="Y71" i="15"/>
  <c r="Z71" i="15"/>
  <c r="AA71" i="15"/>
  <c r="AB71" i="15"/>
  <c r="Z40" i="15"/>
  <c r="AC40" i="15"/>
  <c r="Y40" i="15"/>
  <c r="AA40" i="15"/>
  <c r="AB40" i="15"/>
  <c r="AA105" i="15"/>
  <c r="AB105" i="15"/>
  <c r="Z105" i="15"/>
  <c r="AC105" i="15"/>
  <c r="Y105" i="15"/>
  <c r="AA51" i="15"/>
  <c r="AB51" i="15"/>
  <c r="Y51" i="15"/>
  <c r="AC51" i="15"/>
  <c r="Z51" i="15"/>
  <c r="Y18" i="15"/>
  <c r="Z18" i="15"/>
  <c r="AC18" i="15"/>
  <c r="AA18" i="15"/>
  <c r="AB18" i="15"/>
  <c r="AB79" i="15"/>
  <c r="AC79" i="15"/>
  <c r="Y79" i="15"/>
  <c r="Z79" i="15"/>
  <c r="AA79" i="15"/>
  <c r="Z107" i="15"/>
  <c r="AC107" i="15"/>
  <c r="AB107" i="15"/>
  <c r="Y107" i="15"/>
  <c r="AA107" i="15"/>
  <c r="Y37" i="15"/>
  <c r="AB37" i="15"/>
  <c r="Z37" i="15"/>
  <c r="AA37" i="15"/>
  <c r="AC37" i="15"/>
  <c r="Z98" i="15"/>
  <c r="AB98" i="15"/>
  <c r="AC98" i="15"/>
  <c r="AA98" i="15"/>
  <c r="Y98" i="15"/>
  <c r="AB15" i="15"/>
  <c r="Z15" i="15"/>
  <c r="AC15" i="15"/>
  <c r="Y15" i="15"/>
  <c r="AA15" i="15"/>
  <c r="AA35" i="15"/>
  <c r="Y35" i="15"/>
  <c r="Z35" i="15"/>
  <c r="AC35" i="15"/>
  <c r="AB35" i="15"/>
  <c r="AB23" i="15"/>
  <c r="AC23" i="15"/>
  <c r="AA23" i="15"/>
  <c r="Z23" i="15"/>
  <c r="Y23" i="15"/>
  <c r="Y31" i="15"/>
  <c r="Z31" i="15"/>
  <c r="AB31" i="15"/>
  <c r="AA31" i="15"/>
  <c r="AC31" i="15"/>
  <c r="AA24" i="15"/>
  <c r="Z24" i="15"/>
  <c r="Y24" i="15"/>
  <c r="AC24" i="15"/>
  <c r="AB24" i="15"/>
  <c r="Z109" i="15"/>
  <c r="AB109" i="15"/>
  <c r="AA109" i="15"/>
  <c r="Y109" i="15"/>
  <c r="AC109" i="15"/>
  <c r="AA68" i="15"/>
  <c r="AC68" i="15"/>
  <c r="AB68" i="15"/>
  <c r="Z68" i="15"/>
  <c r="Y68" i="15"/>
  <c r="AB9" i="15"/>
  <c r="Z9" i="15"/>
  <c r="AA9" i="15"/>
  <c r="Y9" i="15"/>
  <c r="AC9" i="15"/>
  <c r="AA53" i="15"/>
  <c r="AC53" i="15"/>
  <c r="Z53" i="15"/>
  <c r="Y53" i="15"/>
  <c r="AB53" i="15"/>
  <c r="AA61" i="15"/>
  <c r="Y61" i="15"/>
  <c r="AB61" i="15"/>
  <c r="AC61" i="15"/>
  <c r="Z61" i="15"/>
  <c r="Z66" i="15"/>
  <c r="AA66" i="15"/>
  <c r="AC66" i="15"/>
  <c r="Y66" i="15"/>
  <c r="AB66" i="15"/>
  <c r="Z52" i="15"/>
  <c r="AC52" i="15"/>
  <c r="AB52" i="15"/>
  <c r="AA52" i="15"/>
  <c r="Y52" i="15"/>
  <c r="AB16" i="15"/>
  <c r="AA16" i="15"/>
  <c r="AC16" i="15"/>
  <c r="Z16" i="15"/>
  <c r="Y16" i="15"/>
  <c r="Z113" i="15"/>
  <c r="AB113" i="15"/>
  <c r="AC113" i="15"/>
  <c r="AA113" i="15"/>
  <c r="Y113" i="15"/>
  <c r="AA73" i="15"/>
  <c r="Z73" i="15"/>
  <c r="Y73" i="15"/>
  <c r="AB73" i="15"/>
  <c r="AC73" i="15"/>
  <c r="AA32" i="15"/>
  <c r="Z32" i="15"/>
  <c r="AB32" i="15"/>
  <c r="AC32" i="15"/>
  <c r="Y32" i="15"/>
  <c r="AB70" i="15"/>
  <c r="Y70" i="15"/>
  <c r="AA70" i="15"/>
  <c r="Z70" i="15"/>
  <c r="AC70" i="15"/>
  <c r="AC77" i="15"/>
  <c r="Z77" i="15"/>
  <c r="AA77" i="15"/>
  <c r="Y77" i="15"/>
  <c r="AB77" i="15"/>
  <c r="Y22" i="15"/>
  <c r="AC22" i="15"/>
  <c r="AA22" i="15"/>
  <c r="Z22" i="15"/>
  <c r="AB22" i="15"/>
  <c r="AB11" i="15"/>
  <c r="Z11" i="15"/>
  <c r="Y11" i="15"/>
  <c r="AC11" i="15"/>
  <c r="AA11" i="15"/>
  <c r="AA38" i="15"/>
  <c r="AC38" i="15"/>
  <c r="AB38" i="15"/>
  <c r="Z38" i="15"/>
  <c r="Y38" i="15"/>
  <c r="Y78" i="15"/>
  <c r="AC78" i="15"/>
  <c r="Z78" i="15"/>
  <c r="AA78" i="15"/>
  <c r="AB78" i="15"/>
  <c r="AA46" i="15"/>
  <c r="AB46" i="15"/>
  <c r="Y46" i="15"/>
  <c r="Z46" i="15"/>
  <c r="AC46" i="15"/>
  <c r="AC124" i="15"/>
  <c r="AB124" i="15"/>
  <c r="Z124" i="15"/>
  <c r="Y124" i="15"/>
  <c r="AA124" i="15"/>
  <c r="AB123" i="15"/>
  <c r="Y123" i="15"/>
  <c r="Z123" i="15"/>
  <c r="AA123" i="15"/>
  <c r="AC123" i="15"/>
  <c r="W123" i="15" l="1"/>
  <c r="W124" i="15"/>
  <c r="W46" i="15"/>
  <c r="W78" i="15"/>
  <c r="W38" i="15"/>
  <c r="W11" i="15"/>
  <c r="W22" i="15"/>
  <c r="W77" i="15"/>
  <c r="W70" i="15"/>
  <c r="W32" i="15"/>
  <c r="W73" i="15"/>
  <c r="W113" i="15"/>
  <c r="W16" i="15"/>
  <c r="W52" i="15"/>
  <c r="W66" i="15"/>
  <c r="W61" i="15"/>
  <c r="W53" i="15"/>
  <c r="W9" i="15"/>
  <c r="W68" i="15"/>
  <c r="W109" i="15"/>
  <c r="W24" i="15"/>
  <c r="W31" i="15"/>
  <c r="W23" i="15"/>
  <c r="W35" i="15"/>
  <c r="W15" i="15"/>
  <c r="W98" i="15"/>
  <c r="W37" i="15"/>
  <c r="W107" i="15"/>
  <c r="W79" i="15"/>
  <c r="W18" i="15"/>
  <c r="W51" i="15"/>
  <c r="W105" i="15"/>
  <c r="W40" i="15"/>
  <c r="W71" i="15"/>
  <c r="W39" i="15"/>
  <c r="W55" i="15"/>
  <c r="W108" i="15"/>
  <c r="W13" i="15"/>
  <c r="W101" i="15"/>
  <c r="W102" i="15"/>
  <c r="W120" i="15"/>
  <c r="W26" i="15"/>
  <c r="W129" i="15"/>
  <c r="W100" i="15"/>
  <c r="W72" i="15"/>
  <c r="W43" i="15"/>
  <c r="W60" i="15"/>
  <c r="W5" i="15"/>
  <c r="W83" i="15"/>
  <c r="W87" i="15"/>
  <c r="W82" i="15"/>
  <c r="W92" i="15"/>
  <c r="W8" i="15"/>
  <c r="W122" i="15"/>
  <c r="W41" i="15"/>
  <c r="W49" i="15"/>
  <c r="W94" i="15"/>
  <c r="W63" i="15"/>
  <c r="W89" i="15"/>
  <c r="W114" i="15"/>
  <c r="W130" i="15"/>
  <c r="W126" i="15"/>
  <c r="W20" i="15"/>
  <c r="W84" i="15"/>
  <c r="W93" i="15"/>
  <c r="W12" i="15"/>
  <c r="W103" i="15"/>
  <c r="W111" i="15"/>
  <c r="W28" i="15"/>
  <c r="W45" i="15"/>
  <c r="W117" i="15"/>
  <c r="W115" i="15"/>
  <c r="W50" i="15"/>
  <c r="W7" i="15"/>
  <c r="W67" i="15"/>
  <c r="W14" i="15"/>
  <c r="W34" i="15"/>
  <c r="W54" i="15"/>
  <c r="W56" i="15"/>
  <c r="W19" i="15"/>
  <c r="W104" i="15"/>
  <c r="W65" i="15"/>
  <c r="W116" i="15"/>
  <c r="W99" i="15"/>
  <c r="W17" i="15"/>
  <c r="W106" i="15"/>
  <c r="W75" i="15"/>
  <c r="W119" i="15"/>
  <c r="W91" i="15"/>
  <c r="W30" i="15"/>
  <c r="W97" i="15"/>
  <c r="W42" i="15"/>
  <c r="W86" i="15"/>
  <c r="W21" i="15"/>
  <c r="W95" i="15"/>
  <c r="W85" i="15"/>
  <c r="W112" i="15"/>
  <c r="W88" i="15"/>
  <c r="W127" i="15"/>
  <c r="W3" i="15"/>
  <c r="W47" i="15"/>
  <c r="W110" i="15"/>
  <c r="W125" i="15"/>
  <c r="W96" i="15"/>
  <c r="W59" i="15"/>
  <c r="W90" i="15"/>
  <c r="W118" i="15"/>
  <c r="W58" i="15"/>
  <c r="W128" i="15"/>
  <c r="W27" i="15"/>
  <c r="W62" i="15"/>
  <c r="W69" i="15"/>
  <c r="W36" i="15"/>
  <c r="W48" i="15"/>
  <c r="W44" i="15"/>
  <c r="W6" i="15"/>
  <c r="W64" i="15"/>
  <c r="W80" i="15"/>
  <c r="W74" i="15"/>
  <c r="W81" i="15"/>
  <c r="W25" i="15"/>
  <c r="W4" i="15"/>
  <c r="W121" i="15"/>
  <c r="W10" i="15"/>
  <c r="W76" i="15"/>
  <c r="W29" i="15"/>
  <c r="W33" i="15"/>
  <c r="W57" i="15"/>
  <c r="Y131" i="15" l="1"/>
  <c r="I13" i="1"/>
  <c r="H21" i="1"/>
  <c r="I14" i="1"/>
  <c r="I21" i="1"/>
  <c r="I25" i="1"/>
  <c r="H22" i="1"/>
  <c r="I22" i="1"/>
  <c r="AD2" i="15" a="1"/>
  <c r="AD27" i="15"/>
  <c r="AD97" i="15"/>
  <c r="AD26" i="15"/>
  <c r="AD85" i="15"/>
  <c r="AD122" i="15"/>
  <c r="AD50" i="15"/>
  <c r="AD70" i="15"/>
  <c r="AD24" i="15"/>
  <c r="AD57" i="15"/>
  <c r="AD80" i="15"/>
  <c r="AD59" i="15"/>
  <c r="AD72" i="15"/>
  <c r="AD118" i="15"/>
  <c r="AD111" i="15"/>
  <c r="AD17" i="15"/>
  <c r="AD52" i="15"/>
  <c r="AD2" i="15"/>
  <c r="AD3" i="15"/>
  <c r="AD45" i="15"/>
  <c r="AD90" i="15"/>
  <c r="AD115" i="15"/>
  <c r="AD21" i="15"/>
  <c r="AD64" i="15"/>
  <c r="AD7" i="15"/>
  <c r="AD60" i="15"/>
  <c r="AD34" i="15"/>
  <c r="AD48" i="15"/>
  <c r="AD16" i="15"/>
  <c r="AD65" i="15"/>
  <c r="AD127" i="15"/>
  <c r="AD39" i="15"/>
  <c r="AD124" i="15"/>
  <c r="AD54" i="15"/>
  <c r="AD89" i="15"/>
  <c r="AD75" i="15"/>
  <c r="AD43" i="15"/>
  <c r="AD92" i="15"/>
  <c r="AD67" i="15"/>
  <c r="AD98" i="15"/>
  <c r="AD76" i="15"/>
  <c r="AD61" i="15"/>
  <c r="AD78" i="15"/>
  <c r="AD102" i="15"/>
  <c r="AD63" i="15"/>
  <c r="AD126" i="15"/>
  <c r="AD79" i="15"/>
  <c r="AD123" i="15"/>
  <c r="AD42" i="15"/>
  <c r="AD109" i="15"/>
  <c r="AD83" i="15"/>
  <c r="AD29" i="15"/>
  <c r="AD84" i="15"/>
  <c r="AD93" i="15"/>
  <c r="AD87" i="15"/>
  <c r="AD30" i="15"/>
  <c r="AD13" i="15"/>
  <c r="AD5" i="15"/>
  <c r="AD101" i="15"/>
  <c r="AD99" i="15"/>
  <c r="AD31" i="15"/>
  <c r="AD114" i="15"/>
  <c r="AD25" i="15"/>
  <c r="AD66" i="15"/>
  <c r="AD22" i="15"/>
  <c r="AD23" i="15"/>
  <c r="AD6" i="15"/>
  <c r="AD68" i="15"/>
  <c r="AD117" i="15"/>
  <c r="AD129" i="15"/>
  <c r="AD71" i="15"/>
  <c r="AD86" i="15"/>
  <c r="AD47" i="15"/>
  <c r="AD130" i="15"/>
  <c r="AD81" i="15"/>
  <c r="AD11" i="15"/>
  <c r="AD38" i="15"/>
  <c r="AD4" i="15"/>
  <c r="AD104" i="15"/>
  <c r="AD10" i="15"/>
  <c r="AD116" i="15"/>
  <c r="AD28" i="15"/>
  <c r="AD100" i="15"/>
  <c r="AD15" i="15"/>
  <c r="AD33" i="15"/>
  <c r="AD55" i="15"/>
  <c r="AD105" i="15"/>
  <c r="AD110" i="15"/>
  <c r="AD125" i="15"/>
  <c r="AD74" i="15"/>
  <c r="AD106" i="15"/>
  <c r="AD91" i="15"/>
  <c r="AD20" i="15"/>
  <c r="AD53" i="15"/>
  <c r="AD46" i="15"/>
  <c r="AD58" i="15"/>
  <c r="AD108" i="15"/>
  <c r="AD19" i="15"/>
  <c r="AD112" i="15"/>
  <c r="AD120" i="15"/>
  <c r="AD41" i="15"/>
  <c r="AD18" i="15"/>
  <c r="AD95" i="15"/>
  <c r="AD94" i="15"/>
  <c r="AD51" i="15"/>
  <c r="AD128" i="15"/>
  <c r="AD36" i="15"/>
  <c r="AD73" i="15"/>
  <c r="AD69" i="15"/>
  <c r="AD62" i="15"/>
  <c r="AD88" i="15"/>
  <c r="AD9" i="15"/>
  <c r="AD103" i="15"/>
  <c r="AD32" i="15"/>
  <c r="AD49" i="15"/>
  <c r="AD113" i="15"/>
  <c r="AD121" i="15"/>
  <c r="AD12" i="15"/>
  <c r="AD96" i="15"/>
  <c r="AD44" i="15"/>
  <c r="AD82" i="15"/>
  <c r="AD37" i="15"/>
  <c r="AD107" i="15"/>
  <c r="AD35" i="15"/>
  <c r="AD77" i="15"/>
  <c r="AD14" i="15"/>
  <c r="AD119" i="15"/>
  <c r="AD40" i="15"/>
  <c r="AD8" i="15"/>
  <c r="AD56" i="15"/>
  <c r="I2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97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106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<sst xmlns="http://schemas.openxmlformats.org/spreadsheetml/2006/main" count="1912" uniqueCount="149">
  <si>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</si>
  <si>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</si>
  <si>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</si>
  <si>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</si>
  <si>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</si>
  <si>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</si>
  <si>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</si>
  <si>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</si>
  <si>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</si>
  <si>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</si>
  <si>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</si>
  <si>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</si>
  <si>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</si>
  <si>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</si>
  <si>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</si>
  <si>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</si>
  <si>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</si>
  <si>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</si>
  <si>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</si>
  <si>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</si>
  <si>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</si>
  <si>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</si>
  <si>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</si>
  <si>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</si>
  <si>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</si>
  <si>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</si>
  <si>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</si>
  <si>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</si>
  <si>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</si>
  <si>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</si>
  <si>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</si>
  <si>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</si>
  <si>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</si>
  <si>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</si>
  <si>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</si>
  <si>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</si>
  <si>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</si>
  <si>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</si>
  <si>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</si>
  <si>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</si>
  <si>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</si>
  <si>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</si>
  <si>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</si>
  <si>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</si>
  <si>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</si>
  <si>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</si>
  <si>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</si>
  <si>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</si>
  <si>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</si>
  <si>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</si>
  <si>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</si>
  <si>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</si>
  <si>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</si>
  <si>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</si>
  <si>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</si>
  <si>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</si>
  <si>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</si>
  <si>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</si>
  <si>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</si>
  <si>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</si>
  <si>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</si>
  <si>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</si>
  <si>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</si>
  <si>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</si>
  <si>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</si>
  <si>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</si>
  <si>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</si>
  <si>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</si>
  <si>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</si>
  <si>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</si>
  <si>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</si>
  <si>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</si>
  <si>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</si>
  <si>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</si>
  <si>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</si>
  <si>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</si>
  <si>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</si>
  <si>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</si>
  <si>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</si>
  <si>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</si>
  <si>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</si>
  <si>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</si>
  <si>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</si>
  <si>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</si>
  <si>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</si>
  <si>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</si>
  <si>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</si>
  <si>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</si>
  <si>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</si>
  <si>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</si>
  <si>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</si>
  <si>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</si>
  <si>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</si>
  <si>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</si>
  <si>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</si>
  <si>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</si>
  <si>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</si>
  <si>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</si>
  <si>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</si>
  <si>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</si>
  <si>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</si>
  <si>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</si>
  <si>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</si>
  <si>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</si>
  <si>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</si>
  <si>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</si>
  <si>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</si>
  <si>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</si>
  <si>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</si>
  <si>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</si>
  <si>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</si>
  <si>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</si>
  <si>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</si>
  <si>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</si>
  <si>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</si>
  <si>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</si>
  <si>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</si>
  <si>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</si>
  <si>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</si>
  <si>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</si>
  <si>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</si>
  <si>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</si>
  <si>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</si>
  <si>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</si>
  <si>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</si>
  <si>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</si>
  <si>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</si>
  <si>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Fwd</t>
  </si>
  <si>
    <t>X</t>
  </si>
  <si>
    <t>tau</t>
  </si>
  <si>
    <t>Size</t>
  </si>
  <si>
    <t>GBP</t>
  </si>
  <si>
    <t>UnitedKingdom::Exchange</t>
  </si>
  <si>
    <t>Libor</t>
  </si>
  <si>
    <t>Discount</t>
  </si>
  <si>
    <t>MonotonicLogCubicNaturalSpline</t>
  </si>
  <si>
    <t>Sonia</t>
  </si>
  <si>
    <t>SM</t>
  </si>
  <si>
    <t>3L</t>
  </si>
  <si>
    <t>AM</t>
  </si>
  <si>
    <t>Semiannual</t>
  </si>
  <si>
    <t>Actual/365 (Fixed)</t>
  </si>
  <si>
    <t>SB</t>
  </si>
  <si>
    <t>6L</t>
  </si>
  <si>
    <t>1L</t>
  </si>
  <si>
    <t>12L</t>
  </si>
  <si>
    <t>CheckExtrapolation</t>
  </si>
  <si>
    <t>Instruments List</t>
  </si>
  <si>
    <t>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</si>
</sst>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lightUp">
        <bgColor theme="8" tint="0.599993896298104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69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8" fontId="5" fillId="0" borderId="1" xfId="0" applyNumberFormat="1" applyFont="1" applyBorder="1"/>
    <xf numFmtId="0" fontId="3" fillId="7" borderId="8" xfId="1" applyFont="1" applyFill="1" applyBorder="1"/>
    <xf numFmtId="168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8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3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2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horizontal="left"/>
    </xf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7" fontId="3" fillId="3" borderId="8" xfId="1" applyNumberFormat="1" applyFont="1" applyFill="1" applyBorder="1" applyAlignment="1">
      <alignment horizontal="left"/>
    </xf>
    <xf numFmtId="0" fontId="5" fillId="3" borderId="8" xfId="0" applyFont="1" applyFill="1" applyBorder="1"/>
    <xf numFmtId="168" fontId="5" fillId="3" borderId="8" xfId="0" applyNumberFormat="1" applyFont="1" applyFill="1" applyBorder="1"/>
    <xf numFmtId="167" fontId="5" fillId="3" borderId="8" xfId="0" applyNumberFormat="1" applyFont="1" applyFill="1" applyBorder="1"/>
    <xf numFmtId="0" fontId="5" fillId="3" borderId="6" xfId="0" applyFont="1" applyFill="1" applyBorder="1"/>
    <xf numFmtId="168" fontId="5" fillId="3" borderId="6" xfId="0" applyNumberFormat="1" applyFont="1" applyFill="1" applyBorder="1"/>
    <xf numFmtId="167" fontId="5" fillId="3" borderId="6" xfId="0" applyNumberFormat="1" applyFont="1" applyFill="1" applyBorder="1"/>
    <xf numFmtId="0" fontId="5" fillId="3" borderId="1" xfId="0" applyFont="1" applyFill="1" applyBorder="1"/>
    <xf numFmtId="168" fontId="5" fillId="3" borderId="1" xfId="0" applyNumberFormat="1" applyFont="1" applyFill="1" applyBorder="1"/>
    <xf numFmtId="167" fontId="5" fillId="3" borderId="1" xfId="0" applyNumberFormat="1" applyFont="1" applyFill="1" applyBorder="1"/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8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5" fontId="5" fillId="8" borderId="0" xfId="0" applyNumberFormat="1" applyFont="1" applyFill="1"/>
    <xf numFmtId="11" fontId="5" fillId="8" borderId="0" xfId="0" applyNumberFormat="1" applyFont="1" applyFill="1"/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6" fontId="5" fillId="3" borderId="1" xfId="13" applyNumberFormat="1" applyFont="1" applyFill="1" applyBorder="1"/>
    <xf numFmtId="166" fontId="5" fillId="3" borderId="1" xfId="0" applyNumberFormat="1" applyFont="1" applyFill="1" applyBorder="1"/>
    <xf numFmtId="166" fontId="5" fillId="3" borderId="1" xfId="0" applyNumberFormat="1" applyFont="1" applyFill="1" applyBorder="1" applyAlignment="1">
      <alignment horizontal="center" vertical="center"/>
    </xf>
    <xf numFmtId="166" fontId="5" fillId="3" borderId="6" xfId="0" applyNumberFormat="1" applyFont="1" applyFill="1" applyBorder="1"/>
    <xf numFmtId="166" fontId="5" fillId="3" borderId="6" xfId="0" applyNumberFormat="1" applyFont="1" applyFill="1" applyBorder="1" applyAlignment="1">
      <alignment horizontal="center" vertical="center"/>
    </xf>
    <xf numFmtId="166" fontId="5" fillId="3" borderId="8" xfId="13" applyNumberFormat="1" applyFont="1" applyFill="1" applyBorder="1"/>
    <xf numFmtId="166" fontId="5" fillId="3" borderId="6" xfId="13" applyNumberFormat="1" applyFont="1" applyFill="1" applyBorder="1"/>
    <xf numFmtId="0" fontId="5" fillId="8" borderId="2" xfId="0" applyFont="1" applyFill="1" applyBorder="1"/>
    <xf numFmtId="166" fontId="5" fillId="3" borderId="8" xfId="0" applyNumberFormat="1" applyFont="1" applyFill="1" applyBorder="1"/>
    <xf numFmtId="166" fontId="5" fillId="3" borderId="8" xfId="0" applyNumberFormat="1" applyFont="1" applyFill="1" applyBorder="1" applyAlignment="1">
      <alignment horizontal="center" vertical="center"/>
    </xf>
    <xf numFmtId="180" fontId="5" fillId="3" borderId="8" xfId="0" applyNumberFormat="1" applyFont="1" applyFill="1" applyBorder="1"/>
    <xf numFmtId="180" fontId="5" fillId="3" borderId="6" xfId="0" applyNumberFormat="1" applyFont="1" applyFill="1" applyBorder="1"/>
    <xf numFmtId="180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6" fontId="5" fillId="0" borderId="8" xfId="0" applyNumberFormat="1" applyFont="1" applyBorder="1"/>
    <xf numFmtId="173" fontId="3" fillId="9" borderId="2" xfId="1" applyNumberFormat="1" applyFont="1" applyFill="1" applyBorder="1" applyAlignment="1">
      <alignment horizontal="center"/>
    </xf>
    <xf numFmtId="165" fontId="3" fillId="2" borderId="18" xfId="1" applyNumberFormat="1" applyFont="1" applyFill="1" applyBorder="1" applyAlignment="1"/>
    <xf numFmtId="0" fontId="3" fillId="2" borderId="18" xfId="1" applyNumberFormat="1" applyFont="1" applyFill="1" applyBorder="1" applyAlignment="1">
      <alignment horizontal="right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center" vertical="center"/>
    </xf>
    <xf numFmtId="165" fontId="3" fillId="2" borderId="19" xfId="1" applyNumberFormat="1" applyFont="1" applyFill="1" applyBorder="1" applyAlignment="1"/>
    <xf numFmtId="0" fontId="3" fillId="2" borderId="19" xfId="1" applyNumberFormat="1" applyFont="1" applyFill="1" applyBorder="1" applyAlignment="1">
      <alignment horizontal="right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center" vertical="center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7" borderId="8" xfId="0" applyFont="1" applyFill="1" applyBorder="1" applyAlignment="1">
      <alignment horizontal="center" vertical="center" wrapText="1"/>
    </xf>
    <xf numFmtId="174" fontId="3" fillId="7" borderId="8" xfId="0" applyNumberFormat="1" applyFont="1" applyFill="1" applyBorder="1" applyAlignment="1">
      <alignment horizontal="center" vertical="center" wrapText="1"/>
    </xf>
    <xf numFmtId="0" fontId="5" fillId="0" borderId="8" xfId="0" applyFont="1" applyBorder="1"/>
    <xf numFmtId="166" fontId="5" fillId="0" borderId="8" xfId="0" applyNumberFormat="1" applyFont="1" applyBorder="1" applyAlignment="1">
      <alignment horizontal="center" vertical="center"/>
    </xf>
    <xf numFmtId="168" fontId="5" fillId="0" borderId="8" xfId="0" applyNumberFormat="1" applyFont="1" applyBorder="1"/>
    <xf numFmtId="0" fontId="5" fillId="8" borderId="12" xfId="0" applyFont="1" applyFill="1" applyBorder="1"/>
    <xf numFmtId="172" fontId="5" fillId="3" borderId="6" xfId="0" applyNumberFormat="1" applyFont="1" applyFill="1" applyBorder="1"/>
    <xf numFmtId="172" fontId="5" fillId="3" borderId="8" xfId="0" applyNumberFormat="1" applyFont="1" applyFill="1" applyBorder="1"/>
    <xf numFmtId="172" fontId="5" fillId="3" borderId="1" xfId="0" applyNumberFormat="1" applyFont="1" applyFill="1" applyBorder="1"/>
    <xf numFmtId="0" fontId="3" fillId="2" borderId="6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165" fontId="5" fillId="12" borderId="6" xfId="0" applyNumberFormat="1" applyFont="1" applyFill="1" applyBorder="1"/>
    <xf numFmtId="167" fontId="5" fillId="12" borderId="6" xfId="0" applyNumberFormat="1" applyFont="1" applyFill="1" applyBorder="1" applyAlignment="1"/>
    <xf numFmtId="166" fontId="5" fillId="12" borderId="6" xfId="0" applyNumberFormat="1" applyFont="1" applyFill="1" applyBorder="1" applyAlignment="1">
      <alignment horizontal="center"/>
    </xf>
    <xf numFmtId="166" fontId="5" fillId="13" borderId="6" xfId="0" applyNumberFormat="1" applyFont="1" applyFill="1" applyBorder="1" applyAlignment="1">
      <alignment horizontal="center"/>
    </xf>
    <xf numFmtId="0" fontId="5" fillId="12" borderId="6" xfId="0" applyFont="1" applyFill="1" applyBorder="1" applyAlignment="1"/>
    <xf numFmtId="165" fontId="5" fillId="12" borderId="1" xfId="0" applyNumberFormat="1" applyFont="1" applyFill="1" applyBorder="1"/>
    <xf numFmtId="0" fontId="5" fillId="12" borderId="1" xfId="0" applyFont="1" applyFill="1" applyBorder="1" applyAlignment="1"/>
    <xf numFmtId="166" fontId="5" fillId="12" borderId="1" xfId="0" applyNumberFormat="1" applyFont="1" applyFill="1" applyBorder="1" applyAlignment="1">
      <alignment horizontal="center"/>
    </xf>
    <xf numFmtId="166" fontId="5" fillId="13" borderId="1" xfId="0" applyNumberFormat="1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9" xfId="1" applyNumberFormat="1" applyFont="1" applyFill="1" applyBorder="1" applyAlignment="1">
      <alignment horizontal="center"/>
    </xf>
    <xf numFmtId="0" fontId="3" fillId="2" borderId="18" xfId="1" applyNumberFormat="1" applyFont="1" applyFill="1" applyBorder="1" applyAlignment="1">
      <alignment horizontal="center"/>
    </xf>
    <xf numFmtId="165" fontId="5" fillId="12" borderId="8" xfId="0" applyNumberFormat="1" applyFont="1" applyFill="1" applyBorder="1"/>
    <xf numFmtId="167" fontId="5" fillId="12" borderId="8" xfId="0" applyNumberFormat="1" applyFont="1" applyFill="1" applyBorder="1" applyAlignment="1"/>
    <xf numFmtId="166" fontId="5" fillId="12" borderId="8" xfId="0" applyNumberFormat="1" applyFont="1" applyFill="1" applyBorder="1" applyAlignment="1">
      <alignment horizontal="center"/>
    </xf>
    <xf numFmtId="166" fontId="5" fillId="13" borderId="8" xfId="0" applyNumberFormat="1" applyFont="1" applyFill="1" applyBorder="1" applyAlignment="1">
      <alignment horizontal="center"/>
    </xf>
    <xf numFmtId="164" fontId="5" fillId="12" borderId="8" xfId="0" applyNumberFormat="1" applyFont="1" applyFill="1" applyBorder="1" applyAlignment="1">
      <alignment horizontal="center"/>
    </xf>
    <xf numFmtId="164" fontId="5" fillId="12" borderId="6" xfId="0" applyNumberFormat="1" applyFont="1" applyFill="1" applyBorder="1" applyAlignment="1">
      <alignment horizontal="center"/>
    </xf>
    <xf numFmtId="164" fontId="5" fillId="12" borderId="1" xfId="0" applyNumberFormat="1" applyFont="1" applyFill="1" applyBorder="1" applyAlignment="1">
      <alignment horizontal="center"/>
    </xf>
    <xf numFmtId="165" fontId="5" fillId="12" borderId="8" xfId="0" applyNumberFormat="1" applyFont="1" applyFill="1" applyBorder="1" applyAlignment="1"/>
    <xf numFmtId="165" fontId="5" fillId="12" borderId="6" xfId="0" applyNumberFormat="1" applyFont="1" applyFill="1" applyBorder="1" applyAlignment="1"/>
    <xf numFmtId="0" fontId="3" fillId="2" borderId="16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5" fillId="12" borderId="8" xfId="0" applyFont="1" applyFill="1" applyBorder="1"/>
    <xf numFmtId="0" fontId="5" fillId="12" borderId="8" xfId="0" applyFont="1" applyFill="1" applyBorder="1" applyAlignment="1">
      <alignment horizontal="left"/>
    </xf>
    <xf numFmtId="0" fontId="5" fillId="12" borderId="6" xfId="0" applyFont="1" applyFill="1" applyBorder="1"/>
    <xf numFmtId="0" fontId="5" fillId="12" borderId="6" xfId="0" applyFont="1" applyFill="1" applyBorder="1" applyAlignment="1">
      <alignment horizontal="left"/>
    </xf>
    <xf numFmtId="0" fontId="5" fillId="12" borderId="1" xfId="0" applyFont="1" applyFill="1" applyBorder="1"/>
    <xf numFmtId="0" fontId="5" fillId="12" borderId="1" xfId="0" applyFont="1" applyFill="1" applyBorder="1" applyAlignment="1">
      <alignment horizontal="left"/>
    </xf>
    <xf numFmtId="0" fontId="5" fillId="3" borderId="2" xfId="0" applyFont="1" applyFill="1" applyBorder="1"/>
    <xf numFmtId="0" fontId="3" fillId="10" borderId="6" xfId="1" applyNumberFormat="1" applyFont="1" applyFill="1" applyBorder="1" applyAlignment="1">
      <alignment horizontal="center" vertical="center"/>
    </xf>
    <xf numFmtId="0" fontId="3" fillId="10" borderId="1" xfId="1" applyNumberFormat="1" applyFont="1" applyFill="1" applyBorder="1" applyAlignment="1">
      <alignment horizontal="center" vertical="center"/>
    </xf>
    <xf numFmtId="167" fontId="3" fillId="10" borderId="8" xfId="1" applyNumberFormat="1" applyFont="1" applyFill="1" applyBorder="1" applyAlignment="1">
      <alignment horizontal="right"/>
    </xf>
    <xf numFmtId="167" fontId="3" fillId="10" borderId="6" xfId="1" applyNumberFormat="1" applyFont="1" applyFill="1" applyBorder="1" applyAlignment="1">
      <alignment horizontal="right"/>
    </xf>
    <xf numFmtId="167" fontId="3" fillId="10" borderId="1" xfId="1" applyNumberFormat="1" applyFont="1" applyFill="1" applyBorder="1" applyAlignment="1">
      <alignment horizontal="right"/>
    </xf>
    <xf numFmtId="167" fontId="3" fillId="3" borderId="2" xfId="1" applyNumberFormat="1" applyFont="1" applyFill="1" applyBorder="1" applyAlignment="1">
      <alignment horizontal="right"/>
    </xf>
    <xf numFmtId="0" fontId="3" fillId="10" borderId="2" xfId="1" applyNumberFormat="1" applyFont="1" applyFill="1" applyBorder="1" applyAlignment="1">
      <alignment horizontal="center" vertical="center"/>
    </xf>
    <xf numFmtId="165" fontId="3" fillId="14" borderId="19" xfId="1" applyNumberFormat="1" applyFont="1" applyFill="1" applyBorder="1" applyAlignment="1">
      <alignment horizontal="center" vertical="center"/>
    </xf>
    <xf numFmtId="165" fontId="3" fillId="14" borderId="18" xfId="1" applyNumberFormat="1" applyFont="1" applyFill="1" applyBorder="1" applyAlignment="1">
      <alignment horizontal="center" vertical="center"/>
    </xf>
    <xf numFmtId="165" fontId="3" fillId="14" borderId="6" xfId="1" applyNumberFormat="1" applyFont="1" applyFill="1" applyBorder="1" applyAlignment="1">
      <alignment horizontal="center" vertical="center"/>
    </xf>
    <xf numFmtId="165" fontId="3" fillId="14" borderId="1" xfId="1" applyNumberFormat="1" applyFont="1" applyFill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sheetDataSet>
      <sheetData sheetId="0"/>
      <sheetData sheetId="1">
        <row r="4">
          <cell r="D4" t="str">
            <v>GBPON#0000</v>
          </cell>
        </row>
        <row r="6">
          <cell r="D6" t="str">
            <v>GBP1M#0000</v>
          </cell>
        </row>
        <row r="8">
          <cell r="D8" t="str">
            <v>GBP3M#0000</v>
          </cell>
        </row>
        <row r="9">
          <cell r="D9" t="str">
            <v>GBP6M#0000</v>
          </cell>
        </row>
        <row r="10">
          <cell r="D10" t="str">
            <v>GBP1Y#0000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8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3" width="9.140625" style="46"/>
    <col min="14" max="14" width="9.7109375" style="46" bestFit="1" customWidth="1"/>
    <col min="15" max="16384" width="9.140625" style="46"/>
  </cols>
  <sheetData>
    <row r="2" spans="1:10" x14ac:dyDescent="0.2">
      <c r="B2" s="75"/>
      <c r="C2" s="76"/>
      <c r="D2" s="76"/>
      <c r="E2" s="77"/>
      <c r="G2" s="75"/>
      <c r="H2" s="76"/>
      <c r="I2" s="76"/>
      <c r="J2" s="77"/>
    </row>
    <row r="3" spans="1:10" ht="11.25" customHeight="1" x14ac:dyDescent="0.2">
      <c r="B3" s="80"/>
      <c r="C3" s="10" t="s">
        <v>22</v>
      </c>
      <c r="D3" s="74" t="s">
        <v>131</v>
      </c>
      <c r="E3" s="78"/>
      <c r="G3" s="80"/>
      <c r="H3" s="10" t="s">
        <v>31</v>
      </c>
      <c r="I3" s="11">
        <f>_xll.qlSettingsEvaluationDate(Trigger)</f>
        <v>42559</v>
      </c>
      <c r="J3" s="78"/>
    </row>
    <row r="4" spans="1:10" ht="11.25" customHeight="1" x14ac:dyDescent="0.2">
      <c r="B4" s="80"/>
      <c r="C4" s="12" t="s">
        <v>19</v>
      </c>
      <c r="D4" s="14" t="b">
        <v>1</v>
      </c>
      <c r="E4" s="78"/>
      <c r="G4" s="80"/>
      <c r="H4" s="12" t="s">
        <v>32</v>
      </c>
      <c r="I4" s="13">
        <f>_xll.qlCalendarAdvance(Calendar,Evaluationdate,"0D","F",,Trigger)</f>
        <v>42559</v>
      </c>
      <c r="J4" s="78"/>
    </row>
    <row r="5" spans="1:10" ht="11.25" customHeight="1" x14ac:dyDescent="0.2">
      <c r="A5" s="48"/>
      <c r="B5" s="81"/>
      <c r="C5" s="17" t="s">
        <v>18</v>
      </c>
      <c r="D5" s="18"/>
      <c r="E5" s="78"/>
      <c r="G5" s="80"/>
      <c r="H5" s="12" t="s">
        <v>14</v>
      </c>
      <c r="I5" s="13" t="s">
        <v>132</v>
      </c>
      <c r="J5" s="78"/>
    </row>
    <row r="6" spans="1:10" ht="11.25" customHeight="1" x14ac:dyDescent="0.2">
      <c r="A6" s="48"/>
      <c r="B6" s="81"/>
      <c r="C6" s="12" t="s">
        <v>20</v>
      </c>
      <c r="D6" s="14" t="b">
        <v>1</v>
      </c>
      <c r="E6" s="78"/>
      <c r="G6" s="80"/>
      <c r="H6" s="150"/>
      <c r="I6" s="150"/>
      <c r="J6" s="78"/>
    </row>
    <row r="7" spans="1:10" ht="11.25" customHeight="1" x14ac:dyDescent="0.2">
      <c r="A7" s="48"/>
      <c r="B7" s="81"/>
      <c r="C7" s="12" t="s">
        <v>21</v>
      </c>
      <c r="D7" s="15" t="str">
        <f>Currency&amp;"ON"</f>
        <v>GBPON</v>
      </c>
      <c r="E7" s="78"/>
      <c r="G7" s="80"/>
      <c r="H7" s="10" t="s">
        <v>35</v>
      </c>
      <c r="I7" s="146" t="s">
        <v>133</v>
      </c>
      <c r="J7" s="78"/>
    </row>
    <row r="8" spans="1:10" ht="11.25" customHeight="1" x14ac:dyDescent="0.2">
      <c r="A8" s="48"/>
      <c r="B8" s="82"/>
      <c r="C8" s="16" t="s">
        <v>74</v>
      </c>
      <c r="D8" s="196" t="s">
        <v>75</v>
      </c>
      <c r="E8" s="78"/>
      <c r="G8" s="80"/>
      <c r="H8" s="12" t="s">
        <v>71</v>
      </c>
      <c r="I8" s="147" t="s">
        <v>72</v>
      </c>
      <c r="J8" s="78"/>
    </row>
    <row r="9" spans="1:10" ht="11.25" customHeight="1" x14ac:dyDescent="0.2">
      <c r="B9" s="82"/>
      <c r="C9" s="149"/>
      <c r="D9" s="149"/>
      <c r="E9" s="78"/>
      <c r="G9" s="80"/>
      <c r="H9" s="16" t="s">
        <v>125</v>
      </c>
      <c r="I9" s="148" t="s">
        <v>124</v>
      </c>
      <c r="J9" s="78"/>
    </row>
    <row r="10" spans="1:10" ht="11.25" customHeight="1" x14ac:dyDescent="0.2">
      <c r="B10" s="83"/>
      <c r="C10" s="84"/>
      <c r="D10" s="85"/>
      <c r="E10" s="79"/>
      <c r="G10" s="83"/>
      <c r="H10" s="84"/>
      <c r="I10" s="85"/>
      <c r="J10" s="79"/>
    </row>
    <row r="11" spans="1:10" ht="11.25" customHeight="1" x14ac:dyDescent="0.2"/>
    <row r="12" spans="1:10" x14ac:dyDescent="0.2">
      <c r="B12" s="35"/>
      <c r="C12" s="36"/>
      <c r="D12" s="36"/>
      <c r="E12" s="37"/>
      <c r="G12" s="35"/>
      <c r="H12" s="36"/>
      <c r="I12" s="36"/>
      <c r="J12" s="37"/>
    </row>
    <row r="13" spans="1:10" x14ac:dyDescent="0.2">
      <c r="B13" s="20"/>
      <c r="C13" s="19" t="s">
        <v>10</v>
      </c>
      <c r="D13" s="39" t="str">
        <f>_xll.qlPiecewiseYieldCurve($D$15,$D$16,Calendar,_xll.ohPack(RateHelpersON),,,,D17,D18,D19,Permanent,,ObjectOverwrite)</f>
        <v>_GBPON#0001</v>
      </c>
      <c r="E13" s="40"/>
      <c r="G13" s="20"/>
      <c r="H13" s="19" t="s">
        <v>10</v>
      </c>
      <c r="I13" s="39" t="str">
        <f>_xll.qlPiecewiseYieldCurve(I15,I16,Calendar,_xll.ohPack(RateHelpers3M),,,,I17,I18,I19,Permanent,,ObjectOverwrite)</f>
        <v>_GBP3M#0012</v>
      </c>
      <c r="J13" s="40"/>
    </row>
    <row r="14" spans="1:10" x14ac:dyDescent="0.2">
      <c r="B14" s="20"/>
      <c r="C14" s="21" t="s">
        <v>11</v>
      </c>
      <c r="D14" s="41" t="str">
        <f>_xll.ohRangeRetrieveError(YieldCurve_ON)</f>
        <v/>
      </c>
      <c r="E14" s="40"/>
      <c r="G14" s="20"/>
      <c r="H14" s="21" t="s">
        <v>11</v>
      </c>
      <c r="I14" s="41" t="str">
        <f>_xll.ohRangeRetrieveError(YieldCurve_3M)</f>
        <v/>
      </c>
      <c r="J14" s="40"/>
    </row>
    <row r="15" spans="1:10" x14ac:dyDescent="0.2">
      <c r="B15" s="20"/>
      <c r="C15" s="19" t="s">
        <v>12</v>
      </c>
      <c r="D15" s="22" t="str">
        <f>"_"&amp;Currency&amp;"ON"</f>
        <v>_GBPON</v>
      </c>
      <c r="E15" s="40"/>
      <c r="G15" s="20"/>
      <c r="H15" s="19" t="s">
        <v>12</v>
      </c>
      <c r="I15" s="22" t="str">
        <f>"_"&amp;Currency&amp;"3M"</f>
        <v>_GBP3M</v>
      </c>
      <c r="J15" s="40"/>
    </row>
    <row r="16" spans="1:10" x14ac:dyDescent="0.2">
      <c r="B16" s="20"/>
      <c r="C16" s="23" t="s">
        <v>13</v>
      </c>
      <c r="D16" s="24">
        <v>0</v>
      </c>
      <c r="E16" s="40"/>
      <c r="G16" s="20"/>
      <c r="H16" s="23" t="s">
        <v>13</v>
      </c>
      <c r="I16" s="24">
        <v>0</v>
      </c>
      <c r="J16" s="40"/>
    </row>
    <row r="17" spans="1:10" x14ac:dyDescent="0.2">
      <c r="B17" s="20"/>
      <c r="C17" s="23" t="s">
        <v>15</v>
      </c>
      <c r="D17" s="25"/>
      <c r="E17" s="40"/>
      <c r="G17" s="20"/>
      <c r="H17" s="23" t="s">
        <v>15</v>
      </c>
      <c r="I17" s="25"/>
      <c r="J17" s="40"/>
    </row>
    <row r="18" spans="1:10" x14ac:dyDescent="0.2">
      <c r="B18" s="20"/>
      <c r="C18" s="23" t="s">
        <v>16</v>
      </c>
      <c r="D18" s="26" t="s">
        <v>134</v>
      </c>
      <c r="E18" s="40"/>
      <c r="G18" s="20"/>
      <c r="H18" s="23" t="s">
        <v>16</v>
      </c>
      <c r="I18" s="26" t="s">
        <v>134</v>
      </c>
      <c r="J18" s="40"/>
    </row>
    <row r="19" spans="1:10" x14ac:dyDescent="0.2">
      <c r="B19" s="20"/>
      <c r="C19" s="21" t="s">
        <v>17</v>
      </c>
      <c r="D19" s="27" t="s">
        <v>135</v>
      </c>
      <c r="E19" s="40"/>
      <c r="G19" s="20"/>
      <c r="H19" s="21" t="s">
        <v>17</v>
      </c>
      <c r="I19" s="27" t="s">
        <v>135</v>
      </c>
      <c r="J19" s="40"/>
    </row>
    <row r="20" spans="1:10" x14ac:dyDescent="0.2">
      <c r="B20" s="20"/>
      <c r="C20" s="28"/>
      <c r="D20" s="28"/>
      <c r="E20" s="40"/>
      <c r="G20" s="20"/>
      <c r="H20" s="28"/>
      <c r="I20" s="28"/>
      <c r="J20" s="40"/>
    </row>
    <row r="21" spans="1:10" x14ac:dyDescent="0.2">
      <c r="B21" s="20"/>
      <c r="C21" s="29">
        <f>_xll.qlTermStructureReferenceDate(YieldCurve_ON)</f>
        <v>42559</v>
      </c>
      <c r="D21" s="30">
        <f>_xll.qlYieldTSDiscount(YieldCurve_ON,C21,,Trigger)</f>
        <v>1</v>
      </c>
      <c r="E21" s="40"/>
      <c r="G21" s="20"/>
      <c r="H21" s="29">
        <f>_xll.qlTermStructureReferenceDate(YieldCurve_3M)</f>
        <v>42559</v>
      </c>
      <c r="I21" s="30">
        <f>_xll.qlYieldTSDiscount(YieldCurve_3M,H21,,Trigger)</f>
        <v>1</v>
      </c>
      <c r="J21" s="40"/>
    </row>
    <row r="22" spans="1:10" x14ac:dyDescent="0.2">
      <c r="B22" s="20"/>
      <c r="C22" s="31">
        <f>_xll.qlTermStructureMaxDate(YieldCurve_ON,Trigger)</f>
        <v>64474</v>
      </c>
      <c r="D22" s="32">
        <f>_xll.qlYieldTSDiscount(YieldCurve_ON,C22,,Trigger)</f>
        <v>0.61355842665508942</v>
      </c>
      <c r="E22" s="40"/>
      <c r="G22" s="20"/>
      <c r="H22" s="31">
        <f>_xll.qlTermStructureMaxDate(YieldCurve_3M,Trigger)</f>
        <v>64474</v>
      </c>
      <c r="I22" s="32">
        <f>_xll.qlYieldTSDiscount(YieldCurve_3M,H22,,Trigger)</f>
        <v>0.5755528185361044</v>
      </c>
      <c r="J22" s="40"/>
    </row>
    <row r="23" spans="1:10" x14ac:dyDescent="0.2">
      <c r="B23" s="20"/>
      <c r="C23" s="31" t="str">
        <f>[1]GBPLibor!$D$4</f>
        <v>GBPON#0000</v>
      </c>
      <c r="D23" s="32" t="b">
        <f>_xll.qlRelinkableHandleLinkTo(C23,D13,Trigger)</f>
        <v>1</v>
      </c>
      <c r="E23" s="40"/>
      <c r="G23" s="20"/>
      <c r="H23" s="31" t="str">
        <f>[1]GBPLibor!$D$8</f>
        <v>GBP3M#0000</v>
      </c>
      <c r="I23" s="32" t="b">
        <f>_xll.qlRelinkableHandleLinkTo(H23,I13,Trigger)</f>
        <v>1</v>
      </c>
      <c r="J23" s="40"/>
    </row>
    <row r="24" spans="1:10" x14ac:dyDescent="0.2">
      <c r="B24" s="20"/>
      <c r="C24" s="33" t="s">
        <v>116</v>
      </c>
      <c r="D24" s="34" t="b">
        <v>0</v>
      </c>
      <c r="E24" s="40"/>
      <c r="G24" s="20"/>
      <c r="H24" s="33" t="s">
        <v>116</v>
      </c>
      <c r="I24" s="34" t="b">
        <v>0</v>
      </c>
      <c r="J24" s="40"/>
    </row>
    <row r="25" spans="1:10" x14ac:dyDescent="0.2">
      <c r="B25" s="20"/>
      <c r="C25" s="33" t="s">
        <v>146</v>
      </c>
      <c r="D25" s="34" t="b">
        <f>_xll.qlExtrapolatorEnableExtrapolation(YieldCurve_ON,D24,Trigger)</f>
        <v>1</v>
      </c>
      <c r="E25" s="40"/>
      <c r="G25" s="20"/>
      <c r="H25" s="33" t="s">
        <v>146</v>
      </c>
      <c r="I25" s="34" t="b">
        <f>_xll.qlExtrapolatorEnableExtrapolation(YieldCurve_3M,I24,Trigger)</f>
        <v>1</v>
      </c>
      <c r="J25" s="40"/>
    </row>
    <row r="26" spans="1:10" x14ac:dyDescent="0.2">
      <c r="B26" s="42"/>
      <c r="C26" s="43"/>
      <c r="D26" s="43"/>
      <c r="E26" s="44"/>
      <c r="G26" s="42"/>
      <c r="H26" s="43"/>
      <c r="I26" s="43"/>
      <c r="J26" s="44"/>
    </row>
    <row r="27" spans="1:10" x14ac:dyDescent="0.2">
      <c r="A27" s="48"/>
      <c r="B27" s="48"/>
      <c r="C27" s="48"/>
      <c r="D27" s="48"/>
      <c r="E27" s="48"/>
      <c r="G27" s="48"/>
      <c r="H27" s="48"/>
      <c r="I27" s="48"/>
      <c r="J27" s="48"/>
    </row>
    <row r="28" spans="1:10" x14ac:dyDescent="0.2">
      <c r="B28" s="35"/>
      <c r="C28" s="45"/>
      <c r="D28" s="45"/>
      <c r="E28" s="37"/>
      <c r="F28" s="47"/>
      <c r="G28" s="35"/>
      <c r="H28" s="36"/>
      <c r="I28" s="36"/>
      <c r="J28" s="37"/>
    </row>
    <row r="29" spans="1:10" x14ac:dyDescent="0.2">
      <c r="B29" s="38"/>
      <c r="C29" s="19" t="s">
        <v>10</v>
      </c>
      <c r="D29" s="39" t="str">
        <f>_xll.qlPiecewiseYieldCurve(D31,D32,Calendar,_xll.ohPack(RateHelpers6M),,,,D33,D34,D35,Permanent,,ObjectOverwrite)</f>
        <v>_GBP6M#0002</v>
      </c>
      <c r="E29" s="40"/>
      <c r="F29" s="47"/>
      <c r="G29" s="20"/>
      <c r="H29" s="19" t="s">
        <v>10</v>
      </c>
      <c r="I29" s="39" t="str">
        <f>_xll.qlPiecewiseYieldCurve(I31,I32,Calendar,_xll.ohPack(RateHelpers1M),,,,I33,I34,I35,Permanent,,ObjectOverwrite)</f>
        <v>_GBP1M#0002</v>
      </c>
      <c r="J29" s="40"/>
    </row>
    <row r="30" spans="1:10" x14ac:dyDescent="0.2">
      <c r="B30" s="38"/>
      <c r="C30" s="21" t="s">
        <v>11</v>
      </c>
      <c r="D30" s="41" t="str">
        <f>_xll.ohRangeRetrieveError(YieldCurve_6M)</f>
        <v/>
      </c>
      <c r="E30" s="40"/>
      <c r="F30" s="47"/>
      <c r="G30" s="20"/>
      <c r="H30" s="21" t="s">
        <v>11</v>
      </c>
      <c r="I30" s="41" t="str">
        <f>_xll.ohRangeRetrieveError(YieldCurve_1M)</f>
        <v/>
      </c>
      <c r="J30" s="40"/>
    </row>
    <row r="31" spans="1:10" x14ac:dyDescent="0.2">
      <c r="B31" s="20"/>
      <c r="C31" s="19" t="s">
        <v>12</v>
      </c>
      <c r="D31" s="22" t="str">
        <f>"_"&amp;Currency&amp;"6M"</f>
        <v>_GBP6M</v>
      </c>
      <c r="E31" s="40"/>
      <c r="F31" s="47"/>
      <c r="G31" s="20"/>
      <c r="H31" s="19" t="s">
        <v>12</v>
      </c>
      <c r="I31" s="22" t="str">
        <f>"_"&amp;Currency&amp;"1M"</f>
        <v>_GBP1M</v>
      </c>
      <c r="J31" s="40"/>
    </row>
    <row r="32" spans="1:10" x14ac:dyDescent="0.2">
      <c r="B32" s="20"/>
      <c r="C32" s="23" t="s">
        <v>13</v>
      </c>
      <c r="D32" s="24">
        <v>0</v>
      </c>
      <c r="E32" s="40"/>
      <c r="F32" s="47"/>
      <c r="G32" s="20"/>
      <c r="H32" s="23" t="s">
        <v>13</v>
      </c>
      <c r="I32" s="24">
        <v>0</v>
      </c>
      <c r="J32" s="40"/>
    </row>
    <row r="33" spans="2:10" x14ac:dyDescent="0.2">
      <c r="B33" s="20"/>
      <c r="C33" s="23" t="s">
        <v>15</v>
      </c>
      <c r="D33" s="25"/>
      <c r="E33" s="40"/>
      <c r="F33" s="47"/>
      <c r="G33" s="20"/>
      <c r="H33" s="23" t="s">
        <v>15</v>
      </c>
      <c r="I33" s="25"/>
      <c r="J33" s="40"/>
    </row>
    <row r="34" spans="2:10" x14ac:dyDescent="0.2">
      <c r="B34" s="20"/>
      <c r="C34" s="23" t="s">
        <v>16</v>
      </c>
      <c r="D34" s="26" t="s">
        <v>134</v>
      </c>
      <c r="E34" s="40"/>
      <c r="F34" s="47"/>
      <c r="G34" s="20"/>
      <c r="H34" s="23" t="s">
        <v>16</v>
      </c>
      <c r="I34" s="26" t="s">
        <v>134</v>
      </c>
      <c r="J34" s="40"/>
    </row>
    <row r="35" spans="2:10" x14ac:dyDescent="0.2">
      <c r="B35" s="20"/>
      <c r="C35" s="21" t="s">
        <v>17</v>
      </c>
      <c r="D35" s="27" t="s">
        <v>135</v>
      </c>
      <c r="E35" s="40"/>
      <c r="F35" s="47"/>
      <c r="G35" s="20"/>
      <c r="H35" s="21" t="s">
        <v>17</v>
      </c>
      <c r="I35" s="27" t="s">
        <v>135</v>
      </c>
      <c r="J35" s="40"/>
    </row>
    <row r="36" spans="2:10" x14ac:dyDescent="0.2">
      <c r="B36" s="20"/>
      <c r="C36" s="28"/>
      <c r="D36" s="28"/>
      <c r="E36" s="40"/>
      <c r="F36" s="47"/>
      <c r="G36" s="20"/>
      <c r="H36" s="28"/>
      <c r="I36" s="28"/>
      <c r="J36" s="40"/>
    </row>
    <row r="37" spans="2:10" x14ac:dyDescent="0.2">
      <c r="B37" s="20"/>
      <c r="C37" s="29">
        <f>_xll.qlTermStructureReferenceDate(YieldCurve_6M)</f>
        <v>42559</v>
      </c>
      <c r="D37" s="30">
        <f>_xll.qlYieldTSDiscount(YieldCurve_6M,C37,,Trigger)</f>
        <v>1</v>
      </c>
      <c r="E37" s="40"/>
      <c r="F37" s="47"/>
      <c r="G37" s="20"/>
      <c r="H37" s="29">
        <f>_xll.qlTermStructureReferenceDate(YieldCurve_1M)</f>
        <v>42559</v>
      </c>
      <c r="I37" s="30">
        <f>_xll.qlYieldTSDiscount(YieldCurve_1M,H37,,Trigger)</f>
        <v>1</v>
      </c>
      <c r="J37" s="40"/>
    </row>
    <row r="38" spans="2:10" x14ac:dyDescent="0.2">
      <c r="B38" s="20"/>
      <c r="C38" s="31">
        <f>_xll.qlTermStructureMaxDate(YieldCurve_6M,Trigger)</f>
        <v>64474</v>
      </c>
      <c r="D38" s="32">
        <f>_xll.qlYieldTSDiscount(YieldCurve_6M,C38,,Trigger)</f>
        <v>0.56948360331588288</v>
      </c>
      <c r="E38" s="40"/>
      <c r="F38" s="47"/>
      <c r="G38" s="20"/>
      <c r="H38" s="31">
        <f>_xll.qlTermStructureMaxDate(YieldCurve_1M,Trigger)</f>
        <v>64474</v>
      </c>
      <c r="I38" s="32">
        <f>_xll.qlYieldTSDiscount(YieldCurve_1M,H38,,Trigger)</f>
        <v>0.58948028179114531</v>
      </c>
      <c r="J38" s="40"/>
    </row>
    <row r="39" spans="2:10" x14ac:dyDescent="0.2">
      <c r="B39" s="20"/>
      <c r="C39" s="31" t="str">
        <f>[1]GBPLibor!$D$9</f>
        <v>GBP6M#0000</v>
      </c>
      <c r="D39" s="32" t="b">
        <f>_xll.qlRelinkableHandleLinkTo(C39,D29,Trigger)</f>
        <v>1</v>
      </c>
      <c r="E39" s="40"/>
      <c r="F39" s="47"/>
      <c r="G39" s="20"/>
      <c r="H39" s="31" t="str">
        <f>[1]GBPLibor!$D$6</f>
        <v>GBP1M#0000</v>
      </c>
      <c r="I39" s="32" t="b">
        <f>_xll.qlRelinkableHandleLinkTo(H39,I29,Trigger)</f>
        <v>1</v>
      </c>
      <c r="J39" s="40"/>
    </row>
    <row r="40" spans="2:10" x14ac:dyDescent="0.2">
      <c r="B40" s="20"/>
      <c r="C40" s="33" t="s">
        <v>116</v>
      </c>
      <c r="D40" s="34" t="b">
        <v>0</v>
      </c>
      <c r="E40" s="40"/>
      <c r="F40" s="47"/>
      <c r="G40" s="20"/>
      <c r="H40" s="33" t="s">
        <v>116</v>
      </c>
      <c r="I40" s="34" t="b">
        <v>0</v>
      </c>
      <c r="J40" s="40"/>
    </row>
    <row r="41" spans="2:10" x14ac:dyDescent="0.2">
      <c r="B41" s="20"/>
      <c r="C41" s="33" t="s">
        <v>146</v>
      </c>
      <c r="D41" s="34" t="b">
        <f>_xll.qlExtrapolatorEnableExtrapolation(YieldCurve_6M,D40,Trigger)</f>
        <v>1</v>
      </c>
      <c r="E41" s="40"/>
      <c r="F41" s="47"/>
      <c r="G41" s="20"/>
      <c r="H41" s="33" t="s">
        <v>146</v>
      </c>
      <c r="I41" s="34" t="b">
        <f>_xll.qlExtrapolatorEnableExtrapolation(YieldCurve_1M,I40,Trigger)</f>
        <v>1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36"/>
      <c r="D44" s="36"/>
      <c r="E44" s="37"/>
      <c r="F44" s="47"/>
    </row>
    <row r="45" spans="2:10" x14ac:dyDescent="0.2">
      <c r="B45" s="20"/>
      <c r="C45" s="19" t="s">
        <v>10</v>
      </c>
      <c r="D45" s="39" t="str">
        <f>_xll.qlPiecewiseYieldCurve(D47,D48,Calendar,_xll.ohPack(RateHelpers1Y),,,,D49,D50,D51,Permanent,,ObjectOverwrite)</f>
        <v>_GBP1Y#0002</v>
      </c>
      <c r="E45" s="40"/>
      <c r="F45" s="47"/>
    </row>
    <row r="46" spans="2:10" x14ac:dyDescent="0.2">
      <c r="B46" s="20"/>
      <c r="C46" s="21" t="s">
        <v>11</v>
      </c>
      <c r="D46" s="41" t="str">
        <f>_xll.ohRangeRetrieveError(YieldCurve_1Y)</f>
        <v/>
      </c>
      <c r="E46" s="40"/>
    </row>
    <row r="47" spans="2:10" x14ac:dyDescent="0.2">
      <c r="B47" s="20"/>
      <c r="C47" s="19" t="s">
        <v>12</v>
      </c>
      <c r="D47" s="22" t="str">
        <f>"_"&amp;Currency&amp;"1Y"</f>
        <v>_GBP1Y</v>
      </c>
      <c r="E47" s="40"/>
    </row>
    <row r="48" spans="2:10" x14ac:dyDescent="0.2">
      <c r="B48" s="20"/>
      <c r="C48" s="23" t="s">
        <v>13</v>
      </c>
      <c r="D48" s="24">
        <v>0</v>
      </c>
      <c r="E48" s="40"/>
    </row>
    <row r="49" spans="2:5" x14ac:dyDescent="0.2">
      <c r="B49" s="20"/>
      <c r="C49" s="23" t="s">
        <v>15</v>
      </c>
      <c r="D49" s="25"/>
      <c r="E49" s="40"/>
    </row>
    <row r="50" spans="2:5" x14ac:dyDescent="0.2">
      <c r="B50" s="20"/>
      <c r="C50" s="23" t="s">
        <v>16</v>
      </c>
      <c r="D50" s="26" t="s">
        <v>134</v>
      </c>
      <c r="E50" s="40"/>
    </row>
    <row r="51" spans="2:5" x14ac:dyDescent="0.2">
      <c r="B51" s="20"/>
      <c r="C51" s="21" t="s">
        <v>17</v>
      </c>
      <c r="D51" s="27" t="s">
        <v>135</v>
      </c>
      <c r="E51" s="40"/>
    </row>
    <row r="52" spans="2:5" x14ac:dyDescent="0.2">
      <c r="B52" s="20"/>
      <c r="C52" s="28"/>
      <c r="D52" s="28"/>
      <c r="E52" s="40"/>
    </row>
    <row r="53" spans="2:5" x14ac:dyDescent="0.2">
      <c r="B53" s="20"/>
      <c r="C53" s="29">
        <f>_xll.qlTermStructureReferenceDate(YieldCurve_1Y)</f>
        <v>42559</v>
      </c>
      <c r="D53" s="30">
        <f>_xll.qlYieldTSDiscount(YieldCurve_1Y,C53,,Trigger)</f>
        <v>1</v>
      </c>
      <c r="E53" s="40"/>
    </row>
    <row r="54" spans="2:5" x14ac:dyDescent="0.2">
      <c r="B54" s="20"/>
      <c r="C54" s="31">
        <f>_xll.qlTermStructureMaxDate(YieldCurve_1Y,Trigger)</f>
        <v>64474</v>
      </c>
      <c r="D54" s="32">
        <f>_xll.qlYieldTSDiscount(YieldCurve_1Y,C54,,Trigger)</f>
        <v>0.55433017500184167</v>
      </c>
      <c r="E54" s="40"/>
    </row>
    <row r="55" spans="2:5" x14ac:dyDescent="0.2">
      <c r="B55" s="20"/>
      <c r="C55" s="31" t="str">
        <f>[1]GBPLibor!$D$10</f>
        <v>GBP1Y#0000</v>
      </c>
      <c r="D55" s="32" t="b">
        <f>_xll.qlRelinkableHandleLinkTo(C55,D45,Trigger)</f>
        <v>1</v>
      </c>
      <c r="E55" s="40"/>
    </row>
    <row r="56" spans="2:5" x14ac:dyDescent="0.2">
      <c r="B56" s="20"/>
      <c r="C56" s="33" t="s">
        <v>116</v>
      </c>
      <c r="D56" s="34" t="b">
        <v>0</v>
      </c>
      <c r="E56" s="40"/>
    </row>
    <row r="57" spans="2:5" x14ac:dyDescent="0.2">
      <c r="B57" s="20"/>
      <c r="C57" s="33" t="s">
        <v>146</v>
      </c>
      <c r="D57" s="34" t="b">
        <f>_xll.qlExtrapolatorEnableExtrapolation(YieldCurve_1Y,D56,Trigger)</f>
        <v>1</v>
      </c>
      <c r="E57" s="40"/>
    </row>
    <row r="58" spans="2:5" x14ac:dyDescent="0.2">
      <c r="B58" s="42"/>
      <c r="C58" s="43"/>
      <c r="D58" s="43"/>
      <c r="E58" s="44"/>
    </row>
  </sheetData>
  <dataValidations count="6">
    <dataValidation type="list" allowBlank="1" showInputMessage="1" showErrorMessage="1" sqref="D34 D18 I18 I34 D50">
      <formula1>"Discount,ZeroYield,ForwardRate"</formula1>
    </dataValidation>
    <dataValidation type="list" allowBlank="1" showInputMessage="1" showErrorMessage="1" sqref="D35 D19 I19 I35 D5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D24 I24 D40 I40 D56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2" hidden="1" customWidth="1" outlineLevel="1"/>
    <col min="8" max="8" width="20.7109375" style="46" hidden="1" customWidth="1" outlineLevel="1"/>
    <col min="9" max="9" width="25.7109375" style="46" hidden="1" customWidth="1" outlineLevel="1"/>
    <col min="10" max="10" width="15.7109375" style="94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4" hidden="1" customWidth="1" outlineLevel="1"/>
    <col min="14" max="18" width="8.7109375" style="94" hidden="1" customWidth="1" outlineLevel="1"/>
    <col min="19" max="19" width="15.7109375" style="94" hidden="1" customWidth="1" outlineLevel="1"/>
    <col min="20" max="21" width="10.7109375" style="94" hidden="1" customWidth="1" outlineLevel="1"/>
    <col min="22" max="22" width="2.7109375" style="48" hidden="1" customWidth="1" outlineLevel="1"/>
    <col min="23" max="23" width="6" style="46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1" width="2.7109375" style="46" customWidth="1"/>
    <col min="32" max="32" width="3" style="46" bestFit="1" customWidth="1"/>
    <col min="33" max="33" width="24.42578125" style="46" bestFit="1" customWidth="1"/>
    <col min="34" max="34" width="24.42578125" style="46" hidden="1" customWidth="1" outlineLevel="1"/>
    <col min="35" max="35" width="7" style="46" hidden="1" customWidth="1" outlineLevel="1"/>
    <col min="36" max="36" width="11.7109375" style="46" hidden="1" customWidth="1" outlineLevel="1"/>
    <col min="37" max="37" width="9" style="46" bestFit="1" customWidth="1" collapsed="1"/>
    <col min="38" max="38" width="10" style="46" bestFit="1" customWidth="1"/>
    <col min="39" max="40" width="24.42578125" style="46" bestFit="1" customWidth="1"/>
    <col min="41" max="41" width="10" style="46" bestFit="1" customWidth="1"/>
    <col min="42" max="42" width="24.42578125" style="46" bestFit="1" customWidth="1"/>
    <col min="43" max="16384" width="9.140625" style="46"/>
  </cols>
  <sheetData>
    <row r="1" spans="1:39" ht="18" customHeight="1" x14ac:dyDescent="0.2">
      <c r="G1" s="50" t="s">
        <v>136</v>
      </c>
      <c r="L1" s="65" t="s">
        <v>147</v>
      </c>
      <c r="M1" s="97"/>
      <c r="N1" s="97"/>
      <c r="O1" s="89"/>
      <c r="P1" s="97" t="s">
        <v>25</v>
      </c>
      <c r="Q1" s="97"/>
      <c r="R1" s="97"/>
      <c r="S1" s="97"/>
      <c r="T1" s="97"/>
      <c r="U1" s="89"/>
      <c r="V1" s="86"/>
      <c r="W1" s="70" t="str">
        <f>Currency&amp;"OIS"</f>
        <v>GBPOIS</v>
      </c>
      <c r="X1" s="64"/>
      <c r="Y1" s="64"/>
      <c r="Z1" s="66"/>
      <c r="AA1" s="66"/>
      <c r="AB1" s="64"/>
      <c r="AC1" s="64"/>
      <c r="AD1" s="68" t="s">
        <v>134</v>
      </c>
    </row>
    <row r="2" spans="1:39" ht="21.75" customHeight="1" x14ac:dyDescent="0.2">
      <c r="A2" s="63" t="s">
        <v>9</v>
      </c>
      <c r="B2" s="63" t="s">
        <v>30</v>
      </c>
      <c r="C2" s="63" t="s">
        <v>76</v>
      </c>
      <c r="D2" s="63" t="s">
        <v>126</v>
      </c>
      <c r="E2" s="63" t="s">
        <v>34</v>
      </c>
      <c r="F2" s="63" t="s">
        <v>113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77</v>
      </c>
      <c r="N2" s="69" t="s">
        <v>80</v>
      </c>
      <c r="O2" s="69" t="s">
        <v>82</v>
      </c>
      <c r="P2" s="69" t="s">
        <v>78</v>
      </c>
      <c r="Q2" s="69" t="s">
        <v>79</v>
      </c>
      <c r="R2" s="69" t="s">
        <v>81</v>
      </c>
      <c r="S2" s="69" t="s">
        <v>25</v>
      </c>
      <c r="T2" s="69" t="s">
        <v>23</v>
      </c>
      <c r="U2" s="69" t="s">
        <v>74</v>
      </c>
      <c r="V2" s="86"/>
      <c r="W2" s="69" t="s">
        <v>9</v>
      </c>
      <c r="X2" s="69" t="s">
        <v>25</v>
      </c>
      <c r="Y2" s="69" t="s">
        <v>77</v>
      </c>
      <c r="Z2" s="71" t="s">
        <v>24</v>
      </c>
      <c r="AA2" s="71" t="s">
        <v>82</v>
      </c>
      <c r="AB2" s="69" t="s">
        <v>23</v>
      </c>
      <c r="AC2" s="69" t="s">
        <v>74</v>
      </c>
      <c r="AD2" s="205">
        <f t="array" ref="AD2:AD39">_xll.qlPiecewiseYieldCurveData(YieldCurve_ON,Trigger)</f>
        <v>1</v>
      </c>
      <c r="AG2" s="187" t="s">
        <v>83</v>
      </c>
      <c r="AH2" s="188"/>
      <c r="AI2" s="188"/>
      <c r="AJ2" s="188"/>
      <c r="AK2" s="189"/>
    </row>
    <row r="3" spans="1:39" ht="11.25" customHeight="1" x14ac:dyDescent="0.2">
      <c r="A3" s="101" t="s">
        <v>27</v>
      </c>
      <c r="B3" s="102" t="s">
        <v>37</v>
      </c>
      <c r="C3" s="103">
        <v>0</v>
      </c>
      <c r="D3" s="262"/>
      <c r="E3" s="262"/>
      <c r="F3" s="262"/>
      <c r="G3" s="103" t="str">
        <f>$G$1</f>
        <v>Sonia</v>
      </c>
      <c r="H3" s="261" t="str">
        <f>Currency&amp;$B3&amp;"D"&amp;QuoteSuffix</f>
        <v>GBPOND_Quote</v>
      </c>
      <c r="I3" s="262"/>
      <c r="J3" s="235" t="str">
        <f>IF(P3,_xll.qlDepositRateHelper(,H3,G3,Permanent,Trigger,ObjectOverwrite),"--")</f>
        <v>obj_00268#0001</v>
      </c>
      <c r="K3" s="49"/>
      <c r="L3" s="226" t="str">
        <f>A3</f>
        <v>Dp</v>
      </c>
      <c r="M3" s="227" t="str">
        <f>H3</f>
        <v>GBPOND_Quote</v>
      </c>
      <c r="N3" s="228">
        <f>IFERROR(_xll.qlQuoteValue(H3,Trigger),"--")</f>
        <v>4.787500000000001E-3</v>
      </c>
      <c r="O3" s="229"/>
      <c r="P3" s="90" t="b">
        <v>1</v>
      </c>
      <c r="Q3" s="87">
        <v>70</v>
      </c>
      <c r="R3" s="87">
        <v>1</v>
      </c>
      <c r="S3" s="87" t="str">
        <f>J3</f>
        <v>obj_00268#0001</v>
      </c>
      <c r="T3" s="91">
        <f>IFERROR(_xll.qlRateHelperEarliestDate(S3,Trigger),"--")</f>
        <v>42559</v>
      </c>
      <c r="U3" s="91">
        <f>IFERROR(_xll.qlRateHelperPillarDate(S3,Trigger),"--")</f>
        <v>42562</v>
      </c>
      <c r="W3" s="3" t="str">
        <f t="shared" ref="W3:W39" si="0">IFERROR(INDEX($L$3:$L$39,MATCH(Y3,$M$3:$M$39,0),1),"")</f>
        <v>Dp</v>
      </c>
      <c r="X3" s="3" t="str">
        <f t="array" ref="X3:X39">_xll.qlRateHelperSelection(_xll.ohFilter(RateHelpers,IncludeFlag),_xll.ohFilter(Priority,IncludeFlag),AK3,AK4,AK5,AK6,_xll.ohFilter(MinDistance,IncludeFlag),Trigger)</f>
        <v>obj_00268</v>
      </c>
      <c r="Y3" s="3" t="str">
        <f>IFERROR(_xll.qlRateHelperQuoteName(X3,Trigger),"")</f>
        <v>GBPOND_Quote</v>
      </c>
      <c r="Z3" s="67">
        <f>IFERROR(_xll.qlRateHelperRate(X3,Trigger),"")</f>
        <v>4.787500000000001E-3</v>
      </c>
      <c r="AA3" s="95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42559</v>
      </c>
      <c r="AC3" s="4">
        <f>IFERROR(_xll.qlRateHelperPillarDate(X3,Trigger),"")</f>
        <v>42562</v>
      </c>
      <c r="AD3" s="206">
        <v>0.99996065223323927</v>
      </c>
      <c r="AG3" s="98" t="s">
        <v>84</v>
      </c>
      <c r="AK3" s="191">
        <v>0</v>
      </c>
    </row>
    <row r="4" spans="1:39" ht="11.25" customHeight="1" x14ac:dyDescent="0.2">
      <c r="G4" s="50" t="s">
        <v>70</v>
      </c>
      <c r="K4" s="48"/>
      <c r="L4" s="238" t="str">
        <f t="shared" ref="L4:L39" si="1">A6</f>
        <v>OIS</v>
      </c>
      <c r="M4" s="239" t="str">
        <f t="shared" ref="M4:M39" si="2">H6</f>
        <v>GBPSWOIS_Quote</v>
      </c>
      <c r="N4" s="240">
        <f>IFERROR(_xll.qlQuoteValue(H6,Trigger),"--")</f>
        <v>4.6000000000000008E-3</v>
      </c>
      <c r="O4" s="241"/>
      <c r="P4" s="123" t="b">
        <v>1</v>
      </c>
      <c r="Q4" s="122">
        <v>50</v>
      </c>
      <c r="R4" s="122">
        <v>1</v>
      </c>
      <c r="S4" s="122" t="str">
        <f t="shared" ref="S4:S39" si="3">J6</f>
        <v>obj_002e7#0001</v>
      </c>
      <c r="T4" s="124">
        <f>IFERROR(_xll.qlRateHelperEarliestDate(S4,Trigger),"--")</f>
        <v>42559</v>
      </c>
      <c r="U4" s="124">
        <f>IFERROR(_xll.qlRateHelperPillarDate(S4,Trigger),"--")</f>
        <v>42566</v>
      </c>
      <c r="W4" s="3" t="str">
        <f t="shared" si="0"/>
        <v>OIS</v>
      </c>
      <c r="X4" s="3" t="str">
        <v>obj_002e7</v>
      </c>
      <c r="Y4" s="3" t="str">
        <f>IFERROR(_xll.qlRateHelperQuoteName(X4,Trigger),"")</f>
        <v>GBPSWOIS_Quote</v>
      </c>
      <c r="Z4" s="67">
        <f>IFERROR(_xll.qlRateHelperRate(X4,Trigger),"")</f>
        <v>4.6000000000000008E-3</v>
      </c>
      <c r="AA4" s="95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42559</v>
      </c>
      <c r="AC4" s="4">
        <f>IFERROR(_xll.qlRateHelperPillarDate(X4,Trigger),"")</f>
        <v>42566</v>
      </c>
      <c r="AD4" s="206">
        <v>0.99991178860399799</v>
      </c>
      <c r="AG4" s="98" t="s">
        <v>85</v>
      </c>
      <c r="AK4" s="99">
        <v>0</v>
      </c>
    </row>
    <row r="5" spans="1:39" ht="11.25" customHeight="1" x14ac:dyDescent="0.2">
      <c r="A5" s="63" t="s">
        <v>9</v>
      </c>
      <c r="B5" s="63" t="s">
        <v>30</v>
      </c>
      <c r="C5" s="63" t="s">
        <v>76</v>
      </c>
      <c r="D5" s="63"/>
      <c r="E5" s="63"/>
      <c r="F5" s="63"/>
      <c r="G5" s="63" t="s">
        <v>4</v>
      </c>
      <c r="H5" s="63" t="s">
        <v>1</v>
      </c>
      <c r="I5" s="63"/>
      <c r="J5" s="63" t="s">
        <v>25</v>
      </c>
      <c r="K5" s="48"/>
      <c r="L5" s="226" t="str">
        <f t="shared" si="1"/>
        <v>OIS</v>
      </c>
      <c r="M5" s="230" t="str">
        <f t="shared" si="2"/>
        <v>GBP2WOIS_Quote</v>
      </c>
      <c r="N5" s="228">
        <f>IFERROR(_xll.qlQuoteValue(H7,Trigger),"--")</f>
        <v>3.6700000000000001E-3</v>
      </c>
      <c r="O5" s="229"/>
      <c r="P5" s="90" t="b">
        <v>1</v>
      </c>
      <c r="Q5" s="87">
        <v>50</v>
      </c>
      <c r="R5" s="87">
        <v>1</v>
      </c>
      <c r="S5" s="87" t="str">
        <f t="shared" si="3"/>
        <v>obj_002fd#0001</v>
      </c>
      <c r="T5" s="91">
        <f>IFERROR(_xll.qlRateHelperEarliestDate(S5,Trigger),"--")</f>
        <v>42559</v>
      </c>
      <c r="U5" s="91">
        <f>IFERROR(_xll.qlRateHelperPillarDate(S5,Trigger),"--")</f>
        <v>42573</v>
      </c>
      <c r="W5" s="3" t="str">
        <f t="shared" si="0"/>
        <v>OIS</v>
      </c>
      <c r="X5" s="3" t="str">
        <v>obj_002fd</v>
      </c>
      <c r="Y5" s="3" t="str">
        <f>IFERROR(_xll.qlRateHelperQuoteName(X5,Trigger),"")</f>
        <v>GBP2WOIS_Quote</v>
      </c>
      <c r="Z5" s="67">
        <f>IFERROR(_xll.qlRateHelperRate(X5,Trigger),"")</f>
        <v>3.6700000000000001E-3</v>
      </c>
      <c r="AA5" s="95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42559</v>
      </c>
      <c r="AC5" s="4">
        <f>IFERROR(_xll.qlRateHelperPillarDate(X5,Trigger),"")</f>
        <v>42573</v>
      </c>
      <c r="AD5" s="206">
        <v>0.99985925268930653</v>
      </c>
      <c r="AE5" s="73"/>
      <c r="AF5" s="73"/>
      <c r="AG5" s="98" t="s">
        <v>86</v>
      </c>
      <c r="AK5" s="99">
        <v>0</v>
      </c>
    </row>
    <row r="6" spans="1:39" ht="11.25" customHeight="1" x14ac:dyDescent="0.2">
      <c r="A6" s="53" t="s">
        <v>70</v>
      </c>
      <c r="B6" s="54" t="s">
        <v>38</v>
      </c>
      <c r="C6" s="55">
        <v>0</v>
      </c>
      <c r="D6" s="256"/>
      <c r="E6" s="256"/>
      <c r="F6" s="256"/>
      <c r="G6" s="61" t="str">
        <f>$G$1</f>
        <v>Sonia</v>
      </c>
      <c r="H6" s="57" t="str">
        <f t="shared" ref="H6:H41" si="4">Currency&amp;IF($B6="1W","SW",$B6)&amp;$G$4&amp;QuoteSuffix</f>
        <v>GBPSWOIS_Quote</v>
      </c>
      <c r="I6" s="258"/>
      <c r="J6" s="225" t="str">
        <f>IF(P4,_xll.qlOISRateHelper(,C6,B6,H6,$G6,,Permanent,Trigger,ObjectOverwrite),"--")</f>
        <v>obj_002e7#0001</v>
      </c>
      <c r="K6" s="48"/>
      <c r="L6" s="226" t="str">
        <f t="shared" si="1"/>
        <v>OIS</v>
      </c>
      <c r="M6" s="230" t="str">
        <f t="shared" si="2"/>
        <v>GBP3WOIS_Quote</v>
      </c>
      <c r="N6" s="228" t="str">
        <f>IFERROR(_xll.qlQuoteValue(H8,Trigger),"--")</f>
        <v>--</v>
      </c>
      <c r="O6" s="229"/>
      <c r="P6" s="90" t="b">
        <v>0</v>
      </c>
      <c r="Q6" s="87">
        <v>50</v>
      </c>
      <c r="R6" s="87">
        <v>1</v>
      </c>
      <c r="S6" s="87" t="str">
        <f t="shared" si="3"/>
        <v>--</v>
      </c>
      <c r="T6" s="91" t="str">
        <f>IFERROR(_xll.qlRateHelperEarliestDate(S6,Trigger),"--")</f>
        <v>--</v>
      </c>
      <c r="U6" s="91" t="str">
        <f>IFERROR(_xll.qlRateHelperPillarDate(S6,Trigger),"--")</f>
        <v>--</v>
      </c>
      <c r="W6" s="3" t="str">
        <f t="shared" si="0"/>
        <v>OIS</v>
      </c>
      <c r="X6" s="3" t="str">
        <v>obj_002e3</v>
      </c>
      <c r="Y6" s="3" t="str">
        <f>IFERROR(_xll.qlRateHelperQuoteName(X6,Trigger),"")</f>
        <v>GBP1MOIS_Quote</v>
      </c>
      <c r="Z6" s="67">
        <f>IFERROR(_xll.qlRateHelperRate(X6,Trigger),"")</f>
        <v>3.0100000000000005E-3</v>
      </c>
      <c r="AA6" s="95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42559</v>
      </c>
      <c r="AC6" s="4">
        <f>IFERROR(_xll.qlRateHelperPillarDate(X6,Trigger),"")</f>
        <v>42590</v>
      </c>
      <c r="AD6" s="206">
        <v>0.99974442150145137</v>
      </c>
      <c r="AG6" s="98" t="s">
        <v>87</v>
      </c>
      <c r="AK6" s="100" t="s">
        <v>88</v>
      </c>
    </row>
    <row r="7" spans="1:39" ht="11.25" customHeight="1" x14ac:dyDescent="0.2">
      <c r="A7" s="58" t="s">
        <v>70</v>
      </c>
      <c r="B7" s="59" t="s">
        <v>39</v>
      </c>
      <c r="C7" s="60">
        <v>0</v>
      </c>
      <c r="D7" s="256"/>
      <c r="E7" s="256"/>
      <c r="F7" s="256"/>
      <c r="G7" s="61" t="str">
        <f t="shared" ref="G7:G41" si="5">$G$1</f>
        <v>Sonia</v>
      </c>
      <c r="H7" s="62" t="str">
        <f t="shared" si="4"/>
        <v>GBP2WOIS_Quote</v>
      </c>
      <c r="I7" s="259"/>
      <c r="J7" s="223" t="str">
        <f>IF(P5,_xll.qlOISRateHelper(,C7,B7,H7,$G7,,Permanent,Trigger,ObjectOverwrite),"--")</f>
        <v>obj_002fd#0001</v>
      </c>
      <c r="K7" s="48"/>
      <c r="L7" s="226" t="str">
        <f t="shared" si="1"/>
        <v>OIS</v>
      </c>
      <c r="M7" s="230" t="str">
        <f t="shared" si="2"/>
        <v>GBP1MOIS_Quote</v>
      </c>
      <c r="N7" s="228">
        <f>IFERROR(_xll.qlQuoteValue(H9,Trigger),"--")</f>
        <v>3.0100000000000005E-3</v>
      </c>
      <c r="O7" s="229"/>
      <c r="P7" s="90" t="b">
        <v>1</v>
      </c>
      <c r="Q7" s="87">
        <v>50</v>
      </c>
      <c r="R7" s="87">
        <v>1</v>
      </c>
      <c r="S7" s="87" t="str">
        <f t="shared" si="3"/>
        <v>obj_002e3#0001</v>
      </c>
      <c r="T7" s="91">
        <f>IFERROR(_xll.qlRateHelperEarliestDate(S7,Trigger),"--")</f>
        <v>42559</v>
      </c>
      <c r="U7" s="91">
        <f>IFERROR(_xll.qlRateHelperPillarDate(S7,Trigger),"--")</f>
        <v>42590</v>
      </c>
      <c r="W7" s="3" t="str">
        <f t="shared" si="0"/>
        <v>OIS</v>
      </c>
      <c r="X7" s="3" t="str">
        <v>obj_002fa</v>
      </c>
      <c r="Y7" s="3" t="str">
        <f>IFERROR(_xll.qlRateHelperQuoteName(X7,Trigger),"")</f>
        <v>GBP2MOIS_Quote</v>
      </c>
      <c r="Z7" s="67">
        <f>IFERROR(_xll.qlRateHelperRate(X7,Trigger),"")</f>
        <v>2.3600000000000001E-3</v>
      </c>
      <c r="AA7" s="95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42559</v>
      </c>
      <c r="AC7" s="4">
        <f>IFERROR(_xll.qlRateHelperPillarDate(X7,Trigger),"")</f>
        <v>42621</v>
      </c>
      <c r="AD7" s="206">
        <v>0.99959928392541386</v>
      </c>
    </row>
    <row r="8" spans="1:39" ht="11.25" customHeight="1" x14ac:dyDescent="0.2">
      <c r="A8" s="58" t="s">
        <v>70</v>
      </c>
      <c r="B8" s="59" t="s">
        <v>40</v>
      </c>
      <c r="C8" s="60">
        <v>0</v>
      </c>
      <c r="D8" s="256"/>
      <c r="E8" s="256"/>
      <c r="F8" s="256"/>
      <c r="G8" s="61" t="str">
        <f t="shared" si="5"/>
        <v>Sonia</v>
      </c>
      <c r="H8" s="62" t="str">
        <f t="shared" si="4"/>
        <v>GBP3WOIS_Quote</v>
      </c>
      <c r="I8" s="259"/>
      <c r="J8" s="223" t="str">
        <f>IF(P6,_xll.qlOISRateHelper(,C8,B8,H8,$G8,,Permanent,Trigger,ObjectOverwrite),"--")</f>
        <v>--</v>
      </c>
      <c r="K8" s="48"/>
      <c r="L8" s="226" t="str">
        <f t="shared" si="1"/>
        <v>OIS</v>
      </c>
      <c r="M8" s="230" t="str">
        <f t="shared" si="2"/>
        <v>GBP2MOIS_Quote</v>
      </c>
      <c r="N8" s="228">
        <f>IFERROR(_xll.qlQuoteValue(H10,Trigger),"--")</f>
        <v>2.3600000000000001E-3</v>
      </c>
      <c r="O8" s="229"/>
      <c r="P8" s="90" t="b">
        <v>1</v>
      </c>
      <c r="Q8" s="87">
        <v>50</v>
      </c>
      <c r="R8" s="87">
        <v>1</v>
      </c>
      <c r="S8" s="87" t="str">
        <f t="shared" si="3"/>
        <v>obj_002fa#0001</v>
      </c>
      <c r="T8" s="91">
        <f>IFERROR(_xll.qlRateHelperEarliestDate(S8,Trigger),"--")</f>
        <v>42559</v>
      </c>
      <c r="U8" s="91">
        <f>IFERROR(_xll.qlRateHelperPillarDate(S8,Trigger),"--")</f>
        <v>42621</v>
      </c>
      <c r="W8" s="3" t="str">
        <f t="shared" si="0"/>
        <v>OIS</v>
      </c>
      <c r="X8" s="3" t="str">
        <v>obj_002e8</v>
      </c>
      <c r="Y8" s="3" t="str">
        <f>IFERROR(_xll.qlRateHelperQuoteName(X8,Trigger),"")</f>
        <v>GBP3MOIS_Quote</v>
      </c>
      <c r="Z8" s="67">
        <f>IFERROR(_xll.qlRateHelperRate(X8,Trigger),"")</f>
        <v>2.0900000000000003E-3</v>
      </c>
      <c r="AA8" s="95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42559</v>
      </c>
      <c r="AC8" s="4">
        <f>IFERROR(_xll.qlRateHelperPillarDate(X8,Trigger),"")</f>
        <v>42653</v>
      </c>
      <c r="AD8" s="206">
        <v>0.99946204297818231</v>
      </c>
    </row>
    <row r="9" spans="1:39" ht="11.25" customHeight="1" x14ac:dyDescent="0.2">
      <c r="A9" s="58" t="s">
        <v>70</v>
      </c>
      <c r="B9" s="59" t="s">
        <v>2</v>
      </c>
      <c r="C9" s="60">
        <v>0</v>
      </c>
      <c r="D9" s="256"/>
      <c r="E9" s="256"/>
      <c r="F9" s="256"/>
      <c r="G9" s="61" t="str">
        <f t="shared" si="5"/>
        <v>Sonia</v>
      </c>
      <c r="H9" s="62" t="str">
        <f t="shared" si="4"/>
        <v>GBP1MOIS_Quote</v>
      </c>
      <c r="I9" s="259"/>
      <c r="J9" s="223" t="str">
        <f>IF(P7,_xll.qlOISRateHelper(,C9,B9,H9,$G9,,Permanent,Trigger,ObjectOverwrite),"--")</f>
        <v>obj_002e3#0001</v>
      </c>
      <c r="K9" s="48"/>
      <c r="L9" s="226" t="str">
        <f t="shared" si="1"/>
        <v>OIS</v>
      </c>
      <c r="M9" s="230" t="str">
        <f t="shared" si="2"/>
        <v>GBP3MOIS_Quote</v>
      </c>
      <c r="N9" s="228">
        <f>IFERROR(_xll.qlQuoteValue(H11,Trigger),"--")</f>
        <v>2.0900000000000003E-3</v>
      </c>
      <c r="O9" s="229"/>
      <c r="P9" s="90" t="b">
        <v>1</v>
      </c>
      <c r="Q9" s="87">
        <v>50</v>
      </c>
      <c r="R9" s="87">
        <v>1</v>
      </c>
      <c r="S9" s="87" t="str">
        <f t="shared" si="3"/>
        <v>obj_002e8#0001</v>
      </c>
      <c r="T9" s="91">
        <f>IFERROR(_xll.qlRateHelperEarliestDate(S9,Trigger),"--")</f>
        <v>42559</v>
      </c>
      <c r="U9" s="91">
        <f>IFERROR(_xll.qlRateHelperPillarDate(S9,Trigger),"--")</f>
        <v>42653</v>
      </c>
      <c r="W9" s="3" t="str">
        <f t="shared" si="0"/>
        <v>OIS</v>
      </c>
      <c r="X9" s="3" t="str">
        <v>obj_002ef</v>
      </c>
      <c r="Y9" s="3" t="str">
        <f>IFERROR(_xll.qlRateHelperQuoteName(X9,Trigger),"")</f>
        <v>GBP4MOIS_Quote</v>
      </c>
      <c r="Z9" s="67">
        <f>IFERROR(_xll.qlRateHelperRate(X9,Trigger),"")</f>
        <v>1.9500000000000001E-3</v>
      </c>
      <c r="AA9" s="95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42559</v>
      </c>
      <c r="AC9" s="4">
        <f>IFERROR(_xll.qlRateHelperPillarDate(X9,Trigger),"")</f>
        <v>42682</v>
      </c>
      <c r="AD9" s="206">
        <v>0.99934330823977735</v>
      </c>
      <c r="AH9" s="46" t="s">
        <v>123</v>
      </c>
    </row>
    <row r="10" spans="1:39" ht="11.25" customHeight="1" x14ac:dyDescent="0.2">
      <c r="A10" s="58" t="s">
        <v>70</v>
      </c>
      <c r="B10" s="59" t="s">
        <v>41</v>
      </c>
      <c r="C10" s="60">
        <v>0</v>
      </c>
      <c r="D10" s="256"/>
      <c r="E10" s="256"/>
      <c r="F10" s="256"/>
      <c r="G10" s="61" t="str">
        <f t="shared" si="5"/>
        <v>Sonia</v>
      </c>
      <c r="H10" s="62" t="str">
        <f t="shared" si="4"/>
        <v>GBP2MOIS_Quote</v>
      </c>
      <c r="I10" s="259"/>
      <c r="J10" s="223" t="str">
        <f>IF(P8,_xll.qlOISRateHelper(,C10,B10,H10,$G10,,Permanent,Trigger,ObjectOverwrite),"--")</f>
        <v>obj_002fa#0001</v>
      </c>
      <c r="K10" s="48"/>
      <c r="L10" s="226" t="str">
        <f t="shared" si="1"/>
        <v>OIS</v>
      </c>
      <c r="M10" s="230" t="str">
        <f t="shared" si="2"/>
        <v>GBP4MOIS_Quote</v>
      </c>
      <c r="N10" s="228">
        <f>IFERROR(_xll.qlQuoteValue(H12,Trigger),"--")</f>
        <v>1.9500000000000001E-3</v>
      </c>
      <c r="O10" s="229"/>
      <c r="P10" s="90" t="b">
        <v>1</v>
      </c>
      <c r="Q10" s="87">
        <v>50</v>
      </c>
      <c r="R10" s="87">
        <v>1</v>
      </c>
      <c r="S10" s="87" t="str">
        <f t="shared" si="3"/>
        <v>obj_002ef#0001</v>
      </c>
      <c r="T10" s="91">
        <f>IFERROR(_xll.qlRateHelperEarliestDate(S10,Trigger),"--")</f>
        <v>42559</v>
      </c>
      <c r="U10" s="91">
        <f>IFERROR(_xll.qlRateHelperPillarDate(S10,Trigger),"--")</f>
        <v>42682</v>
      </c>
      <c r="W10" s="3" t="str">
        <f t="shared" si="0"/>
        <v>OIS</v>
      </c>
      <c r="X10" s="3" t="str">
        <v>obj_002ec</v>
      </c>
      <c r="Y10" s="3" t="str">
        <f>IFERROR(_xll.qlRateHelperQuoteName(X10,Trigger),"")</f>
        <v>GBP5MOIS_Quote</v>
      </c>
      <c r="Z10" s="67">
        <f>IFERROR(_xll.qlRateHelperRate(X10,Trigger),"")</f>
        <v>1.7899999999999999E-3</v>
      </c>
      <c r="AA10" s="95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42559</v>
      </c>
      <c r="AC10" s="4">
        <f>IFERROR(_xll.qlRateHelperPillarDate(X10,Trigger),"")</f>
        <v>42712</v>
      </c>
      <c r="AD10" s="206">
        <v>0.99925023380402223</v>
      </c>
      <c r="AF10" s="69" t="s">
        <v>117</v>
      </c>
      <c r="AG10" s="69" t="s">
        <v>118</v>
      </c>
      <c r="AH10" s="69" t="s">
        <v>119</v>
      </c>
      <c r="AI10" s="69" t="s">
        <v>129</v>
      </c>
      <c r="AJ10" s="69" t="s">
        <v>120</v>
      </c>
      <c r="AK10" s="69" t="s">
        <v>130</v>
      </c>
      <c r="AL10" s="69" t="s">
        <v>121</v>
      </c>
      <c r="AM10" s="69" t="s">
        <v>122</v>
      </c>
    </row>
    <row r="11" spans="1:39" ht="11.25" customHeight="1" x14ac:dyDescent="0.2">
      <c r="A11" s="58" t="s">
        <v>70</v>
      </c>
      <c r="B11" s="59" t="s">
        <v>0</v>
      </c>
      <c r="C11" s="60">
        <v>0</v>
      </c>
      <c r="D11" s="256"/>
      <c r="E11" s="256"/>
      <c r="F11" s="256"/>
      <c r="G11" s="61" t="str">
        <f t="shared" si="5"/>
        <v>Sonia</v>
      </c>
      <c r="H11" s="62" t="str">
        <f t="shared" si="4"/>
        <v>GBP3MOIS_Quote</v>
      </c>
      <c r="I11" s="259"/>
      <c r="J11" s="223" t="str">
        <f>IF(P9,_xll.qlOISRateHelper(,C11,B11,H11,$G11,,Permanent,Trigger,ObjectOverwrite),"--")</f>
        <v>obj_002e8#0001</v>
      </c>
      <c r="K11" s="48"/>
      <c r="L11" s="226" t="str">
        <f t="shared" si="1"/>
        <v>OIS</v>
      </c>
      <c r="M11" s="230" t="str">
        <f t="shared" si="2"/>
        <v>GBP5MOIS_Quote</v>
      </c>
      <c r="N11" s="228">
        <f>IFERROR(_xll.qlQuoteValue(H13,Trigger),"--")</f>
        <v>1.7899999999999999E-3</v>
      </c>
      <c r="O11" s="229"/>
      <c r="P11" s="90" t="b">
        <v>1</v>
      </c>
      <c r="Q11" s="87">
        <v>50</v>
      </c>
      <c r="R11" s="87">
        <v>1</v>
      </c>
      <c r="S11" s="87" t="str">
        <f t="shared" si="3"/>
        <v>obj_002ec#0001</v>
      </c>
      <c r="T11" s="91">
        <f>IFERROR(_xll.qlRateHelperEarliestDate(S11,Trigger),"--")</f>
        <v>42559</v>
      </c>
      <c r="U11" s="91">
        <f>IFERROR(_xll.qlRateHelperPillarDate(S11,Trigger),"--")</f>
        <v>42712</v>
      </c>
      <c r="W11" s="3" t="str">
        <f t="shared" si="0"/>
        <v>OIS</v>
      </c>
      <c r="X11" s="3" t="str">
        <v>obj_002f2</v>
      </c>
      <c r="Y11" s="3" t="str">
        <f>IFERROR(_xll.qlRateHelperQuoteName(X11,Trigger),"")</f>
        <v>GBP6MOIS_Quote</v>
      </c>
      <c r="Z11" s="67">
        <f>IFERROR(_xll.qlRateHelperRate(X11,Trigger),"")</f>
        <v>1.6400000000000004E-3</v>
      </c>
      <c r="AA11" s="95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42559</v>
      </c>
      <c r="AC11" s="4">
        <f>IFERROR(_xll.qlRateHelperPillarDate(X11,Trigger),"")</f>
        <v>42744</v>
      </c>
      <c r="AD11" s="206">
        <v>0.9991694574975214</v>
      </c>
      <c r="AF11" s="137">
        <v>1</v>
      </c>
      <c r="AG11" s="138">
        <f>_xll.qlCalendarEndOfMonth(Calendar,Settlementdate,Trigger)</f>
        <v>42580</v>
      </c>
      <c r="AH11" s="137" t="str">
        <f t="shared" ref="AH11:AH23" si="6">Currency&amp;$AH$9&amp;AF11&amp;JumpSuffix&amp;QuoteSuffix</f>
        <v>GBPJump1_SYNTHON_Quote</v>
      </c>
      <c r="AI11" s="177">
        <f>_xll.qlDayCounterYearFraction("actual/360",AG11,_xll.qlCalendarAdvance(Calendar,AG11,"1D",,,Trigger))</f>
        <v>8.3333333333333332E-3</v>
      </c>
      <c r="AJ11" s="139" t="e">
        <f>IF(_xll.qlQuoteIsValid(AH11,Trigger),_xll.qlQuoteValue(AH11,Trigger),1)</f>
        <v>#NUM!</v>
      </c>
      <c r="AK11" s="180" t="e">
        <f>-LN(AJ11)/AI11</f>
        <v>#NUM!</v>
      </c>
      <c r="AL11" s="183"/>
      <c r="AM11" s="139" t="str">
        <f>IF(ISBLANK(AL11),AH11,EXP(-AL11*AI11))</f>
        <v>GBPJump1_SYNTHON_Quote</v>
      </c>
    </row>
    <row r="12" spans="1:39" ht="11.25" customHeight="1" x14ac:dyDescent="0.2">
      <c r="A12" s="58" t="s">
        <v>70</v>
      </c>
      <c r="B12" s="59" t="s">
        <v>42</v>
      </c>
      <c r="C12" s="60">
        <v>0</v>
      </c>
      <c r="D12" s="256"/>
      <c r="E12" s="256"/>
      <c r="F12" s="256"/>
      <c r="G12" s="61" t="str">
        <f t="shared" si="5"/>
        <v>Sonia</v>
      </c>
      <c r="H12" s="62" t="str">
        <f t="shared" si="4"/>
        <v>GBP4MOIS_Quote</v>
      </c>
      <c r="I12" s="259"/>
      <c r="J12" s="223" t="str">
        <f>IF(P10,_xll.qlOISRateHelper(,C12,B12,H12,$G12,,Permanent,Trigger,ObjectOverwrite),"--")</f>
        <v>obj_002ef#0001</v>
      </c>
      <c r="K12" s="48"/>
      <c r="L12" s="226" t="str">
        <f t="shared" si="1"/>
        <v>OIS</v>
      </c>
      <c r="M12" s="230" t="str">
        <f t="shared" si="2"/>
        <v>GBP6MOIS_Quote</v>
      </c>
      <c r="N12" s="228">
        <f>IFERROR(_xll.qlQuoteValue(H14,Trigger),"--")</f>
        <v>1.6400000000000004E-3</v>
      </c>
      <c r="O12" s="229"/>
      <c r="P12" s="90" t="b">
        <v>1</v>
      </c>
      <c r="Q12" s="87">
        <v>50</v>
      </c>
      <c r="R12" s="87">
        <v>1</v>
      </c>
      <c r="S12" s="87" t="str">
        <f t="shared" si="3"/>
        <v>obj_002f2#0001</v>
      </c>
      <c r="T12" s="91">
        <f>IFERROR(_xll.qlRateHelperEarliestDate(S12,Trigger),"--")</f>
        <v>42559</v>
      </c>
      <c r="U12" s="91">
        <f>IFERROR(_xll.qlRateHelperPillarDate(S12,Trigger),"--")</f>
        <v>42744</v>
      </c>
      <c r="W12" s="3" t="str">
        <f t="shared" si="0"/>
        <v>OIS</v>
      </c>
      <c r="X12" s="3" t="str">
        <v>obj_002e4</v>
      </c>
      <c r="Y12" s="3" t="str">
        <f>IFERROR(_xll.qlRateHelperQuoteName(X12,Trigger),"")</f>
        <v>GBP7MOIS_Quote</v>
      </c>
      <c r="Z12" s="67">
        <f>IFERROR(_xll.qlRateHelperRate(X12,Trigger),"")</f>
        <v>1.5500000000000002E-3</v>
      </c>
      <c r="AA12" s="95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42559</v>
      </c>
      <c r="AC12" s="4">
        <f>IFERROR(_xll.qlRateHelperPillarDate(X12,Trigger),"")</f>
        <v>42774</v>
      </c>
      <c r="AD12" s="206">
        <v>0.99908781913499534</v>
      </c>
      <c r="AF12" s="140">
        <v>2</v>
      </c>
      <c r="AG12" s="141">
        <f>_xll.qlCalendarEndOfMonth(Calendar,_xll.qlCalendarAdvance(Calendar,AG11,"1m","mf",TRUE),Trigger)</f>
        <v>42613</v>
      </c>
      <c r="AH12" s="140" t="str">
        <f t="shared" si="6"/>
        <v>GBPJump2_SYNTHON_Quote</v>
      </c>
      <c r="AI12" s="178">
        <f>_xll.qlDayCounterYearFraction("actual/360",AG12,_xll.qlCalendarAdvance(Calendar,AG12,"1D",,,Trigger))</f>
        <v>2.7777777777777779E-3</v>
      </c>
      <c r="AJ12" s="142" t="e">
        <f>IF(_xll.qlQuoteIsValid(AH12,Trigger),_xll.qlQuoteValue(AH12,Trigger),1)</f>
        <v>#NUM!</v>
      </c>
      <c r="AK12" s="181" t="e">
        <f t="shared" ref="AK12:AK23" si="7">-LN(AJ12)/AI12</f>
        <v>#NUM!</v>
      </c>
      <c r="AL12" s="184"/>
      <c r="AM12" s="142" t="str">
        <f t="shared" ref="AM12:AM23" si="8">IF(ISBLANK(AL12),AH12,EXP(-AL12*AI12))</f>
        <v>GBPJump2_SYNTHON_Quote</v>
      </c>
    </row>
    <row r="13" spans="1:39" ht="11.25" customHeight="1" x14ac:dyDescent="0.2">
      <c r="A13" s="58" t="s">
        <v>70</v>
      </c>
      <c r="B13" s="59" t="s">
        <v>43</v>
      </c>
      <c r="C13" s="60">
        <v>0</v>
      </c>
      <c r="D13" s="256"/>
      <c r="E13" s="256"/>
      <c r="F13" s="256"/>
      <c r="G13" s="61" t="str">
        <f t="shared" si="5"/>
        <v>Sonia</v>
      </c>
      <c r="H13" s="62" t="str">
        <f t="shared" si="4"/>
        <v>GBP5MOIS_Quote</v>
      </c>
      <c r="I13" s="259"/>
      <c r="J13" s="223" t="str">
        <f>IF(P11,_xll.qlOISRateHelper(,C13,B13,H13,$G13,,Permanent,Trigger,ObjectOverwrite),"--")</f>
        <v>obj_002ec#0001</v>
      </c>
      <c r="K13" s="48"/>
      <c r="L13" s="226" t="str">
        <f t="shared" si="1"/>
        <v>OIS</v>
      </c>
      <c r="M13" s="230" t="str">
        <f t="shared" si="2"/>
        <v>GBP7MOIS_Quote</v>
      </c>
      <c r="N13" s="228">
        <f>IFERROR(_xll.qlQuoteValue(H15,Trigger),"--")</f>
        <v>1.5500000000000002E-3</v>
      </c>
      <c r="O13" s="229"/>
      <c r="P13" s="90" t="b">
        <v>1</v>
      </c>
      <c r="Q13" s="87">
        <v>50</v>
      </c>
      <c r="R13" s="87">
        <v>1</v>
      </c>
      <c r="S13" s="87" t="str">
        <f t="shared" si="3"/>
        <v>obj_002e4#0001</v>
      </c>
      <c r="T13" s="91">
        <f>IFERROR(_xll.qlRateHelperEarliestDate(S13,Trigger),"--")</f>
        <v>42559</v>
      </c>
      <c r="U13" s="91">
        <f>IFERROR(_xll.qlRateHelperPillarDate(S13,Trigger),"--")</f>
        <v>42774</v>
      </c>
      <c r="W13" s="3" t="str">
        <f t="shared" si="0"/>
        <v>OIS</v>
      </c>
      <c r="X13" s="3" t="str">
        <v>obj_00300</v>
      </c>
      <c r="Y13" s="3" t="str">
        <f>IFERROR(_xll.qlRateHelperQuoteName(X13,Trigger),"")</f>
        <v>GBP8MOIS_Quote</v>
      </c>
      <c r="Z13" s="67">
        <f>IFERROR(_xll.qlRateHelperRate(X13,Trigger),"")</f>
        <v>1.4800000000000002E-3</v>
      </c>
      <c r="AA13" s="95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42559</v>
      </c>
      <c r="AC13" s="4">
        <f>IFERROR(_xll.qlRateHelperPillarDate(X13,Trigger),"")</f>
        <v>42802</v>
      </c>
      <c r="AD13" s="206">
        <v>0.99901565482164389</v>
      </c>
      <c r="AF13" s="140">
        <v>3</v>
      </c>
      <c r="AG13" s="141">
        <f>_xll.qlCalendarEndOfMonth(Calendar,_xll.qlCalendarAdvance(Calendar,AG12,"1m","mf",TRUE),Trigger)</f>
        <v>42643</v>
      </c>
      <c r="AH13" s="140" t="str">
        <f t="shared" si="6"/>
        <v>GBPJump3_SYNTHON_Quote</v>
      </c>
      <c r="AI13" s="178">
        <f>_xll.qlDayCounterYearFraction("actual/360",AG13,_xll.qlCalendarAdvance(Calendar,AG13,"1D",,,Trigger))</f>
        <v>8.3333333333333332E-3</v>
      </c>
      <c r="AJ13" s="142" t="e">
        <f>IF(_xll.qlQuoteIsValid(AH13,Trigger),_xll.qlQuoteValue(AH13,Trigger),1)</f>
        <v>#NUM!</v>
      </c>
      <c r="AK13" s="181" t="e">
        <f t="shared" si="7"/>
        <v>#NUM!</v>
      </c>
      <c r="AL13" s="184"/>
      <c r="AM13" s="142" t="str">
        <f t="shared" si="8"/>
        <v>GBPJump3_SYNTHON_Quote</v>
      </c>
    </row>
    <row r="14" spans="1:39" ht="11.25" customHeight="1" x14ac:dyDescent="0.2">
      <c r="A14" s="58" t="s">
        <v>70</v>
      </c>
      <c r="B14" s="59" t="s">
        <v>3</v>
      </c>
      <c r="C14" s="60">
        <v>0</v>
      </c>
      <c r="D14" s="256"/>
      <c r="E14" s="256"/>
      <c r="F14" s="256"/>
      <c r="G14" s="61" t="str">
        <f t="shared" si="5"/>
        <v>Sonia</v>
      </c>
      <c r="H14" s="62" t="str">
        <f t="shared" si="4"/>
        <v>GBP6MOIS_Quote</v>
      </c>
      <c r="I14" s="259"/>
      <c r="J14" s="223" t="str">
        <f>IF(P12,_xll.qlOISRateHelper(,C14,B14,H14,$G14,,Permanent,Trigger,ObjectOverwrite),"--")</f>
        <v>obj_002f2#0001</v>
      </c>
      <c r="K14" s="48"/>
      <c r="L14" s="226" t="str">
        <f t="shared" si="1"/>
        <v>OIS</v>
      </c>
      <c r="M14" s="230" t="str">
        <f t="shared" si="2"/>
        <v>GBP8MOIS_Quote</v>
      </c>
      <c r="N14" s="228">
        <f>IFERROR(_xll.qlQuoteValue(H16,Trigger),"--")</f>
        <v>1.4800000000000002E-3</v>
      </c>
      <c r="O14" s="229"/>
      <c r="P14" s="90" t="b">
        <v>1</v>
      </c>
      <c r="Q14" s="87">
        <v>50</v>
      </c>
      <c r="R14" s="87">
        <v>1</v>
      </c>
      <c r="S14" s="87" t="str">
        <f t="shared" si="3"/>
        <v>obj_00300#0001</v>
      </c>
      <c r="T14" s="91">
        <f>IFERROR(_xll.qlRateHelperEarliestDate(S14,Trigger),"--")</f>
        <v>42559</v>
      </c>
      <c r="U14" s="91">
        <f>IFERROR(_xll.qlRateHelperPillarDate(S14,Trigger),"--")</f>
        <v>42802</v>
      </c>
      <c r="W14" s="3" t="str">
        <f t="shared" si="0"/>
        <v>OIS</v>
      </c>
      <c r="X14" s="3" t="str">
        <v>obj_002e6</v>
      </c>
      <c r="Y14" s="3" t="str">
        <f>IFERROR(_xll.qlRateHelperQuoteName(X14,Trigger),"")</f>
        <v>GBP9MOIS_Quote</v>
      </c>
      <c r="Z14" s="67">
        <f>IFERROR(_xll.qlRateHelperRate(X14,Trigger),"")</f>
        <v>1.4100000000000002E-3</v>
      </c>
      <c r="AA14" s="95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42559</v>
      </c>
      <c r="AC14" s="4">
        <f>IFERROR(_xll.qlRateHelperPillarDate(X14,Trigger),"")</f>
        <v>42835</v>
      </c>
      <c r="AD14" s="206">
        <v>0.99893494377337311</v>
      </c>
      <c r="AF14" s="140">
        <v>4</v>
      </c>
      <c r="AG14" s="141">
        <f>_xll.qlCalendarEndOfMonth(Calendar,_xll.qlCalendarAdvance(Calendar,AG13,"1m","mf",TRUE),Trigger)</f>
        <v>42674</v>
      </c>
      <c r="AH14" s="140" t="str">
        <f t="shared" si="6"/>
        <v>GBPJump4_SYNTHON_Quote</v>
      </c>
      <c r="AI14" s="178">
        <f>_xll.qlDayCounterYearFraction("actual/360",AG14,_xll.qlCalendarAdvance(Calendar,AG14,"1D",,,Trigger))</f>
        <v>2.7777777777777779E-3</v>
      </c>
      <c r="AJ14" s="142" t="e">
        <f>IF(_xll.qlQuoteIsValid(AH14,Trigger),_xll.qlQuoteValue(AH14,Trigger),1)</f>
        <v>#NUM!</v>
      </c>
      <c r="AK14" s="181" t="e">
        <f t="shared" si="7"/>
        <v>#NUM!</v>
      </c>
      <c r="AL14" s="184"/>
      <c r="AM14" s="142" t="str">
        <f t="shared" si="8"/>
        <v>GBPJump4_SYNTHON_Quote</v>
      </c>
    </row>
    <row r="15" spans="1:39" ht="11.25" customHeight="1" x14ac:dyDescent="0.2">
      <c r="A15" s="58" t="s">
        <v>70</v>
      </c>
      <c r="B15" s="59" t="s">
        <v>44</v>
      </c>
      <c r="C15" s="60">
        <v>0</v>
      </c>
      <c r="D15" s="256"/>
      <c r="E15" s="256"/>
      <c r="F15" s="256"/>
      <c r="G15" s="61" t="str">
        <f t="shared" si="5"/>
        <v>Sonia</v>
      </c>
      <c r="H15" s="62" t="str">
        <f t="shared" si="4"/>
        <v>GBP7MOIS_Quote</v>
      </c>
      <c r="I15" s="259"/>
      <c r="J15" s="223" t="str">
        <f>IF(P13,_xll.qlOISRateHelper(,C15,B15,H15,$G15,,Permanent,Trigger,ObjectOverwrite),"--")</f>
        <v>obj_002e4#0001</v>
      </c>
      <c r="K15" s="48"/>
      <c r="L15" s="226" t="str">
        <f t="shared" si="1"/>
        <v>OIS</v>
      </c>
      <c r="M15" s="230" t="str">
        <f t="shared" si="2"/>
        <v>GBP9MOIS_Quote</v>
      </c>
      <c r="N15" s="228">
        <f>IFERROR(_xll.qlQuoteValue(H17,Trigger),"--")</f>
        <v>1.4100000000000002E-3</v>
      </c>
      <c r="O15" s="229"/>
      <c r="P15" s="90" t="b">
        <v>1</v>
      </c>
      <c r="Q15" s="87">
        <v>50</v>
      </c>
      <c r="R15" s="87">
        <v>1</v>
      </c>
      <c r="S15" s="87" t="str">
        <f t="shared" si="3"/>
        <v>obj_002e6#0001</v>
      </c>
      <c r="T15" s="91">
        <f>IFERROR(_xll.qlRateHelperEarliestDate(S15,Trigger),"--")</f>
        <v>42559</v>
      </c>
      <c r="U15" s="91">
        <f>IFERROR(_xll.qlRateHelperPillarDate(S15,Trigger),"--")</f>
        <v>42835</v>
      </c>
      <c r="W15" s="3" t="str">
        <f t="shared" si="0"/>
        <v>OIS</v>
      </c>
      <c r="X15" s="3" t="str">
        <v>obj_002f1</v>
      </c>
      <c r="Y15" s="3" t="str">
        <f>IFERROR(_xll.qlRateHelperQuoteName(X15,Trigger),"")</f>
        <v>GBP10MOIS_Quote</v>
      </c>
      <c r="Z15" s="67">
        <f>IFERROR(_xll.qlRateHelperRate(X15,Trigger),"")</f>
        <v>1.3700000000000001E-3</v>
      </c>
      <c r="AA15" s="95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42559</v>
      </c>
      <c r="AC15" s="4">
        <f>IFERROR(_xll.qlRateHelperPillarDate(X15,Trigger),"")</f>
        <v>42863</v>
      </c>
      <c r="AD15" s="206">
        <v>0.99886025939497858</v>
      </c>
      <c r="AF15" s="140">
        <v>5</v>
      </c>
      <c r="AG15" s="141">
        <f>_xll.qlCalendarEndOfMonth(Calendar,_xll.qlCalendarAdvance(Calendar,AG14,"1m","mf",TRUE),Trigger)</f>
        <v>42704</v>
      </c>
      <c r="AH15" s="140" t="str">
        <f t="shared" si="6"/>
        <v>GBPJump5_SYNTHON_Quote</v>
      </c>
      <c r="AI15" s="178">
        <f>_xll.qlDayCounterYearFraction("actual/360",AG15,_xll.qlCalendarAdvance(Calendar,AG15,"1D",,,Trigger))</f>
        <v>2.7777777777777779E-3</v>
      </c>
      <c r="AJ15" s="142" t="e">
        <f>IF(_xll.qlQuoteIsValid(AH15,Trigger),_xll.qlQuoteValue(AH15,Trigger),1)</f>
        <v>#NUM!</v>
      </c>
      <c r="AK15" s="181" t="e">
        <f t="shared" si="7"/>
        <v>#NUM!</v>
      </c>
      <c r="AL15" s="184"/>
      <c r="AM15" s="142" t="str">
        <f t="shared" si="8"/>
        <v>GBPJump5_SYNTHON_Quote</v>
      </c>
    </row>
    <row r="16" spans="1:39" ht="11.25" customHeight="1" x14ac:dyDescent="0.2">
      <c r="A16" s="58" t="s">
        <v>70</v>
      </c>
      <c r="B16" s="59" t="s">
        <v>45</v>
      </c>
      <c r="C16" s="60">
        <v>0</v>
      </c>
      <c r="D16" s="256"/>
      <c r="E16" s="256"/>
      <c r="F16" s="256"/>
      <c r="G16" s="61" t="str">
        <f t="shared" si="5"/>
        <v>Sonia</v>
      </c>
      <c r="H16" s="62" t="str">
        <f t="shared" si="4"/>
        <v>GBP8MOIS_Quote</v>
      </c>
      <c r="I16" s="259"/>
      <c r="J16" s="223" t="str">
        <f>IF(P14,_xll.qlOISRateHelper(,C16,B16,H16,$G16,,Permanent,Trigger,ObjectOverwrite),"--")</f>
        <v>obj_00300#0001</v>
      </c>
      <c r="K16" s="48"/>
      <c r="L16" s="226" t="str">
        <f t="shared" si="1"/>
        <v>OIS</v>
      </c>
      <c r="M16" s="230" t="str">
        <f t="shared" si="2"/>
        <v>GBP10MOIS_Quote</v>
      </c>
      <c r="N16" s="228">
        <f>IFERROR(_xll.qlQuoteValue(H18,Trigger),"--")</f>
        <v>1.3700000000000001E-3</v>
      </c>
      <c r="O16" s="229"/>
      <c r="P16" s="90" t="b">
        <v>1</v>
      </c>
      <c r="Q16" s="87">
        <v>50</v>
      </c>
      <c r="R16" s="87">
        <v>1</v>
      </c>
      <c r="S16" s="87" t="str">
        <f t="shared" si="3"/>
        <v>obj_002f1#0001</v>
      </c>
      <c r="T16" s="91">
        <f>IFERROR(_xll.qlRateHelperEarliestDate(S16,Trigger),"--")</f>
        <v>42559</v>
      </c>
      <c r="U16" s="91">
        <f>IFERROR(_xll.qlRateHelperPillarDate(S16,Trigger),"--")</f>
        <v>42863</v>
      </c>
      <c r="W16" s="3" t="str">
        <f t="shared" si="0"/>
        <v>OIS</v>
      </c>
      <c r="X16" s="3" t="str">
        <v>obj_002f4</v>
      </c>
      <c r="Y16" s="3" t="str">
        <f>IFERROR(_xll.qlRateHelperQuoteName(X16,Trigger),"")</f>
        <v>GBP11MOIS_Quote</v>
      </c>
      <c r="Z16" s="67">
        <f>IFERROR(_xll.qlRateHelperRate(X16,Trigger),"")</f>
        <v>1.33E-3</v>
      </c>
      <c r="AA16" s="95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42559</v>
      </c>
      <c r="AC16" s="4">
        <f>IFERROR(_xll.qlRateHelperPillarDate(X16,Trigger),"")</f>
        <v>42894</v>
      </c>
      <c r="AD16" s="206">
        <v>0.99878080332350483</v>
      </c>
      <c r="AF16" s="140">
        <v>6</v>
      </c>
      <c r="AG16" s="141">
        <f>_xll.qlCalendarEndOfMonth(Calendar,_xll.qlCalendarAdvance(Calendar,AG15,"1m","mf",TRUE),Trigger)</f>
        <v>42734</v>
      </c>
      <c r="AH16" s="140" t="str">
        <f t="shared" si="6"/>
        <v>GBPJump6_SYNTHON_Quote</v>
      </c>
      <c r="AI16" s="178">
        <f>_xll.qlDayCounterYearFraction("actual/360",AG16,_xll.qlCalendarAdvance(Calendar,AG16,"1D",,,Trigger))</f>
        <v>1.1111111111111112E-2</v>
      </c>
      <c r="AJ16" s="142" t="e">
        <f>IF(_xll.qlQuoteIsValid(AH16,Trigger),_xll.qlQuoteValue(AH16,Trigger),1)</f>
        <v>#NUM!</v>
      </c>
      <c r="AK16" s="181" t="e">
        <f t="shared" si="7"/>
        <v>#NUM!</v>
      </c>
      <c r="AL16" s="184"/>
      <c r="AM16" s="142" t="str">
        <f t="shared" si="8"/>
        <v>GBPJump6_SYNTHON_Quote</v>
      </c>
    </row>
    <row r="17" spans="1:39" ht="11.25" customHeight="1" x14ac:dyDescent="0.2">
      <c r="A17" s="58" t="s">
        <v>70</v>
      </c>
      <c r="B17" s="59" t="s">
        <v>46</v>
      </c>
      <c r="C17" s="60">
        <v>0</v>
      </c>
      <c r="D17" s="256"/>
      <c r="E17" s="256"/>
      <c r="F17" s="256"/>
      <c r="G17" s="61" t="str">
        <f t="shared" si="5"/>
        <v>Sonia</v>
      </c>
      <c r="H17" s="62" t="str">
        <f t="shared" si="4"/>
        <v>GBP9MOIS_Quote</v>
      </c>
      <c r="I17" s="259"/>
      <c r="J17" s="223" t="str">
        <f>IF(P15,_xll.qlOISRateHelper(,C17,B17,H17,$G17,,Permanent,Trigger,ObjectOverwrite),"--")</f>
        <v>obj_002e6#0001</v>
      </c>
      <c r="K17" s="48"/>
      <c r="L17" s="226" t="str">
        <f t="shared" si="1"/>
        <v>OIS</v>
      </c>
      <c r="M17" s="230" t="str">
        <f t="shared" si="2"/>
        <v>GBP11MOIS_Quote</v>
      </c>
      <c r="N17" s="228">
        <f>IFERROR(_xll.qlQuoteValue(H19,Trigger),"--")</f>
        <v>1.33E-3</v>
      </c>
      <c r="O17" s="229"/>
      <c r="P17" s="90" t="b">
        <v>1</v>
      </c>
      <c r="Q17" s="87">
        <v>50</v>
      </c>
      <c r="R17" s="87">
        <v>1</v>
      </c>
      <c r="S17" s="87" t="str">
        <f t="shared" si="3"/>
        <v>obj_002f4#0001</v>
      </c>
      <c r="T17" s="91">
        <f>IFERROR(_xll.qlRateHelperEarliestDate(S17,Trigger),"--")</f>
        <v>42559</v>
      </c>
      <c r="U17" s="91">
        <f>IFERROR(_xll.qlRateHelperPillarDate(S17,Trigger),"--")</f>
        <v>42894</v>
      </c>
      <c r="W17" s="3" t="str">
        <f t="shared" si="0"/>
        <v>OIS</v>
      </c>
      <c r="X17" s="3" t="str">
        <v>obj_002e5</v>
      </c>
      <c r="Y17" s="3" t="str">
        <f>IFERROR(_xll.qlRateHelperQuoteName(X17,Trigger),"")</f>
        <v>GBP1YOIS_Quote</v>
      </c>
      <c r="Z17" s="67">
        <f>IFERROR(_xll.qlRateHelperRate(X17,Trigger),"")</f>
        <v>1.2999999999999999E-3</v>
      </c>
      <c r="AA17" s="95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42559</v>
      </c>
      <c r="AC17" s="4">
        <f>IFERROR(_xll.qlRateHelperPillarDate(X17,Trigger),"")</f>
        <v>42926</v>
      </c>
      <c r="AD17" s="206">
        <v>0.99869458305322023</v>
      </c>
      <c r="AF17" s="140">
        <v>7</v>
      </c>
      <c r="AG17" s="141">
        <f>_xll.qlCalendarEndOfMonth(Calendar,_xll.qlCalendarAdvance(Calendar,AG16,"1m","mf",TRUE),Trigger)</f>
        <v>42766</v>
      </c>
      <c r="AH17" s="140" t="str">
        <f t="shared" si="6"/>
        <v>GBPJump7_SYNTHON_Quote</v>
      </c>
      <c r="AI17" s="178">
        <f>_xll.qlDayCounterYearFraction("actual/360",AG17,_xll.qlCalendarAdvance(Calendar,AG17,"1D",,,Trigger))</f>
        <v>2.7777777777777779E-3</v>
      </c>
      <c r="AJ17" s="142" t="e">
        <f>IF(_xll.qlQuoteIsValid(AH17,Trigger),_xll.qlQuoteValue(AH17,Trigger),1)</f>
        <v>#NUM!</v>
      </c>
      <c r="AK17" s="181" t="e">
        <f t="shared" si="7"/>
        <v>#NUM!</v>
      </c>
      <c r="AL17" s="184"/>
      <c r="AM17" s="142" t="str">
        <f t="shared" si="8"/>
        <v>GBPJump7_SYNTHON_Quote</v>
      </c>
    </row>
    <row r="18" spans="1:39" ht="11.25" customHeight="1" x14ac:dyDescent="0.2">
      <c r="A18" s="58" t="s">
        <v>70</v>
      </c>
      <c r="B18" s="59" t="s">
        <v>47</v>
      </c>
      <c r="C18" s="60">
        <v>0</v>
      </c>
      <c r="D18" s="256"/>
      <c r="E18" s="256"/>
      <c r="F18" s="256"/>
      <c r="G18" s="61" t="str">
        <f t="shared" si="5"/>
        <v>Sonia</v>
      </c>
      <c r="H18" s="62" t="str">
        <f t="shared" si="4"/>
        <v>GBP10MOIS_Quote</v>
      </c>
      <c r="I18" s="259"/>
      <c r="J18" s="223" t="str">
        <f>IF(P16,_xll.qlOISRateHelper(,C18,B18,H18,$G18,,Permanent,Trigger,ObjectOverwrite),"--")</f>
        <v>obj_002f1#0001</v>
      </c>
      <c r="K18" s="48"/>
      <c r="L18" s="226" t="str">
        <f t="shared" si="1"/>
        <v>OIS</v>
      </c>
      <c r="M18" s="230" t="str">
        <f t="shared" si="2"/>
        <v>GBP1YOIS_Quote</v>
      </c>
      <c r="N18" s="228">
        <f>IFERROR(_xll.qlQuoteValue(H20,Trigger),"--")</f>
        <v>1.2999999999999999E-3</v>
      </c>
      <c r="O18" s="229"/>
      <c r="P18" s="90" t="b">
        <v>1</v>
      </c>
      <c r="Q18" s="87">
        <v>50</v>
      </c>
      <c r="R18" s="87">
        <v>1</v>
      </c>
      <c r="S18" s="87" t="str">
        <f t="shared" si="3"/>
        <v>obj_002e5#0001</v>
      </c>
      <c r="T18" s="91">
        <f>IFERROR(_xll.qlRateHelperEarliestDate(S18,Trigger),"--")</f>
        <v>42559</v>
      </c>
      <c r="U18" s="91">
        <f>IFERROR(_xll.qlRateHelperPillarDate(S18,Trigger),"--")</f>
        <v>42926</v>
      </c>
      <c r="W18" s="3" t="str">
        <f t="shared" si="0"/>
        <v>OIS</v>
      </c>
      <c r="X18" s="3" t="str">
        <v>obj_002ee</v>
      </c>
      <c r="Y18" s="3" t="str">
        <f>IFERROR(_xll.qlRateHelperQuoteName(X18,Trigger),"")</f>
        <v>GBP15MOIS_Quote</v>
      </c>
      <c r="Z18" s="67">
        <f>IFERROR(_xll.qlRateHelperRate(X18,Trigger),"")</f>
        <v>1.2400000000000002E-3</v>
      </c>
      <c r="AA18" s="95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42559</v>
      </c>
      <c r="AC18" s="4">
        <f>IFERROR(_xll.qlRateHelperPillarDate(X18,Trigger),"")</f>
        <v>43017</v>
      </c>
      <c r="AD18" s="206">
        <v>0.99844614808457832</v>
      </c>
      <c r="AF18" s="140">
        <v>8</v>
      </c>
      <c r="AG18" s="141">
        <f>_xll.qlCalendarEndOfMonth(Calendar,_xll.qlCalendarAdvance(Calendar,AG17,"1m","mf",TRUE),Trigger)</f>
        <v>42794</v>
      </c>
      <c r="AH18" s="140" t="str">
        <f t="shared" si="6"/>
        <v>GBPJump8_SYNTHON_Quote</v>
      </c>
      <c r="AI18" s="178">
        <f>_xll.qlDayCounterYearFraction("actual/360",AG18,_xll.qlCalendarAdvance(Calendar,AG18,"1D",,,Trigger))</f>
        <v>2.7777777777777779E-3</v>
      </c>
      <c r="AJ18" s="142" t="e">
        <f>IF(_xll.qlQuoteIsValid(AH18,Trigger),_xll.qlQuoteValue(AH18,Trigger),1)</f>
        <v>#NUM!</v>
      </c>
      <c r="AK18" s="181" t="e">
        <f t="shared" si="7"/>
        <v>#NUM!</v>
      </c>
      <c r="AL18" s="184"/>
      <c r="AM18" s="142" t="str">
        <f t="shared" si="8"/>
        <v>GBPJump8_SYNTHON_Quote</v>
      </c>
    </row>
    <row r="19" spans="1:39" ht="11.25" customHeight="1" x14ac:dyDescent="0.2">
      <c r="A19" s="58" t="s">
        <v>70</v>
      </c>
      <c r="B19" s="59" t="s">
        <v>48</v>
      </c>
      <c r="C19" s="60">
        <v>0</v>
      </c>
      <c r="D19" s="256"/>
      <c r="E19" s="256"/>
      <c r="F19" s="256"/>
      <c r="G19" s="61" t="str">
        <f t="shared" si="5"/>
        <v>Sonia</v>
      </c>
      <c r="H19" s="62" t="str">
        <f t="shared" si="4"/>
        <v>GBP11MOIS_Quote</v>
      </c>
      <c r="I19" s="259"/>
      <c r="J19" s="223" t="str">
        <f>IF(P17,_xll.qlOISRateHelper(,C19,B19,H19,$G19,,Permanent,Trigger,ObjectOverwrite),"--")</f>
        <v>obj_002f4#0001</v>
      </c>
      <c r="K19" s="48"/>
      <c r="L19" s="226" t="str">
        <f t="shared" si="1"/>
        <v>OIS</v>
      </c>
      <c r="M19" s="230" t="str">
        <f t="shared" si="2"/>
        <v>GBP15MOIS_Quote</v>
      </c>
      <c r="N19" s="228">
        <f>IFERROR(_xll.qlQuoteValue(H21,Trigger),"--")</f>
        <v>1.2400000000000002E-3</v>
      </c>
      <c r="O19" s="229"/>
      <c r="P19" s="90" t="b">
        <v>1</v>
      </c>
      <c r="Q19" s="87">
        <v>50</v>
      </c>
      <c r="R19" s="87">
        <v>1</v>
      </c>
      <c r="S19" s="87" t="str">
        <f t="shared" si="3"/>
        <v>obj_002ee#0001</v>
      </c>
      <c r="T19" s="91">
        <f>IFERROR(_xll.qlRateHelperEarliestDate(S19,Trigger),"--")</f>
        <v>42559</v>
      </c>
      <c r="U19" s="91">
        <f>IFERROR(_xll.qlRateHelperPillarDate(S19,Trigger),"--")</f>
        <v>43017</v>
      </c>
      <c r="W19" s="3" t="str">
        <f t="shared" si="0"/>
        <v>OIS</v>
      </c>
      <c r="X19" s="3" t="str">
        <v>obj_002f6</v>
      </c>
      <c r="Y19" s="3" t="str">
        <f>IFERROR(_xll.qlRateHelperQuoteName(X19,Trigger),"")</f>
        <v>GBP18MOIS_Quote</v>
      </c>
      <c r="Z19" s="67">
        <f>IFERROR(_xll.qlRateHelperRate(X19,Trigger),"")</f>
        <v>1.2000000000000001E-3</v>
      </c>
      <c r="AA19" s="95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42559</v>
      </c>
      <c r="AC19" s="4">
        <f>IFERROR(_xll.qlRateHelperPillarDate(X19,Trigger),"")</f>
        <v>43108</v>
      </c>
      <c r="AD19" s="206">
        <v>0.99819773044322746</v>
      </c>
      <c r="AF19" s="140">
        <v>9</v>
      </c>
      <c r="AG19" s="141">
        <f>_xll.qlCalendarEndOfMonth(Calendar,_xll.qlCalendarAdvance(Calendar,AG18,"1m","mf",TRUE),Trigger)</f>
        <v>42825</v>
      </c>
      <c r="AH19" s="140" t="str">
        <f t="shared" si="6"/>
        <v>GBPJump9_SYNTHON_Quote</v>
      </c>
      <c r="AI19" s="178">
        <f>_xll.qlDayCounterYearFraction("actual/360",AG19,_xll.qlCalendarAdvance(Calendar,AG19,"1D",,,Trigger))</f>
        <v>8.3333333333333332E-3</v>
      </c>
      <c r="AJ19" s="142" t="e">
        <f>IF(_xll.qlQuoteIsValid(AH19,Trigger),_xll.qlQuoteValue(AH19,Trigger),1)</f>
        <v>#NUM!</v>
      </c>
      <c r="AK19" s="181" t="e">
        <f t="shared" si="7"/>
        <v>#NUM!</v>
      </c>
      <c r="AL19" s="184"/>
      <c r="AM19" s="142" t="str">
        <f t="shared" si="8"/>
        <v>GBPJump9_SYNTHON_Quote</v>
      </c>
    </row>
    <row r="20" spans="1:39" ht="11.25" customHeight="1" x14ac:dyDescent="0.2">
      <c r="A20" s="58" t="s">
        <v>70</v>
      </c>
      <c r="B20" s="59" t="s">
        <v>29</v>
      </c>
      <c r="C20" s="60">
        <v>0</v>
      </c>
      <c r="D20" s="256"/>
      <c r="E20" s="256"/>
      <c r="F20" s="256"/>
      <c r="G20" s="61" t="str">
        <f t="shared" si="5"/>
        <v>Sonia</v>
      </c>
      <c r="H20" s="62" t="str">
        <f t="shared" si="4"/>
        <v>GBP1YOIS_Quote</v>
      </c>
      <c r="I20" s="259"/>
      <c r="J20" s="223" t="str">
        <f>IF(P18,_xll.qlOISRateHelper(,C20,B20,H20,$G20,,Permanent,Trigger,ObjectOverwrite),"--")</f>
        <v>obj_002e5#0001</v>
      </c>
      <c r="K20" s="48"/>
      <c r="L20" s="226" t="str">
        <f t="shared" si="1"/>
        <v>OIS</v>
      </c>
      <c r="M20" s="230" t="str">
        <f t="shared" si="2"/>
        <v>GBP18MOIS_Quote</v>
      </c>
      <c r="N20" s="228">
        <f>IFERROR(_xll.qlQuoteValue(H22,Trigger),"--")</f>
        <v>1.2000000000000001E-3</v>
      </c>
      <c r="O20" s="229"/>
      <c r="P20" s="90" t="b">
        <v>1</v>
      </c>
      <c r="Q20" s="87">
        <v>50</v>
      </c>
      <c r="R20" s="87">
        <v>1</v>
      </c>
      <c r="S20" s="87" t="str">
        <f t="shared" si="3"/>
        <v>obj_002f6#0001</v>
      </c>
      <c r="T20" s="91">
        <f>IFERROR(_xll.qlRateHelperEarliestDate(S20,Trigger),"--")</f>
        <v>42559</v>
      </c>
      <c r="U20" s="91">
        <f>IFERROR(_xll.qlRateHelperPillarDate(S20,Trigger),"--")</f>
        <v>43108</v>
      </c>
      <c r="W20" s="3" t="str">
        <f t="shared" si="0"/>
        <v>OIS</v>
      </c>
      <c r="X20" s="3" t="str">
        <v>obj_002f9</v>
      </c>
      <c r="Y20" s="3" t="str">
        <f>IFERROR(_xll.qlRateHelperQuoteName(X20,Trigger),"")</f>
        <v>GBP2YOIS_Quote</v>
      </c>
      <c r="Z20" s="67">
        <f>IFERROR(_xll.qlRateHelperRate(X20,Trigger),"")</f>
        <v>1.1900000000000001E-3</v>
      </c>
      <c r="AA20" s="95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42559</v>
      </c>
      <c r="AC20" s="4">
        <f>IFERROR(_xll.qlRateHelperPillarDate(X20,Trigger),"")</f>
        <v>43290</v>
      </c>
      <c r="AD20" s="206">
        <v>0.99762112478994291</v>
      </c>
      <c r="AF20" s="140">
        <v>10</v>
      </c>
      <c r="AG20" s="141">
        <f>_xll.qlCalendarEndOfMonth(Calendar,_xll.qlCalendarAdvance(Calendar,AG19,"1m","mf",TRUE),Trigger)</f>
        <v>42853</v>
      </c>
      <c r="AH20" s="140" t="str">
        <f t="shared" si="6"/>
        <v>GBPJump10_SYNTHON_Quote</v>
      </c>
      <c r="AI20" s="178">
        <f>_xll.qlDayCounterYearFraction("actual/360",AG20,_xll.qlCalendarAdvance(Calendar,AG20,"1D",,,Trigger))</f>
        <v>1.1111111111111112E-2</v>
      </c>
      <c r="AJ20" s="142" t="e">
        <f>IF(_xll.qlQuoteIsValid(AH20,Trigger),_xll.qlQuoteValue(AH20,Trigger),1)</f>
        <v>#NUM!</v>
      </c>
      <c r="AK20" s="181" t="e">
        <f t="shared" si="7"/>
        <v>#NUM!</v>
      </c>
      <c r="AL20" s="184"/>
      <c r="AM20" s="142" t="str">
        <f t="shared" si="8"/>
        <v>GBPJump10_SYNTHON_Quote</v>
      </c>
    </row>
    <row r="21" spans="1:39" ht="11.25" customHeight="1" x14ac:dyDescent="0.2">
      <c r="A21" s="58" t="s">
        <v>70</v>
      </c>
      <c r="B21" s="59" t="s">
        <v>49</v>
      </c>
      <c r="C21" s="60">
        <v>0</v>
      </c>
      <c r="D21" s="256"/>
      <c r="E21" s="256"/>
      <c r="F21" s="256"/>
      <c r="G21" s="61" t="str">
        <f t="shared" si="5"/>
        <v>Sonia</v>
      </c>
      <c r="H21" s="62" t="str">
        <f t="shared" si="4"/>
        <v>GBP15MOIS_Quote</v>
      </c>
      <c r="I21" s="259"/>
      <c r="J21" s="223" t="str">
        <f>IF(P19,_xll.qlOISRateHelper(,C21,B21,H21,$G21,,Permanent,Trigger,ObjectOverwrite),"--")</f>
        <v>obj_002ee#0001</v>
      </c>
      <c r="K21" s="48"/>
      <c r="L21" s="226" t="str">
        <f t="shared" si="1"/>
        <v>OIS</v>
      </c>
      <c r="M21" s="230" t="str">
        <f t="shared" si="2"/>
        <v>GBP21MOIS_Quote</v>
      </c>
      <c r="N21" s="228">
        <f>IFERROR(_xll.qlQuoteValue(H23,Trigger),"--")</f>
        <v>1.1900000000000001E-3</v>
      </c>
      <c r="O21" s="229"/>
      <c r="P21" s="90" t="b">
        <v>0</v>
      </c>
      <c r="Q21" s="87">
        <v>50</v>
      </c>
      <c r="R21" s="87">
        <v>1</v>
      </c>
      <c r="S21" s="87" t="str">
        <f t="shared" si="3"/>
        <v>--</v>
      </c>
      <c r="T21" s="91" t="str">
        <f>IFERROR(_xll.qlRateHelperEarliestDate(S21,Trigger),"--")</f>
        <v>--</v>
      </c>
      <c r="U21" s="91" t="str">
        <f>IFERROR(_xll.qlRateHelperPillarDate(S21,Trigger),"--")</f>
        <v>--</v>
      </c>
      <c r="W21" s="3" t="str">
        <f t="shared" si="0"/>
        <v>OIS</v>
      </c>
      <c r="X21" s="3" t="str">
        <v>obj_002ff</v>
      </c>
      <c r="Y21" s="3" t="str">
        <f>IFERROR(_xll.qlRateHelperQuoteName(X21,Trigger),"")</f>
        <v>GBP3YOIS_Quote</v>
      </c>
      <c r="Z21" s="67">
        <f>IFERROR(_xll.qlRateHelperRate(X21,Trigger),"")</f>
        <v>1.2900000000000001E-3</v>
      </c>
      <c r="AA21" s="95" t="str">
        <f>IF(ISERROR(_xll.qlSwapRateHelperSpread($X21)),IF(ISERROR(_xll.qlFuturesRateHelperConvexityAdjustment($X21)),"",_xll.qlFuturesRateHelperConvexityAdjustment($X21)),_xll.qlSwapRateHelperSpread($X21))</f>
        <v/>
      </c>
      <c r="AB21" s="4">
        <f>IFERROR(_xll.qlRateHelperEarliestDate(X21,Trigger),"")</f>
        <v>42559</v>
      </c>
      <c r="AC21" s="4">
        <f>IFERROR(_xll.qlRateHelperPillarDate(X21,Trigger),"")</f>
        <v>43654</v>
      </c>
      <c r="AD21" s="206">
        <v>0.99613971967514536</v>
      </c>
      <c r="AF21" s="140">
        <v>11</v>
      </c>
      <c r="AG21" s="141">
        <f>_xll.qlCalendarEndOfMonth(Calendar,_xll.qlCalendarAdvance(Calendar,AG20,"1m","mf",TRUE),Trigger)</f>
        <v>42886</v>
      </c>
      <c r="AH21" s="140" t="str">
        <f t="shared" si="6"/>
        <v>GBPJump11_SYNTHON_Quote</v>
      </c>
      <c r="AI21" s="178">
        <f>_xll.qlDayCounterYearFraction("actual/360",AG21,_xll.qlCalendarAdvance(Calendar,AG21,"1D",,,Trigger))</f>
        <v>2.7777777777777779E-3</v>
      </c>
      <c r="AJ21" s="142" t="e">
        <f>IF(_xll.qlQuoteIsValid(AH21,Trigger),_xll.qlQuoteValue(AH21,Trigger),1)</f>
        <v>#NUM!</v>
      </c>
      <c r="AK21" s="181" t="e">
        <f t="shared" si="7"/>
        <v>#NUM!</v>
      </c>
      <c r="AL21" s="184"/>
      <c r="AM21" s="142" t="str">
        <f t="shared" si="8"/>
        <v>GBPJump11_SYNTHON_Quote</v>
      </c>
    </row>
    <row r="22" spans="1:39" ht="11.25" customHeight="1" x14ac:dyDescent="0.2">
      <c r="A22" s="58" t="s">
        <v>70</v>
      </c>
      <c r="B22" s="59" t="s">
        <v>50</v>
      </c>
      <c r="C22" s="60">
        <v>0</v>
      </c>
      <c r="D22" s="256"/>
      <c r="E22" s="256"/>
      <c r="F22" s="256"/>
      <c r="G22" s="61" t="str">
        <f t="shared" si="5"/>
        <v>Sonia</v>
      </c>
      <c r="H22" s="62" t="str">
        <f t="shared" si="4"/>
        <v>GBP18MOIS_Quote</v>
      </c>
      <c r="I22" s="259"/>
      <c r="J22" s="223" t="str">
        <f>IF(P20,_xll.qlOISRateHelper(,C22,B22,H22,$G22,,Permanent,Trigger,ObjectOverwrite),"--")</f>
        <v>obj_002f6#0001</v>
      </c>
      <c r="L22" s="226" t="str">
        <f t="shared" si="1"/>
        <v>OIS</v>
      </c>
      <c r="M22" s="230" t="str">
        <f t="shared" si="2"/>
        <v>GBP2YOIS_Quote</v>
      </c>
      <c r="N22" s="228">
        <f>IFERROR(_xll.qlQuoteValue(H24,Trigger),"--")</f>
        <v>1.1900000000000001E-3</v>
      </c>
      <c r="O22" s="229"/>
      <c r="P22" s="90" t="b">
        <v>1</v>
      </c>
      <c r="Q22" s="87">
        <v>50</v>
      </c>
      <c r="R22" s="87">
        <v>1</v>
      </c>
      <c r="S22" s="87" t="str">
        <f t="shared" si="3"/>
        <v>obj_002f9#0001</v>
      </c>
      <c r="T22" s="91">
        <f>IFERROR(_xll.qlRateHelperEarliestDate(S22,Trigger),"--")</f>
        <v>42559</v>
      </c>
      <c r="U22" s="91">
        <f>IFERROR(_xll.qlRateHelperPillarDate(S22,Trigger),"--")</f>
        <v>43290</v>
      </c>
      <c r="W22" s="3" t="str">
        <f t="shared" si="0"/>
        <v>OIS</v>
      </c>
      <c r="X22" s="3" t="str">
        <v>obj_002f8</v>
      </c>
      <c r="Y22" s="3" t="str">
        <f>IFERROR(_xll.qlRateHelperQuoteName(X22,Trigger),"")</f>
        <v>GBP4YOIS_Quote</v>
      </c>
      <c r="Z22" s="67">
        <f>IFERROR(_xll.qlRateHelperRate(X22,Trigger),"")</f>
        <v>1.5700000000000002E-3</v>
      </c>
      <c r="AA22" s="95" t="str">
        <f>IF(ISERROR(_xll.qlSwapRateHelperSpread($X22)),IF(ISERROR(_xll.qlFuturesRateHelperConvexityAdjustment($X22)),"",_xll.qlFuturesRateHelperConvexityAdjustment($X22)),_xll.qlSwapRateHelperSpread($X22))</f>
        <v/>
      </c>
      <c r="AB22" s="4">
        <f>IFERROR(_xll.qlRateHelperEarliestDate(X22,Trigger),"")</f>
        <v>42559</v>
      </c>
      <c r="AC22" s="4">
        <f>IFERROR(_xll.qlRateHelperPillarDate(X22,Trigger),"")</f>
        <v>44020</v>
      </c>
      <c r="AD22" s="206">
        <v>0.99373738724186866</v>
      </c>
      <c r="AF22" s="140">
        <v>12</v>
      </c>
      <c r="AG22" s="141">
        <f>_xll.qlCalendarEndOfMonth(Calendar,_xll.qlCalendarAdvance(Calendar,AG21,"1m","mf",TRUE),Trigger)</f>
        <v>42916</v>
      </c>
      <c r="AH22" s="140" t="str">
        <f t="shared" si="6"/>
        <v>GBPJump12_SYNTHON_Quote</v>
      </c>
      <c r="AI22" s="178">
        <f>_xll.qlDayCounterYearFraction("actual/360",AG22,_xll.qlCalendarAdvance(Calendar,AG22,"1D",,,Trigger))</f>
        <v>8.3333333333333332E-3</v>
      </c>
      <c r="AJ22" s="142" t="e">
        <f>IF(_xll.qlQuoteIsValid(AH22,Trigger),_xll.qlQuoteValue(AH22,Trigger),1)</f>
        <v>#NUM!</v>
      </c>
      <c r="AK22" s="181" t="e">
        <f t="shared" si="7"/>
        <v>#NUM!</v>
      </c>
      <c r="AL22" s="184"/>
      <c r="AM22" s="142" t="str">
        <f t="shared" si="8"/>
        <v>GBPJump12_SYNTHON_Quote</v>
      </c>
    </row>
    <row r="23" spans="1:39" ht="11.25" customHeight="1" x14ac:dyDescent="0.2">
      <c r="A23" s="58" t="s">
        <v>70</v>
      </c>
      <c r="B23" s="59" t="s">
        <v>51</v>
      </c>
      <c r="C23" s="60">
        <v>0</v>
      </c>
      <c r="D23" s="256"/>
      <c r="E23" s="256"/>
      <c r="F23" s="256"/>
      <c r="G23" s="61" t="str">
        <f t="shared" si="5"/>
        <v>Sonia</v>
      </c>
      <c r="H23" s="62" t="str">
        <f t="shared" si="4"/>
        <v>GBP21MOIS_Quote</v>
      </c>
      <c r="I23" s="259"/>
      <c r="J23" s="223" t="str">
        <f>IF(P21,_xll.qlOISRateHelper(,C23,B23,H23,$G23,,Permanent,Trigger,ObjectOverwrite),"--")</f>
        <v>--</v>
      </c>
      <c r="L23" s="226" t="str">
        <f t="shared" si="1"/>
        <v>OIS</v>
      </c>
      <c r="M23" s="230" t="str">
        <f t="shared" si="2"/>
        <v>GBP3YOIS_Quote</v>
      </c>
      <c r="N23" s="228">
        <f>IFERROR(_xll.qlQuoteValue(H25,Trigger),"--")</f>
        <v>1.2900000000000001E-3</v>
      </c>
      <c r="O23" s="229"/>
      <c r="P23" s="90" t="b">
        <v>1</v>
      </c>
      <c r="Q23" s="87">
        <v>50</v>
      </c>
      <c r="R23" s="87">
        <v>1</v>
      </c>
      <c r="S23" s="87" t="str">
        <f t="shared" si="3"/>
        <v>obj_002ff#0001</v>
      </c>
      <c r="T23" s="91">
        <f>IFERROR(_xll.qlRateHelperEarliestDate(S23,Trigger),"--")</f>
        <v>42559</v>
      </c>
      <c r="U23" s="91">
        <f>IFERROR(_xll.qlRateHelperPillarDate(S23,Trigger),"--")</f>
        <v>43654</v>
      </c>
      <c r="W23" s="3" t="str">
        <f t="shared" si="0"/>
        <v>OIS</v>
      </c>
      <c r="X23" s="3" t="str">
        <v>obj_002f0</v>
      </c>
      <c r="Y23" s="3" t="str">
        <f>IFERROR(_xll.qlRateHelperQuoteName(X23,Trigger),"")</f>
        <v>GBP5YOIS_Quote</v>
      </c>
      <c r="Z23" s="67">
        <f>IFERROR(_xll.qlRateHelperRate(X23,Trigger),"")</f>
        <v>1.9500000000000001E-3</v>
      </c>
      <c r="AA23" s="95" t="str">
        <f>IF(ISERROR(_xll.qlSwapRateHelperSpread($X23)),IF(ISERROR(_xll.qlFuturesRateHelperConvexityAdjustment($X23)),"",_xll.qlFuturesRateHelperConvexityAdjustment($X23)),_xll.qlSwapRateHelperSpread($X23))</f>
        <v/>
      </c>
      <c r="AB23" s="4">
        <f>IFERROR(_xll.qlRateHelperEarliestDate(X23,Trigger),"")</f>
        <v>42559</v>
      </c>
      <c r="AC23" s="4">
        <f>IFERROR(_xll.qlRateHelperPillarDate(X23,Trigger),"")</f>
        <v>44385</v>
      </c>
      <c r="AD23" s="206">
        <v>0.99029052908735382</v>
      </c>
      <c r="AF23" s="143">
        <v>13</v>
      </c>
      <c r="AG23" s="144">
        <f>_xll.qlCalendarAdjust(Calendar,DATE(YEAR(AG11)+1,12,31),"preceding",Trigger)</f>
        <v>43098</v>
      </c>
      <c r="AH23" s="143" t="str">
        <f t="shared" si="6"/>
        <v>GBPJump13_SYNTHON_Quote</v>
      </c>
      <c r="AI23" s="179">
        <f>_xll.qlDayCounterYearFraction("actual/360",AG23,_xll.qlCalendarAdvance(Calendar,AG23,"1D",,,Trigger))</f>
        <v>1.1111111111111112E-2</v>
      </c>
      <c r="AJ23" s="145" t="e">
        <f>IF(_xll.qlQuoteIsValid(AH23,Trigger),_xll.qlQuoteValue(AH23,Trigger),1)</f>
        <v>#NUM!</v>
      </c>
      <c r="AK23" s="182" t="e">
        <f t="shared" si="7"/>
        <v>#NUM!</v>
      </c>
      <c r="AL23" s="185"/>
      <c r="AM23" s="145" t="str">
        <f t="shared" si="8"/>
        <v>GBPJump13_SYNTHON_Quote</v>
      </c>
    </row>
    <row r="24" spans="1:39" ht="11.25" customHeight="1" x14ac:dyDescent="0.2">
      <c r="A24" s="58" t="s">
        <v>70</v>
      </c>
      <c r="B24" s="59" t="s">
        <v>52</v>
      </c>
      <c r="C24" s="60">
        <v>0</v>
      </c>
      <c r="D24" s="256"/>
      <c r="E24" s="256"/>
      <c r="F24" s="256"/>
      <c r="G24" s="61" t="str">
        <f t="shared" si="5"/>
        <v>Sonia</v>
      </c>
      <c r="H24" s="62" t="str">
        <f t="shared" si="4"/>
        <v>GBP2YOIS_Quote</v>
      </c>
      <c r="I24" s="259"/>
      <c r="J24" s="223" t="str">
        <f>IF(P22,_xll.qlOISRateHelper(,C24,B24,H24,$G24,,Permanent,Trigger,ObjectOverwrite),"--")</f>
        <v>obj_002f9#0001</v>
      </c>
      <c r="L24" s="226" t="str">
        <f t="shared" si="1"/>
        <v>OIS</v>
      </c>
      <c r="M24" s="230" t="str">
        <f t="shared" si="2"/>
        <v>GBP4YOIS_Quote</v>
      </c>
      <c r="N24" s="228">
        <f>IFERROR(_xll.qlQuoteValue(H26,Trigger),"--")</f>
        <v>1.5700000000000002E-3</v>
      </c>
      <c r="O24" s="229"/>
      <c r="P24" s="90" t="b">
        <v>1</v>
      </c>
      <c r="Q24" s="87">
        <v>50</v>
      </c>
      <c r="R24" s="87">
        <v>1</v>
      </c>
      <c r="S24" s="87" t="str">
        <f t="shared" si="3"/>
        <v>obj_002f8#0001</v>
      </c>
      <c r="T24" s="91">
        <f>IFERROR(_xll.qlRateHelperEarliestDate(S24,Trigger),"--")</f>
        <v>42559</v>
      </c>
      <c r="U24" s="91">
        <f>IFERROR(_xll.qlRateHelperPillarDate(S24,Trigger),"--")</f>
        <v>44020</v>
      </c>
      <c r="W24" s="3" t="str">
        <f t="shared" si="0"/>
        <v>OIS</v>
      </c>
      <c r="X24" s="3" t="str">
        <v>obj_002eb</v>
      </c>
      <c r="Y24" s="3" t="str">
        <f>IFERROR(_xll.qlRateHelperQuoteName(X24,Trigger),"")</f>
        <v>GBP6YOIS_Quote</v>
      </c>
      <c r="Z24" s="67">
        <f>IFERROR(_xll.qlRateHelperRate(X24,Trigger),"")</f>
        <v>2.5000000000000001E-3</v>
      </c>
      <c r="AA24" s="95" t="str">
        <f>IF(ISERROR(_xll.qlSwapRateHelperSpread($X24)),IF(ISERROR(_xll.qlFuturesRateHelperConvexityAdjustment($X24)),"",_xll.qlFuturesRateHelperConvexityAdjustment($X24)),_xll.qlSwapRateHelperSpread($X24))</f>
        <v/>
      </c>
      <c r="AB24" s="4">
        <f>IFERROR(_xll.qlRateHelperEarliestDate(X24,Trigger),"")</f>
        <v>42559</v>
      </c>
      <c r="AC24" s="4">
        <f>IFERROR(_xll.qlRateHelperPillarDate(X24,Trigger),"")</f>
        <v>44750</v>
      </c>
      <c r="AD24" s="206">
        <v>0.98508923727521447</v>
      </c>
      <c r="AL24" s="186"/>
    </row>
    <row r="25" spans="1:39" ht="11.25" customHeight="1" x14ac:dyDescent="0.2">
      <c r="A25" s="58" t="s">
        <v>70</v>
      </c>
      <c r="B25" s="59" t="s">
        <v>53</v>
      </c>
      <c r="C25" s="60">
        <v>0</v>
      </c>
      <c r="D25" s="256"/>
      <c r="E25" s="256"/>
      <c r="F25" s="256"/>
      <c r="G25" s="61" t="str">
        <f t="shared" si="5"/>
        <v>Sonia</v>
      </c>
      <c r="H25" s="62" t="str">
        <f t="shared" si="4"/>
        <v>GBP3YOIS_Quote</v>
      </c>
      <c r="I25" s="259"/>
      <c r="J25" s="223" t="str">
        <f>IF(P23,_xll.qlOISRateHelper(,C25,B25,H25,$G25,,Permanent,Trigger,ObjectOverwrite),"--")</f>
        <v>obj_002ff#0001</v>
      </c>
      <c r="L25" s="226" t="str">
        <f t="shared" si="1"/>
        <v>OIS</v>
      </c>
      <c r="M25" s="230" t="str">
        <f t="shared" si="2"/>
        <v>GBP5YOIS_Quote</v>
      </c>
      <c r="N25" s="228">
        <f>IFERROR(_xll.qlQuoteValue(H27,Trigger),"--")</f>
        <v>1.9500000000000001E-3</v>
      </c>
      <c r="O25" s="229"/>
      <c r="P25" s="90" t="b">
        <v>1</v>
      </c>
      <c r="Q25" s="87">
        <v>50</v>
      </c>
      <c r="R25" s="87">
        <v>1</v>
      </c>
      <c r="S25" s="87" t="str">
        <f t="shared" si="3"/>
        <v>obj_002f0#0001</v>
      </c>
      <c r="T25" s="91">
        <f>IFERROR(_xll.qlRateHelperEarliestDate(S25,Trigger),"--")</f>
        <v>42559</v>
      </c>
      <c r="U25" s="91">
        <f>IFERROR(_xll.qlRateHelperPillarDate(S25,Trigger),"--")</f>
        <v>44385</v>
      </c>
      <c r="W25" s="3" t="str">
        <f t="shared" si="0"/>
        <v>OIS</v>
      </c>
      <c r="X25" s="3" t="str">
        <v>obj_002f7</v>
      </c>
      <c r="Y25" s="3" t="str">
        <f>IFERROR(_xll.qlRateHelperQuoteName(X25,Trigger),"")</f>
        <v>GBP7YOIS_Quote</v>
      </c>
      <c r="Z25" s="67">
        <f>IFERROR(_xll.qlRateHelperRate(X25,Trigger),"")</f>
        <v>3.1900000000000006E-3</v>
      </c>
      <c r="AA25" s="95" t="str">
        <f>IF(ISERROR(_xll.qlSwapRateHelperSpread($X25)),IF(ISERROR(_xll.qlFuturesRateHelperConvexityAdjustment($X25)),"",_xll.qlFuturesRateHelperConvexityAdjustment($X25)),_xll.qlSwapRateHelperSpread($X25))</f>
        <v/>
      </c>
      <c r="AB25" s="4">
        <f>IFERROR(_xll.qlRateHelperEarliestDate(X25,Trigger),"")</f>
        <v>42559</v>
      </c>
      <c r="AC25" s="4">
        <f>IFERROR(_xll.qlRateHelperPillarDate(X25,Trigger),"")</f>
        <v>45117</v>
      </c>
      <c r="AD25" s="206">
        <v>0.97783747316056191</v>
      </c>
    </row>
    <row r="26" spans="1:39" ht="11.25" customHeight="1" x14ac:dyDescent="0.2">
      <c r="A26" s="58" t="s">
        <v>70</v>
      </c>
      <c r="B26" s="59" t="s">
        <v>54</v>
      </c>
      <c r="C26" s="60">
        <v>0</v>
      </c>
      <c r="D26" s="256"/>
      <c r="E26" s="256"/>
      <c r="F26" s="256"/>
      <c r="G26" s="61" t="str">
        <f t="shared" si="5"/>
        <v>Sonia</v>
      </c>
      <c r="H26" s="62" t="str">
        <f t="shared" si="4"/>
        <v>GBP4YOIS_Quote</v>
      </c>
      <c r="I26" s="259"/>
      <c r="J26" s="223" t="str">
        <f>IF(P24,_xll.qlOISRateHelper(,C26,B26,H26,$G26,,Permanent,Trigger,ObjectOverwrite),"--")</f>
        <v>obj_002f8#0001</v>
      </c>
      <c r="L26" s="226" t="str">
        <f t="shared" si="1"/>
        <v>OIS</v>
      </c>
      <c r="M26" s="230" t="str">
        <f t="shared" si="2"/>
        <v>GBP6YOIS_Quote</v>
      </c>
      <c r="N26" s="228">
        <f>IFERROR(_xll.qlQuoteValue(H28,Trigger),"--")</f>
        <v>2.5000000000000001E-3</v>
      </c>
      <c r="O26" s="229"/>
      <c r="P26" s="90" t="b">
        <v>1</v>
      </c>
      <c r="Q26" s="87">
        <v>50</v>
      </c>
      <c r="R26" s="87">
        <v>1</v>
      </c>
      <c r="S26" s="87" t="str">
        <f t="shared" si="3"/>
        <v>obj_002eb#0001</v>
      </c>
      <c r="T26" s="91">
        <f>IFERROR(_xll.qlRateHelperEarliestDate(S26,Trigger),"--")</f>
        <v>42559</v>
      </c>
      <c r="U26" s="91">
        <f>IFERROR(_xll.qlRateHelperPillarDate(S26,Trigger),"--")</f>
        <v>44750</v>
      </c>
      <c r="W26" s="3" t="str">
        <f t="shared" si="0"/>
        <v>OIS</v>
      </c>
      <c r="X26" s="3" t="str">
        <v>obj_002ed</v>
      </c>
      <c r="Y26" s="3" t="str">
        <f>IFERROR(_xll.qlRateHelperQuoteName(X26,Trigger),"")</f>
        <v>GBP8YOIS_Quote</v>
      </c>
      <c r="Z26" s="67">
        <f>IFERROR(_xll.qlRateHelperRate(X26,Trigger),"")</f>
        <v>3.9500000000000004E-3</v>
      </c>
      <c r="AA26" s="95" t="str">
        <f>IF(ISERROR(_xll.qlSwapRateHelperSpread($X26)),IF(ISERROR(_xll.qlFuturesRateHelperConvexityAdjustment($X26)),"",_xll.qlFuturesRateHelperConvexityAdjustment($X26)),_xll.qlSwapRateHelperSpread($X26))</f>
        <v/>
      </c>
      <c r="AB26" s="4">
        <f>IFERROR(_xll.qlRateHelperEarliestDate(X26,Trigger),"")</f>
        <v>42559</v>
      </c>
      <c r="AC26" s="4">
        <f>IFERROR(_xll.qlRateHelperPillarDate(X26,Trigger),"")</f>
        <v>45481</v>
      </c>
      <c r="AD26" s="206">
        <v>0.96874132811530067</v>
      </c>
    </row>
    <row r="27" spans="1:39" ht="11.25" customHeight="1" x14ac:dyDescent="0.2">
      <c r="A27" s="58" t="s">
        <v>70</v>
      </c>
      <c r="B27" s="59" t="s">
        <v>55</v>
      </c>
      <c r="C27" s="60">
        <v>0</v>
      </c>
      <c r="D27" s="256"/>
      <c r="E27" s="256"/>
      <c r="F27" s="256"/>
      <c r="G27" s="61" t="str">
        <f t="shared" si="5"/>
        <v>Sonia</v>
      </c>
      <c r="H27" s="62" t="str">
        <f t="shared" si="4"/>
        <v>GBP5YOIS_Quote</v>
      </c>
      <c r="I27" s="259"/>
      <c r="J27" s="223" t="str">
        <f>IF(P25,_xll.qlOISRateHelper(,C27,B27,H27,$G27,,Permanent,Trigger,ObjectOverwrite),"--")</f>
        <v>obj_002f0#0001</v>
      </c>
      <c r="L27" s="226" t="str">
        <f t="shared" si="1"/>
        <v>OIS</v>
      </c>
      <c r="M27" s="230" t="str">
        <f t="shared" si="2"/>
        <v>GBP7YOIS_Quote</v>
      </c>
      <c r="N27" s="228">
        <f>IFERROR(_xll.qlQuoteValue(H29,Trigger),"--")</f>
        <v>3.1900000000000006E-3</v>
      </c>
      <c r="O27" s="229"/>
      <c r="P27" s="90" t="b">
        <v>1</v>
      </c>
      <c r="Q27" s="87">
        <v>50</v>
      </c>
      <c r="R27" s="87">
        <v>1</v>
      </c>
      <c r="S27" s="87" t="str">
        <f t="shared" si="3"/>
        <v>obj_002f7#0001</v>
      </c>
      <c r="T27" s="91">
        <f>IFERROR(_xll.qlRateHelperEarliestDate(S27,Trigger),"--")</f>
        <v>42559</v>
      </c>
      <c r="U27" s="91">
        <f>IFERROR(_xll.qlRateHelperPillarDate(S27,Trigger),"--")</f>
        <v>45117</v>
      </c>
      <c r="W27" s="3" t="str">
        <f t="shared" si="0"/>
        <v>OIS</v>
      </c>
      <c r="X27" s="3" t="str">
        <v>obj_002fc</v>
      </c>
      <c r="Y27" s="3" t="str">
        <f>IFERROR(_xll.qlRateHelperQuoteName(X27,Trigger),"")</f>
        <v>GBP9YOIS_Quote</v>
      </c>
      <c r="Z27" s="67">
        <f>IFERROR(_xll.qlRateHelperRate(X27,Trigger),"")</f>
        <v>4.6500000000000005E-3</v>
      </c>
      <c r="AA27" s="95" t="str">
        <f>IF(ISERROR(_xll.qlSwapRateHelperSpread($X27)),IF(ISERROR(_xll.qlFuturesRateHelperConvexityAdjustment($X27)),"",_xll.qlFuturesRateHelperConvexityAdjustment($X27)),_xll.qlSwapRateHelperSpread($X27))</f>
        <v/>
      </c>
      <c r="AB27" s="4">
        <f>IFERROR(_xll.qlRateHelperEarliestDate(X27,Trigger),"")</f>
        <v>42559</v>
      </c>
      <c r="AC27" s="4">
        <f>IFERROR(_xll.qlRateHelperPillarDate(X27,Trigger),"")</f>
        <v>45846</v>
      </c>
      <c r="AD27" s="206">
        <v>0.958743658629436</v>
      </c>
    </row>
    <row r="28" spans="1:39" ht="11.25" customHeight="1" x14ac:dyDescent="0.2">
      <c r="A28" s="58" t="s">
        <v>70</v>
      </c>
      <c r="B28" s="59" t="s">
        <v>56</v>
      </c>
      <c r="C28" s="60">
        <v>0</v>
      </c>
      <c r="D28" s="256"/>
      <c r="E28" s="256"/>
      <c r="F28" s="256"/>
      <c r="G28" s="61" t="str">
        <f t="shared" si="5"/>
        <v>Sonia</v>
      </c>
      <c r="H28" s="62" t="str">
        <f t="shared" si="4"/>
        <v>GBP6YOIS_Quote</v>
      </c>
      <c r="I28" s="259"/>
      <c r="J28" s="223" t="str">
        <f>IF(P26,_xll.qlOISRateHelper(,C28,B28,H28,$G28,,Permanent,Trigger,ObjectOverwrite),"--")</f>
        <v>obj_002eb#0001</v>
      </c>
      <c r="L28" s="226" t="str">
        <f t="shared" si="1"/>
        <v>OIS</v>
      </c>
      <c r="M28" s="230" t="str">
        <f t="shared" si="2"/>
        <v>GBP8YOIS_Quote</v>
      </c>
      <c r="N28" s="228">
        <f>IFERROR(_xll.qlQuoteValue(H30,Trigger),"--")</f>
        <v>3.9500000000000004E-3</v>
      </c>
      <c r="O28" s="229"/>
      <c r="P28" s="90" t="b">
        <v>1</v>
      </c>
      <c r="Q28" s="87">
        <v>50</v>
      </c>
      <c r="R28" s="87">
        <v>1</v>
      </c>
      <c r="S28" s="87" t="str">
        <f t="shared" si="3"/>
        <v>obj_002ed#0001</v>
      </c>
      <c r="T28" s="91">
        <f>IFERROR(_xll.qlRateHelperEarliestDate(S28,Trigger),"--")</f>
        <v>42559</v>
      </c>
      <c r="U28" s="91">
        <f>IFERROR(_xll.qlRateHelperPillarDate(S28,Trigger),"--")</f>
        <v>45481</v>
      </c>
      <c r="W28" s="3" t="str">
        <f t="shared" si="0"/>
        <v>OIS</v>
      </c>
      <c r="X28" s="3" t="str">
        <v>obj_002e9</v>
      </c>
      <c r="Y28" s="3" t="str">
        <f>IFERROR(_xll.qlRateHelperQuoteName(X28,Trigger),"")</f>
        <v>GBP10YOIS_Quote</v>
      </c>
      <c r="Z28" s="67">
        <f>IFERROR(_xll.qlRateHelperRate(X28,Trigger),"")</f>
        <v>5.3300000000000005E-3</v>
      </c>
      <c r="AA28" s="95" t="str">
        <f>IF(ISERROR(_xll.qlSwapRateHelperSpread($X28)),IF(ISERROR(_xll.qlFuturesRateHelperConvexityAdjustment($X28)),"",_xll.qlFuturesRateHelperConvexityAdjustment($X28)),_xll.qlSwapRateHelperSpread($X28))</f>
        <v/>
      </c>
      <c r="AB28" s="4">
        <f>IFERROR(_xll.qlRateHelperEarliestDate(X28,Trigger),"")</f>
        <v>42559</v>
      </c>
      <c r="AC28" s="4">
        <f>IFERROR(_xll.qlRateHelperPillarDate(X28,Trigger),"")</f>
        <v>46211</v>
      </c>
      <c r="AD28" s="206">
        <v>0.94765944836492344</v>
      </c>
    </row>
    <row r="29" spans="1:39" ht="11.25" customHeight="1" x14ac:dyDescent="0.2">
      <c r="A29" s="58" t="s">
        <v>70</v>
      </c>
      <c r="B29" s="59" t="s">
        <v>57</v>
      </c>
      <c r="C29" s="60">
        <v>0</v>
      </c>
      <c r="D29" s="256"/>
      <c r="E29" s="256"/>
      <c r="F29" s="256"/>
      <c r="G29" s="61" t="str">
        <f t="shared" si="5"/>
        <v>Sonia</v>
      </c>
      <c r="H29" s="62" t="str">
        <f t="shared" si="4"/>
        <v>GBP7YOIS_Quote</v>
      </c>
      <c r="I29" s="259"/>
      <c r="J29" s="223" t="str">
        <f>IF(P27,_xll.qlOISRateHelper(,C29,B29,H29,$G29,,Permanent,Trigger,ObjectOverwrite),"--")</f>
        <v>obj_002f7#0001</v>
      </c>
      <c r="L29" s="226" t="str">
        <f t="shared" si="1"/>
        <v>OIS</v>
      </c>
      <c r="M29" s="230" t="str">
        <f t="shared" si="2"/>
        <v>GBP9YOIS_Quote</v>
      </c>
      <c r="N29" s="228">
        <f>IFERROR(_xll.qlQuoteValue(H31,Trigger),"--")</f>
        <v>4.6500000000000005E-3</v>
      </c>
      <c r="O29" s="229"/>
      <c r="P29" s="90" t="b">
        <v>1</v>
      </c>
      <c r="Q29" s="87">
        <v>50</v>
      </c>
      <c r="R29" s="87">
        <v>1</v>
      </c>
      <c r="S29" s="87" t="str">
        <f t="shared" si="3"/>
        <v>obj_002fc#0001</v>
      </c>
      <c r="T29" s="91">
        <f>IFERROR(_xll.qlRateHelperEarliestDate(S29,Trigger),"--")</f>
        <v>42559</v>
      </c>
      <c r="U29" s="91">
        <f>IFERROR(_xll.qlRateHelperPillarDate(S29,Trigger),"--")</f>
        <v>45846</v>
      </c>
      <c r="W29" s="3" t="str">
        <f t="shared" si="0"/>
        <v>OIS</v>
      </c>
      <c r="X29" s="3" t="str">
        <v>obj_002e2</v>
      </c>
      <c r="Y29" s="3" t="str">
        <f>IFERROR(_xll.qlRateHelperQuoteName(X29,Trigger),"")</f>
        <v>GBP12YOIS_Quote</v>
      </c>
      <c r="Z29" s="67">
        <f>IFERROR(_xll.qlRateHelperRate(X29,Trigger),"")</f>
        <v>6.5599999999999999E-3</v>
      </c>
      <c r="AA29" s="95" t="str">
        <f>IF(ISERROR(_xll.qlSwapRateHelperSpread($X29)),IF(ISERROR(_xll.qlFuturesRateHelperConvexityAdjustment($X29)),"",_xll.qlFuturesRateHelperConvexityAdjustment($X29)),_xll.qlSwapRateHelperSpread($X29))</f>
        <v/>
      </c>
      <c r="AB29" s="4">
        <f>IFERROR(_xll.qlRateHelperEarliestDate(X29,Trigger),"")</f>
        <v>42559</v>
      </c>
      <c r="AC29" s="4">
        <f>IFERROR(_xll.qlRateHelperPillarDate(X29,Trigger),"")</f>
        <v>46944</v>
      </c>
      <c r="AD29" s="206">
        <v>0.92333583552805965</v>
      </c>
    </row>
    <row r="30" spans="1:39" ht="11.25" customHeight="1" x14ac:dyDescent="0.2">
      <c r="A30" s="58" t="s">
        <v>70</v>
      </c>
      <c r="B30" s="59" t="s">
        <v>58</v>
      </c>
      <c r="C30" s="60">
        <v>0</v>
      </c>
      <c r="D30" s="256"/>
      <c r="E30" s="256"/>
      <c r="F30" s="256"/>
      <c r="G30" s="61" t="str">
        <f t="shared" si="5"/>
        <v>Sonia</v>
      </c>
      <c r="H30" s="62" t="str">
        <f t="shared" si="4"/>
        <v>GBP8YOIS_Quote</v>
      </c>
      <c r="I30" s="259"/>
      <c r="J30" s="223" t="str">
        <f>IF(P28,_xll.qlOISRateHelper(,C30,B30,H30,$G30,,Permanent,Trigger,ObjectOverwrite),"--")</f>
        <v>obj_002ed#0001</v>
      </c>
      <c r="L30" s="226" t="str">
        <f t="shared" si="1"/>
        <v>OIS</v>
      </c>
      <c r="M30" s="230" t="str">
        <f t="shared" si="2"/>
        <v>GBP10YOIS_Quote</v>
      </c>
      <c r="N30" s="228">
        <f>IFERROR(_xll.qlQuoteValue(H32,Trigger),"--")</f>
        <v>5.3300000000000005E-3</v>
      </c>
      <c r="O30" s="229"/>
      <c r="P30" s="90" t="b">
        <v>1</v>
      </c>
      <c r="Q30" s="87">
        <v>50</v>
      </c>
      <c r="R30" s="87">
        <v>1</v>
      </c>
      <c r="S30" s="87" t="str">
        <f t="shared" si="3"/>
        <v>obj_002e9#0001</v>
      </c>
      <c r="T30" s="91">
        <f>IFERROR(_xll.qlRateHelperEarliestDate(S30,Trigger),"--")</f>
        <v>42559</v>
      </c>
      <c r="U30" s="91">
        <f>IFERROR(_xll.qlRateHelperPillarDate(S30,Trigger),"--")</f>
        <v>46211</v>
      </c>
      <c r="W30" s="3" t="str">
        <f t="shared" si="0"/>
        <v>OIS</v>
      </c>
      <c r="X30" s="3" t="str">
        <v>obj_002e1</v>
      </c>
      <c r="Y30" s="3" t="str">
        <f>IFERROR(_xll.qlRateHelperQuoteName(X30,Trigger),"")</f>
        <v>GBP15YOIS_Quote</v>
      </c>
      <c r="Z30" s="67">
        <f>IFERROR(_xll.qlRateHelperRate(X30,Trigger),"")</f>
        <v>7.7600000000000004E-3</v>
      </c>
      <c r="AA30" s="95" t="str">
        <f>IF(ISERROR(_xll.qlSwapRateHelperSpread($X30)),IF(ISERROR(_xll.qlFuturesRateHelperConvexityAdjustment($X30)),"",_xll.qlFuturesRateHelperConvexityAdjustment($X30)),_xll.qlSwapRateHelperSpread($X30))</f>
        <v/>
      </c>
      <c r="AB30" s="4">
        <f>IFERROR(_xll.qlRateHelperEarliestDate(X30,Trigger),"")</f>
        <v>42559</v>
      </c>
      <c r="AC30" s="4">
        <f>IFERROR(_xll.qlRateHelperPillarDate(X30,Trigger),"")</f>
        <v>48037</v>
      </c>
      <c r="AD30" s="206">
        <v>0.88840282507148616</v>
      </c>
    </row>
    <row r="31" spans="1:39" ht="11.25" customHeight="1" x14ac:dyDescent="0.2">
      <c r="A31" s="58" t="s">
        <v>70</v>
      </c>
      <c r="B31" s="59" t="s">
        <v>59</v>
      </c>
      <c r="C31" s="60">
        <v>0</v>
      </c>
      <c r="D31" s="256"/>
      <c r="E31" s="256"/>
      <c r="F31" s="256"/>
      <c r="G31" s="61" t="str">
        <f t="shared" si="5"/>
        <v>Sonia</v>
      </c>
      <c r="H31" s="62" t="str">
        <f t="shared" si="4"/>
        <v>GBP9YOIS_Quote</v>
      </c>
      <c r="I31" s="259"/>
      <c r="J31" s="223" t="str">
        <f>IF(P29,_xll.qlOISRateHelper(,C31,B31,H31,$G31,,Permanent,Trigger,ObjectOverwrite),"--")</f>
        <v>obj_002fc#0001</v>
      </c>
      <c r="L31" s="226" t="str">
        <f t="shared" si="1"/>
        <v>OIS</v>
      </c>
      <c r="M31" s="230" t="str">
        <f t="shared" si="2"/>
        <v>GBP11YOIS_Quote</v>
      </c>
      <c r="N31" s="228" t="str">
        <f>IFERROR(_xll.qlQuoteValue(H33,Trigger),"--")</f>
        <v>--</v>
      </c>
      <c r="O31" s="229"/>
      <c r="P31" s="90" t="b">
        <v>0</v>
      </c>
      <c r="Q31" s="87">
        <v>50</v>
      </c>
      <c r="R31" s="87">
        <v>1</v>
      </c>
      <c r="S31" s="87" t="str">
        <f t="shared" si="3"/>
        <v>--</v>
      </c>
      <c r="T31" s="91" t="str">
        <f>IFERROR(_xll.qlRateHelperEarliestDate(S31,Trigger),"--")</f>
        <v>--</v>
      </c>
      <c r="U31" s="91" t="str">
        <f>IFERROR(_xll.qlRateHelperPillarDate(S31,Trigger),"--")</f>
        <v>--</v>
      </c>
      <c r="W31" s="3" t="str">
        <f t="shared" si="0"/>
        <v>OIS</v>
      </c>
      <c r="X31" s="3" t="str">
        <v>obj_002fb</v>
      </c>
      <c r="Y31" s="3" t="str">
        <f>IFERROR(_xll.qlRateHelperQuoteName(X31,Trigger),"")</f>
        <v>GBP20YOIS_Quote</v>
      </c>
      <c r="Z31" s="67">
        <f>IFERROR(_xll.qlRateHelperRate(X31,Trigger),"")</f>
        <v>8.6400000000000018E-3</v>
      </c>
      <c r="AA31" s="95" t="str">
        <f>IF(ISERROR(_xll.qlSwapRateHelperSpread($X31)),IF(ISERROR(_xll.qlFuturesRateHelperConvexityAdjustment($X31)),"",_xll.qlFuturesRateHelperConvexityAdjustment($X31)),_xll.qlSwapRateHelperSpread($X31))</f>
        <v/>
      </c>
      <c r="AB31" s="4">
        <f>IFERROR(_xll.qlRateHelperEarliestDate(X31,Trigger),"")</f>
        <v>42559</v>
      </c>
      <c r="AC31" s="4">
        <f>IFERROR(_xll.qlRateHelperPillarDate(X31,Trigger),"")</f>
        <v>49864</v>
      </c>
      <c r="AD31" s="206">
        <v>0.83865836081592027</v>
      </c>
    </row>
    <row r="32" spans="1:39" ht="11.25" customHeight="1" x14ac:dyDescent="0.2">
      <c r="A32" s="58" t="s">
        <v>70</v>
      </c>
      <c r="B32" s="59" t="s">
        <v>60</v>
      </c>
      <c r="C32" s="60">
        <v>0</v>
      </c>
      <c r="D32" s="256"/>
      <c r="E32" s="256"/>
      <c r="F32" s="256"/>
      <c r="G32" s="61" t="str">
        <f t="shared" si="5"/>
        <v>Sonia</v>
      </c>
      <c r="H32" s="62" t="str">
        <f t="shared" si="4"/>
        <v>GBP10YOIS_Quote</v>
      </c>
      <c r="I32" s="259"/>
      <c r="J32" s="223" t="str">
        <f>IF(P30,_xll.qlOISRateHelper(,C32,B32,H32,$G32,,Permanent,Trigger,ObjectOverwrite),"--")</f>
        <v>obj_002e9#0001</v>
      </c>
      <c r="L32" s="226" t="str">
        <f t="shared" si="1"/>
        <v>OIS</v>
      </c>
      <c r="M32" s="230" t="str">
        <f t="shared" si="2"/>
        <v>GBP12YOIS_Quote</v>
      </c>
      <c r="N32" s="228">
        <f>IFERROR(_xll.qlQuoteValue(H34,Trigger),"--")</f>
        <v>6.5599999999999999E-3</v>
      </c>
      <c r="O32" s="229"/>
      <c r="P32" s="90" t="b">
        <v>1</v>
      </c>
      <c r="Q32" s="87">
        <v>50</v>
      </c>
      <c r="R32" s="87">
        <v>1</v>
      </c>
      <c r="S32" s="87" t="str">
        <f t="shared" si="3"/>
        <v>obj_002e2#0001</v>
      </c>
      <c r="T32" s="91">
        <f>IFERROR(_xll.qlRateHelperEarliestDate(S32,Trigger),"--")</f>
        <v>42559</v>
      </c>
      <c r="U32" s="91">
        <f>IFERROR(_xll.qlRateHelperPillarDate(S32,Trigger),"--")</f>
        <v>46944</v>
      </c>
      <c r="W32" s="3" t="str">
        <f t="shared" si="0"/>
        <v>OIS</v>
      </c>
      <c r="X32" s="3" t="str">
        <v>obj_002ea</v>
      </c>
      <c r="Y32" s="3" t="str">
        <f>IFERROR(_xll.qlRateHelperQuoteName(X32,Trigger),"")</f>
        <v>GBP25YOIS_Quote</v>
      </c>
      <c r="Z32" s="67">
        <f>IFERROR(_xll.qlRateHelperRate(X32,Trigger),"")</f>
        <v>8.8100000000000001E-3</v>
      </c>
      <c r="AA32" s="95" t="str">
        <f>IF(ISERROR(_xll.qlSwapRateHelperSpread($X32)),IF(ISERROR(_xll.qlFuturesRateHelperConvexityAdjustment($X32)),"",_xll.qlFuturesRateHelperConvexityAdjustment($X32)),_xll.qlSwapRateHelperSpread($X32))</f>
        <v/>
      </c>
      <c r="AB32" s="4">
        <f>IFERROR(_xll.qlRateHelperEarliestDate(X32,Trigger),"")</f>
        <v>42559</v>
      </c>
      <c r="AC32" s="4">
        <f>IFERROR(_xll.qlRateHelperPillarDate(X32,Trigger),"")</f>
        <v>51690</v>
      </c>
      <c r="AD32" s="206">
        <v>0.79957871790360691</v>
      </c>
    </row>
    <row r="33" spans="1:30" ht="11.25" customHeight="1" x14ac:dyDescent="0.2">
      <c r="A33" s="58" t="s">
        <v>70</v>
      </c>
      <c r="B33" s="59" t="s">
        <v>97</v>
      </c>
      <c r="C33" s="60">
        <v>0</v>
      </c>
      <c r="D33" s="256"/>
      <c r="E33" s="256"/>
      <c r="F33" s="256"/>
      <c r="G33" s="61" t="str">
        <f t="shared" si="5"/>
        <v>Sonia</v>
      </c>
      <c r="H33" s="62" t="str">
        <f t="shared" si="4"/>
        <v>GBP11YOIS_Quote</v>
      </c>
      <c r="I33" s="259"/>
      <c r="J33" s="223" t="str">
        <f>IF(P31,_xll.qlOISRateHelper(,C33,B33,H33,$G33,,Permanent,Trigger,ObjectOverwrite),"--")</f>
        <v>--</v>
      </c>
      <c r="L33" s="226" t="str">
        <f t="shared" si="1"/>
        <v>OIS</v>
      </c>
      <c r="M33" s="230" t="str">
        <f t="shared" si="2"/>
        <v>GBP15YOIS_Quote</v>
      </c>
      <c r="N33" s="228">
        <f>IFERROR(_xll.qlQuoteValue(H35,Trigger),"--")</f>
        <v>7.7600000000000004E-3</v>
      </c>
      <c r="O33" s="229"/>
      <c r="P33" s="90" t="b">
        <v>1</v>
      </c>
      <c r="Q33" s="87">
        <v>50</v>
      </c>
      <c r="R33" s="87">
        <v>1</v>
      </c>
      <c r="S33" s="87" t="str">
        <f t="shared" si="3"/>
        <v>obj_002e1#0001</v>
      </c>
      <c r="T33" s="91">
        <f>IFERROR(_xll.qlRateHelperEarliestDate(S33,Trigger),"--")</f>
        <v>42559</v>
      </c>
      <c r="U33" s="91">
        <f>IFERROR(_xll.qlRateHelperPillarDate(S33,Trigger),"--")</f>
        <v>48037</v>
      </c>
      <c r="W33" s="3" t="str">
        <f t="shared" si="0"/>
        <v>OIS</v>
      </c>
      <c r="X33" s="3" t="str">
        <v>obj_002f3</v>
      </c>
      <c r="Y33" s="3" t="str">
        <f>IFERROR(_xll.qlRateHelperQuoteName(X33,Trigger),"")</f>
        <v>GBP30YOIS_Quote</v>
      </c>
      <c r="Z33" s="67">
        <f>IFERROR(_xll.qlRateHelperRate(X33,Trigger),"")</f>
        <v>8.8200000000000014E-3</v>
      </c>
      <c r="AA33" s="95" t="str">
        <f>IF(ISERROR(_xll.qlSwapRateHelperSpread($X33)),IF(ISERROR(_xll.qlFuturesRateHelperConvexityAdjustment($X33)),"",_xll.qlFuturesRateHelperConvexityAdjustment($X33)),_xll.qlSwapRateHelperSpread($X33))</f>
        <v/>
      </c>
      <c r="AB33" s="4">
        <f>IFERROR(_xll.qlRateHelperEarliestDate(X33,Trigger),"")</f>
        <v>42559</v>
      </c>
      <c r="AC33" s="4">
        <f>IFERROR(_xll.qlRateHelperPillarDate(X33,Trigger),"")</f>
        <v>53517</v>
      </c>
      <c r="AD33" s="206">
        <v>0.76498599536845013</v>
      </c>
    </row>
    <row r="34" spans="1:30" ht="11.25" customHeight="1" x14ac:dyDescent="0.2">
      <c r="A34" s="58" t="s">
        <v>70</v>
      </c>
      <c r="B34" s="59" t="s">
        <v>61</v>
      </c>
      <c r="C34" s="60">
        <v>0</v>
      </c>
      <c r="D34" s="256"/>
      <c r="E34" s="256"/>
      <c r="F34" s="256"/>
      <c r="G34" s="61" t="str">
        <f t="shared" si="5"/>
        <v>Sonia</v>
      </c>
      <c r="H34" s="62" t="str">
        <f t="shared" si="4"/>
        <v>GBP12YOIS_Quote</v>
      </c>
      <c r="I34" s="259"/>
      <c r="J34" s="223" t="str">
        <f>IF(P32,_xll.qlOISRateHelper(,C34,B34,H34,$G34,,Permanent,Trigger,ObjectOverwrite),"--")</f>
        <v>obj_002e2#0001</v>
      </c>
      <c r="L34" s="226" t="str">
        <f t="shared" si="1"/>
        <v>OIS</v>
      </c>
      <c r="M34" s="230" t="str">
        <f t="shared" si="2"/>
        <v>GBP20YOIS_Quote</v>
      </c>
      <c r="N34" s="228">
        <f>IFERROR(_xll.qlQuoteValue(H36,Trigger),"--")</f>
        <v>8.6400000000000018E-3</v>
      </c>
      <c r="O34" s="229"/>
      <c r="P34" s="90" t="b">
        <v>1</v>
      </c>
      <c r="Q34" s="87">
        <v>50</v>
      </c>
      <c r="R34" s="87">
        <v>1</v>
      </c>
      <c r="S34" s="87" t="str">
        <f t="shared" si="3"/>
        <v>obj_002fb#0001</v>
      </c>
      <c r="T34" s="91">
        <f>IFERROR(_xll.qlRateHelperEarliestDate(S34,Trigger),"--")</f>
        <v>42559</v>
      </c>
      <c r="U34" s="91">
        <f>IFERROR(_xll.qlRateHelperPillarDate(S34,Trigger),"--")</f>
        <v>49864</v>
      </c>
      <c r="W34" s="3" t="str">
        <f t="shared" si="0"/>
        <v>OIS</v>
      </c>
      <c r="X34" s="3" t="str">
        <v>obj_00301</v>
      </c>
      <c r="Y34" s="3" t="str">
        <f>IFERROR(_xll.qlRateHelperQuoteName(X34,Trigger),"")</f>
        <v>GBP40YOIS_Quote</v>
      </c>
      <c r="Z34" s="67">
        <f>IFERROR(_xll.qlRateHelperRate(X34,Trigger),"")</f>
        <v>8.4000000000000012E-3</v>
      </c>
      <c r="AA34" s="95" t="str">
        <f>IF(ISERROR(_xll.qlSwapRateHelperSpread($X34)),IF(ISERROR(_xll.qlFuturesRateHelperConvexityAdjustment($X34)),"",_xll.qlFuturesRateHelperConvexityAdjustment($X34)),_xll.qlSwapRateHelperSpread($X34))</f>
        <v/>
      </c>
      <c r="AB34" s="4">
        <f>IFERROR(_xll.qlRateHelperEarliestDate(X34,Trigger),"")</f>
        <v>42559</v>
      </c>
      <c r="AC34" s="4">
        <f>IFERROR(_xll.qlRateHelperPillarDate(X34,Trigger),"")</f>
        <v>57171</v>
      </c>
      <c r="AD34" s="206">
        <v>0.71432032991687722</v>
      </c>
    </row>
    <row r="35" spans="1:30" ht="11.25" customHeight="1" x14ac:dyDescent="0.2">
      <c r="A35" s="58" t="s">
        <v>70</v>
      </c>
      <c r="B35" s="59" t="s">
        <v>62</v>
      </c>
      <c r="C35" s="60">
        <v>0</v>
      </c>
      <c r="D35" s="256"/>
      <c r="E35" s="256"/>
      <c r="F35" s="256"/>
      <c r="G35" s="61" t="str">
        <f t="shared" si="5"/>
        <v>Sonia</v>
      </c>
      <c r="H35" s="62" t="str">
        <f t="shared" si="4"/>
        <v>GBP15YOIS_Quote</v>
      </c>
      <c r="I35" s="259"/>
      <c r="J35" s="223" t="str">
        <f>IF(P33,_xll.qlOISRateHelper(,C35,B35,H35,$G35,,Permanent,Trigger,ObjectOverwrite),"--")</f>
        <v>obj_002e1#0001</v>
      </c>
      <c r="L35" s="226" t="str">
        <f t="shared" si="1"/>
        <v>OIS</v>
      </c>
      <c r="M35" s="230" t="str">
        <f t="shared" si="2"/>
        <v>GBP25YOIS_Quote</v>
      </c>
      <c r="N35" s="228">
        <f>IFERROR(_xll.qlQuoteValue(H37,Trigger),"--")</f>
        <v>8.8100000000000001E-3</v>
      </c>
      <c r="O35" s="229"/>
      <c r="P35" s="90" t="b">
        <v>1</v>
      </c>
      <c r="Q35" s="87">
        <v>50</v>
      </c>
      <c r="R35" s="87">
        <v>1</v>
      </c>
      <c r="S35" s="87" t="str">
        <f t="shared" si="3"/>
        <v>obj_002ea#0001</v>
      </c>
      <c r="T35" s="91">
        <f>IFERROR(_xll.qlRateHelperEarliestDate(S35,Trigger),"--")</f>
        <v>42559</v>
      </c>
      <c r="U35" s="91">
        <f>IFERROR(_xll.qlRateHelperPillarDate(S35,Trigger),"--")</f>
        <v>51690</v>
      </c>
      <c r="W35" s="3" t="str">
        <f t="shared" si="0"/>
        <v>OIS</v>
      </c>
      <c r="X35" s="3" t="str">
        <v>obj_002f5</v>
      </c>
      <c r="Y35" s="3" t="str">
        <f>IFERROR(_xll.qlRateHelperQuoteName(X35,Trigger),"")</f>
        <v>GBP50YOIS_Quote</v>
      </c>
      <c r="Z35" s="67">
        <f>IFERROR(_xll.qlRateHelperRate(X35,Trigger),"")</f>
        <v>8.1000000000000013E-3</v>
      </c>
      <c r="AA35" s="95" t="str">
        <f>IF(ISERROR(_xll.qlSwapRateHelperSpread($X35)),IF(ISERROR(_xll.qlFuturesRateHelperConvexityAdjustment($X35)),"",_xll.qlFuturesRateHelperConvexityAdjustment($X35)),_xll.qlSwapRateHelperSpread($X35))</f>
        <v/>
      </c>
      <c r="AB35" s="4">
        <f>IFERROR(_xll.qlRateHelperEarliestDate(X35,Trigger),"")</f>
        <v>42559</v>
      </c>
      <c r="AC35" s="4">
        <f>IFERROR(_xll.qlRateHelperPillarDate(X35,Trigger),"")</f>
        <v>60821</v>
      </c>
      <c r="AD35" s="206">
        <v>0.66865132224724433</v>
      </c>
    </row>
    <row r="36" spans="1:30" ht="11.25" customHeight="1" x14ac:dyDescent="0.2">
      <c r="A36" s="58" t="s">
        <v>70</v>
      </c>
      <c r="B36" s="59" t="s">
        <v>63</v>
      </c>
      <c r="C36" s="60">
        <v>0</v>
      </c>
      <c r="D36" s="256"/>
      <c r="E36" s="256"/>
      <c r="F36" s="256"/>
      <c r="G36" s="61" t="str">
        <f t="shared" si="5"/>
        <v>Sonia</v>
      </c>
      <c r="H36" s="62" t="str">
        <f t="shared" si="4"/>
        <v>GBP20YOIS_Quote</v>
      </c>
      <c r="I36" s="259"/>
      <c r="J36" s="223" t="str">
        <f>IF(P34,_xll.qlOISRateHelper(,C36,B36,H36,$G36,,Permanent,Trigger,ObjectOverwrite),"--")</f>
        <v>obj_002fb#0001</v>
      </c>
      <c r="L36" s="226" t="str">
        <f t="shared" si="1"/>
        <v>OIS</v>
      </c>
      <c r="M36" s="230" t="str">
        <f t="shared" si="2"/>
        <v>GBP30YOIS_Quote</v>
      </c>
      <c r="N36" s="228">
        <f>IFERROR(_xll.qlQuoteValue(H38,Trigger),"--")</f>
        <v>8.8200000000000014E-3</v>
      </c>
      <c r="O36" s="229"/>
      <c r="P36" s="90" t="b">
        <v>1</v>
      </c>
      <c r="Q36" s="87">
        <v>50</v>
      </c>
      <c r="R36" s="87">
        <v>1</v>
      </c>
      <c r="S36" s="87" t="str">
        <f t="shared" si="3"/>
        <v>obj_002f3#0001</v>
      </c>
      <c r="T36" s="91">
        <f>IFERROR(_xll.qlRateHelperEarliestDate(S36,Trigger),"--")</f>
        <v>42559</v>
      </c>
      <c r="U36" s="91">
        <f>IFERROR(_xll.qlRateHelperPillarDate(S36,Trigger),"--")</f>
        <v>53517</v>
      </c>
      <c r="W36" s="3" t="str">
        <f t="shared" si="0"/>
        <v>OIS</v>
      </c>
      <c r="X36" s="3" t="str">
        <v>obj_002fe</v>
      </c>
      <c r="Y36" s="3" t="str">
        <f>IFERROR(_xll.qlRateHelperQuoteName(X36,Trigger),"")</f>
        <v>GBP60YOIS_Quote</v>
      </c>
      <c r="Z36" s="67">
        <f>IFERROR(_xll.qlRateHelperRate(X36,Trigger),"")</f>
        <v>8.1700000000000019E-3</v>
      </c>
      <c r="AA36" s="95" t="str">
        <f>IF(ISERROR(_xll.qlSwapRateHelperSpread($X36)),IF(ISERROR(_xll.qlFuturesRateHelperConvexityAdjustment($X36)),"",_xll.qlFuturesRateHelperConvexityAdjustment($X36)),_xll.qlSwapRateHelperSpread($X36))</f>
        <v/>
      </c>
      <c r="AB36" s="4">
        <f>IFERROR(_xll.qlRateHelperEarliestDate(X36,Trigger),"")</f>
        <v>42559</v>
      </c>
      <c r="AC36" s="4">
        <f>IFERROR(_xll.qlRateHelperPillarDate(X36,Trigger),"")</f>
        <v>64474</v>
      </c>
      <c r="AD36" s="206">
        <v>0.61355842665508942</v>
      </c>
    </row>
    <row r="37" spans="1:30" ht="11.25" customHeight="1" x14ac:dyDescent="0.2">
      <c r="A37" s="58" t="s">
        <v>70</v>
      </c>
      <c r="B37" s="59" t="s">
        <v>64</v>
      </c>
      <c r="C37" s="60">
        <v>0</v>
      </c>
      <c r="D37" s="256"/>
      <c r="E37" s="256"/>
      <c r="F37" s="256"/>
      <c r="G37" s="61" t="str">
        <f t="shared" si="5"/>
        <v>Sonia</v>
      </c>
      <c r="H37" s="62" t="str">
        <f t="shared" si="4"/>
        <v>GBP25YOIS_Quote</v>
      </c>
      <c r="I37" s="259"/>
      <c r="J37" s="223" t="str">
        <f>IF(P35,_xll.qlOISRateHelper(,C37,B37,H37,$G37,,Permanent,Trigger,ObjectOverwrite),"--")</f>
        <v>obj_002ea#0001</v>
      </c>
      <c r="L37" s="226" t="str">
        <f t="shared" si="1"/>
        <v>OIS</v>
      </c>
      <c r="M37" s="230" t="str">
        <f t="shared" si="2"/>
        <v>GBP40YOIS_Quote</v>
      </c>
      <c r="N37" s="228">
        <f>IFERROR(_xll.qlQuoteValue(H39,Trigger),"--")</f>
        <v>8.4000000000000012E-3</v>
      </c>
      <c r="O37" s="229"/>
      <c r="P37" s="90" t="b">
        <v>1</v>
      </c>
      <c r="Q37" s="87">
        <v>50</v>
      </c>
      <c r="R37" s="87">
        <v>1</v>
      </c>
      <c r="S37" s="87" t="str">
        <f t="shared" si="3"/>
        <v>obj_00301#0001</v>
      </c>
      <c r="T37" s="91">
        <f>IFERROR(_xll.qlRateHelperEarliestDate(S37,Trigger),"--")</f>
        <v>42559</v>
      </c>
      <c r="U37" s="91">
        <f>IFERROR(_xll.qlRateHelperPillarDate(S37,Trigger),"--")</f>
        <v>57171</v>
      </c>
      <c r="W37" s="3" t="str">
        <f t="shared" si="0"/>
        <v/>
      </c>
      <c r="X37" s="3" t="e">
        <v>#N/A</v>
      </c>
      <c r="Y37" s="3" t="str">
        <f>IFERROR(_xll.qlRateHelperQuoteName(X37,Trigger),"")</f>
        <v/>
      </c>
      <c r="Z37" s="67" t="str">
        <f>IFERROR(_xll.qlRateHelperRate(X37,Trigger),"")</f>
        <v/>
      </c>
      <c r="AA37" s="95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206" t="e">
        <v>#N/A</v>
      </c>
    </row>
    <row r="38" spans="1:30" ht="11.25" customHeight="1" x14ac:dyDescent="0.2">
      <c r="A38" s="58" t="s">
        <v>70</v>
      </c>
      <c r="B38" s="59" t="s">
        <v>66</v>
      </c>
      <c r="C38" s="60">
        <v>0</v>
      </c>
      <c r="D38" s="256"/>
      <c r="E38" s="256"/>
      <c r="F38" s="256"/>
      <c r="G38" s="61" t="str">
        <f t="shared" si="5"/>
        <v>Sonia</v>
      </c>
      <c r="H38" s="62" t="str">
        <f t="shared" si="4"/>
        <v>GBP30YOIS_Quote</v>
      </c>
      <c r="I38" s="259"/>
      <c r="J38" s="223" t="str">
        <f>IF(P36,_xll.qlOISRateHelper(,C38,B38,H38,$G38,,Permanent,Trigger,ObjectOverwrite),"--")</f>
        <v>obj_002f3#0001</v>
      </c>
      <c r="L38" s="226" t="str">
        <f t="shared" si="1"/>
        <v>OIS</v>
      </c>
      <c r="M38" s="230" t="str">
        <f t="shared" si="2"/>
        <v>GBP50YOIS_Quote</v>
      </c>
      <c r="N38" s="228">
        <f>IFERROR(_xll.qlQuoteValue(H40,Trigger),"--")</f>
        <v>8.1000000000000013E-3</v>
      </c>
      <c r="O38" s="229"/>
      <c r="P38" s="90" t="b">
        <v>1</v>
      </c>
      <c r="Q38" s="87">
        <v>50</v>
      </c>
      <c r="R38" s="87">
        <v>1</v>
      </c>
      <c r="S38" s="87" t="str">
        <f t="shared" si="3"/>
        <v>obj_002f5#0001</v>
      </c>
      <c r="T38" s="91">
        <f>IFERROR(_xll.qlRateHelperEarliestDate(S38,Trigger),"--")</f>
        <v>42559</v>
      </c>
      <c r="U38" s="91">
        <f>IFERROR(_xll.qlRateHelperPillarDate(S38,Trigger),"--")</f>
        <v>60821</v>
      </c>
      <c r="W38" s="3" t="str">
        <f t="shared" si="0"/>
        <v/>
      </c>
      <c r="X38" s="3" t="e">
        <v>#N/A</v>
      </c>
      <c r="Y38" s="3" t="str">
        <f>IFERROR(_xll.qlRateHelperQuoteName(X38,Trigger),"")</f>
        <v/>
      </c>
      <c r="Z38" s="67" t="str">
        <f>IFERROR(_xll.qlRateHelperRate(X38,Trigger),"")</f>
        <v/>
      </c>
      <c r="AA38" s="95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206" t="e">
        <v>#N/A</v>
      </c>
    </row>
    <row r="39" spans="1:30" ht="11.25" customHeight="1" x14ac:dyDescent="0.2">
      <c r="A39" s="58" t="s">
        <v>70</v>
      </c>
      <c r="B39" s="59" t="s">
        <v>68</v>
      </c>
      <c r="C39" s="60">
        <v>0</v>
      </c>
      <c r="D39" s="256"/>
      <c r="E39" s="256"/>
      <c r="F39" s="256"/>
      <c r="G39" s="61" t="str">
        <f t="shared" si="5"/>
        <v>Sonia</v>
      </c>
      <c r="H39" s="62" t="str">
        <f t="shared" si="4"/>
        <v>GBP40YOIS_Quote</v>
      </c>
      <c r="I39" s="259"/>
      <c r="J39" s="223" t="str">
        <f>IF(P37,_xll.qlOISRateHelper(,C39,B39,H39,$G39,,Permanent,Trigger,ObjectOverwrite),"--")</f>
        <v>obj_00301#0001</v>
      </c>
      <c r="L39" s="231" t="str">
        <f t="shared" si="1"/>
        <v>OIS</v>
      </c>
      <c r="M39" s="232" t="str">
        <f t="shared" si="2"/>
        <v>GBP60YOIS_Quote</v>
      </c>
      <c r="N39" s="233">
        <f>IFERROR(_xll.qlQuoteValue(H41,Trigger),"--")</f>
        <v>8.1700000000000019E-3</v>
      </c>
      <c r="O39" s="234"/>
      <c r="P39" s="92" t="b">
        <v>1</v>
      </c>
      <c r="Q39" s="88">
        <v>50</v>
      </c>
      <c r="R39" s="88">
        <v>1</v>
      </c>
      <c r="S39" s="88" t="str">
        <f t="shared" si="3"/>
        <v>obj_002fe#0001</v>
      </c>
      <c r="T39" s="93">
        <f>IFERROR(_xll.qlRateHelperEarliestDate(S39,Trigger),"--")</f>
        <v>42559</v>
      </c>
      <c r="U39" s="93">
        <f>IFERROR(_xll.qlRateHelperPillarDate(S39,Trigger),"--")</f>
        <v>64474</v>
      </c>
      <c r="W39" s="5" t="str">
        <f t="shared" si="0"/>
        <v/>
      </c>
      <c r="X39" s="5" t="e">
        <v>#N/A</v>
      </c>
      <c r="Y39" s="5" t="str">
        <f>IFERROR(_xll.qlRateHelperQuoteName(X39,Trigger),"")</f>
        <v/>
      </c>
      <c r="Z39" s="72" t="str">
        <f>IFERROR(_xll.qlRateHelperRate(X39,Trigger),"")</f>
        <v/>
      </c>
      <c r="AA39" s="96" t="str">
        <f>IF(ISERROR(_xll.qlSwapRateHelperSpread($X39)),IF(ISERROR(_xll.qlFuturesRateHelperConvexityAdjustment($X39)),"",_xll.qlFuturesRateHelperConvexityAdjustment($X39)),_xll.qlSwapRateHelperSpread($X39))</f>
        <v/>
      </c>
      <c r="AB39" s="9" t="str">
        <f>IFERROR(_xll.qlRateHelperEarliestDate(X39,Trigger),"")</f>
        <v/>
      </c>
      <c r="AC39" s="9" t="str">
        <f>IFERROR(_xll.qlRateHelperPillarDate(X39,Trigger),"")</f>
        <v/>
      </c>
      <c r="AD39" s="207" t="e">
        <v>#N/A</v>
      </c>
    </row>
    <row r="40" spans="1:30" ht="11.25" customHeight="1" x14ac:dyDescent="0.2">
      <c r="A40" s="58" t="s">
        <v>70</v>
      </c>
      <c r="B40" s="59" t="s">
        <v>69</v>
      </c>
      <c r="C40" s="60">
        <v>0</v>
      </c>
      <c r="D40" s="256"/>
      <c r="E40" s="256"/>
      <c r="F40" s="256"/>
      <c r="G40" s="61" t="str">
        <f t="shared" si="5"/>
        <v>Sonia</v>
      </c>
      <c r="H40" s="62" t="str">
        <f t="shared" si="4"/>
        <v>GBP50YOIS_Quote</v>
      </c>
      <c r="I40" s="259"/>
      <c r="J40" s="223" t="str">
        <f>IF(P38,_xll.qlOISRateHelper(,C40,B40,H40,$G40,,Permanent,Trigger,ObjectOverwrite),"--")</f>
        <v>obj_002f5#0001</v>
      </c>
      <c r="Y40" s="255" t="str">
        <f>_xll.ohGroup("GBPON__instruments",Y3:Y39,Permanent,Trigger,ObjectOverwrite)</f>
        <v>GBPON__instruments#0001</v>
      </c>
    </row>
    <row r="41" spans="1:30" ht="11.25" customHeight="1" x14ac:dyDescent="0.2">
      <c r="A41" s="1" t="s">
        <v>70</v>
      </c>
      <c r="B41" s="7" t="s">
        <v>111</v>
      </c>
      <c r="C41" s="6">
        <v>0</v>
      </c>
      <c r="D41" s="257"/>
      <c r="E41" s="257"/>
      <c r="F41" s="257"/>
      <c r="G41" s="8" t="str">
        <f t="shared" si="5"/>
        <v>Sonia</v>
      </c>
      <c r="H41" s="2" t="str">
        <f t="shared" si="4"/>
        <v>GBP60YOIS_Quote</v>
      </c>
      <c r="I41" s="260"/>
      <c r="J41" s="224" t="str">
        <f>IF(P39,_xll.qlOISRateHelper(,C41,B41,H41,$G41,,Permanent,Trigger,ObjectOverwrite),"--")</f>
        <v>obj_002fe#0001</v>
      </c>
    </row>
    <row r="42" spans="1:30" ht="11.25" customHeight="1" x14ac:dyDescent="0.2"/>
    <row r="43" spans="1:30" ht="11.25" customHeight="1" x14ac:dyDescent="0.2"/>
    <row r="44" spans="1:30" ht="11.25" customHeight="1" x14ac:dyDescent="0.2"/>
    <row r="45" spans="1:30" ht="11.25" customHeight="1" x14ac:dyDescent="0.2"/>
    <row r="46" spans="1:30" ht="11.25" customHeight="1" x14ac:dyDescent="0.2"/>
    <row r="47" spans="1:30" ht="11.25" customHeight="1" x14ac:dyDescent="0.2"/>
    <row r="48" spans="1:30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2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39">
      <formula1>"TRUE, FALSE"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42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0" hidden="1" customWidth="1" outlineLevel="1"/>
    <col min="8" max="8" width="20.7109375" style="52" hidden="1" customWidth="1" outlineLevel="1"/>
    <col min="9" max="9" width="25.7109375" style="46" hidden="1" customWidth="1" outlineLevel="1"/>
    <col min="10" max="10" width="15.7109375" style="94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4" hidden="1" customWidth="1" outlineLevel="1"/>
    <col min="14" max="18" width="8.7109375" style="94" hidden="1" customWidth="1" outlineLevel="1"/>
    <col min="19" max="19" width="15.7109375" style="94" hidden="1" customWidth="1" outlineLevel="1"/>
    <col min="20" max="21" width="10.7109375" style="94" hidden="1" customWidth="1" outlineLevel="1"/>
    <col min="22" max="22" width="2.7109375" style="48" hidden="1" customWidth="1" outlineLevel="1"/>
    <col min="23" max="23" width="6" style="46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1" width="2.7109375" style="46" customWidth="1"/>
    <col min="32" max="32" width="3" style="46" bestFit="1" customWidth="1"/>
    <col min="33" max="33" width="24.42578125" style="46" bestFit="1" customWidth="1"/>
    <col min="34" max="34" width="24.42578125" style="46" hidden="1" customWidth="1" outlineLevel="1"/>
    <col min="35" max="35" width="7" style="46" hidden="1" customWidth="1" outlineLevel="1"/>
    <col min="36" max="36" width="11" style="46" hidden="1" customWidth="1" outlineLevel="1"/>
    <col min="37" max="37" width="9" style="46" bestFit="1" customWidth="1" collapsed="1"/>
    <col min="38" max="38" width="10" style="46" bestFit="1" customWidth="1"/>
    <col min="39" max="39" width="24.42578125" style="46" bestFit="1" customWidth="1"/>
    <col min="40" max="16384" width="9.140625" style="46"/>
  </cols>
  <sheetData>
    <row r="1" spans="1:39" ht="18" customHeight="1" x14ac:dyDescent="0.2">
      <c r="G1" s="50" t="s">
        <v>0</v>
      </c>
      <c r="H1" s="50" t="str">
        <f>"_SYNTH"&amp;Tenor</f>
        <v>_SYNTH3M</v>
      </c>
      <c r="L1" s="65" t="s">
        <v>147</v>
      </c>
      <c r="M1" s="97"/>
      <c r="N1" s="97"/>
      <c r="O1" s="89"/>
      <c r="P1" s="97" t="s">
        <v>25</v>
      </c>
      <c r="Q1" s="97"/>
      <c r="R1" s="97"/>
      <c r="S1" s="97"/>
      <c r="T1" s="97"/>
      <c r="U1" s="89"/>
      <c r="V1" s="86"/>
      <c r="W1" s="70" t="str">
        <f>Currency&amp;$G$1</f>
        <v>GBP3M</v>
      </c>
      <c r="X1" s="64"/>
      <c r="Y1" s="64"/>
      <c r="Z1" s="66"/>
      <c r="AA1" s="66"/>
      <c r="AB1" s="64"/>
      <c r="AC1" s="64"/>
      <c r="AD1" s="68" t="s">
        <v>134</v>
      </c>
    </row>
    <row r="2" spans="1:39" ht="21.75" customHeight="1" x14ac:dyDescent="0.2">
      <c r="A2" s="63" t="s">
        <v>9</v>
      </c>
      <c r="B2" s="63" t="s">
        <v>30</v>
      </c>
      <c r="C2" s="63" t="s">
        <v>148</v>
      </c>
      <c r="D2" s="63" t="s">
        <v>126</v>
      </c>
      <c r="E2" s="63" t="s">
        <v>34</v>
      </c>
      <c r="F2" s="63" t="s">
        <v>113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77</v>
      </c>
      <c r="N2" s="69" t="s">
        <v>80</v>
      </c>
      <c r="O2" s="69" t="s">
        <v>82</v>
      </c>
      <c r="P2" s="69" t="s">
        <v>78</v>
      </c>
      <c r="Q2" s="69" t="s">
        <v>79</v>
      </c>
      <c r="R2" s="69" t="s">
        <v>81</v>
      </c>
      <c r="S2" s="69" t="s">
        <v>25</v>
      </c>
      <c r="T2" s="69" t="s">
        <v>23</v>
      </c>
      <c r="U2" s="69" t="s">
        <v>74</v>
      </c>
      <c r="V2" s="86"/>
      <c r="W2" s="214" t="s">
        <v>9</v>
      </c>
      <c r="X2" s="214" t="s">
        <v>25</v>
      </c>
      <c r="Y2" s="214" t="s">
        <v>77</v>
      </c>
      <c r="Z2" s="215" t="s">
        <v>24</v>
      </c>
      <c r="AA2" s="215" t="s">
        <v>82</v>
      </c>
      <c r="AB2" s="214" t="s">
        <v>23</v>
      </c>
      <c r="AC2" s="214" t="s">
        <v>74</v>
      </c>
      <c r="AD2" s="205">
        <f t="array" ref="AD2:AD130">_xll.qlPiecewiseYieldCurveData(YieldCurve_3M,Trigger)</f>
        <v>1</v>
      </c>
      <c r="AE2" s="152"/>
      <c r="AG2" s="192" t="s">
        <v>83</v>
      </c>
      <c r="AH2" s="193"/>
      <c r="AI2" s="193"/>
      <c r="AJ2" s="193"/>
      <c r="AK2" s="194"/>
    </row>
    <row r="3" spans="1:39" ht="11.25" customHeight="1" x14ac:dyDescent="0.2">
      <c r="A3" s="101" t="s">
        <v>27</v>
      </c>
      <c r="B3" s="102" t="s">
        <v>73</v>
      </c>
      <c r="C3" s="103" t="s">
        <v>37</v>
      </c>
      <c r="D3" s="113"/>
      <c r="E3" s="113"/>
      <c r="F3" s="113"/>
      <c r="G3" s="103" t="str">
        <f>_xll.qlLibor(,Currency,C3,,Permanent,Trigger,ObjectOverwrite)</f>
        <v>obj_0026c#0011</v>
      </c>
      <c r="H3" s="110" t="str">
        <f t="shared" ref="H3:H9" si="0">Currency&amp;$B3&amp;"D"&amp;$H$1&amp;QuoteSuffix</f>
        <v>GBPSND_SYNTH3M_Quote</v>
      </c>
      <c r="I3" s="113"/>
      <c r="J3" s="235" t="str">
        <f>IF(P3,_xll.qlDepositRateHelper(,H3,G3,Permanent,Trigger,ObjectOverwrite),"--")</f>
        <v>--</v>
      </c>
      <c r="K3" s="49"/>
      <c r="L3" s="238" t="str">
        <f>A3</f>
        <v>Dp</v>
      </c>
      <c r="M3" s="239" t="str">
        <f>H3</f>
        <v>GBPSND_SYNTH3M_Quote</v>
      </c>
      <c r="N3" s="240">
        <f>IFERROR(_xll.qlQuoteValue(H3,Trigger),"--")</f>
        <v>1.0068000000000001E-2</v>
      </c>
      <c r="O3" s="241"/>
      <c r="P3" s="123" t="b">
        <v>0</v>
      </c>
      <c r="Q3" s="122">
        <v>10</v>
      </c>
      <c r="R3" s="122">
        <v>1</v>
      </c>
      <c r="S3" s="122" t="str">
        <f>J3</f>
        <v>--</v>
      </c>
      <c r="T3" s="124" t="str">
        <f>IFERROR(_xll.qlRateHelperEarliestDate(S3,Trigger),"--")</f>
        <v>--</v>
      </c>
      <c r="U3" s="124" t="str">
        <f>IFERROR(_xll.qlRateHelperPillarDate(S3,Trigger),"--")</f>
        <v>--</v>
      </c>
      <c r="W3" s="216" t="str">
        <f t="shared" ref="W3:W34" si="1">IFERROR(INDEX($L$3:$L$130,MATCH(Y3,$M$3:$M$130,0),1),"")</f>
        <v>Dp</v>
      </c>
      <c r="X3" s="216" t="str">
        <f t="array" ref="X3:X130">_xll.qlRateHelperSelection(_xll.ohFilter(RateHelpers,IncludeFlag),_xll.ohFilter(Priority,IncludeFlag),$AK$3,$AK$4,$AK$5,$AK$6,_xll.ohFilter(MinDistance,IncludeFlag),Trigger)</f>
        <v>obj_00312</v>
      </c>
      <c r="Y3" s="216" t="str">
        <f>IFERROR(_xll.qlRateHelperQuoteName(X3,Trigger),"")</f>
        <v>GBP1MD_SYNTH3M_Quote</v>
      </c>
      <c r="Z3" s="195">
        <f>IFERROR(_xll.qlRateHelperRate(X3,Trigger),"")</f>
        <v>7.4079999999999997E-3</v>
      </c>
      <c r="AA3" s="217" t="str">
        <f>IF(ISERROR(_xll.qlSwapRateHelperSpread($X3)),IF(ISERROR(_xll.qlFuturesRateHelperConvexityAdjustment($X3)),"",_xll.qlFuturesRateHelperConvexityAdjustment($X3)),_xll.qlSwapRateHelperSpread($X3))</f>
        <v/>
      </c>
      <c r="AB3" s="218">
        <f>IFERROR(_xll.qlRateHelperEarliestDate(X3,Trigger),"")</f>
        <v>42559</v>
      </c>
      <c r="AC3" s="218">
        <f>IFERROR(_xll.qlRateHelperPillarDate(X3,Trigger),"")</f>
        <v>42590</v>
      </c>
      <c r="AD3" s="206">
        <v>0.99937122300651771</v>
      </c>
      <c r="AE3" s="152"/>
      <c r="AG3" s="190" t="s">
        <v>84</v>
      </c>
      <c r="AK3" s="191">
        <v>8</v>
      </c>
    </row>
    <row r="4" spans="1:39" ht="11.25" customHeight="1" x14ac:dyDescent="0.2">
      <c r="A4" s="201" t="s">
        <v>27</v>
      </c>
      <c r="B4" s="211" t="s">
        <v>89</v>
      </c>
      <c r="C4" s="263"/>
      <c r="D4" s="212"/>
      <c r="E4" s="212"/>
      <c r="F4" s="212"/>
      <c r="G4" s="203" t="str">
        <f>PROPER(Currency)&amp;FamilyName&amp;B4</f>
        <v>GbpLiborSW</v>
      </c>
      <c r="H4" s="213" t="str">
        <f t="shared" si="0"/>
        <v>GBPSWD_SYNTH3M_Quote</v>
      </c>
      <c r="I4" s="212"/>
      <c r="J4" s="236" t="str">
        <f>IF(P4,_xll.qlDepositRateHelper(,H4,G4,Permanent,Trigger,ObjectOverwrite),"--")</f>
        <v>--</v>
      </c>
      <c r="K4" s="48"/>
      <c r="L4" s="226" t="str">
        <f t="shared" ref="L4:L9" si="2">A4</f>
        <v>Dp</v>
      </c>
      <c r="M4" s="230" t="str">
        <f t="shared" ref="M4:M9" si="3">H4</f>
        <v>GBPSWD_SYNTH3M_Quote</v>
      </c>
      <c r="N4" s="228">
        <f>IFERROR(_xll.qlQuoteValue(H4,Trigger),"--")</f>
        <v>9.7429999999999999E-3</v>
      </c>
      <c r="O4" s="229"/>
      <c r="P4" s="90" t="b">
        <v>0</v>
      </c>
      <c r="Q4" s="87">
        <v>10</v>
      </c>
      <c r="R4" s="87">
        <v>1</v>
      </c>
      <c r="S4" s="87" t="str">
        <f t="shared" ref="S4:S9" si="4">J4</f>
        <v>--</v>
      </c>
      <c r="T4" s="91" t="str">
        <f>IFERROR(_xll.qlRateHelperEarliestDate(S4,Trigger),"--")</f>
        <v>--</v>
      </c>
      <c r="U4" s="91" t="str">
        <f>IFERROR(_xll.qlRateHelperPillarDate(S4,Trigger),"--")</f>
        <v>--</v>
      </c>
      <c r="W4" s="3" t="str">
        <f t="shared" si="1"/>
        <v>Dp</v>
      </c>
      <c r="X4" s="3" t="str">
        <v>obj_00311</v>
      </c>
      <c r="Y4" s="3" t="str">
        <f>IFERROR(_xll.qlRateHelperQuoteName(X4,Trigger),"")</f>
        <v>GBP2MD_SYNTH3M_Quote</v>
      </c>
      <c r="Z4" s="67">
        <f>IFERROR(_xll.qlRateHelperRate(X4,Trigger),"")</f>
        <v>5.9909999999999998E-3</v>
      </c>
      <c r="AA4" s="95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42559</v>
      </c>
      <c r="AC4" s="4">
        <f>IFERROR(_xll.qlRateHelperPillarDate(X4,Trigger),"")</f>
        <v>42621</v>
      </c>
      <c r="AD4" s="206">
        <v>0.9989833852422435</v>
      </c>
      <c r="AE4" s="152"/>
      <c r="AG4" s="98" t="s">
        <v>85</v>
      </c>
      <c r="AK4" s="99">
        <v>0</v>
      </c>
    </row>
    <row r="5" spans="1:39" ht="11.25" customHeight="1" x14ac:dyDescent="0.2">
      <c r="A5" s="197" t="s">
        <v>27</v>
      </c>
      <c r="B5" s="208" t="s">
        <v>39</v>
      </c>
      <c r="C5" s="264"/>
      <c r="D5" s="209"/>
      <c r="E5" s="209"/>
      <c r="F5" s="209"/>
      <c r="G5" s="199" t="str">
        <f>_xll.qlLibor(,Currency,B5,,Permanent,Trigger,ObjectOverwrite)</f>
        <v>obj_002d0#0001</v>
      </c>
      <c r="H5" s="210" t="str">
        <f t="shared" si="0"/>
        <v>GBP2WD_SYNTH3M_Quote</v>
      </c>
      <c r="I5" s="209"/>
      <c r="J5" s="237" t="str">
        <f>IF(P5,_xll.qlDepositRateHelper(,H5,G5,Permanent,Trigger,ObjectOverwrite),"--")</f>
        <v>--</v>
      </c>
      <c r="K5" s="48"/>
      <c r="L5" s="226" t="str">
        <f t="shared" si="2"/>
        <v>Dp</v>
      </c>
      <c r="M5" s="230" t="str">
        <f t="shared" si="3"/>
        <v>GBP2WD_SYNTH3M_Quote</v>
      </c>
      <c r="N5" s="228">
        <f>IFERROR(_xll.qlQuoteValue(H5,Trigger),"--")</f>
        <v>8.5810000000000001E-3</v>
      </c>
      <c r="O5" s="229"/>
      <c r="P5" s="90" t="b">
        <v>0</v>
      </c>
      <c r="Q5" s="87">
        <v>10</v>
      </c>
      <c r="R5" s="87">
        <v>1</v>
      </c>
      <c r="S5" s="87" t="str">
        <f t="shared" si="4"/>
        <v>--</v>
      </c>
      <c r="T5" s="91" t="str">
        <f>IFERROR(_xll.qlRateHelperEarliestDate(S5,Trigger),"--")</f>
        <v>--</v>
      </c>
      <c r="U5" s="91" t="str">
        <f>IFERROR(_xll.qlRateHelperPillarDate(S5,Trigger),"--")</f>
        <v>--</v>
      </c>
      <c r="W5" s="3" t="str">
        <f t="shared" si="1"/>
        <v>Dp</v>
      </c>
      <c r="X5" s="3" t="str">
        <v>obj_0030e</v>
      </c>
      <c r="Y5" s="3" t="str">
        <f>IFERROR(_xll.qlRateHelperQuoteName(X5,Trigger),"")</f>
        <v>GBP3MD_SYNTH3M_Quote</v>
      </c>
      <c r="Z5" s="67">
        <f>IFERROR(_xll.qlRateHelperRate(X5,Trigger),"")</f>
        <v>5.1500000000000001E-3</v>
      </c>
      <c r="AA5" s="95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42559</v>
      </c>
      <c r="AC5" s="4">
        <f>IFERROR(_xll.qlRateHelperPillarDate(X5,Trigger),"")</f>
        <v>42653</v>
      </c>
      <c r="AD5" s="206">
        <v>0.99867545537548696</v>
      </c>
      <c r="AE5" s="152"/>
      <c r="AF5" s="73"/>
      <c r="AG5" s="98" t="s">
        <v>86</v>
      </c>
      <c r="AK5" s="99">
        <v>3</v>
      </c>
    </row>
    <row r="6" spans="1:39" ht="11.25" customHeight="1" x14ac:dyDescent="0.2">
      <c r="A6" s="201" t="s">
        <v>27</v>
      </c>
      <c r="B6" s="211" t="s">
        <v>40</v>
      </c>
      <c r="C6" s="263"/>
      <c r="D6" s="212"/>
      <c r="E6" s="212"/>
      <c r="F6" s="212"/>
      <c r="G6" s="203" t="str">
        <f>_xll.qlLibor(,Currency,B6,,Permanent,Trigger,ObjectOverwrite)</f>
        <v>obj_002cf#0001</v>
      </c>
      <c r="H6" s="213" t="str">
        <f t="shared" si="0"/>
        <v>GBP3WD_SYNTH3M_Quote</v>
      </c>
      <c r="I6" s="212"/>
      <c r="J6" s="236" t="str">
        <f>IF(P6,_xll.qlDepositRateHelper(,H6,G6,Permanent,Trigger,ObjectOverwrite),"--")</f>
        <v>--</v>
      </c>
      <c r="K6" s="48"/>
      <c r="L6" s="226" t="str">
        <f t="shared" si="2"/>
        <v>Dp</v>
      </c>
      <c r="M6" s="230" t="str">
        <f t="shared" si="3"/>
        <v>GBP3WD_SYNTH3M_Quote</v>
      </c>
      <c r="N6" s="228">
        <f>IFERROR(_xll.qlQuoteValue(H6,Trigger),"--")</f>
        <v>7.9550000000000003E-3</v>
      </c>
      <c r="O6" s="229"/>
      <c r="P6" s="90" t="b">
        <v>0</v>
      </c>
      <c r="Q6" s="87">
        <v>10</v>
      </c>
      <c r="R6" s="87">
        <v>1</v>
      </c>
      <c r="S6" s="87" t="str">
        <f t="shared" si="4"/>
        <v>--</v>
      </c>
      <c r="T6" s="91" t="str">
        <f>IFERROR(_xll.qlRateHelperEarliestDate(S6,Trigger),"--")</f>
        <v>--</v>
      </c>
      <c r="U6" s="91" t="str">
        <f>IFERROR(_xll.qlRateHelperPillarDate(S6,Trigger),"--")</f>
        <v>--</v>
      </c>
      <c r="W6" s="3" t="str">
        <f t="shared" si="1"/>
        <v>FUT</v>
      </c>
      <c r="X6" s="3" t="str">
        <v>obj_00314</v>
      </c>
      <c r="Y6" s="3" t="str">
        <f>IFERROR(_xll.qlRateHelperQuoteName(X6,Trigger),"")</f>
        <v>GBPFUT3MU6_Quote</v>
      </c>
      <c r="Z6" s="67">
        <f>IFERROR(_xll.qlRateHelperRate(X6,Trigger),"")</f>
        <v>3.2699755906414507E-3</v>
      </c>
      <c r="AA6" s="95">
        <f>IF(ISERROR(_xll.qlSwapRateHelperSpread($X6)),IF(ISERROR(_xll.qlFuturesRateHelperConvexityAdjustment($X6)),"",_xll.qlFuturesRateHelperConvexityAdjustment($X6)),_xll.qlSwapRateHelperSpread($X6))</f>
        <v>5.0244093585770175E-6</v>
      </c>
      <c r="AB6" s="4">
        <f>IFERROR(_xll.qlRateHelperEarliestDate(X6,Trigger),"")</f>
        <v>42634</v>
      </c>
      <c r="AC6" s="4">
        <f>IFERROR(_xll.qlRateHelperPillarDate(X6,Trigger),"")</f>
        <v>42725</v>
      </c>
      <c r="AD6" s="206">
        <v>0.99804101535763046</v>
      </c>
      <c r="AE6" s="152"/>
      <c r="AG6" s="98" t="s">
        <v>87</v>
      </c>
      <c r="AK6" s="100" t="s">
        <v>88</v>
      </c>
    </row>
    <row r="7" spans="1:39" ht="11.25" customHeight="1" x14ac:dyDescent="0.2">
      <c r="A7" s="58" t="s">
        <v>27</v>
      </c>
      <c r="B7" s="59" t="s">
        <v>2</v>
      </c>
      <c r="C7" s="265"/>
      <c r="D7" s="114"/>
      <c r="E7" s="114"/>
      <c r="F7" s="114"/>
      <c r="G7" s="60" t="str">
        <f>PROPER(Currency)&amp;FamilyName&amp;B7</f>
        <v>GbpLibor1M</v>
      </c>
      <c r="H7" s="111" t="str">
        <f t="shared" si="0"/>
        <v>GBP1MD_SYNTH3M_Quote</v>
      </c>
      <c r="I7" s="114"/>
      <c r="J7" s="223" t="str">
        <f>IF(P7,_xll.qlDepositRateHelper(,H7,G7,Permanent,Trigger,ObjectOverwrite),"--")</f>
        <v>obj_00312#0001</v>
      </c>
      <c r="K7" s="48"/>
      <c r="L7" s="226" t="str">
        <f t="shared" si="2"/>
        <v>Dp</v>
      </c>
      <c r="M7" s="230" t="str">
        <f t="shared" si="3"/>
        <v>GBP1MD_SYNTH3M_Quote</v>
      </c>
      <c r="N7" s="228">
        <f>IFERROR(_xll.qlQuoteValue(H7,Trigger),"--")</f>
        <v>7.4050000000000001E-3</v>
      </c>
      <c r="O7" s="229"/>
      <c r="P7" s="90" t="b">
        <v>1</v>
      </c>
      <c r="Q7" s="87">
        <v>10</v>
      </c>
      <c r="R7" s="87">
        <v>1</v>
      </c>
      <c r="S7" s="87" t="str">
        <f t="shared" si="4"/>
        <v>obj_00312#0001</v>
      </c>
      <c r="T7" s="91">
        <f>IFERROR(_xll.qlRateHelperEarliestDate(S7,Trigger),"--")</f>
        <v>42559</v>
      </c>
      <c r="U7" s="91">
        <f>IFERROR(_xll.qlRateHelperPillarDate(S7,Trigger),"--")</f>
        <v>42590</v>
      </c>
      <c r="W7" s="3" t="str">
        <f t="shared" si="1"/>
        <v>FUT</v>
      </c>
      <c r="X7" s="3" t="str">
        <v>obj_00320</v>
      </c>
      <c r="Y7" s="3" t="str">
        <f>IFERROR(_xll.qlRateHelperQuoteName(X7,Trigger),"")</f>
        <v>GBPFUT3MZ6_Quote</v>
      </c>
      <c r="Z7" s="67">
        <f>IFERROR(_xll.qlRateHelperRate(X7,Trigger),"")</f>
        <v>2.9351294343534845E-3</v>
      </c>
      <c r="AA7" s="95">
        <f>IF(ISERROR(_xll.qlSwapRateHelperSpread($X7)),IF(ISERROR(_xll.qlFuturesRateHelperConvexityAdjustment($X7)),"",_xll.qlFuturesRateHelperConvexityAdjustment($X7)),_xll.qlSwapRateHelperSpread($X7))</f>
        <v>1.4870565646412501E-5</v>
      </c>
      <c r="AB7" s="4">
        <f>IFERROR(_xll.qlRateHelperEarliestDate(X7,Trigger),"")</f>
        <v>42725</v>
      </c>
      <c r="AC7" s="4">
        <f>IFERROR(_xll.qlRateHelperPillarDate(X7,Trigger),"")</f>
        <v>42815</v>
      </c>
      <c r="AD7" s="206">
        <v>0.99731922497060577</v>
      </c>
      <c r="AE7" s="152"/>
    </row>
    <row r="8" spans="1:39" ht="11.25" customHeight="1" x14ac:dyDescent="0.2">
      <c r="A8" s="58" t="s">
        <v>27</v>
      </c>
      <c r="B8" s="59" t="s">
        <v>41</v>
      </c>
      <c r="C8" s="265"/>
      <c r="D8" s="114"/>
      <c r="E8" s="114"/>
      <c r="F8" s="114"/>
      <c r="G8" s="60" t="str">
        <f>PROPER(Currency)&amp;FamilyName&amp;B8</f>
        <v>GbpLibor2M</v>
      </c>
      <c r="H8" s="111" t="str">
        <f t="shared" si="0"/>
        <v>GBP2MD_SYNTH3M_Quote</v>
      </c>
      <c r="I8" s="114"/>
      <c r="J8" s="223" t="str">
        <f>IF(P8,_xll.qlDepositRateHelper(,H8,G8,Permanent,Trigger,ObjectOverwrite),"--")</f>
        <v>obj_00311#0001</v>
      </c>
      <c r="K8" s="48"/>
      <c r="L8" s="226" t="str">
        <f t="shared" si="2"/>
        <v>Dp</v>
      </c>
      <c r="M8" s="230" t="str">
        <f t="shared" si="3"/>
        <v>GBP2MD_SYNTH3M_Quote</v>
      </c>
      <c r="N8" s="228">
        <f>IFERROR(_xll.qlQuoteValue(H8,Trigger),"--")</f>
        <v>5.9839999999999997E-3</v>
      </c>
      <c r="O8" s="229"/>
      <c r="P8" s="90" t="b">
        <v>1</v>
      </c>
      <c r="Q8" s="87">
        <v>10</v>
      </c>
      <c r="R8" s="87">
        <v>1</v>
      </c>
      <c r="S8" s="87" t="str">
        <f t="shared" si="4"/>
        <v>obj_00311#0001</v>
      </c>
      <c r="T8" s="91">
        <f>IFERROR(_xll.qlRateHelperEarliestDate(S8,Trigger),"--")</f>
        <v>42559</v>
      </c>
      <c r="U8" s="91">
        <f>IFERROR(_xll.qlRateHelperPillarDate(S8,Trigger),"--")</f>
        <v>42621</v>
      </c>
      <c r="W8" s="3" t="str">
        <f t="shared" si="1"/>
        <v>FUT</v>
      </c>
      <c r="X8" s="3" t="str">
        <v>obj_00327</v>
      </c>
      <c r="Y8" s="3" t="str">
        <f>IFERROR(_xll.qlRateHelperQuoteName(X8,Trigger),"")</f>
        <v>GBPFUT3MH7_Quote</v>
      </c>
      <c r="Z8" s="67">
        <f>IFERROR(_xll.qlRateHelperRate(X8,Trigger),"")</f>
        <v>3.0220933860085519E-3</v>
      </c>
      <c r="AA8" s="95">
        <f>IF(ISERROR(_xll.qlSwapRateHelperSpread($X8)),IF(ISERROR(_xll.qlFuturesRateHelperConvexityAdjustment($X8)),"",_xll.qlFuturesRateHelperConvexityAdjustment($X8)),_xll.qlSwapRateHelperSpread($X8))</f>
        <v>2.7906613991556172E-5</v>
      </c>
      <c r="AB8" s="4">
        <f>IFERROR(_xll.qlRateHelperEarliestDate(X8,Trigger),"")</f>
        <v>42809</v>
      </c>
      <c r="AC8" s="4">
        <f>IFERROR(_xll.qlRateHelperPillarDate(X8,Trigger),"")</f>
        <v>42901</v>
      </c>
      <c r="AD8" s="206">
        <v>0.99660812221761885</v>
      </c>
      <c r="AE8" s="152"/>
    </row>
    <row r="9" spans="1:39" ht="11.25" customHeight="1" x14ac:dyDescent="0.2">
      <c r="A9" s="1" t="s">
        <v>27</v>
      </c>
      <c r="B9" s="7" t="s">
        <v>0</v>
      </c>
      <c r="C9" s="266"/>
      <c r="D9" s="115"/>
      <c r="E9" s="115"/>
      <c r="F9" s="115"/>
      <c r="G9" s="6" t="str">
        <f>PROPER(Currency)&amp;FamilyName&amp;B9</f>
        <v>GbpLibor3M</v>
      </c>
      <c r="H9" s="112" t="str">
        <f t="shared" si="0"/>
        <v>GBP3MD_SYNTH3M_Quote</v>
      </c>
      <c r="I9" s="115"/>
      <c r="J9" s="224" t="str">
        <f>IF(P9,_xll.qlDepositRateHelper(,H9,G9,Permanent,Trigger,ObjectOverwrite),"--")</f>
        <v>obj_0030e#0001</v>
      </c>
      <c r="K9" s="48"/>
      <c r="L9" s="231" t="str">
        <f t="shared" si="2"/>
        <v>Dp</v>
      </c>
      <c r="M9" s="232" t="str">
        <f t="shared" si="3"/>
        <v>GBP3MD_SYNTH3M_Quote</v>
      </c>
      <c r="N9" s="233">
        <f>IFERROR(_xll.qlQuoteValue(H9,Trigger),"--")</f>
        <v>5.1500000000000001E-3</v>
      </c>
      <c r="O9" s="234"/>
      <c r="P9" s="92" t="b">
        <v>1</v>
      </c>
      <c r="Q9" s="88">
        <v>10</v>
      </c>
      <c r="R9" s="88">
        <v>1</v>
      </c>
      <c r="S9" s="88" t="str">
        <f t="shared" si="4"/>
        <v>obj_0030e#0001</v>
      </c>
      <c r="T9" s="93">
        <f>IFERROR(_xll.qlRateHelperEarliestDate(S9,Trigger),"--")</f>
        <v>42559</v>
      </c>
      <c r="U9" s="93">
        <f>IFERROR(_xll.qlRateHelperPillarDate(S9,Trigger),"--")</f>
        <v>42653</v>
      </c>
      <c r="W9" s="3" t="str">
        <f t="shared" si="1"/>
        <v>FUT</v>
      </c>
      <c r="X9" s="3" t="str">
        <v>obj_00323</v>
      </c>
      <c r="Y9" s="3" t="str">
        <f>IFERROR(_xll.qlRateHelperQuoteName(X9,Trigger),"")</f>
        <v>GBPFUT3MM7_Quote</v>
      </c>
      <c r="Z9" s="67">
        <f>IFERROR(_xll.qlRateHelperRate(X9,Trigger),"")</f>
        <v>3.1027473478186436E-3</v>
      </c>
      <c r="AA9" s="95">
        <f>IF(ISERROR(_xll.qlSwapRateHelperSpread($X9)),IF(ISERROR(_xll.qlFuturesRateHelperConvexityAdjustment($X9)),"",_xll.qlFuturesRateHelperConvexityAdjustment($X9)),_xll.qlSwapRateHelperSpread($X9))</f>
        <v>4.7252652181342738E-5</v>
      </c>
      <c r="AB9" s="4">
        <f>IFERROR(_xll.qlRateHelperEarliestDate(X9,Trigger),"")</f>
        <v>42907</v>
      </c>
      <c r="AC9" s="4">
        <f>IFERROR(_xll.qlRateHelperPillarDate(X9,Trigger),"")</f>
        <v>42999</v>
      </c>
      <c r="AD9" s="206">
        <v>0.99577872283538826</v>
      </c>
      <c r="AE9" s="152"/>
      <c r="AH9" s="46" t="s">
        <v>123</v>
      </c>
    </row>
    <row r="10" spans="1:39" ht="11.25" customHeight="1" x14ac:dyDescent="0.2">
      <c r="B10" s="46"/>
      <c r="C10" s="46"/>
      <c r="D10" s="46"/>
      <c r="E10" s="46"/>
      <c r="F10" s="46"/>
      <c r="G10" s="46"/>
      <c r="H10" s="46"/>
      <c r="K10" s="48"/>
      <c r="L10" s="238" t="str">
        <f>A12</f>
        <v>FRA</v>
      </c>
      <c r="M10" s="239" t="str">
        <f>H12</f>
        <v>GBP1x4F_Quote</v>
      </c>
      <c r="N10" s="240">
        <f>IFERROR(_xll.qlQuoteValue(H12,Trigger),"--")</f>
        <v>3.79E-3</v>
      </c>
      <c r="O10" s="241"/>
      <c r="P10" s="123" t="b">
        <v>0</v>
      </c>
      <c r="Q10" s="122">
        <v>20</v>
      </c>
      <c r="R10" s="122">
        <v>1</v>
      </c>
      <c r="S10" s="122" t="str">
        <f>J12</f>
        <v>--</v>
      </c>
      <c r="T10" s="124" t="str">
        <f>IFERROR(_xll.qlRateHelperEarliestDate(S10,Trigger),"--")</f>
        <v>--</v>
      </c>
      <c r="U10" s="124" t="str">
        <f>IFERROR(_xll.qlRateHelperPillarDate(S10,Trigger),"--")</f>
        <v>--</v>
      </c>
      <c r="W10" s="3" t="str">
        <f t="shared" si="1"/>
        <v>FUT</v>
      </c>
      <c r="X10" s="3" t="str">
        <v>obj_00322</v>
      </c>
      <c r="Y10" s="3" t="str">
        <f>IFERROR(_xll.qlRateHelperQuoteName(X10,Trigger),"")</f>
        <v>GBPFUT3MU7_Quote</v>
      </c>
      <c r="Z10" s="67">
        <f>IFERROR(_xll.qlRateHelperRate(X10,Trigger),"")</f>
        <v>3.0809173611919169E-3</v>
      </c>
      <c r="AA10" s="95">
        <f>IF(ISERROR(_xll.qlSwapRateHelperSpread($X10)),IF(ISERROR(_xll.qlFuturesRateHelperConvexityAdjustment($X10)),"",_xll.qlFuturesRateHelperConvexityAdjustment($X10)),_xll.qlSwapRateHelperSpread($X10))</f>
        <v>6.9082638808069227E-5</v>
      </c>
      <c r="AB10" s="4">
        <f>IFERROR(_xll.qlRateHelperEarliestDate(X10,Trigger),"")</f>
        <v>42998</v>
      </c>
      <c r="AC10" s="4">
        <f>IFERROR(_xll.qlRateHelperPillarDate(X10,Trigger),"")</f>
        <v>43089</v>
      </c>
      <c r="AD10" s="206">
        <v>0.99502284783355255</v>
      </c>
      <c r="AE10" s="152"/>
      <c r="AF10" s="69" t="s">
        <v>117</v>
      </c>
      <c r="AG10" s="69" t="s">
        <v>118</v>
      </c>
      <c r="AH10" s="69" t="s">
        <v>119</v>
      </c>
      <c r="AI10" s="69" t="s">
        <v>129</v>
      </c>
      <c r="AJ10" s="69" t="s">
        <v>120</v>
      </c>
      <c r="AK10" s="69" t="s">
        <v>130</v>
      </c>
      <c r="AL10" s="69" t="s">
        <v>121</v>
      </c>
      <c r="AM10" s="69" t="s">
        <v>122</v>
      </c>
    </row>
    <row r="11" spans="1:39" ht="11.25" customHeight="1" x14ac:dyDescent="0.2">
      <c r="A11" s="63" t="s">
        <v>9</v>
      </c>
      <c r="B11" s="63" t="s">
        <v>90</v>
      </c>
      <c r="C11" s="63" t="s">
        <v>91</v>
      </c>
      <c r="D11" s="63"/>
      <c r="E11" s="63"/>
      <c r="F11" s="63"/>
      <c r="G11" s="63" t="s">
        <v>4</v>
      </c>
      <c r="H11" s="63" t="s">
        <v>1</v>
      </c>
      <c r="I11" s="63"/>
      <c r="J11" s="63" t="s">
        <v>25</v>
      </c>
      <c r="K11" s="48"/>
      <c r="L11" s="226" t="str">
        <f t="shared" ref="L11:L21" si="5">A13</f>
        <v>FRA</v>
      </c>
      <c r="M11" s="230" t="str">
        <f t="shared" ref="M11:M21" si="6">H13</f>
        <v>GBP2x5F_Quote</v>
      </c>
      <c r="N11" s="228">
        <f>IFERROR(_xll.qlQuoteValue(H13,Trigger),"--")</f>
        <v>3.3899999999999998E-3</v>
      </c>
      <c r="O11" s="229"/>
      <c r="P11" s="90" t="b">
        <v>0</v>
      </c>
      <c r="Q11" s="87">
        <v>20</v>
      </c>
      <c r="R11" s="87">
        <v>1</v>
      </c>
      <c r="S11" s="87" t="str">
        <f t="shared" ref="S11:S21" si="7">J13</f>
        <v>--</v>
      </c>
      <c r="T11" s="91" t="str">
        <f>IFERROR(_xll.qlRateHelperEarliestDate(S11,Trigger),"--")</f>
        <v>--</v>
      </c>
      <c r="U11" s="91" t="str">
        <f>IFERROR(_xll.qlRateHelperPillarDate(S11,Trigger),"--")</f>
        <v>--</v>
      </c>
      <c r="W11" s="3" t="str">
        <f t="shared" si="1"/>
        <v>FUT</v>
      </c>
      <c r="X11" s="3" t="str">
        <v>obj_0031f</v>
      </c>
      <c r="Y11" s="3" t="str">
        <f>IFERROR(_xll.qlRateHelperQuoteName(X11,Trigger),"")</f>
        <v>GBPFUT3MZ7_Quote</v>
      </c>
      <c r="Z11" s="67">
        <f>IFERROR(_xll.qlRateHelperRate(X11,Trigger),"")</f>
        <v>3.1553292131171751E-3</v>
      </c>
      <c r="AA11" s="95">
        <f>IF(ISERROR(_xll.qlSwapRateHelperSpread($X11)),IF(ISERROR(_xll.qlFuturesRateHelperConvexityAdjustment($X11)),"",_xll.qlFuturesRateHelperConvexityAdjustment($X11)),_xll.qlSwapRateHelperSpread($X11))</f>
        <v>9.4670786882689162E-5</v>
      </c>
      <c r="AB11" s="4">
        <f>IFERROR(_xll.qlRateHelperEarliestDate(X11,Trigger),"")</f>
        <v>43089</v>
      </c>
      <c r="AC11" s="4">
        <f>IFERROR(_xll.qlRateHelperPillarDate(X11,Trigger),"")</f>
        <v>43179</v>
      </c>
      <c r="AD11" s="206">
        <v>0.99424929565224496</v>
      </c>
      <c r="AE11" s="152"/>
      <c r="AF11" s="137">
        <v>1</v>
      </c>
      <c r="AG11" s="138">
        <f>_xll.qlCalendarEndOfMonth(Calendar,Settlementdate,Trigger)</f>
        <v>42580</v>
      </c>
      <c r="AH11" s="137" t="str">
        <f t="shared" ref="AH11:AH23" si="8">Currency&amp;$AH$9&amp;AF11&amp;JumpSuffix&amp;QuoteSuffix</f>
        <v>GBPJump1_SYNTHON_Quote</v>
      </c>
      <c r="AI11" s="177">
        <f>_xll.qlDayCounterYearFraction("actual/360",AG11,_xll.qlCalendarAdvance(Calendar,AG11,"1D",,,Trigger))</f>
        <v>8.3333333333333332E-3</v>
      </c>
      <c r="AJ11" s="139" t="e">
        <f>IF(_xll.qlQuoteIsValid(AH11,Trigger),_xll.qlQuoteValue(AH11,Trigger),1)</f>
        <v>#NUM!</v>
      </c>
      <c r="AK11" s="180" t="e">
        <f>-LN(AJ11)/AI11</f>
        <v>#NUM!</v>
      </c>
      <c r="AL11" s="183"/>
      <c r="AM11" s="139" t="str">
        <f>IF(ISBLANK(AL11),AH11,EXP(-AL11*AI11))</f>
        <v>GBPJump1_SYNTHON_Quote</v>
      </c>
    </row>
    <row r="12" spans="1:39" ht="11.25" customHeight="1" x14ac:dyDescent="0.2">
      <c r="A12" s="53" t="s">
        <v>92</v>
      </c>
      <c r="B12" s="104">
        <v>1</v>
      </c>
      <c r="C12" s="56" t="str">
        <f t="shared" ref="C12:C23" si="9">"x"&amp;B12+SUBSTITUTE(Tenor,"M","")&amp;"F"</f>
        <v>x4F</v>
      </c>
      <c r="D12" s="114"/>
      <c r="E12" s="114"/>
      <c r="F12" s="114"/>
      <c r="G12" s="55" t="str">
        <f t="shared" ref="G12:G23" si="10">PROPER(Currency)&amp;FamilyName&amp;Tenor</f>
        <v>GbpLibor3M</v>
      </c>
      <c r="H12" s="107" t="str">
        <f t="shared" ref="H12:H23" si="11">Currency&amp;B12&amp;C12&amp;QuoteSuffix</f>
        <v>GBP1x4F_Quote</v>
      </c>
      <c r="I12" s="114"/>
      <c r="J12" s="225" t="str">
        <f>IF(P10,_xll.qlFraRateHelper(,H12,B12&amp;"M",G12,PillarDate,,Permanent,Trigger,ObjectOverwrite),"--")</f>
        <v>--</v>
      </c>
      <c r="K12" s="48" t="s">
        <v>36</v>
      </c>
      <c r="L12" s="226" t="str">
        <f t="shared" si="5"/>
        <v>FRA</v>
      </c>
      <c r="M12" s="230" t="str">
        <f t="shared" si="6"/>
        <v>GBP3x6F_Quote</v>
      </c>
      <c r="N12" s="228">
        <f>IFERROR(_xll.qlQuoteValue(H14,Trigger),"--")</f>
        <v>3.2100000000000002E-3</v>
      </c>
      <c r="O12" s="229"/>
      <c r="P12" s="90" t="b">
        <v>0</v>
      </c>
      <c r="Q12" s="87">
        <v>20</v>
      </c>
      <c r="R12" s="87">
        <v>1</v>
      </c>
      <c r="S12" s="87" t="str">
        <f t="shared" si="7"/>
        <v>--</v>
      </c>
      <c r="T12" s="91" t="str">
        <f>IFERROR(_xll.qlRateHelperEarliestDate(S12,Trigger),"--")</f>
        <v>--</v>
      </c>
      <c r="U12" s="91" t="str">
        <f>IFERROR(_xll.qlRateHelperPillarDate(S12,Trigger),"--")</f>
        <v>--</v>
      </c>
      <c r="W12" s="3" t="str">
        <f t="shared" si="1"/>
        <v>FUT</v>
      </c>
      <c r="X12" s="3" t="str">
        <v>obj_0032c</v>
      </c>
      <c r="Y12" s="3" t="str">
        <f>IFERROR(_xll.qlRateHelperQuoteName(X12,Trigger),"")</f>
        <v>GBPFUT3MH8_Quote</v>
      </c>
      <c r="Z12" s="67">
        <f>IFERROR(_xll.qlRateHelperRate(X12,Trigger),"")</f>
        <v>3.2251571035552635E-3</v>
      </c>
      <c r="AA12" s="95">
        <f>IF(ISERROR(_xll.qlSwapRateHelperSpread($X12)),IF(ISERROR(_xll.qlFuturesRateHelperConvexityAdjustment($X12)),"",_xll.qlFuturesRateHelperConvexityAdjustment($X12)),_xll.qlSwapRateHelperSpread($X12))</f>
        <v>1.2484289644481184E-4</v>
      </c>
      <c r="AB12" s="4">
        <f>IFERROR(_xll.qlRateHelperEarliestDate(X12,Trigger),"")</f>
        <v>43180</v>
      </c>
      <c r="AC12" s="4">
        <f>IFERROR(_xll.qlRateHelperPillarDate(X12,Trigger),"")</f>
        <v>43272</v>
      </c>
      <c r="AD12" s="206">
        <v>0.99343300634329879</v>
      </c>
      <c r="AE12" s="152"/>
      <c r="AF12" s="140">
        <v>2</v>
      </c>
      <c r="AG12" s="141">
        <f>_xll.qlCalendarEndOfMonth(Calendar,_xll.qlCalendarAdvance(Calendar,AG11,"1m","mf",TRUE),Trigger)</f>
        <v>42613</v>
      </c>
      <c r="AH12" s="140" t="str">
        <f t="shared" si="8"/>
        <v>GBPJump2_SYNTHON_Quote</v>
      </c>
      <c r="AI12" s="178">
        <f>_xll.qlDayCounterYearFraction("actual/360",AG12,_xll.qlCalendarAdvance(Calendar,AG12,"1D",,,Trigger))</f>
        <v>2.7777777777777779E-3</v>
      </c>
      <c r="AJ12" s="142" t="e">
        <f>IF(_xll.qlQuoteIsValid(AH12,Trigger),_xll.qlQuoteValue(AH12,Trigger),1)</f>
        <v>#NUM!</v>
      </c>
      <c r="AK12" s="181" t="e">
        <f t="shared" ref="AK12:AK23" si="12">-LN(AJ12)/AI12</f>
        <v>#NUM!</v>
      </c>
      <c r="AL12" s="184"/>
      <c r="AM12" s="142" t="str">
        <f t="shared" ref="AM12:AM23" si="13">IF(ISBLANK(AL12),AH12,EXP(-AL12*AI12))</f>
        <v>GBPJump2_SYNTHON_Quote</v>
      </c>
    </row>
    <row r="13" spans="1:39" ht="11.25" customHeight="1" x14ac:dyDescent="0.2">
      <c r="A13" s="58" t="s">
        <v>92</v>
      </c>
      <c r="B13" s="105">
        <v>2</v>
      </c>
      <c r="C13" s="61" t="str">
        <f t="shared" si="9"/>
        <v>x5F</v>
      </c>
      <c r="D13" s="114"/>
      <c r="E13" s="114"/>
      <c r="F13" s="114"/>
      <c r="G13" s="60" t="str">
        <f t="shared" si="10"/>
        <v>GbpLibor3M</v>
      </c>
      <c r="H13" s="108" t="str">
        <f t="shared" si="11"/>
        <v>GBP2x5F_Quote</v>
      </c>
      <c r="I13" s="114"/>
      <c r="J13" s="223" t="str">
        <f>IF(P11,_xll.qlFraRateHelper(,H13,B13&amp;"M",G13,PillarDate,,Permanent,Trigger,ObjectOverwrite),"--")</f>
        <v>--</v>
      </c>
      <c r="K13" s="48"/>
      <c r="L13" s="226" t="str">
        <f t="shared" si="5"/>
        <v>FRA</v>
      </c>
      <c r="M13" s="230" t="str">
        <f t="shared" si="6"/>
        <v>GBP4x7F_Quote</v>
      </c>
      <c r="N13" s="228">
        <f>IFERROR(_xll.qlQuoteValue(H15,Trigger),"--")</f>
        <v>3.1000000000000003E-3</v>
      </c>
      <c r="O13" s="229"/>
      <c r="P13" s="90" t="b">
        <v>0</v>
      </c>
      <c r="Q13" s="87">
        <v>20</v>
      </c>
      <c r="R13" s="87">
        <v>1</v>
      </c>
      <c r="S13" s="87" t="str">
        <f t="shared" si="7"/>
        <v>--</v>
      </c>
      <c r="T13" s="91" t="str">
        <f>IFERROR(_xll.qlRateHelperEarliestDate(S13,Trigger),"--")</f>
        <v>--</v>
      </c>
      <c r="U13" s="91" t="str">
        <f>IFERROR(_xll.qlRateHelperPillarDate(S13,Trigger),"--")</f>
        <v>--</v>
      </c>
      <c r="W13" s="3" t="str">
        <f t="shared" si="1"/>
        <v>FUT</v>
      </c>
      <c r="X13" s="3" t="str">
        <v>obj_0032d</v>
      </c>
      <c r="Y13" s="3" t="str">
        <f>IFERROR(_xll.qlRateHelperQuoteName(X13,Trigger),"")</f>
        <v>GBPFUT3MM8_Quote</v>
      </c>
      <c r="Z13" s="67">
        <f>IFERROR(_xll.qlRateHelperRate(X13,Trigger),"")</f>
        <v>3.2918399530000521E-3</v>
      </c>
      <c r="AA13" s="95">
        <f>IF(ISERROR(_xll.qlSwapRateHelperSpread($X13)),IF(ISERROR(_xll.qlFuturesRateHelperConvexityAdjustment($X13)),"",_xll.qlFuturesRateHelperConvexityAdjustment($X13)),_xll.qlSwapRateHelperSpread($X13))</f>
        <v>1.5816004699990119E-4</v>
      </c>
      <c r="AB13" s="4">
        <f>IFERROR(_xll.qlRateHelperEarliestDate(X13,Trigger),"")</f>
        <v>43271</v>
      </c>
      <c r="AC13" s="4">
        <f>IFERROR(_xll.qlRateHelperPillarDate(X13,Trigger),"")</f>
        <v>43363</v>
      </c>
      <c r="AD13" s="206">
        <v>0.99261821689158569</v>
      </c>
      <c r="AE13" s="152"/>
      <c r="AF13" s="140">
        <v>3</v>
      </c>
      <c r="AG13" s="141">
        <f>_xll.qlCalendarEndOfMonth(Calendar,_xll.qlCalendarAdvance(Calendar,AG12,"1m","mf",TRUE),Trigger)</f>
        <v>42643</v>
      </c>
      <c r="AH13" s="140" t="str">
        <f t="shared" si="8"/>
        <v>GBPJump3_SYNTHON_Quote</v>
      </c>
      <c r="AI13" s="178">
        <f>_xll.qlDayCounterYearFraction("actual/360",AG13,_xll.qlCalendarAdvance(Calendar,AG13,"1D",,,Trigger))</f>
        <v>8.3333333333333332E-3</v>
      </c>
      <c r="AJ13" s="142" t="e">
        <f>IF(_xll.qlQuoteIsValid(AH13,Trigger),_xll.qlQuoteValue(AH13,Trigger),1)</f>
        <v>#NUM!</v>
      </c>
      <c r="AK13" s="181" t="e">
        <f t="shared" si="12"/>
        <v>#NUM!</v>
      </c>
      <c r="AL13" s="184"/>
      <c r="AM13" s="142" t="str">
        <f t="shared" si="13"/>
        <v>GBPJump3_SYNTHON_Quote</v>
      </c>
    </row>
    <row r="14" spans="1:39" ht="11.25" customHeight="1" x14ac:dyDescent="0.2">
      <c r="A14" s="58" t="s">
        <v>92</v>
      </c>
      <c r="B14" s="105">
        <v>3</v>
      </c>
      <c r="C14" s="61" t="str">
        <f t="shared" si="9"/>
        <v>x6F</v>
      </c>
      <c r="D14" s="114"/>
      <c r="E14" s="114"/>
      <c r="F14" s="114"/>
      <c r="G14" s="60" t="str">
        <f t="shared" si="10"/>
        <v>GbpLibor3M</v>
      </c>
      <c r="H14" s="108" t="str">
        <f t="shared" si="11"/>
        <v>GBP3x6F_Quote</v>
      </c>
      <c r="I14" s="114"/>
      <c r="J14" s="223" t="str">
        <f>IF(P12,_xll.qlFraRateHelper(,H14,B14&amp;"M",G14,PillarDate,,Permanent,Trigger,ObjectOverwrite),"--")</f>
        <v>--</v>
      </c>
      <c r="K14" s="48"/>
      <c r="L14" s="226" t="str">
        <f t="shared" si="5"/>
        <v>FRA</v>
      </c>
      <c r="M14" s="230" t="str">
        <f t="shared" si="6"/>
        <v>GBP5x8F_Quote</v>
      </c>
      <c r="N14" s="228">
        <f>IFERROR(_xll.qlQuoteValue(H16,Trigger),"--")</f>
        <v>3.0000000000000005E-3</v>
      </c>
      <c r="O14" s="229"/>
      <c r="P14" s="90" t="b">
        <v>0</v>
      </c>
      <c r="Q14" s="87">
        <v>20</v>
      </c>
      <c r="R14" s="87">
        <v>1</v>
      </c>
      <c r="S14" s="87" t="str">
        <f t="shared" si="7"/>
        <v>--</v>
      </c>
      <c r="T14" s="91" t="str">
        <f>IFERROR(_xll.qlRateHelperEarliestDate(S14,Trigger),"--")</f>
        <v>--</v>
      </c>
      <c r="U14" s="91" t="str">
        <f>IFERROR(_xll.qlRateHelperPillarDate(S14,Trigger),"--")</f>
        <v>--</v>
      </c>
      <c r="W14" s="3" t="str">
        <f t="shared" si="1"/>
        <v>Sw</v>
      </c>
      <c r="X14" s="3" t="str">
        <v>obj_002d4</v>
      </c>
      <c r="Y14" s="3" t="str">
        <f>IFERROR(_xll.qlRateHelperQuoteName(X14,Trigger),"")</f>
        <v>GBPSM3L3Y_Quote</v>
      </c>
      <c r="Z14" s="67">
        <f>IFERROR(_xll.qlRateHelperRate(X14,Trigger),"")</f>
        <v>3.5000000000000005E-3</v>
      </c>
      <c r="AA14" s="95">
        <f>IF(ISERROR(_xll.qlSwapRateHelperSpread($X14)),IF(ISERROR(_xll.qlFuturesRateHelperConvexityAdjustment($X14)),"",_xll.qlFuturesRateHelperConvexityAdjustment($X14)),_xll.qlSwapRateHelperSpread($X14))</f>
        <v>0</v>
      </c>
      <c r="AB14" s="4">
        <f>IFERROR(_xll.qlRateHelperEarliestDate(X14,Trigger),"")</f>
        <v>42559</v>
      </c>
      <c r="AC14" s="4">
        <f>IFERROR(_xll.qlRateHelperPillarDate(X14,Trigger),"")</f>
        <v>43654</v>
      </c>
      <c r="AD14" s="206">
        <v>0.98956104335276174</v>
      </c>
      <c r="AE14" s="152"/>
      <c r="AF14" s="140">
        <v>4</v>
      </c>
      <c r="AG14" s="141">
        <f>_xll.qlCalendarEndOfMonth(Calendar,_xll.qlCalendarAdvance(Calendar,AG13,"1m","mf",TRUE),Trigger)</f>
        <v>42674</v>
      </c>
      <c r="AH14" s="140" t="str">
        <f t="shared" si="8"/>
        <v>GBPJump4_SYNTHON_Quote</v>
      </c>
      <c r="AI14" s="178">
        <f>_xll.qlDayCounterYearFraction("actual/360",AG14,_xll.qlCalendarAdvance(Calendar,AG14,"1D",,,Trigger))</f>
        <v>2.7777777777777779E-3</v>
      </c>
      <c r="AJ14" s="142" t="e">
        <f>IF(_xll.qlQuoteIsValid(AH14,Trigger),_xll.qlQuoteValue(AH14,Trigger),1)</f>
        <v>#NUM!</v>
      </c>
      <c r="AK14" s="181" t="e">
        <f t="shared" si="12"/>
        <v>#NUM!</v>
      </c>
      <c r="AL14" s="184"/>
      <c r="AM14" s="142" t="str">
        <f t="shared" si="13"/>
        <v>GBPJump4_SYNTHON_Quote</v>
      </c>
    </row>
    <row r="15" spans="1:39" ht="11.25" customHeight="1" x14ac:dyDescent="0.2">
      <c r="A15" s="58" t="s">
        <v>92</v>
      </c>
      <c r="B15" s="105">
        <v>4</v>
      </c>
      <c r="C15" s="61" t="str">
        <f t="shared" si="9"/>
        <v>x7F</v>
      </c>
      <c r="D15" s="114"/>
      <c r="E15" s="114"/>
      <c r="F15" s="114"/>
      <c r="G15" s="60" t="str">
        <f t="shared" si="10"/>
        <v>GbpLibor3M</v>
      </c>
      <c r="H15" s="108" t="str">
        <f t="shared" si="11"/>
        <v>GBP4x7F_Quote</v>
      </c>
      <c r="I15" s="114"/>
      <c r="J15" s="223" t="str">
        <f>IF(P13,_xll.qlFraRateHelper(,H15,B15&amp;"M",G15,PillarDate,,Permanent,Trigger,ObjectOverwrite),"--")</f>
        <v>--</v>
      </c>
      <c r="K15" s="48"/>
      <c r="L15" s="226" t="str">
        <f t="shared" si="5"/>
        <v>FRA</v>
      </c>
      <c r="M15" s="230" t="str">
        <f t="shared" si="6"/>
        <v>GBP6x9F_Quote</v>
      </c>
      <c r="N15" s="228">
        <f>IFERROR(_xll.qlQuoteValue(H17,Trigger),"--")</f>
        <v>2.9600000000000004E-3</v>
      </c>
      <c r="O15" s="229"/>
      <c r="P15" s="90" t="b">
        <v>0</v>
      </c>
      <c r="Q15" s="87">
        <v>20</v>
      </c>
      <c r="R15" s="87">
        <v>1</v>
      </c>
      <c r="S15" s="87" t="str">
        <f t="shared" si="7"/>
        <v>--</v>
      </c>
      <c r="T15" s="91" t="str">
        <f>IFERROR(_xll.qlRateHelperEarliestDate(S15,Trigger),"--")</f>
        <v>--</v>
      </c>
      <c r="U15" s="91" t="str">
        <f>IFERROR(_xll.qlRateHelperPillarDate(S15,Trigger),"--")</f>
        <v>--</v>
      </c>
      <c r="W15" s="3" t="str">
        <f t="shared" si="1"/>
        <v>Sw</v>
      </c>
      <c r="X15" s="3" t="str">
        <v>obj_002dc</v>
      </c>
      <c r="Y15" s="3" t="str">
        <f>IFERROR(_xll.qlRateHelperQuoteName(X15,Trigger),"")</f>
        <v>GBPSM3L4Y_Quote</v>
      </c>
      <c r="Z15" s="67">
        <f>IFERROR(_xll.qlRateHelperRate(X15,Trigger),"")</f>
        <v>3.81E-3</v>
      </c>
      <c r="AA15" s="95">
        <f>IF(ISERROR(_xll.qlSwapRateHelperSpread($X15)),IF(ISERROR(_xll.qlFuturesRateHelperConvexityAdjustment($X15)),"",_xll.qlFuturesRateHelperConvexityAdjustment($X15)),_xll.qlSwapRateHelperSpread($X15))</f>
        <v>0</v>
      </c>
      <c r="AB15" s="4">
        <f>IFERROR(_xll.qlRateHelperEarliestDate(X15,Trigger),"")</f>
        <v>42559</v>
      </c>
      <c r="AC15" s="4">
        <f>IFERROR(_xll.qlRateHelperPillarDate(X15,Trigger),"")</f>
        <v>44020</v>
      </c>
      <c r="AD15" s="206">
        <v>0.98487237770935443</v>
      </c>
      <c r="AE15" s="152"/>
      <c r="AF15" s="140">
        <v>5</v>
      </c>
      <c r="AG15" s="141">
        <f>_xll.qlCalendarEndOfMonth(Calendar,_xll.qlCalendarAdvance(Calendar,AG14,"1m","mf",TRUE),Trigger)</f>
        <v>42704</v>
      </c>
      <c r="AH15" s="140" t="str">
        <f t="shared" si="8"/>
        <v>GBPJump5_SYNTHON_Quote</v>
      </c>
      <c r="AI15" s="178">
        <f>_xll.qlDayCounterYearFraction("actual/360",AG15,_xll.qlCalendarAdvance(Calendar,AG15,"1D",,,Trigger))</f>
        <v>2.7777777777777779E-3</v>
      </c>
      <c r="AJ15" s="142" t="e">
        <f>IF(_xll.qlQuoteIsValid(AH15,Trigger),_xll.qlQuoteValue(AH15,Trigger),1)</f>
        <v>#NUM!</v>
      </c>
      <c r="AK15" s="181" t="e">
        <f t="shared" si="12"/>
        <v>#NUM!</v>
      </c>
      <c r="AL15" s="184"/>
      <c r="AM15" s="142" t="str">
        <f t="shared" si="13"/>
        <v>GBPJump5_SYNTHON_Quote</v>
      </c>
    </row>
    <row r="16" spans="1:39" ht="11.25" customHeight="1" x14ac:dyDescent="0.2">
      <c r="A16" s="58" t="s">
        <v>92</v>
      </c>
      <c r="B16" s="105">
        <v>5</v>
      </c>
      <c r="C16" s="61" t="str">
        <f t="shared" si="9"/>
        <v>x8F</v>
      </c>
      <c r="D16" s="114"/>
      <c r="E16" s="114"/>
      <c r="F16" s="114"/>
      <c r="G16" s="60" t="str">
        <f t="shared" si="10"/>
        <v>GbpLibor3M</v>
      </c>
      <c r="H16" s="108" t="str">
        <f t="shared" si="11"/>
        <v>GBP5x8F_Quote</v>
      </c>
      <c r="I16" s="114"/>
      <c r="J16" s="223" t="str">
        <f>IF(P14,_xll.qlFraRateHelper(,H16,B16&amp;"M",G16,PillarDate,,Permanent,Trigger,ObjectOverwrite),"--")</f>
        <v>--</v>
      </c>
      <c r="K16" s="48"/>
      <c r="L16" s="226" t="str">
        <f t="shared" si="5"/>
        <v>FRA</v>
      </c>
      <c r="M16" s="230" t="str">
        <f t="shared" si="6"/>
        <v>GBP7x10F_Quote</v>
      </c>
      <c r="N16" s="228" t="str">
        <f>IFERROR(_xll.qlQuoteValue(H18,Trigger),"--")</f>
        <v>--</v>
      </c>
      <c r="O16" s="229"/>
      <c r="P16" s="90" t="b">
        <v>0</v>
      </c>
      <c r="Q16" s="87">
        <v>20</v>
      </c>
      <c r="R16" s="87">
        <v>1</v>
      </c>
      <c r="S16" s="87" t="str">
        <f t="shared" si="7"/>
        <v>--</v>
      </c>
      <c r="T16" s="91" t="str">
        <f>IFERROR(_xll.qlRateHelperEarliestDate(S16,Trigger),"--")</f>
        <v>--</v>
      </c>
      <c r="U16" s="91" t="str">
        <f>IFERROR(_xll.qlRateHelperPillarDate(S16,Trigger),"--")</f>
        <v>--</v>
      </c>
      <c r="W16" s="3" t="str">
        <f t="shared" si="1"/>
        <v>Sw</v>
      </c>
      <c r="X16" s="3" t="str">
        <v>obj_002d2</v>
      </c>
      <c r="Y16" s="3" t="str">
        <f>IFERROR(_xll.qlRateHelperQuoteName(X16,Trigger),"")</f>
        <v>GBPSM3L5Y_Quote</v>
      </c>
      <c r="Z16" s="67">
        <f>IFERROR(_xll.qlRateHelperRate(X16,Trigger),"")</f>
        <v>4.2000000000000006E-3</v>
      </c>
      <c r="AA16" s="95">
        <f>IF(ISERROR(_xll.qlSwapRateHelperSpread($X16)),IF(ISERROR(_xll.qlFuturesRateHelperConvexityAdjustment($X16)),"",_xll.qlFuturesRateHelperConvexityAdjustment($X16)),_xll.qlSwapRateHelperSpread($X16))</f>
        <v>0</v>
      </c>
      <c r="AB16" s="4">
        <f>IFERROR(_xll.qlRateHelperEarliestDate(X16,Trigger),"")</f>
        <v>42559</v>
      </c>
      <c r="AC16" s="4">
        <f>IFERROR(_xll.qlRateHelperPillarDate(X16,Trigger),"")</f>
        <v>44385</v>
      </c>
      <c r="AD16" s="206">
        <v>0.97921232824369375</v>
      </c>
      <c r="AE16" s="152"/>
      <c r="AF16" s="140">
        <v>6</v>
      </c>
      <c r="AG16" s="141">
        <f>_xll.qlCalendarEndOfMonth(Calendar,_xll.qlCalendarAdvance(Calendar,AG15,"1m","mf",TRUE),Trigger)</f>
        <v>42734</v>
      </c>
      <c r="AH16" s="140" t="str">
        <f t="shared" si="8"/>
        <v>GBPJump6_SYNTHON_Quote</v>
      </c>
      <c r="AI16" s="178">
        <f>_xll.qlDayCounterYearFraction("actual/360",AG16,_xll.qlCalendarAdvance(Calendar,AG16,"1D",,,Trigger))</f>
        <v>1.1111111111111112E-2</v>
      </c>
      <c r="AJ16" s="142" t="e">
        <f>IF(_xll.qlQuoteIsValid(AH16,Trigger),_xll.qlQuoteValue(AH16,Trigger),1)</f>
        <v>#NUM!</v>
      </c>
      <c r="AK16" s="181" t="e">
        <f t="shared" si="12"/>
        <v>#NUM!</v>
      </c>
      <c r="AL16" s="184"/>
      <c r="AM16" s="142" t="str">
        <f t="shared" si="13"/>
        <v>GBPJump6_SYNTHON_Quote</v>
      </c>
    </row>
    <row r="17" spans="1:39" ht="11.25" customHeight="1" x14ac:dyDescent="0.2">
      <c r="A17" s="58" t="s">
        <v>92</v>
      </c>
      <c r="B17" s="105">
        <v>6</v>
      </c>
      <c r="C17" s="61" t="str">
        <f t="shared" si="9"/>
        <v>x9F</v>
      </c>
      <c r="D17" s="114"/>
      <c r="E17" s="114"/>
      <c r="F17" s="114"/>
      <c r="G17" s="60" t="str">
        <f t="shared" si="10"/>
        <v>GbpLibor3M</v>
      </c>
      <c r="H17" s="108" t="str">
        <f t="shared" si="11"/>
        <v>GBP6x9F_Quote</v>
      </c>
      <c r="I17" s="114"/>
      <c r="J17" s="223" t="str">
        <f>IF(P15,_xll.qlFraRateHelper(,H17,B17&amp;"M",G17,PillarDate,,Permanent,Trigger,ObjectOverwrite),"--")</f>
        <v>--</v>
      </c>
      <c r="K17" s="48"/>
      <c r="L17" s="226" t="str">
        <f t="shared" si="5"/>
        <v>FRA</v>
      </c>
      <c r="M17" s="230" t="str">
        <f t="shared" si="6"/>
        <v>GBP8x11F_Quote</v>
      </c>
      <c r="N17" s="228" t="str">
        <f>IFERROR(_xll.qlQuoteValue(H19,Trigger),"--")</f>
        <v>--</v>
      </c>
      <c r="O17" s="229"/>
      <c r="P17" s="90" t="b">
        <v>0</v>
      </c>
      <c r="Q17" s="87">
        <v>20</v>
      </c>
      <c r="R17" s="87">
        <v>1</v>
      </c>
      <c r="S17" s="87" t="str">
        <f t="shared" si="7"/>
        <v>--</v>
      </c>
      <c r="T17" s="91" t="str">
        <f>IFERROR(_xll.qlRateHelperEarliestDate(S17,Trigger),"--")</f>
        <v>--</v>
      </c>
      <c r="U17" s="91" t="str">
        <f>IFERROR(_xll.qlRateHelperPillarDate(S17,Trigger),"--")</f>
        <v>--</v>
      </c>
      <c r="W17" s="3" t="str">
        <f t="shared" si="1"/>
        <v>Sw</v>
      </c>
      <c r="X17" s="3" t="str">
        <v>obj_002da</v>
      </c>
      <c r="Y17" s="3" t="str">
        <f>IFERROR(_xll.qlRateHelperQuoteName(X17,Trigger),"")</f>
        <v>GBPSM3L6Y_Quote</v>
      </c>
      <c r="Z17" s="67">
        <f>IFERROR(_xll.qlRateHelperRate(X17,Trigger),"")</f>
        <v>4.7599999999999995E-3</v>
      </c>
      <c r="AA17" s="95">
        <f>IF(ISERROR(_xll.qlSwapRateHelperSpread($X17)),IF(ISERROR(_xll.qlFuturesRateHelperConvexityAdjustment($X17)),"",_xll.qlFuturesRateHelperConvexityAdjustment($X17)),_xll.qlSwapRateHelperSpread($X17))</f>
        <v>0</v>
      </c>
      <c r="AB17" s="4">
        <f>IFERROR(_xll.qlRateHelperEarliestDate(X17,Trigger),"")</f>
        <v>42559</v>
      </c>
      <c r="AC17" s="4">
        <f>IFERROR(_xll.qlRateHelperPillarDate(X17,Trigger),"")</f>
        <v>44750</v>
      </c>
      <c r="AD17" s="206">
        <v>0.97182207882517513</v>
      </c>
      <c r="AE17" s="152"/>
      <c r="AF17" s="140">
        <v>7</v>
      </c>
      <c r="AG17" s="141">
        <f>_xll.qlCalendarEndOfMonth(Calendar,_xll.qlCalendarAdvance(Calendar,AG16,"1m","mf",TRUE),Trigger)</f>
        <v>42766</v>
      </c>
      <c r="AH17" s="140" t="str">
        <f t="shared" si="8"/>
        <v>GBPJump7_SYNTHON_Quote</v>
      </c>
      <c r="AI17" s="178">
        <f>_xll.qlDayCounterYearFraction("actual/360",AG17,_xll.qlCalendarAdvance(Calendar,AG17,"1D",,,Trigger))</f>
        <v>2.7777777777777779E-3</v>
      </c>
      <c r="AJ17" s="142" t="e">
        <f>IF(_xll.qlQuoteIsValid(AH17,Trigger),_xll.qlQuoteValue(AH17,Trigger),1)</f>
        <v>#NUM!</v>
      </c>
      <c r="AK17" s="181" t="e">
        <f t="shared" si="12"/>
        <v>#NUM!</v>
      </c>
      <c r="AL17" s="184"/>
      <c r="AM17" s="142" t="str">
        <f t="shared" si="13"/>
        <v>GBPJump7_SYNTHON_Quote</v>
      </c>
    </row>
    <row r="18" spans="1:39" ht="11.25" customHeight="1" x14ac:dyDescent="0.2">
      <c r="A18" s="58" t="s">
        <v>92</v>
      </c>
      <c r="B18" s="105">
        <v>7</v>
      </c>
      <c r="C18" s="61" t="str">
        <f t="shared" si="9"/>
        <v>x10F</v>
      </c>
      <c r="D18" s="114"/>
      <c r="E18" s="114"/>
      <c r="F18" s="114"/>
      <c r="G18" s="60" t="str">
        <f t="shared" si="10"/>
        <v>GbpLibor3M</v>
      </c>
      <c r="H18" s="108" t="str">
        <f t="shared" si="11"/>
        <v>GBP7x10F_Quote</v>
      </c>
      <c r="I18" s="114"/>
      <c r="J18" s="223" t="str">
        <f>IF(P16,_xll.qlFraRateHelper(,H18,B18&amp;"M",G18,PillarDate,,Permanent,Trigger,ObjectOverwrite),"--")</f>
        <v>--</v>
      </c>
      <c r="K18" s="48"/>
      <c r="L18" s="226" t="str">
        <f t="shared" si="5"/>
        <v>FRA</v>
      </c>
      <c r="M18" s="230" t="str">
        <f t="shared" si="6"/>
        <v>GBP9x12F_Quote</v>
      </c>
      <c r="N18" s="228">
        <f>IFERROR(_xll.qlQuoteValue(H20,Trigger),"--")</f>
        <v>3.0300000000000006E-3</v>
      </c>
      <c r="O18" s="229"/>
      <c r="P18" s="90" t="b">
        <v>0</v>
      </c>
      <c r="Q18" s="87">
        <v>20</v>
      </c>
      <c r="R18" s="87">
        <v>1</v>
      </c>
      <c r="S18" s="87" t="str">
        <f t="shared" si="7"/>
        <v>--</v>
      </c>
      <c r="T18" s="91" t="str">
        <f>IFERROR(_xll.qlRateHelperEarliestDate(S18,Trigger),"--")</f>
        <v>--</v>
      </c>
      <c r="U18" s="91" t="str">
        <f>IFERROR(_xll.qlRateHelperPillarDate(S18,Trigger),"--")</f>
        <v>--</v>
      </c>
      <c r="W18" s="3" t="str">
        <f t="shared" si="1"/>
        <v>Sw</v>
      </c>
      <c r="X18" s="3" t="str">
        <v>obj_002d8</v>
      </c>
      <c r="Y18" s="3" t="str">
        <f>IFERROR(_xll.qlRateHelperQuoteName(X18,Trigger),"")</f>
        <v>GBPSM3L7Y_Quote</v>
      </c>
      <c r="Z18" s="67">
        <f>IFERROR(_xll.qlRateHelperRate(X18,Trigger),"")</f>
        <v>5.4200000000000003E-3</v>
      </c>
      <c r="AA18" s="95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42559</v>
      </c>
      <c r="AC18" s="4">
        <f>IFERROR(_xll.qlRateHelperPillarDate(X18,Trigger),"")</f>
        <v>45117</v>
      </c>
      <c r="AD18" s="206">
        <v>0.96268173271079294</v>
      </c>
      <c r="AE18" s="152"/>
      <c r="AF18" s="140">
        <v>8</v>
      </c>
      <c r="AG18" s="141">
        <f>_xll.qlCalendarEndOfMonth(Calendar,_xll.qlCalendarAdvance(Calendar,AG17,"1m","mf",TRUE),Trigger)</f>
        <v>42794</v>
      </c>
      <c r="AH18" s="140" t="str">
        <f t="shared" si="8"/>
        <v>GBPJump8_SYNTHON_Quote</v>
      </c>
      <c r="AI18" s="178">
        <f>_xll.qlDayCounterYearFraction("actual/360",AG18,_xll.qlCalendarAdvance(Calendar,AG18,"1D",,,Trigger))</f>
        <v>2.7777777777777779E-3</v>
      </c>
      <c r="AJ18" s="142" t="e">
        <f>IF(_xll.qlQuoteIsValid(AH18,Trigger),_xll.qlQuoteValue(AH18,Trigger),1)</f>
        <v>#NUM!</v>
      </c>
      <c r="AK18" s="181" t="e">
        <f t="shared" si="12"/>
        <v>#NUM!</v>
      </c>
      <c r="AL18" s="184"/>
      <c r="AM18" s="142" t="str">
        <f t="shared" si="13"/>
        <v>GBPJump8_SYNTHON_Quote</v>
      </c>
    </row>
    <row r="19" spans="1:39" ht="11.25" customHeight="1" x14ac:dyDescent="0.2">
      <c r="A19" s="58" t="s">
        <v>92</v>
      </c>
      <c r="B19" s="105">
        <v>8</v>
      </c>
      <c r="C19" s="61" t="str">
        <f t="shared" si="9"/>
        <v>x11F</v>
      </c>
      <c r="D19" s="114"/>
      <c r="E19" s="114"/>
      <c r="F19" s="114"/>
      <c r="G19" s="60" t="str">
        <f t="shared" si="10"/>
        <v>GbpLibor3M</v>
      </c>
      <c r="H19" s="108" t="str">
        <f t="shared" si="11"/>
        <v>GBP8x11F_Quote</v>
      </c>
      <c r="I19" s="114"/>
      <c r="J19" s="223" t="str">
        <f>IF(P17,_xll.qlFraRateHelper(,H19,B19&amp;"M",G19,PillarDate,,Permanent,Trigger,ObjectOverwrite),"--")</f>
        <v>--</v>
      </c>
      <c r="K19" s="48"/>
      <c r="L19" s="226" t="str">
        <f t="shared" si="5"/>
        <v>FRA</v>
      </c>
      <c r="M19" s="230" t="str">
        <f t="shared" si="6"/>
        <v>GBP10x13F_Quote</v>
      </c>
      <c r="N19" s="228" t="str">
        <f>IFERROR(_xll.qlQuoteValue(H21,Trigger),"--")</f>
        <v>--</v>
      </c>
      <c r="O19" s="229"/>
      <c r="P19" s="90" t="b">
        <v>0</v>
      </c>
      <c r="Q19" s="87">
        <v>20</v>
      </c>
      <c r="R19" s="87">
        <v>1</v>
      </c>
      <c r="S19" s="87" t="str">
        <f t="shared" si="7"/>
        <v>--</v>
      </c>
      <c r="T19" s="91" t="str">
        <f>IFERROR(_xll.qlRateHelperEarliestDate(S19,Trigger),"--")</f>
        <v>--</v>
      </c>
      <c r="U19" s="91" t="str">
        <f>IFERROR(_xll.qlRateHelperPillarDate(S19,Trigger),"--")</f>
        <v>--</v>
      </c>
      <c r="W19" s="3" t="str">
        <f t="shared" si="1"/>
        <v>Sw</v>
      </c>
      <c r="X19" s="3" t="str">
        <v>obj_002d3</v>
      </c>
      <c r="Y19" s="3" t="str">
        <f>IFERROR(_xll.qlRateHelperQuoteName(X19,Trigger),"")</f>
        <v>GBPSM3L8Y_Quote</v>
      </c>
      <c r="Z19" s="67">
        <f>IFERROR(_xll.qlRateHelperRate(X19,Trigger),"")</f>
        <v>6.1500000000000001E-3</v>
      </c>
      <c r="AA19" s="95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42559</v>
      </c>
      <c r="AC19" s="4">
        <f>IFERROR(_xll.qlRateHelperPillarDate(X19,Trigger),"")</f>
        <v>45481</v>
      </c>
      <c r="AD19" s="206">
        <v>0.95183589357091525</v>
      </c>
      <c r="AE19" s="152"/>
      <c r="AF19" s="140">
        <v>9</v>
      </c>
      <c r="AG19" s="141">
        <f>_xll.qlCalendarEndOfMonth(Calendar,_xll.qlCalendarAdvance(Calendar,AG18,"1m","mf",TRUE),Trigger)</f>
        <v>42825</v>
      </c>
      <c r="AH19" s="140" t="str">
        <f t="shared" si="8"/>
        <v>GBPJump9_SYNTHON_Quote</v>
      </c>
      <c r="AI19" s="178">
        <f>_xll.qlDayCounterYearFraction("actual/360",AG19,_xll.qlCalendarAdvance(Calendar,AG19,"1D",,,Trigger))</f>
        <v>8.3333333333333332E-3</v>
      </c>
      <c r="AJ19" s="142" t="e">
        <f>IF(_xll.qlQuoteIsValid(AH19,Trigger),_xll.qlQuoteValue(AH19,Trigger),1)</f>
        <v>#NUM!</v>
      </c>
      <c r="AK19" s="181" t="e">
        <f t="shared" si="12"/>
        <v>#NUM!</v>
      </c>
      <c r="AL19" s="184"/>
      <c r="AM19" s="142" t="str">
        <f t="shared" si="13"/>
        <v>GBPJump9_SYNTHON_Quote</v>
      </c>
    </row>
    <row r="20" spans="1:39" ht="11.25" customHeight="1" x14ac:dyDescent="0.2">
      <c r="A20" s="58" t="s">
        <v>92</v>
      </c>
      <c r="B20" s="105">
        <v>9</v>
      </c>
      <c r="C20" s="61" t="str">
        <f t="shared" si="9"/>
        <v>x12F</v>
      </c>
      <c r="D20" s="114"/>
      <c r="E20" s="114"/>
      <c r="F20" s="114"/>
      <c r="G20" s="60" t="str">
        <f t="shared" si="10"/>
        <v>GbpLibor3M</v>
      </c>
      <c r="H20" s="108" t="str">
        <f t="shared" si="11"/>
        <v>GBP9x12F_Quote</v>
      </c>
      <c r="I20" s="114"/>
      <c r="J20" s="223" t="str">
        <f>IF(P18,_xll.qlFraRateHelper(,H20,B20&amp;"M",G20,PillarDate,,Permanent,Trigger,ObjectOverwrite),"--")</f>
        <v>--</v>
      </c>
      <c r="K20" s="48"/>
      <c r="L20" s="226" t="str">
        <f t="shared" si="5"/>
        <v>FRA</v>
      </c>
      <c r="M20" s="230" t="str">
        <f t="shared" si="6"/>
        <v>GBP11x14F_Quote</v>
      </c>
      <c r="N20" s="228" t="str">
        <f>IFERROR(_xll.qlQuoteValue(H22,Trigger),"--")</f>
        <v>--</v>
      </c>
      <c r="O20" s="229"/>
      <c r="P20" s="90" t="b">
        <v>0</v>
      </c>
      <c r="Q20" s="87">
        <v>20</v>
      </c>
      <c r="R20" s="87">
        <v>1</v>
      </c>
      <c r="S20" s="87" t="str">
        <f t="shared" si="7"/>
        <v>--</v>
      </c>
      <c r="T20" s="91" t="str">
        <f>IFERROR(_xll.qlRateHelperEarliestDate(S20,Trigger),"--")</f>
        <v>--</v>
      </c>
      <c r="U20" s="91" t="str">
        <f>IFERROR(_xll.qlRateHelperPillarDate(S20,Trigger),"--")</f>
        <v>--</v>
      </c>
      <c r="W20" s="3" t="str">
        <f t="shared" si="1"/>
        <v>Sw</v>
      </c>
      <c r="X20" s="3" t="str">
        <v>obj_002df</v>
      </c>
      <c r="Y20" s="3" t="str">
        <f>IFERROR(_xll.qlRateHelperQuoteName(X20,Trigger),"")</f>
        <v>GBPSM3L9Y_Quote</v>
      </c>
      <c r="Z20" s="67">
        <f>IFERROR(_xll.qlRateHelperRate(X20,Trigger),"")</f>
        <v>6.8100000000000001E-3</v>
      </c>
      <c r="AA20" s="95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42559</v>
      </c>
      <c r="AC20" s="4">
        <f>IFERROR(_xll.qlRateHelperPillarDate(X20,Trigger),"")</f>
        <v>45846</v>
      </c>
      <c r="AD20" s="206">
        <v>0.94028193247115788</v>
      </c>
      <c r="AE20" s="152"/>
      <c r="AF20" s="140">
        <v>10</v>
      </c>
      <c r="AG20" s="141">
        <f>_xll.qlCalendarEndOfMonth(Calendar,_xll.qlCalendarAdvance(Calendar,AG19,"1m","mf",TRUE),Trigger)</f>
        <v>42853</v>
      </c>
      <c r="AH20" s="140" t="str">
        <f t="shared" si="8"/>
        <v>GBPJump10_SYNTHON_Quote</v>
      </c>
      <c r="AI20" s="178">
        <f>_xll.qlDayCounterYearFraction("actual/360",AG20,_xll.qlCalendarAdvance(Calendar,AG20,"1D",,,Trigger))</f>
        <v>1.1111111111111112E-2</v>
      </c>
      <c r="AJ20" s="142" t="e">
        <f>IF(_xll.qlQuoteIsValid(AH20,Trigger),_xll.qlQuoteValue(AH20,Trigger),1)</f>
        <v>#NUM!</v>
      </c>
      <c r="AK20" s="181" t="e">
        <f t="shared" si="12"/>
        <v>#NUM!</v>
      </c>
      <c r="AL20" s="184"/>
      <c r="AM20" s="142" t="str">
        <f t="shared" si="13"/>
        <v>GBPJump10_SYNTHON_Quote</v>
      </c>
    </row>
    <row r="21" spans="1:39" ht="11.25" customHeight="1" x14ac:dyDescent="0.2">
      <c r="A21" s="58" t="s">
        <v>92</v>
      </c>
      <c r="B21" s="105">
        <v>10</v>
      </c>
      <c r="C21" s="61" t="str">
        <f t="shared" si="9"/>
        <v>x13F</v>
      </c>
      <c r="D21" s="114"/>
      <c r="E21" s="114"/>
      <c r="F21" s="114"/>
      <c r="G21" s="60" t="str">
        <f t="shared" si="10"/>
        <v>GbpLibor3M</v>
      </c>
      <c r="H21" s="108" t="str">
        <f t="shared" si="11"/>
        <v>GBP10x13F_Quote</v>
      </c>
      <c r="I21" s="114"/>
      <c r="J21" s="223" t="str">
        <f>IF(P19,_xll.qlFraRateHelper(,H21,B21&amp;"M",G21,PillarDate,,Permanent,Trigger,ObjectOverwrite),"--")</f>
        <v>--</v>
      </c>
      <c r="K21" s="48"/>
      <c r="L21" s="231" t="str">
        <f t="shared" si="5"/>
        <v>FRA</v>
      </c>
      <c r="M21" s="232" t="str">
        <f t="shared" si="6"/>
        <v>GBP12x15F_Quote</v>
      </c>
      <c r="N21" s="233">
        <f>IFERROR(_xll.qlQuoteValue(H23,Trigger),"--")</f>
        <v>3.1100000000000004E-3</v>
      </c>
      <c r="O21" s="234"/>
      <c r="P21" s="92" t="b">
        <v>0</v>
      </c>
      <c r="Q21" s="88">
        <v>20</v>
      </c>
      <c r="R21" s="88">
        <v>1</v>
      </c>
      <c r="S21" s="88" t="str">
        <f t="shared" si="7"/>
        <v>--</v>
      </c>
      <c r="T21" s="93" t="str">
        <f>IFERROR(_xll.qlRateHelperEarliestDate(S21,Trigger),"--")</f>
        <v>--</v>
      </c>
      <c r="U21" s="93" t="str">
        <f>IFERROR(_xll.qlRateHelperPillarDate(S21,Trigger),"--")</f>
        <v>--</v>
      </c>
      <c r="W21" s="3" t="str">
        <f t="shared" si="1"/>
        <v>Sw</v>
      </c>
      <c r="X21" s="3" t="str">
        <v>obj_002de</v>
      </c>
      <c r="Y21" s="3" t="str">
        <f>IFERROR(_xll.qlRateHelperQuoteName(X21,Trigger),"")</f>
        <v>GBPSM3L10Y_Quote</v>
      </c>
      <c r="Z21" s="67">
        <f>IFERROR(_xll.qlRateHelperRate(X21,Trigger),"")</f>
        <v>7.4199999999999995E-3</v>
      </c>
      <c r="AA21" s="95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42559</v>
      </c>
      <c r="AC21" s="4">
        <f>IFERROR(_xll.qlRateHelperPillarDate(X21,Trigger),"")</f>
        <v>46211</v>
      </c>
      <c r="AD21" s="206">
        <v>0.92806464671895594</v>
      </c>
      <c r="AE21" s="152"/>
      <c r="AF21" s="140">
        <v>11</v>
      </c>
      <c r="AG21" s="141">
        <f>_xll.qlCalendarEndOfMonth(Calendar,_xll.qlCalendarAdvance(Calendar,AG20,"1m","mf",TRUE),Trigger)</f>
        <v>42886</v>
      </c>
      <c r="AH21" s="140" t="str">
        <f t="shared" si="8"/>
        <v>GBPJump11_SYNTHON_Quote</v>
      </c>
      <c r="AI21" s="178">
        <f>_xll.qlDayCounterYearFraction("actual/360",AG21,_xll.qlCalendarAdvance(Calendar,AG21,"1D",,,Trigger))</f>
        <v>2.7777777777777779E-3</v>
      </c>
      <c r="AJ21" s="142" t="e">
        <f>IF(_xll.qlQuoteIsValid(AH21,Trigger),_xll.qlQuoteValue(AH21,Trigger),1)</f>
        <v>#NUM!</v>
      </c>
      <c r="AK21" s="181" t="e">
        <f t="shared" si="12"/>
        <v>#NUM!</v>
      </c>
      <c r="AL21" s="184"/>
      <c r="AM21" s="142" t="str">
        <f t="shared" si="13"/>
        <v>GBPJump11_SYNTHON_Quote</v>
      </c>
    </row>
    <row r="22" spans="1:39" ht="11.25" customHeight="1" x14ac:dyDescent="0.2">
      <c r="A22" s="58" t="s">
        <v>92</v>
      </c>
      <c r="B22" s="105">
        <v>11</v>
      </c>
      <c r="C22" s="61" t="str">
        <f t="shared" si="9"/>
        <v>x14F</v>
      </c>
      <c r="D22" s="114"/>
      <c r="E22" s="114"/>
      <c r="F22" s="114"/>
      <c r="G22" s="60" t="str">
        <f t="shared" si="10"/>
        <v>GbpLibor3M</v>
      </c>
      <c r="H22" s="108" t="str">
        <f t="shared" si="11"/>
        <v>GBP11x14F_Quote</v>
      </c>
      <c r="I22" s="114"/>
      <c r="J22" s="223" t="str">
        <f>IF(P20,_xll.qlFraRateHelper(,H22,B22&amp;"M",G22,PillarDate,,Permanent,Trigger,ObjectOverwrite),"--")</f>
        <v>--</v>
      </c>
      <c r="K22" s="48"/>
      <c r="L22" s="238" t="str">
        <f>A26</f>
        <v>FUT</v>
      </c>
      <c r="M22" s="239" t="str">
        <f>H26</f>
        <v>GBPFUT3MN6_Quote</v>
      </c>
      <c r="N22" s="242">
        <f>IFERROR(_xll.qlQuoteValue(H26,Trigger),"--")</f>
        <v>0</v>
      </c>
      <c r="O22" s="240">
        <f>IFERROR(_xll.qlQuoteValue(I26,Trigger),"--")</f>
        <v>7.8243086108100912E-7</v>
      </c>
      <c r="P22" s="123" t="b">
        <v>1</v>
      </c>
      <c r="Q22" s="122">
        <v>60</v>
      </c>
      <c r="R22" s="122">
        <v>3</v>
      </c>
      <c r="S22" s="122" t="str">
        <f>J26</f>
        <v>obj_00315#0001</v>
      </c>
      <c r="T22" s="124">
        <f>IFERROR(_xll.qlRateHelperEarliestDate(S22,Trigger),"--")</f>
        <v>42571</v>
      </c>
      <c r="U22" s="124">
        <f>IFERROR(_xll.qlRateHelperPillarDate(S22,Trigger),"--")</f>
        <v>42663</v>
      </c>
      <c r="W22" s="3" t="str">
        <f t="shared" si="1"/>
        <v>Sw</v>
      </c>
      <c r="X22" s="3" t="str">
        <v>obj_002d9</v>
      </c>
      <c r="Y22" s="3" t="str">
        <f>IFERROR(_xll.qlRateHelperQuoteName(X22,Trigger),"")</f>
        <v>GBPSM3L12Y_Quote</v>
      </c>
      <c r="Z22" s="67">
        <f>IFERROR(_xll.qlRateHelperRate(X22,Trigger),"")</f>
        <v>8.5100000000000002E-3</v>
      </c>
      <c r="AA22" s="95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42559</v>
      </c>
      <c r="AC22" s="4">
        <f>IFERROR(_xll.qlRateHelperPillarDate(X22,Trigger),"")</f>
        <v>46944</v>
      </c>
      <c r="AD22" s="206">
        <v>0.9020035560900993</v>
      </c>
      <c r="AE22" s="152"/>
      <c r="AF22" s="140">
        <v>12</v>
      </c>
      <c r="AG22" s="141">
        <f>_xll.qlCalendarEndOfMonth(Calendar,_xll.qlCalendarAdvance(Calendar,AG21,"1m","mf",TRUE),Trigger)</f>
        <v>42916</v>
      </c>
      <c r="AH22" s="140" t="str">
        <f t="shared" si="8"/>
        <v>GBPJump12_SYNTHON_Quote</v>
      </c>
      <c r="AI22" s="178">
        <f>_xll.qlDayCounterYearFraction("actual/360",AG22,_xll.qlCalendarAdvance(Calendar,AG22,"1D",,,Trigger))</f>
        <v>8.3333333333333332E-3</v>
      </c>
      <c r="AJ22" s="142" t="e">
        <f>IF(_xll.qlQuoteIsValid(AH22,Trigger),_xll.qlQuoteValue(AH22,Trigger),1)</f>
        <v>#NUM!</v>
      </c>
      <c r="AK22" s="181" t="e">
        <f t="shared" si="12"/>
        <v>#NUM!</v>
      </c>
      <c r="AL22" s="184"/>
      <c r="AM22" s="142" t="str">
        <f t="shared" si="13"/>
        <v>GBPJump12_SYNTHON_Quote</v>
      </c>
    </row>
    <row r="23" spans="1:39" ht="11.25" customHeight="1" x14ac:dyDescent="0.2">
      <c r="A23" s="1" t="s">
        <v>92</v>
      </c>
      <c r="B23" s="106">
        <v>12</v>
      </c>
      <c r="C23" s="8" t="str">
        <f t="shared" si="9"/>
        <v>x15F</v>
      </c>
      <c r="D23" s="115"/>
      <c r="E23" s="115"/>
      <c r="F23" s="115"/>
      <c r="G23" s="6" t="str">
        <f t="shared" si="10"/>
        <v>GbpLibor3M</v>
      </c>
      <c r="H23" s="109" t="str">
        <f t="shared" si="11"/>
        <v>GBP12x15F_Quote</v>
      </c>
      <c r="I23" s="115"/>
      <c r="J23" s="224" t="str">
        <f>IF(P21,_xll.qlFraRateHelper(,H23,B23&amp;"M",G23,PillarDate,,Permanent,Trigger,ObjectOverwrite),"--")</f>
        <v>--</v>
      </c>
      <c r="K23" s="48"/>
      <c r="L23" s="226" t="str">
        <f t="shared" ref="L23:L43" si="14">A27</f>
        <v>FUT</v>
      </c>
      <c r="M23" s="230" t="str">
        <f t="shared" ref="M23:M43" si="15">H27</f>
        <v>GBPFUT3MQ6_Quote</v>
      </c>
      <c r="N23" s="243">
        <f>IFERROR(_xll.qlQuoteValue(H27,Trigger),"--")</f>
        <v>0</v>
      </c>
      <c r="O23" s="228">
        <f>IFERROR(_xll.qlQuoteValue(I27,Trigger),"--")</f>
        <v>2.9751617214555393E-6</v>
      </c>
      <c r="P23" s="90" t="b">
        <v>1</v>
      </c>
      <c r="Q23" s="87">
        <v>60</v>
      </c>
      <c r="R23" s="87">
        <v>3</v>
      </c>
      <c r="S23" s="87" t="str">
        <f t="shared" ref="S23:S43" si="16">J27</f>
        <v>obj_0031a#0001</v>
      </c>
      <c r="T23" s="91">
        <f>IFERROR(_xll.qlRateHelperEarliestDate(S23,Trigger),"--")</f>
        <v>42599</v>
      </c>
      <c r="U23" s="91">
        <f>IFERROR(_xll.qlRateHelperPillarDate(S23,Trigger),"--")</f>
        <v>42691</v>
      </c>
      <c r="W23" s="3" t="str">
        <f t="shared" si="1"/>
        <v>Sw</v>
      </c>
      <c r="X23" s="3" t="str">
        <v>obj_002d1</v>
      </c>
      <c r="Y23" s="3" t="str">
        <f>IFERROR(_xll.qlRateHelperQuoteName(X23,Trigger),"")</f>
        <v>GBPSM3L15Y_Quote</v>
      </c>
      <c r="Z23" s="67">
        <f>IFERROR(_xll.qlRateHelperRate(X23,Trigger),"")</f>
        <v>9.5500000000000012E-3</v>
      </c>
      <c r="AA23" s="95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42559</v>
      </c>
      <c r="AC23" s="4">
        <f>IFERROR(_xll.qlRateHelperPillarDate(X23,Trigger),"")</f>
        <v>48037</v>
      </c>
      <c r="AD23" s="206">
        <v>0.86496649855194596</v>
      </c>
      <c r="AE23" s="152"/>
      <c r="AF23" s="143">
        <v>13</v>
      </c>
      <c r="AG23" s="144">
        <f>_xll.qlCalendarAdjust(Calendar,DATE(YEAR(AG11)+1,12,31),"preceding",Trigger)</f>
        <v>43098</v>
      </c>
      <c r="AH23" s="143" t="str">
        <f t="shared" si="8"/>
        <v>GBPJump13_SYNTHON_Quote</v>
      </c>
      <c r="AI23" s="179">
        <f>_xll.qlDayCounterYearFraction("actual/360",AG23,_xll.qlCalendarAdvance(Calendar,AG23,"1D",,,Trigger))</f>
        <v>1.1111111111111112E-2</v>
      </c>
      <c r="AJ23" s="145" t="e">
        <f>IF(_xll.qlQuoteIsValid(AH23,Trigger),_xll.qlQuoteValue(AH23,Trigger),1)</f>
        <v>#NUM!</v>
      </c>
      <c r="AK23" s="182" t="e">
        <f t="shared" si="12"/>
        <v>#NUM!</v>
      </c>
      <c r="AL23" s="185"/>
      <c r="AM23" s="145" t="str">
        <f t="shared" si="13"/>
        <v>GBPJump13_SYNTHON_Quote</v>
      </c>
    </row>
    <row r="24" spans="1:39" ht="11.25" customHeight="1" x14ac:dyDescent="0.2">
      <c r="B24" s="46"/>
      <c r="C24" s="46"/>
      <c r="D24" s="46"/>
      <c r="E24" s="46"/>
      <c r="F24" s="46"/>
      <c r="G24" s="46"/>
      <c r="H24" s="94" t="s">
        <v>94</v>
      </c>
      <c r="K24" s="48"/>
      <c r="L24" s="226" t="str">
        <f t="shared" si="14"/>
        <v>FUT</v>
      </c>
      <c r="M24" s="230" t="str">
        <f t="shared" si="15"/>
        <v>GBPFUT3MU6_Quote</v>
      </c>
      <c r="N24" s="243">
        <f>IFERROR(_xll.qlQuoteValue(H28,Trigger),"--")</f>
        <v>99.672499999999999</v>
      </c>
      <c r="O24" s="228">
        <f>IFERROR(_xll.qlQuoteValue(I28,Trigger),"--")</f>
        <v>5.1038358659785138E-6</v>
      </c>
      <c r="P24" s="90" t="b">
        <v>1</v>
      </c>
      <c r="Q24" s="87">
        <v>60</v>
      </c>
      <c r="R24" s="87">
        <v>3</v>
      </c>
      <c r="S24" s="87" t="str">
        <f t="shared" si="16"/>
        <v>obj_00314#0001</v>
      </c>
      <c r="T24" s="91">
        <f>IFERROR(_xll.qlRateHelperEarliestDate(S24,Trigger),"--")</f>
        <v>42634</v>
      </c>
      <c r="U24" s="91">
        <f>IFERROR(_xll.qlRateHelperPillarDate(S24,Trigger),"--")</f>
        <v>42725</v>
      </c>
      <c r="W24" s="3" t="str">
        <f t="shared" si="1"/>
        <v>Sw</v>
      </c>
      <c r="X24" s="3" t="str">
        <v>obj_002d5</v>
      </c>
      <c r="Y24" s="3" t="str">
        <f>IFERROR(_xll.qlRateHelperQuoteName(X24,Trigger),"")</f>
        <v>GBPSM3L20Y_Quote</v>
      </c>
      <c r="Z24" s="67">
        <f>IFERROR(_xll.qlRateHelperRate(X24,Trigger),"")</f>
        <v>1.0250000000000002E-2</v>
      </c>
      <c r="AA24" s="95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42559</v>
      </c>
      <c r="AC24" s="4">
        <f>IFERROR(_xll.qlRateHelperPillarDate(X24,Trigger),"")</f>
        <v>49864</v>
      </c>
      <c r="AD24" s="206">
        <v>0.81232900707359479</v>
      </c>
      <c r="AE24" s="152"/>
    </row>
    <row r="25" spans="1:39" ht="11.25" customHeight="1" x14ac:dyDescent="0.2">
      <c r="A25" s="63" t="s">
        <v>9</v>
      </c>
      <c r="B25" s="63" t="s">
        <v>96</v>
      </c>
      <c r="C25" s="63" t="s">
        <v>33</v>
      </c>
      <c r="D25" s="63"/>
      <c r="E25" s="63"/>
      <c r="F25" s="63"/>
      <c r="G25" s="63" t="s">
        <v>4</v>
      </c>
      <c r="H25" s="63" t="s">
        <v>1</v>
      </c>
      <c r="I25" s="63" t="s">
        <v>95</v>
      </c>
      <c r="J25" s="63" t="s">
        <v>25</v>
      </c>
      <c r="K25" s="48"/>
      <c r="L25" s="226" t="str">
        <f t="shared" si="14"/>
        <v>FUT</v>
      </c>
      <c r="M25" s="230" t="str">
        <f t="shared" si="15"/>
        <v>GBPFUT3MV6_Quote</v>
      </c>
      <c r="N25" s="243" t="str">
        <f>IFERROR(_xll.qlQuoteValue(H29,Trigger),"--")</f>
        <v>--</v>
      </c>
      <c r="O25" s="228" t="str">
        <f>IFERROR(_xll.qlQuoteValue(I29,Trigger),"--")</f>
        <v>--</v>
      </c>
      <c r="P25" s="90" t="b">
        <v>1</v>
      </c>
      <c r="Q25" s="87">
        <v>60</v>
      </c>
      <c r="R25" s="87">
        <v>21</v>
      </c>
      <c r="S25" s="87" t="str">
        <f t="shared" si="16"/>
        <v>obj_0031c#0001</v>
      </c>
      <c r="T25" s="91">
        <f>IFERROR(_xll.qlRateHelperEarliestDate(S25,Trigger),"--")</f>
        <v>42662</v>
      </c>
      <c r="U25" s="91">
        <f>IFERROR(_xll.qlRateHelperPillarDate(S25,Trigger),"--")</f>
        <v>42754</v>
      </c>
      <c r="W25" s="3" t="str">
        <f t="shared" si="1"/>
        <v>Sw</v>
      </c>
      <c r="X25" s="3" t="str">
        <v>obj_002dd</v>
      </c>
      <c r="Y25" s="3" t="str">
        <f>IFERROR(_xll.qlRateHelperQuoteName(X25,Trigger),"")</f>
        <v>GBPSM3L25Y_Quote</v>
      </c>
      <c r="Z25" s="67">
        <f>IFERROR(_xll.qlRateHelperRate(X25,Trigger),"")</f>
        <v>1.0300000000000002E-2</v>
      </c>
      <c r="AA25" s="95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42559</v>
      </c>
      <c r="AC25" s="4">
        <f>IFERROR(_xll.qlRateHelperPillarDate(X25,Trigger),"")</f>
        <v>51690</v>
      </c>
      <c r="AD25" s="206">
        <v>0.77076895422284297</v>
      </c>
      <c r="AE25" s="152"/>
    </row>
    <row r="26" spans="1:39" ht="11.25" customHeight="1" x14ac:dyDescent="0.2">
      <c r="A26" s="53" t="s">
        <v>93</v>
      </c>
      <c r="B26" s="104" t="b">
        <v>0</v>
      </c>
      <c r="C26" s="56" t="str">
        <f>_xll.qlIMMNextCode(Evaluationdate+2,B26,Trigger)</f>
        <v>N6</v>
      </c>
      <c r="D26" s="120"/>
      <c r="E26" s="120"/>
      <c r="F26" s="120"/>
      <c r="G26" s="55" t="str">
        <f t="shared" ref="G26:G47" si="17">PROPER(Currency)&amp;FamilyName&amp;Tenor</f>
        <v>GbpLibor3M</v>
      </c>
      <c r="H26" s="107" t="str">
        <f t="shared" ref="H26:H47" si="18">Currency&amp;"FUT"&amp;Tenor&amp;$C26&amp;QuoteSuffix</f>
        <v>GBPFUT3MN6_Quote</v>
      </c>
      <c r="I26" s="107" t="str">
        <f t="shared" ref="I26:I47" si="19">Currency&amp;"FUT"&amp;Tenor&amp;$C26&amp;"ConvAdj"&amp;QuoteSuffix</f>
        <v>GBPFUT3MN6ConvAdj_Quote</v>
      </c>
      <c r="J26" s="225" t="str">
        <f>IF(P22,_xll.qlFuturesRateHelper(,H26,FuturesType,C26,G26,I26,Permanent,Trigger,ObjectOverwrite),"--")</f>
        <v>obj_00315#0001</v>
      </c>
      <c r="K26" s="48"/>
      <c r="L26" s="226" t="str">
        <f t="shared" si="14"/>
        <v>FUT</v>
      </c>
      <c r="M26" s="230" t="str">
        <f t="shared" si="15"/>
        <v>GBPFUT3MX6_Quote</v>
      </c>
      <c r="N26" s="243" t="str">
        <f>IFERROR(_xll.qlQuoteValue(H30,Trigger),"--")</f>
        <v>--</v>
      </c>
      <c r="O26" s="228" t="str">
        <f>IFERROR(_xll.qlQuoteValue(I30,Trigger),"--")</f>
        <v>--</v>
      </c>
      <c r="P26" s="90" t="b">
        <v>1</v>
      </c>
      <c r="Q26" s="87">
        <v>60</v>
      </c>
      <c r="R26" s="87">
        <v>21</v>
      </c>
      <c r="S26" s="87" t="str">
        <f t="shared" si="16"/>
        <v>obj_00325#0001</v>
      </c>
      <c r="T26" s="91">
        <f>IFERROR(_xll.qlRateHelperEarliestDate(S26,Trigger),"--")</f>
        <v>42690</v>
      </c>
      <c r="U26" s="91">
        <f>IFERROR(_xll.qlRateHelperPillarDate(S26,Trigger),"--")</f>
        <v>42782</v>
      </c>
      <c r="W26" s="3" t="str">
        <f t="shared" si="1"/>
        <v>Sw</v>
      </c>
      <c r="X26" s="3" t="str">
        <v>obj_002d6</v>
      </c>
      <c r="Y26" s="3" t="str">
        <f>IFERROR(_xll.qlRateHelperQuoteName(X26,Trigger),"")</f>
        <v>GBPSM3L30Y_Quote</v>
      </c>
      <c r="Z26" s="67">
        <f>IFERROR(_xll.qlRateHelperRate(X26,Trigger),"")</f>
        <v>1.0230000000000001E-2</v>
      </c>
      <c r="AA26" s="95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42559</v>
      </c>
      <c r="AC26" s="4">
        <f>IFERROR(_xll.qlRateHelperPillarDate(X26,Trigger),"")</f>
        <v>53517</v>
      </c>
      <c r="AD26" s="206">
        <v>0.733889299827439</v>
      </c>
      <c r="AE26" s="152"/>
    </row>
    <row r="27" spans="1:39" ht="11.25" customHeight="1" x14ac:dyDescent="0.2">
      <c r="A27" s="58" t="s">
        <v>93</v>
      </c>
      <c r="B27" s="105" t="b">
        <v>0</v>
      </c>
      <c r="C27" s="61" t="str">
        <f>_xll.qlIMMNextCode(C26,B27,Trigger)</f>
        <v>Q6</v>
      </c>
      <c r="D27" s="114"/>
      <c r="E27" s="114"/>
      <c r="F27" s="114"/>
      <c r="G27" s="60" t="str">
        <f t="shared" si="17"/>
        <v>GbpLibor3M</v>
      </c>
      <c r="H27" s="108" t="str">
        <f t="shared" si="18"/>
        <v>GBPFUT3MQ6_Quote</v>
      </c>
      <c r="I27" s="108" t="str">
        <f t="shared" si="19"/>
        <v>GBPFUT3MQ6ConvAdj_Quote</v>
      </c>
      <c r="J27" s="223" t="str">
        <f>IF(P23,_xll.qlFuturesRateHelper(,H27,FuturesType,C27,G27,I27,Permanent,Trigger,ObjectOverwrite),"--")</f>
        <v>obj_0031a#0001</v>
      </c>
      <c r="K27" s="48"/>
      <c r="L27" s="226" t="str">
        <f t="shared" si="14"/>
        <v>FUT</v>
      </c>
      <c r="M27" s="230" t="str">
        <f t="shared" si="15"/>
        <v>GBPFUT3MZ6_Quote</v>
      </c>
      <c r="N27" s="243">
        <f>IFERROR(_xll.qlQuoteValue(H31,Trigger),"--")</f>
        <v>99.705000000000013</v>
      </c>
      <c r="O27" s="228">
        <f>IFERROR(_xll.qlQuoteValue(I31,Trigger),"--")</f>
        <v>1.5105641166889789E-5</v>
      </c>
      <c r="P27" s="90" t="b">
        <v>1</v>
      </c>
      <c r="Q27" s="87">
        <v>60</v>
      </c>
      <c r="R27" s="87">
        <v>21</v>
      </c>
      <c r="S27" s="87" t="str">
        <f t="shared" si="16"/>
        <v>obj_00320#0001</v>
      </c>
      <c r="T27" s="91">
        <f>IFERROR(_xll.qlRateHelperEarliestDate(S27,Trigger),"--")</f>
        <v>42725</v>
      </c>
      <c r="U27" s="91">
        <f>IFERROR(_xll.qlRateHelperPillarDate(S27,Trigger),"--")</f>
        <v>42815</v>
      </c>
      <c r="W27" s="3" t="str">
        <f t="shared" si="1"/>
        <v>Sw</v>
      </c>
      <c r="X27" s="3" t="str">
        <v>obj_002e0</v>
      </c>
      <c r="Y27" s="3" t="str">
        <f>IFERROR(_xll.qlRateHelperQuoteName(X27,Trigger),"")</f>
        <v>GBPSM3L40Y_Quote</v>
      </c>
      <c r="Z27" s="67">
        <f>IFERROR(_xll.qlRateHelperRate(X27,Trigger),"")</f>
        <v>9.700000000000002E-3</v>
      </c>
      <c r="AA27" s="95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42559</v>
      </c>
      <c r="AC27" s="4">
        <f>IFERROR(_xll.qlRateHelperPillarDate(X27,Trigger),"")</f>
        <v>57171</v>
      </c>
      <c r="AD27" s="206">
        <v>0.67905182831973854</v>
      </c>
      <c r="AE27" s="152"/>
    </row>
    <row r="28" spans="1:39" ht="11.25" customHeight="1" x14ac:dyDescent="0.2">
      <c r="A28" s="58" t="s">
        <v>93</v>
      </c>
      <c r="B28" s="105" t="b">
        <v>0</v>
      </c>
      <c r="C28" s="61" t="str">
        <f>_xll.qlIMMNextCode(C27,B28,Trigger)</f>
        <v>U6</v>
      </c>
      <c r="D28" s="114"/>
      <c r="E28" s="114"/>
      <c r="F28" s="114"/>
      <c r="G28" s="60" t="str">
        <f t="shared" si="17"/>
        <v>GbpLibor3M</v>
      </c>
      <c r="H28" s="108" t="str">
        <f t="shared" si="18"/>
        <v>GBPFUT3MU6_Quote</v>
      </c>
      <c r="I28" s="108" t="str">
        <f t="shared" si="19"/>
        <v>GBPFUT3MU6ConvAdj_Quote</v>
      </c>
      <c r="J28" s="223" t="str">
        <f>IF(P24,_xll.qlFuturesRateHelper(,H28,FuturesType,C28,G28,I28,Permanent,Trigger,ObjectOverwrite),"--")</f>
        <v>obj_00314#0001</v>
      </c>
      <c r="K28" s="48"/>
      <c r="L28" s="226" t="str">
        <f t="shared" si="14"/>
        <v>FUT</v>
      </c>
      <c r="M28" s="230" t="str">
        <f t="shared" si="15"/>
        <v>GBPFUT3MH7_Quote</v>
      </c>
      <c r="N28" s="243">
        <f>IFERROR(_xll.qlQuoteValue(H32,Trigger),"--")</f>
        <v>99.694999999999993</v>
      </c>
      <c r="O28" s="228">
        <f>IFERROR(_xll.qlQuoteValue(I32,Trigger),"--")</f>
        <v>2.8347764029122458E-5</v>
      </c>
      <c r="P28" s="90" t="b">
        <v>1</v>
      </c>
      <c r="Q28" s="87">
        <v>60</v>
      </c>
      <c r="R28" s="87">
        <v>21</v>
      </c>
      <c r="S28" s="87" t="str">
        <f t="shared" si="16"/>
        <v>obj_00327#0001</v>
      </c>
      <c r="T28" s="91">
        <f>IFERROR(_xll.qlRateHelperEarliestDate(S28,Trigger),"--")</f>
        <v>42809</v>
      </c>
      <c r="U28" s="91">
        <f>IFERROR(_xll.qlRateHelperPillarDate(S28,Trigger),"--")</f>
        <v>42901</v>
      </c>
      <c r="W28" s="3" t="str">
        <f t="shared" si="1"/>
        <v>Sw</v>
      </c>
      <c r="X28" s="3" t="str">
        <v>obj_002d7</v>
      </c>
      <c r="Y28" s="3" t="str">
        <f>IFERROR(_xll.qlRateHelperQuoteName(X28,Trigger),"")</f>
        <v>GBPSM3L50Y_Quote</v>
      </c>
      <c r="Z28" s="67">
        <f>IFERROR(_xll.qlRateHelperRate(X28,Trigger),"")</f>
        <v>9.3200000000000019E-3</v>
      </c>
      <c r="AA28" s="95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42559</v>
      </c>
      <c r="AC28" s="4">
        <f>IFERROR(_xll.qlRateHelperPillarDate(X28,Trigger),"")</f>
        <v>60821</v>
      </c>
      <c r="AD28" s="206">
        <v>0.63035177877415471</v>
      </c>
      <c r="AE28" s="152"/>
    </row>
    <row r="29" spans="1:39" ht="11.25" customHeight="1" x14ac:dyDescent="0.2">
      <c r="A29" s="58" t="s">
        <v>93</v>
      </c>
      <c r="B29" s="105" t="b">
        <v>0</v>
      </c>
      <c r="C29" s="61" t="str">
        <f>_xll.qlIMMNextCode(C28,B29,Trigger)</f>
        <v>V6</v>
      </c>
      <c r="D29" s="114"/>
      <c r="E29" s="114"/>
      <c r="F29" s="114"/>
      <c r="G29" s="60" t="str">
        <f t="shared" si="17"/>
        <v>GbpLibor3M</v>
      </c>
      <c r="H29" s="108" t="str">
        <f t="shared" si="18"/>
        <v>GBPFUT3MV6_Quote</v>
      </c>
      <c r="I29" s="108" t="str">
        <f t="shared" si="19"/>
        <v>GBPFUT3MV6ConvAdj_Quote</v>
      </c>
      <c r="J29" s="223" t="str">
        <f>IF(P25,_xll.qlFuturesRateHelper(,H29,FuturesType,C29,G29,I29,Permanent,Trigger,ObjectOverwrite),"--")</f>
        <v>obj_0031c#0001</v>
      </c>
      <c r="K29" s="48"/>
      <c r="L29" s="226" t="str">
        <f t="shared" si="14"/>
        <v>FUT</v>
      </c>
      <c r="M29" s="230" t="str">
        <f t="shared" si="15"/>
        <v>GBPFUT3MM7_Quote</v>
      </c>
      <c r="N29" s="243">
        <f>IFERROR(_xll.qlQuoteValue(H33,Trigger),"--")</f>
        <v>99.685000000000002</v>
      </c>
      <c r="O29" s="228">
        <f>IFERROR(_xll.qlQuoteValue(I33,Trigger),"--")</f>
        <v>4.7999624125413392E-5</v>
      </c>
      <c r="P29" s="90" t="b">
        <v>1</v>
      </c>
      <c r="Q29" s="87">
        <v>60</v>
      </c>
      <c r="R29" s="87">
        <v>21</v>
      </c>
      <c r="S29" s="87" t="str">
        <f t="shared" si="16"/>
        <v>obj_00323#0001</v>
      </c>
      <c r="T29" s="91">
        <f>IFERROR(_xll.qlRateHelperEarliestDate(S29,Trigger),"--")</f>
        <v>42907</v>
      </c>
      <c r="U29" s="91">
        <f>IFERROR(_xll.qlRateHelperPillarDate(S29,Trigger),"--")</f>
        <v>42999</v>
      </c>
      <c r="W29" s="3" t="str">
        <f t="shared" si="1"/>
        <v>Sw</v>
      </c>
      <c r="X29" s="3" t="str">
        <v>obj_002db</v>
      </c>
      <c r="Y29" s="3" t="str">
        <f>IFERROR(_xll.qlRateHelperQuoteName(X29,Trigger),"")</f>
        <v>GBPSM3L60Y_Quote</v>
      </c>
      <c r="Z29" s="67">
        <f>IFERROR(_xll.qlRateHelperRate(X29,Trigger),"")</f>
        <v>9.2899999999999996E-3</v>
      </c>
      <c r="AA29" s="95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42559</v>
      </c>
      <c r="AC29" s="4">
        <f>IFERROR(_xll.qlRateHelperPillarDate(X29,Trigger),"")</f>
        <v>64474</v>
      </c>
      <c r="AD29" s="206">
        <v>0.5755528185361044</v>
      </c>
      <c r="AE29" s="152"/>
    </row>
    <row r="30" spans="1:39" ht="11.25" customHeight="1" x14ac:dyDescent="0.2">
      <c r="A30" s="1" t="s">
        <v>93</v>
      </c>
      <c r="B30" s="106" t="b">
        <v>0</v>
      </c>
      <c r="C30" s="8" t="str">
        <f>_xll.qlIMMNextCode(C29,B30,Trigger)</f>
        <v>X6</v>
      </c>
      <c r="D30" s="115"/>
      <c r="E30" s="115"/>
      <c r="F30" s="115"/>
      <c r="G30" s="6" t="str">
        <f t="shared" si="17"/>
        <v>GbpLibor3M</v>
      </c>
      <c r="H30" s="109" t="str">
        <f t="shared" si="18"/>
        <v>GBPFUT3MX6_Quote</v>
      </c>
      <c r="I30" s="109" t="str">
        <f t="shared" si="19"/>
        <v>GBPFUT3MX6ConvAdj_Quote</v>
      </c>
      <c r="J30" s="224" t="str">
        <f>IF(P26,_xll.qlFuturesRateHelper(,H30,FuturesType,C30,G30,I30,Permanent,Trigger,ObjectOverwrite),"--")</f>
        <v>obj_00325#0001</v>
      </c>
      <c r="K30" s="48"/>
      <c r="L30" s="226" t="str">
        <f t="shared" si="14"/>
        <v>FUT</v>
      </c>
      <c r="M30" s="230" t="str">
        <f t="shared" si="15"/>
        <v>GBPFUT3MU7_Quote</v>
      </c>
      <c r="N30" s="243">
        <f>IFERROR(_xll.qlQuoteValue(H34,Trigger),"--")</f>
        <v>99.68</v>
      </c>
      <c r="O30" s="228">
        <f>IFERROR(_xll.qlQuoteValue(I34,Trigger),"--")</f>
        <v>7.0175571261954514E-5</v>
      </c>
      <c r="P30" s="90" t="b">
        <v>1</v>
      </c>
      <c r="Q30" s="87">
        <v>60</v>
      </c>
      <c r="R30" s="87">
        <v>21</v>
      </c>
      <c r="S30" s="87" t="str">
        <f t="shared" si="16"/>
        <v>obj_00322#0001</v>
      </c>
      <c r="T30" s="91">
        <f>IFERROR(_xll.qlRateHelperEarliestDate(S30,Trigger),"--")</f>
        <v>42998</v>
      </c>
      <c r="U30" s="91">
        <f>IFERROR(_xll.qlRateHelperPillarDate(S30,Trigger),"--")</f>
        <v>43089</v>
      </c>
      <c r="W30" s="3" t="str">
        <f t="shared" si="1"/>
        <v/>
      </c>
      <c r="X30" s="3" t="e">
        <v>#N/A</v>
      </c>
      <c r="Y30" s="3" t="str">
        <f>IFERROR(_xll.qlRateHelperQuoteName(X30,Trigger),"")</f>
        <v/>
      </c>
      <c r="Z30" s="67" t="str">
        <f>IFERROR(_xll.qlRateHelperRate(X30,Trigger),"")</f>
        <v/>
      </c>
      <c r="AA30" s="95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206" t="e">
        <v>#N/A</v>
      </c>
    </row>
    <row r="31" spans="1:39" ht="11.25" customHeight="1" x14ac:dyDescent="0.2">
      <c r="A31" s="58" t="s">
        <v>93</v>
      </c>
      <c r="B31" s="105" t="b">
        <v>1</v>
      </c>
      <c r="C31" s="61" t="str">
        <f>_xll.qlIMMNextCode(C30,B31,Trigger)</f>
        <v>Z6</v>
      </c>
      <c r="D31" s="114"/>
      <c r="E31" s="114"/>
      <c r="F31" s="114"/>
      <c r="G31" s="60" t="str">
        <f t="shared" si="17"/>
        <v>GbpLibor3M</v>
      </c>
      <c r="H31" s="108" t="str">
        <f t="shared" si="18"/>
        <v>GBPFUT3MZ6_Quote</v>
      </c>
      <c r="I31" s="108" t="str">
        <f t="shared" si="19"/>
        <v>GBPFUT3MZ6ConvAdj_Quote</v>
      </c>
      <c r="J31" s="223" t="str">
        <f>IF(P27,_xll.qlFuturesRateHelper(,H31,FuturesType,C31,G31,I31,Permanent,Trigger,ObjectOverwrite),"--")</f>
        <v>obj_00320#0001</v>
      </c>
      <c r="K31" s="48"/>
      <c r="L31" s="226" t="str">
        <f t="shared" si="14"/>
        <v>FUT</v>
      </c>
      <c r="M31" s="230" t="str">
        <f t="shared" si="15"/>
        <v>GBPFUT3MZ7_Quote</v>
      </c>
      <c r="N31" s="243">
        <f>IFERROR(_xll.qlQuoteValue(H35,Trigger),"--")</f>
        <v>99.664999999999992</v>
      </c>
      <c r="O31" s="228">
        <f>IFERROR(_xll.qlQuoteValue(I35,Trigger),"--")</f>
        <v>9.6169707392252583E-5</v>
      </c>
      <c r="P31" s="90" t="b">
        <v>1</v>
      </c>
      <c r="Q31" s="87">
        <v>60</v>
      </c>
      <c r="R31" s="87">
        <v>21</v>
      </c>
      <c r="S31" s="87" t="str">
        <f t="shared" si="16"/>
        <v>obj_0031f#0001</v>
      </c>
      <c r="T31" s="91">
        <f>IFERROR(_xll.qlRateHelperEarliestDate(S31,Trigger),"--")</f>
        <v>43089</v>
      </c>
      <c r="U31" s="91">
        <f>IFERROR(_xll.qlRateHelperPillarDate(S31,Trigger),"--")</f>
        <v>43179</v>
      </c>
      <c r="W31" s="3" t="str">
        <f t="shared" si="1"/>
        <v/>
      </c>
      <c r="X31" s="3" t="e">
        <v>#N/A</v>
      </c>
      <c r="Y31" s="3" t="str">
        <f>IFERROR(_xll.qlRateHelperQuoteName(X31,Trigger),"")</f>
        <v/>
      </c>
      <c r="Z31" s="67" t="str">
        <f>IFERROR(_xll.qlRateHelperRate(X31,Trigger),"")</f>
        <v/>
      </c>
      <c r="AA31" s="95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206" t="e">
        <v>#N/A</v>
      </c>
    </row>
    <row r="32" spans="1:39" ht="11.25" customHeight="1" x14ac:dyDescent="0.2">
      <c r="A32" s="58" t="s">
        <v>93</v>
      </c>
      <c r="B32" s="105" t="b">
        <v>1</v>
      </c>
      <c r="C32" s="61" t="str">
        <f>_xll.qlIMMNextCode(C31,B32,Trigger)</f>
        <v>H7</v>
      </c>
      <c r="D32" s="114"/>
      <c r="E32" s="114"/>
      <c r="F32" s="114"/>
      <c r="G32" s="60" t="str">
        <f t="shared" si="17"/>
        <v>GbpLibor3M</v>
      </c>
      <c r="H32" s="108" t="str">
        <f t="shared" si="18"/>
        <v>GBPFUT3MH7_Quote</v>
      </c>
      <c r="I32" s="108" t="str">
        <f t="shared" si="19"/>
        <v>GBPFUT3MH7ConvAdj_Quote</v>
      </c>
      <c r="J32" s="223" t="str">
        <f>IF(P28,_xll.qlFuturesRateHelper(,H32,FuturesType,C32,G32,I32,Permanent,Trigger,ObjectOverwrite),"--")</f>
        <v>obj_00327#0001</v>
      </c>
      <c r="K32" s="48"/>
      <c r="L32" s="226" t="str">
        <f t="shared" si="14"/>
        <v>FUT</v>
      </c>
      <c r="M32" s="230" t="str">
        <f t="shared" si="15"/>
        <v>GBPFUT3MH8_Quote</v>
      </c>
      <c r="N32" s="243">
        <f>IFERROR(_xll.qlQuoteValue(H36,Trigger),"--")</f>
        <v>99.664999999999992</v>
      </c>
      <c r="O32" s="228">
        <f>IFERROR(_xll.qlQuoteValue(I36,Trigger),"--")</f>
        <v>1.2681639869767522E-4</v>
      </c>
      <c r="P32" s="90" t="b">
        <v>1</v>
      </c>
      <c r="Q32" s="87">
        <v>60</v>
      </c>
      <c r="R32" s="87">
        <v>21</v>
      </c>
      <c r="S32" s="87" t="str">
        <f t="shared" si="16"/>
        <v>obj_0032c#0001</v>
      </c>
      <c r="T32" s="91">
        <f>IFERROR(_xll.qlRateHelperEarliestDate(S32,Trigger),"--")</f>
        <v>43180</v>
      </c>
      <c r="U32" s="91">
        <f>IFERROR(_xll.qlRateHelperPillarDate(S32,Trigger),"--")</f>
        <v>43272</v>
      </c>
      <c r="W32" s="3" t="str">
        <f t="shared" si="1"/>
        <v/>
      </c>
      <c r="X32" s="3" t="e">
        <v>#N/A</v>
      </c>
      <c r="Y32" s="3" t="str">
        <f>IFERROR(_xll.qlRateHelperQuoteName(X32,Trigger),"")</f>
        <v/>
      </c>
      <c r="Z32" s="67" t="str">
        <f>IFERROR(_xll.qlRateHelperRate(X32,Trigger),"")</f>
        <v/>
      </c>
      <c r="AA32" s="95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206" t="e">
        <v>#N/A</v>
      </c>
    </row>
    <row r="33" spans="1:30" ht="11.25" customHeight="1" x14ac:dyDescent="0.2">
      <c r="A33" s="58" t="s">
        <v>93</v>
      </c>
      <c r="B33" s="105" t="b">
        <v>1</v>
      </c>
      <c r="C33" s="61" t="str">
        <f>_xll.qlIMMNextCode(C32,B33,Trigger)</f>
        <v>M7</v>
      </c>
      <c r="D33" s="114"/>
      <c r="E33" s="114"/>
      <c r="F33" s="114"/>
      <c r="G33" s="60" t="str">
        <f t="shared" si="17"/>
        <v>GbpLibor3M</v>
      </c>
      <c r="H33" s="108" t="str">
        <f t="shared" si="18"/>
        <v>GBPFUT3MM7_Quote</v>
      </c>
      <c r="I33" s="108" t="str">
        <f t="shared" si="19"/>
        <v>GBPFUT3MM7ConvAdj_Quote</v>
      </c>
      <c r="J33" s="223" t="str">
        <f>IF(P29,_xll.qlFuturesRateHelper(,H33,FuturesType,C33,G33,I33,Permanent,Trigger,ObjectOverwrite),"--")</f>
        <v>obj_00323#0001</v>
      </c>
      <c r="K33" s="48"/>
      <c r="L33" s="226" t="str">
        <f t="shared" si="14"/>
        <v>FUT</v>
      </c>
      <c r="M33" s="230" t="str">
        <f t="shared" si="15"/>
        <v>GBPFUT3MM8_Quote</v>
      </c>
      <c r="N33" s="243">
        <f>IFERROR(_xll.qlQuoteValue(H37,Trigger),"--")</f>
        <v>99.655000000000001</v>
      </c>
      <c r="O33" s="228">
        <f>IFERROR(_xll.qlQuoteValue(I37,Trigger),"--")</f>
        <v>1.6066021231023818E-4</v>
      </c>
      <c r="P33" s="90" t="b">
        <v>1</v>
      </c>
      <c r="Q33" s="87">
        <v>60</v>
      </c>
      <c r="R33" s="87">
        <v>21</v>
      </c>
      <c r="S33" s="87" t="str">
        <f t="shared" si="16"/>
        <v>obj_0032d#0001</v>
      </c>
      <c r="T33" s="91">
        <f>IFERROR(_xll.qlRateHelperEarliestDate(S33,Trigger),"--")</f>
        <v>43271</v>
      </c>
      <c r="U33" s="91">
        <f>IFERROR(_xll.qlRateHelperPillarDate(S33,Trigger),"--")</f>
        <v>43363</v>
      </c>
      <c r="W33" s="3" t="str">
        <f t="shared" si="1"/>
        <v/>
      </c>
      <c r="X33" s="3" t="e">
        <v>#N/A</v>
      </c>
      <c r="Y33" s="3" t="str">
        <f>IFERROR(_xll.qlRateHelperQuoteName(X33,Trigger),"")</f>
        <v/>
      </c>
      <c r="Z33" s="67" t="str">
        <f>IFERROR(_xll.qlRateHelperRate(X33,Trigger),"")</f>
        <v/>
      </c>
      <c r="AA33" s="95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206" t="e">
        <v>#N/A</v>
      </c>
    </row>
    <row r="34" spans="1:30" ht="11.25" customHeight="1" x14ac:dyDescent="0.2">
      <c r="A34" s="58" t="s">
        <v>93</v>
      </c>
      <c r="B34" s="105" t="b">
        <v>1</v>
      </c>
      <c r="C34" s="61" t="str">
        <f>_xll.qlIMMNextCode(C33,B34,Trigger)</f>
        <v>U7</v>
      </c>
      <c r="D34" s="114"/>
      <c r="E34" s="114"/>
      <c r="F34" s="114"/>
      <c r="G34" s="60" t="str">
        <f t="shared" si="17"/>
        <v>GbpLibor3M</v>
      </c>
      <c r="H34" s="108" t="str">
        <f t="shared" si="18"/>
        <v>GBPFUT3MU7_Quote</v>
      </c>
      <c r="I34" s="108" t="str">
        <f t="shared" si="19"/>
        <v>GBPFUT3MU7ConvAdj_Quote</v>
      </c>
      <c r="J34" s="223" t="str">
        <f>IF(P30,_xll.qlFuturesRateHelper(,H34,FuturesType,C34,G34,I34,Permanent,Trigger,ObjectOverwrite),"--")</f>
        <v>obj_00322#0001</v>
      </c>
      <c r="K34" s="48"/>
      <c r="L34" s="226" t="str">
        <f t="shared" si="14"/>
        <v>FUT</v>
      </c>
      <c r="M34" s="230" t="str">
        <f t="shared" si="15"/>
        <v>GBPFUT3MU8_Quote</v>
      </c>
      <c r="N34" s="243">
        <f>IFERROR(_xll.qlQuoteValue(H38,Trigger),"--")</f>
        <v>99.634999999999991</v>
      </c>
      <c r="O34" s="228">
        <f>IFERROR(_xll.qlQuoteValue(I38,Trigger),"--")</f>
        <v>1.9775690925221589E-4</v>
      </c>
      <c r="P34" s="90" t="b">
        <v>1</v>
      </c>
      <c r="Q34" s="87">
        <v>60</v>
      </c>
      <c r="R34" s="87">
        <v>21</v>
      </c>
      <c r="S34" s="87" t="str">
        <f t="shared" si="16"/>
        <v>obj_0032a#0001</v>
      </c>
      <c r="T34" s="91">
        <f>IFERROR(_xll.qlRateHelperEarliestDate(S34,Trigger),"--")</f>
        <v>43362</v>
      </c>
      <c r="U34" s="91">
        <f>IFERROR(_xll.qlRateHelperPillarDate(S34,Trigger),"--")</f>
        <v>43453</v>
      </c>
      <c r="W34" s="3" t="str">
        <f t="shared" si="1"/>
        <v/>
      </c>
      <c r="X34" s="3" t="e">
        <v>#N/A</v>
      </c>
      <c r="Y34" s="3" t="str">
        <f>IFERROR(_xll.qlRateHelperQuoteName(X34,Trigger),"")</f>
        <v/>
      </c>
      <c r="Z34" s="67" t="str">
        <f>IFERROR(_xll.qlRateHelperRate(X34,Trigger),"")</f>
        <v/>
      </c>
      <c r="AA34" s="95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206" t="e">
        <v>#N/A</v>
      </c>
    </row>
    <row r="35" spans="1:30" ht="11.25" customHeight="1" x14ac:dyDescent="0.2">
      <c r="A35" s="58" t="s">
        <v>93</v>
      </c>
      <c r="B35" s="105" t="b">
        <v>1</v>
      </c>
      <c r="C35" s="61" t="str">
        <f>_xll.qlIMMNextCode(C34,B35,Trigger)</f>
        <v>Z7</v>
      </c>
      <c r="D35" s="114"/>
      <c r="E35" s="114"/>
      <c r="F35" s="114"/>
      <c r="G35" s="60" t="str">
        <f t="shared" si="17"/>
        <v>GbpLibor3M</v>
      </c>
      <c r="H35" s="108" t="str">
        <f t="shared" si="18"/>
        <v>GBPFUT3MZ7_Quote</v>
      </c>
      <c r="I35" s="108" t="str">
        <f t="shared" si="19"/>
        <v>GBPFUT3MZ7ConvAdj_Quote</v>
      </c>
      <c r="J35" s="223" t="str">
        <f>IF(P31,_xll.qlFuturesRateHelper(,H35,FuturesType,C35,G35,I35,Permanent,Trigger,ObjectOverwrite),"--")</f>
        <v>obj_0031f#0001</v>
      </c>
      <c r="K35" s="48"/>
      <c r="L35" s="226" t="str">
        <f t="shared" si="14"/>
        <v>FUT</v>
      </c>
      <c r="M35" s="230" t="str">
        <f t="shared" si="15"/>
        <v>GBPFUT3MZ8_Quote</v>
      </c>
      <c r="N35" s="243">
        <f>IFERROR(_xll.qlQuoteValue(H39,Trigger),"--")</f>
        <v>99.615000000000009</v>
      </c>
      <c r="O35" s="228">
        <f>IFERROR(_xll.qlQuoteValue(I39,Trigger),"--")</f>
        <v>2.3832983751703989E-4</v>
      </c>
      <c r="P35" s="90" t="b">
        <v>1</v>
      </c>
      <c r="Q35" s="87">
        <v>30</v>
      </c>
      <c r="R35" s="87">
        <v>21</v>
      </c>
      <c r="S35" s="87" t="str">
        <f t="shared" si="16"/>
        <v>obj_0031e#0001</v>
      </c>
      <c r="T35" s="91">
        <f>IFERROR(_xll.qlRateHelperEarliestDate(S35,Trigger),"--")</f>
        <v>43453</v>
      </c>
      <c r="U35" s="91">
        <f>IFERROR(_xll.qlRateHelperPillarDate(S35,Trigger),"--")</f>
        <v>43543</v>
      </c>
      <c r="W35" s="3" t="str">
        <f t="shared" ref="W35:W66" si="20">IFERROR(INDEX($L$3:$L$130,MATCH(Y35,$M$3:$M$130,0),1),"")</f>
        <v/>
      </c>
      <c r="X35" s="3" t="e">
        <v>#N/A</v>
      </c>
      <c r="Y35" s="3" t="str">
        <f>IFERROR(_xll.qlRateHelperQuoteName(X35,Trigger),"")</f>
        <v/>
      </c>
      <c r="Z35" s="67" t="str">
        <f>IFERROR(_xll.qlRateHelperRate(X35,Trigger),"")</f>
        <v/>
      </c>
      <c r="AA35" s="95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206" t="e">
        <v>#N/A</v>
      </c>
    </row>
    <row r="36" spans="1:30" ht="11.25" customHeight="1" x14ac:dyDescent="0.2">
      <c r="A36" s="58" t="s">
        <v>93</v>
      </c>
      <c r="B36" s="105" t="b">
        <v>1</v>
      </c>
      <c r="C36" s="61" t="str">
        <f>_xll.qlIMMNextCode(C35,B36,Trigger)</f>
        <v>H8</v>
      </c>
      <c r="D36" s="114"/>
      <c r="E36" s="114"/>
      <c r="F36" s="114"/>
      <c r="G36" s="60" t="str">
        <f t="shared" si="17"/>
        <v>GbpLibor3M</v>
      </c>
      <c r="H36" s="108" t="str">
        <f t="shared" si="18"/>
        <v>GBPFUT3MH8_Quote</v>
      </c>
      <c r="I36" s="108" t="str">
        <f t="shared" si="19"/>
        <v>GBPFUT3MH8ConvAdj_Quote</v>
      </c>
      <c r="J36" s="223" t="str">
        <f>IF(P32,_xll.qlFuturesRateHelper(,H36,FuturesType,C36,G36,I36,Permanent,Trigger,ObjectOverwrite),"--")</f>
        <v>obj_0032c#0001</v>
      </c>
      <c r="K36" s="48"/>
      <c r="L36" s="226" t="str">
        <f t="shared" si="14"/>
        <v>FUT</v>
      </c>
      <c r="M36" s="230" t="str">
        <f t="shared" si="15"/>
        <v>GBPFUT3MH9_Quote</v>
      </c>
      <c r="N36" s="243">
        <f>IFERROR(_xll.qlQuoteValue(H40,Trigger),"--")</f>
        <v>99.585000000000008</v>
      </c>
      <c r="O36" s="228">
        <f>IFERROR(_xll.qlQuoteValue(I40,Trigger),"--")</f>
        <v>2.8372639753003622E-4</v>
      </c>
      <c r="P36" s="90" t="b">
        <v>1</v>
      </c>
      <c r="Q36" s="87">
        <v>30</v>
      </c>
      <c r="R36" s="87">
        <v>21</v>
      </c>
      <c r="S36" s="87" t="str">
        <f t="shared" si="16"/>
        <v>obj_0032e#0001</v>
      </c>
      <c r="T36" s="91">
        <f>IFERROR(_xll.qlRateHelperEarliestDate(S36,Trigger),"--")</f>
        <v>43544</v>
      </c>
      <c r="U36" s="91">
        <f>IFERROR(_xll.qlRateHelperPillarDate(S36,Trigger),"--")</f>
        <v>43636</v>
      </c>
      <c r="W36" s="3" t="str">
        <f t="shared" si="20"/>
        <v/>
      </c>
      <c r="X36" s="3" t="e">
        <v>#N/A</v>
      </c>
      <c r="Y36" s="3" t="str">
        <f>IFERROR(_xll.qlRateHelperQuoteName(X36,Trigger),"")</f>
        <v/>
      </c>
      <c r="Z36" s="67" t="str">
        <f>IFERROR(_xll.qlRateHelperRate(X36,Trigger),"")</f>
        <v/>
      </c>
      <c r="AA36" s="95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206" t="e">
        <v>#N/A</v>
      </c>
    </row>
    <row r="37" spans="1:30" ht="11.25" customHeight="1" x14ac:dyDescent="0.2">
      <c r="A37" s="58" t="s">
        <v>93</v>
      </c>
      <c r="B37" s="105" t="b">
        <v>1</v>
      </c>
      <c r="C37" s="61" t="str">
        <f>_xll.qlIMMNextCode(C36,B37,Trigger)</f>
        <v>M8</v>
      </c>
      <c r="D37" s="114"/>
      <c r="E37" s="114"/>
      <c r="F37" s="114"/>
      <c r="G37" s="60" t="str">
        <f t="shared" si="17"/>
        <v>GbpLibor3M</v>
      </c>
      <c r="H37" s="108" t="str">
        <f t="shared" si="18"/>
        <v>GBPFUT3MM8_Quote</v>
      </c>
      <c r="I37" s="108" t="str">
        <f t="shared" si="19"/>
        <v>GBPFUT3MM8ConvAdj_Quote</v>
      </c>
      <c r="J37" s="223" t="str">
        <f>IF(P33,_xll.qlFuturesRateHelper(,H37,FuturesType,C37,G37,I37,Permanent,Trigger,ObjectOverwrite),"--")</f>
        <v>obj_0032d#0001</v>
      </c>
      <c r="K37" s="48"/>
      <c r="L37" s="226" t="str">
        <f t="shared" si="14"/>
        <v>FUT</v>
      </c>
      <c r="M37" s="230" t="str">
        <f t="shared" si="15"/>
        <v>GBPFUT3MM9_Quote</v>
      </c>
      <c r="N37" s="243">
        <f>IFERROR(_xll.qlQuoteValue(H41,Trigger),"--")</f>
        <v>99.555000000000007</v>
      </c>
      <c r="O37" s="228">
        <f>IFERROR(_xll.qlQuoteValue(I41,Trigger),"--")</f>
        <v>3.3165166398521878E-4</v>
      </c>
      <c r="P37" s="90" t="b">
        <v>1</v>
      </c>
      <c r="Q37" s="87">
        <v>30</v>
      </c>
      <c r="R37" s="87">
        <v>21</v>
      </c>
      <c r="S37" s="87" t="str">
        <f t="shared" si="16"/>
        <v>obj_0032b#0001</v>
      </c>
      <c r="T37" s="91">
        <f>IFERROR(_xll.qlRateHelperEarliestDate(S37,Trigger),"--")</f>
        <v>43635</v>
      </c>
      <c r="U37" s="91">
        <f>IFERROR(_xll.qlRateHelperPillarDate(S37,Trigger),"--")</f>
        <v>43727</v>
      </c>
      <c r="W37" s="3" t="str">
        <f t="shared" si="20"/>
        <v/>
      </c>
      <c r="X37" s="3" t="e">
        <v>#N/A</v>
      </c>
      <c r="Y37" s="3" t="str">
        <f>IFERROR(_xll.qlRateHelperQuoteName(X37,Trigger),"")</f>
        <v/>
      </c>
      <c r="Z37" s="67" t="str">
        <f>IFERROR(_xll.qlRateHelperRate(X37,Trigger),"")</f>
        <v/>
      </c>
      <c r="AA37" s="95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206" t="e">
        <v>#N/A</v>
      </c>
    </row>
    <row r="38" spans="1:30" ht="11.25" customHeight="1" x14ac:dyDescent="0.2">
      <c r="A38" s="58" t="s">
        <v>93</v>
      </c>
      <c r="B38" s="105" t="b">
        <v>1</v>
      </c>
      <c r="C38" s="61" t="str">
        <f>_xll.qlIMMNextCode(C37,B38,Trigger)</f>
        <v>U8</v>
      </c>
      <c r="D38" s="114"/>
      <c r="E38" s="114"/>
      <c r="F38" s="114"/>
      <c r="G38" s="60" t="str">
        <f t="shared" si="17"/>
        <v>GbpLibor3M</v>
      </c>
      <c r="H38" s="108" t="str">
        <f t="shared" si="18"/>
        <v>GBPFUT3MU8_Quote</v>
      </c>
      <c r="I38" s="108" t="str">
        <f t="shared" si="19"/>
        <v>GBPFUT3MU8ConvAdj_Quote</v>
      </c>
      <c r="J38" s="223" t="str">
        <f>IF(P34,_xll.qlFuturesRateHelper(,H38,FuturesType,C38,G38,I38,Permanent,Trigger,ObjectOverwrite),"--")</f>
        <v>obj_0032a#0001</v>
      </c>
      <c r="K38" s="48"/>
      <c r="L38" s="226" t="str">
        <f t="shared" si="14"/>
        <v>FUT</v>
      </c>
      <c r="M38" s="230" t="str">
        <f t="shared" si="15"/>
        <v>GBPFUT3MU9_Quote</v>
      </c>
      <c r="N38" s="243">
        <f>IFERROR(_xll.qlQuoteValue(H42,Trigger),"--")</f>
        <v>99.525000000000006</v>
      </c>
      <c r="O38" s="228">
        <f>IFERROR(_xll.qlQuoteValue(I42,Trigger),"--")</f>
        <v>3.8234059144876762E-4</v>
      </c>
      <c r="P38" s="90" t="b">
        <v>1</v>
      </c>
      <c r="Q38" s="87">
        <v>30</v>
      </c>
      <c r="R38" s="87">
        <v>21</v>
      </c>
      <c r="S38" s="87" t="str">
        <f t="shared" si="16"/>
        <v>obj_00321#0001</v>
      </c>
      <c r="T38" s="91">
        <f>IFERROR(_xll.qlRateHelperEarliestDate(S38,Trigger),"--")</f>
        <v>43726</v>
      </c>
      <c r="U38" s="91">
        <f>IFERROR(_xll.qlRateHelperPillarDate(S38,Trigger),"--")</f>
        <v>43817</v>
      </c>
      <c r="W38" s="3" t="str">
        <f t="shared" si="20"/>
        <v/>
      </c>
      <c r="X38" s="3" t="e">
        <v>#N/A</v>
      </c>
      <c r="Y38" s="3" t="str">
        <f>IFERROR(_xll.qlRateHelperQuoteName(X38,Trigger),"")</f>
        <v/>
      </c>
      <c r="Z38" s="67" t="str">
        <f>IFERROR(_xll.qlRateHelperRate(X38,Trigger),"")</f>
        <v/>
      </c>
      <c r="AA38" s="95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206" t="e">
        <v>#N/A</v>
      </c>
    </row>
    <row r="39" spans="1:30" ht="11.25" customHeight="1" x14ac:dyDescent="0.2">
      <c r="A39" s="58" t="s">
        <v>93</v>
      </c>
      <c r="B39" s="105" t="b">
        <v>1</v>
      </c>
      <c r="C39" s="61" t="str">
        <f>_xll.qlIMMNextCode(C38,B39,Trigger)</f>
        <v>Z8</v>
      </c>
      <c r="D39" s="114"/>
      <c r="E39" s="114"/>
      <c r="F39" s="114"/>
      <c r="G39" s="60" t="str">
        <f t="shared" si="17"/>
        <v>GbpLibor3M</v>
      </c>
      <c r="H39" s="108" t="str">
        <f t="shared" si="18"/>
        <v>GBPFUT3MZ8_Quote</v>
      </c>
      <c r="I39" s="108" t="str">
        <f t="shared" si="19"/>
        <v>GBPFUT3MZ8ConvAdj_Quote</v>
      </c>
      <c r="J39" s="223" t="str">
        <f>IF(P35,_xll.qlFuturesRateHelper(,H39,FuturesType,C39,G39,I39,Permanent,Trigger,ObjectOverwrite),"--")</f>
        <v>obj_0031e#0001</v>
      </c>
      <c r="K39" s="48"/>
      <c r="L39" s="226" t="str">
        <f t="shared" si="14"/>
        <v>FUT</v>
      </c>
      <c r="M39" s="230" t="str">
        <f t="shared" si="15"/>
        <v>GBPFUT3MZ9_Quote</v>
      </c>
      <c r="N39" s="243">
        <f>IFERROR(_xll.qlQuoteValue(H43,Trigger),"--")</f>
        <v>99.48</v>
      </c>
      <c r="O39" s="228">
        <f>IFERROR(_xll.qlQuoteValue(I43,Trigger),"--")</f>
        <v>4.3679725330363891E-4</v>
      </c>
      <c r="P39" s="90" t="b">
        <v>1</v>
      </c>
      <c r="Q39" s="87">
        <v>30</v>
      </c>
      <c r="R39" s="87">
        <v>21</v>
      </c>
      <c r="S39" s="87" t="str">
        <f t="shared" si="16"/>
        <v>obj_00328#0001</v>
      </c>
      <c r="T39" s="91">
        <f>IFERROR(_xll.qlRateHelperEarliestDate(S39,Trigger),"--")</f>
        <v>43817</v>
      </c>
      <c r="U39" s="91">
        <f>IFERROR(_xll.qlRateHelperPillarDate(S39,Trigger),"--")</f>
        <v>43908</v>
      </c>
      <c r="W39" s="3" t="str">
        <f t="shared" si="20"/>
        <v/>
      </c>
      <c r="X39" s="3" t="e">
        <v>#N/A</v>
      </c>
      <c r="Y39" s="3" t="str">
        <f>IFERROR(_xll.qlRateHelperQuoteName(X39,Trigger),"")</f>
        <v/>
      </c>
      <c r="Z39" s="67" t="str">
        <f>IFERROR(_xll.qlRateHelperRate(X39,Trigger),"")</f>
        <v/>
      </c>
      <c r="AA39" s="95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206" t="e">
        <v>#N/A</v>
      </c>
    </row>
    <row r="40" spans="1:30" ht="11.25" customHeight="1" x14ac:dyDescent="0.2">
      <c r="A40" s="58" t="s">
        <v>93</v>
      </c>
      <c r="B40" s="105" t="b">
        <v>1</v>
      </c>
      <c r="C40" s="61" t="str">
        <f>_xll.qlIMMNextCode(C39,B40,Trigger)</f>
        <v>H9</v>
      </c>
      <c r="D40" s="114"/>
      <c r="E40" s="114"/>
      <c r="F40" s="114"/>
      <c r="G40" s="60" t="str">
        <f t="shared" si="17"/>
        <v>GbpLibor3M</v>
      </c>
      <c r="H40" s="108" t="str">
        <f t="shared" si="18"/>
        <v>GBPFUT3MH9_Quote</v>
      </c>
      <c r="I40" s="108" t="str">
        <f t="shared" si="19"/>
        <v>GBPFUT3MH9ConvAdj_Quote</v>
      </c>
      <c r="J40" s="223" t="str">
        <f>IF(P36,_xll.qlFuturesRateHelper(,H40,FuturesType,C40,G40,I40,Permanent,Trigger,ObjectOverwrite),"--")</f>
        <v>obj_0032e#0001</v>
      </c>
      <c r="K40" s="48"/>
      <c r="L40" s="226" t="str">
        <f t="shared" si="14"/>
        <v>FUT</v>
      </c>
      <c r="M40" s="230" t="str">
        <f t="shared" si="15"/>
        <v>GBPFUT3MH0_Quote</v>
      </c>
      <c r="N40" s="243">
        <f>IFERROR(_xll.qlQuoteValue(H44,Trigger),"--")</f>
        <v>99.435000000000002</v>
      </c>
      <c r="O40" s="228">
        <f>IFERROR(_xll.qlQuoteValue(I44,Trigger),"--")</f>
        <v>4.9504803585428525E-4</v>
      </c>
      <c r="P40" s="90" t="b">
        <v>1</v>
      </c>
      <c r="Q40" s="87">
        <v>30</v>
      </c>
      <c r="R40" s="87">
        <v>21</v>
      </c>
      <c r="S40" s="87" t="str">
        <f t="shared" si="16"/>
        <v>obj_00326#0001</v>
      </c>
      <c r="T40" s="91">
        <f>IFERROR(_xll.qlRateHelperEarliestDate(S40,Trigger),"--")</f>
        <v>43908</v>
      </c>
      <c r="U40" s="91">
        <f>IFERROR(_xll.qlRateHelperPillarDate(S40,Trigger),"--")</f>
        <v>44000</v>
      </c>
      <c r="W40" s="3" t="str">
        <f t="shared" si="20"/>
        <v/>
      </c>
      <c r="X40" s="3" t="e">
        <v>#N/A</v>
      </c>
      <c r="Y40" s="3" t="str">
        <f>IFERROR(_xll.qlRateHelperQuoteName(X40,Trigger),"")</f>
        <v/>
      </c>
      <c r="Z40" s="67" t="str">
        <f>IFERROR(_xll.qlRateHelperRate(X40,Trigger),"")</f>
        <v/>
      </c>
      <c r="AA40" s="95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206" t="e">
        <v>#N/A</v>
      </c>
    </row>
    <row r="41" spans="1:30" ht="11.25" customHeight="1" x14ac:dyDescent="0.2">
      <c r="A41" s="58" t="s">
        <v>93</v>
      </c>
      <c r="B41" s="105" t="b">
        <v>1</v>
      </c>
      <c r="C41" s="61" t="str">
        <f>_xll.qlIMMNextCode(C40,B41,Trigger)</f>
        <v>M9</v>
      </c>
      <c r="D41" s="114"/>
      <c r="E41" s="114"/>
      <c r="F41" s="114"/>
      <c r="G41" s="60" t="str">
        <f t="shared" si="17"/>
        <v>GbpLibor3M</v>
      </c>
      <c r="H41" s="108" t="str">
        <f t="shared" si="18"/>
        <v>GBPFUT3MM9_Quote</v>
      </c>
      <c r="I41" s="108" t="str">
        <f t="shared" si="19"/>
        <v>GBPFUT3MM9ConvAdj_Quote</v>
      </c>
      <c r="J41" s="223" t="str">
        <f>IF(P37,_xll.qlFuturesRateHelper(,H41,FuturesType,C41,G41,I41,Permanent,Trigger,ObjectOverwrite),"--")</f>
        <v>obj_0032b#0001</v>
      </c>
      <c r="L41" s="226" t="str">
        <f t="shared" si="14"/>
        <v>FUT</v>
      </c>
      <c r="M41" s="230" t="str">
        <f t="shared" si="15"/>
        <v>GBPFUT3MM0_Quote</v>
      </c>
      <c r="N41" s="243">
        <f>IFERROR(_xll.qlQuoteValue(H45,Trigger),"--")</f>
        <v>99.39500000000001</v>
      </c>
      <c r="O41" s="228">
        <f>IFERROR(_xll.qlQuoteValue(I45,Trigger),"--")</f>
        <v>5.5579028655448166E-4</v>
      </c>
      <c r="P41" s="90" t="b">
        <v>1</v>
      </c>
      <c r="Q41" s="87">
        <v>30</v>
      </c>
      <c r="R41" s="87">
        <v>21</v>
      </c>
      <c r="S41" s="87" t="str">
        <f t="shared" si="16"/>
        <v>obj_00324#0001</v>
      </c>
      <c r="T41" s="91">
        <f>IFERROR(_xll.qlRateHelperEarliestDate(S41,Trigger),"--")</f>
        <v>43999</v>
      </c>
      <c r="U41" s="91">
        <f>IFERROR(_xll.qlRateHelperPillarDate(S41,Trigger),"--")</f>
        <v>44091</v>
      </c>
      <c r="W41" s="3" t="str">
        <f t="shared" si="20"/>
        <v/>
      </c>
      <c r="X41" s="3" t="e">
        <v>#N/A</v>
      </c>
      <c r="Y41" s="3" t="str">
        <f>IFERROR(_xll.qlRateHelperQuoteName(X41,Trigger),"")</f>
        <v/>
      </c>
      <c r="Z41" s="67" t="str">
        <f>IFERROR(_xll.qlRateHelperRate(X41,Trigger),"")</f>
        <v/>
      </c>
      <c r="AA41" s="95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206" t="e">
        <v>#N/A</v>
      </c>
    </row>
    <row r="42" spans="1:30" ht="11.25" customHeight="1" x14ac:dyDescent="0.2">
      <c r="A42" s="58" t="s">
        <v>93</v>
      </c>
      <c r="B42" s="105" t="b">
        <v>1</v>
      </c>
      <c r="C42" s="61" t="str">
        <f>_xll.qlIMMNextCode(C41,B42,Trigger)</f>
        <v>U9</v>
      </c>
      <c r="D42" s="114"/>
      <c r="E42" s="114"/>
      <c r="F42" s="114"/>
      <c r="G42" s="60" t="str">
        <f t="shared" si="17"/>
        <v>GbpLibor3M</v>
      </c>
      <c r="H42" s="108" t="str">
        <f t="shared" si="18"/>
        <v>GBPFUT3MU9_Quote</v>
      </c>
      <c r="I42" s="108" t="str">
        <f t="shared" si="19"/>
        <v>GBPFUT3MU9ConvAdj_Quote</v>
      </c>
      <c r="J42" s="223" t="str">
        <f>IF(P38,_xll.qlFuturesRateHelper(,H42,FuturesType,C42,G42,I42,Permanent,Trigger,ObjectOverwrite),"--")</f>
        <v>obj_00321#0001</v>
      </c>
      <c r="L42" s="226" t="str">
        <f t="shared" si="14"/>
        <v>FUT</v>
      </c>
      <c r="M42" s="230" t="str">
        <f t="shared" si="15"/>
        <v>GBPFUT3MU0_Quote</v>
      </c>
      <c r="N42" s="243">
        <f>IFERROR(_xll.qlQuoteValue(H46,Trigger),"--")</f>
        <v>99.35</v>
      </c>
      <c r="O42" s="228">
        <f>IFERROR(_xll.qlQuoteValue(I46,Trigger),"--")</f>
        <v>6.1885068633237006E-4</v>
      </c>
      <c r="P42" s="90" t="b">
        <v>1</v>
      </c>
      <c r="Q42" s="87">
        <v>30</v>
      </c>
      <c r="R42" s="87">
        <v>21</v>
      </c>
      <c r="S42" s="87" t="str">
        <f t="shared" si="16"/>
        <v>obj_00329#0001</v>
      </c>
      <c r="T42" s="91">
        <f>IFERROR(_xll.qlRateHelperEarliestDate(S42,Trigger),"--")</f>
        <v>44090</v>
      </c>
      <c r="U42" s="91">
        <f>IFERROR(_xll.qlRateHelperPillarDate(S42,Trigger),"--")</f>
        <v>44181</v>
      </c>
      <c r="W42" s="3" t="str">
        <f t="shared" si="20"/>
        <v/>
      </c>
      <c r="X42" s="3" t="e">
        <v>#N/A</v>
      </c>
      <c r="Y42" s="3" t="str">
        <f>IFERROR(_xll.qlRateHelperQuoteName(X42,Trigger),"")</f>
        <v/>
      </c>
      <c r="Z42" s="67" t="str">
        <f>IFERROR(_xll.qlRateHelperRate(X42,Trigger),"")</f>
        <v/>
      </c>
      <c r="AA42" s="95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206" t="e">
        <v>#N/A</v>
      </c>
    </row>
    <row r="43" spans="1:30" ht="11.25" customHeight="1" x14ac:dyDescent="0.2">
      <c r="A43" s="58" t="s">
        <v>93</v>
      </c>
      <c r="B43" s="105" t="b">
        <v>1</v>
      </c>
      <c r="C43" s="61" t="str">
        <f>_xll.qlIMMNextCode(C42,B43,Trigger)</f>
        <v>Z9</v>
      </c>
      <c r="D43" s="114"/>
      <c r="E43" s="114"/>
      <c r="F43" s="114"/>
      <c r="G43" s="60" t="str">
        <f t="shared" si="17"/>
        <v>GbpLibor3M</v>
      </c>
      <c r="H43" s="108" t="str">
        <f t="shared" si="18"/>
        <v>GBPFUT3MZ9_Quote</v>
      </c>
      <c r="I43" s="108" t="str">
        <f t="shared" si="19"/>
        <v>GBPFUT3MZ9ConvAdj_Quote</v>
      </c>
      <c r="J43" s="223" t="str">
        <f>IF(P39,_xll.qlFuturesRateHelper(,H43,FuturesType,C43,G43,I43,Permanent,Trigger,ObjectOverwrite),"--")</f>
        <v>obj_00328#0001</v>
      </c>
      <c r="L43" s="231" t="str">
        <f t="shared" si="14"/>
        <v>FUT</v>
      </c>
      <c r="M43" s="232" t="str">
        <f t="shared" si="15"/>
        <v>GBPFUT3MZ0_Quote</v>
      </c>
      <c r="N43" s="244">
        <f>IFERROR(_xll.qlQuoteValue(H47,Trigger),"--")</f>
        <v>99.295000000000002</v>
      </c>
      <c r="O43" s="233">
        <f>IFERROR(_xll.qlQuoteValue(I47,Trigger),"--")</f>
        <v>6.8479721070013357E-4</v>
      </c>
      <c r="P43" s="92" t="b">
        <v>1</v>
      </c>
      <c r="Q43" s="88">
        <v>30</v>
      </c>
      <c r="R43" s="88">
        <v>21</v>
      </c>
      <c r="S43" s="88" t="str">
        <f t="shared" si="16"/>
        <v>obj_0031d#0001</v>
      </c>
      <c r="T43" s="93">
        <f>IFERROR(_xll.qlRateHelperEarliestDate(S43,Trigger),"--")</f>
        <v>44181</v>
      </c>
      <c r="U43" s="93">
        <f>IFERROR(_xll.qlRateHelperPillarDate(S43,Trigger),"--")</f>
        <v>44271</v>
      </c>
      <c r="W43" s="3" t="str">
        <f t="shared" si="20"/>
        <v/>
      </c>
      <c r="X43" s="3" t="e">
        <v>#N/A</v>
      </c>
      <c r="Y43" s="3" t="str">
        <f>IFERROR(_xll.qlRateHelperQuoteName(X43,Trigger),"")</f>
        <v/>
      </c>
      <c r="Z43" s="67" t="str">
        <f>IFERROR(_xll.qlRateHelperRate(X43,Trigger),"")</f>
        <v/>
      </c>
      <c r="AA43" s="95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206" t="e">
        <v>#N/A</v>
      </c>
    </row>
    <row r="44" spans="1:30" ht="11.25" customHeight="1" x14ac:dyDescent="0.2">
      <c r="A44" s="58" t="s">
        <v>93</v>
      </c>
      <c r="B44" s="105" t="b">
        <v>1</v>
      </c>
      <c r="C44" s="61" t="str">
        <f>_xll.qlIMMNextCode(C43,B44,Trigger)</f>
        <v>H0</v>
      </c>
      <c r="D44" s="114"/>
      <c r="E44" s="114"/>
      <c r="F44" s="114"/>
      <c r="G44" s="60" t="str">
        <f t="shared" si="17"/>
        <v>GbpLibor3M</v>
      </c>
      <c r="H44" s="108" t="str">
        <f t="shared" si="18"/>
        <v>GBPFUT3MH0_Quote</v>
      </c>
      <c r="I44" s="108" t="str">
        <f t="shared" si="19"/>
        <v>GBPFUT3MH0ConvAdj_Quote</v>
      </c>
      <c r="J44" s="223" t="str">
        <f>IF(P40,_xll.qlFuturesRateHelper(,H44,FuturesType,C44,G44,I44,Permanent,Trigger,ObjectOverwrite),"--")</f>
        <v>obj_00326#0001</v>
      </c>
      <c r="L44" s="238" t="s">
        <v>26</v>
      </c>
      <c r="M44" s="245" t="str">
        <f>H50</f>
        <v>GBPAM3L6M_Quote</v>
      </c>
      <c r="N44" s="240">
        <f>IFERROR(_xll.qlQuoteValue(H50,Trigger),"--")</f>
        <v>4.2000000000000006E-3</v>
      </c>
      <c r="O44" s="240">
        <f>I50</f>
        <v>0</v>
      </c>
      <c r="P44" s="123" t="b">
        <v>0</v>
      </c>
      <c r="Q44" s="122">
        <v>50</v>
      </c>
      <c r="R44" s="122">
        <v>1</v>
      </c>
      <c r="S44" s="122" t="str">
        <f>J50</f>
        <v>--</v>
      </c>
      <c r="T44" s="124" t="str">
        <f>IFERROR(_xll.qlRateHelperEarliestDate(S44,Trigger),"--")</f>
        <v>--</v>
      </c>
      <c r="U44" s="124" t="str">
        <f>IFERROR(_xll.qlRateHelperPillarDate(S44,Trigger),"--")</f>
        <v>--</v>
      </c>
      <c r="W44" s="3" t="str">
        <f t="shared" si="20"/>
        <v/>
      </c>
      <c r="X44" s="3" t="e">
        <v>#N/A</v>
      </c>
      <c r="Y44" s="3" t="str">
        <f>IFERROR(_xll.qlRateHelperQuoteName(X44,Trigger),"")</f>
        <v/>
      </c>
      <c r="Z44" s="67" t="str">
        <f>IFERROR(_xll.qlRateHelperRate(X44,Trigger),"")</f>
        <v/>
      </c>
      <c r="AA44" s="95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206" t="e">
        <v>#N/A</v>
      </c>
    </row>
    <row r="45" spans="1:30" ht="11.25" customHeight="1" x14ac:dyDescent="0.2">
      <c r="A45" s="58" t="s">
        <v>93</v>
      </c>
      <c r="B45" s="105" t="b">
        <v>1</v>
      </c>
      <c r="C45" s="61" t="str">
        <f>_xll.qlIMMNextCode(C44,B45,Trigger)</f>
        <v>M0</v>
      </c>
      <c r="D45" s="114"/>
      <c r="E45" s="114"/>
      <c r="F45" s="114"/>
      <c r="G45" s="60" t="str">
        <f t="shared" si="17"/>
        <v>GbpLibor3M</v>
      </c>
      <c r="H45" s="108" t="str">
        <f t="shared" si="18"/>
        <v>GBPFUT3MM0_Quote</v>
      </c>
      <c r="I45" s="108" t="str">
        <f t="shared" si="19"/>
        <v>GBPFUT3MM0ConvAdj_Quote</v>
      </c>
      <c r="J45" s="223" t="str">
        <f>IF(P41,_xll.qlFuturesRateHelper(,H45,FuturesType,C45,G45,I45,Permanent,Trigger,ObjectOverwrite),"--")</f>
        <v>obj_00324#0001</v>
      </c>
      <c r="L45" s="226" t="s">
        <v>26</v>
      </c>
      <c r="M45" s="230" t="str">
        <f t="shared" ref="M45:M49" si="21">H51</f>
        <v>GBPAM3L9M_Quote</v>
      </c>
      <c r="N45" s="228">
        <f>IFERROR(_xll.qlQuoteValue(H51,Trigger),"--")</f>
        <v>3.79E-3</v>
      </c>
      <c r="O45" s="228">
        <f t="shared" ref="O45:O49" si="22">I51</f>
        <v>0</v>
      </c>
      <c r="P45" s="90" t="b">
        <v>0</v>
      </c>
      <c r="Q45" s="87">
        <v>50</v>
      </c>
      <c r="R45" s="87">
        <v>1</v>
      </c>
      <c r="S45" s="87" t="str">
        <f t="shared" ref="S45:S49" si="23">J51</f>
        <v>--</v>
      </c>
      <c r="T45" s="91" t="str">
        <f>IFERROR(_xll.qlRateHelperEarliestDate(S45,Trigger),"--")</f>
        <v>--</v>
      </c>
      <c r="U45" s="91" t="str">
        <f>IFERROR(_xll.qlRateHelperPillarDate(S45,Trigger),"--")</f>
        <v>--</v>
      </c>
      <c r="W45" s="3" t="str">
        <f t="shared" si="20"/>
        <v/>
      </c>
      <c r="X45" s="3" t="e">
        <v>#N/A</v>
      </c>
      <c r="Y45" s="3" t="str">
        <f>IFERROR(_xll.qlRateHelperQuoteName(X45,Trigger),"")</f>
        <v/>
      </c>
      <c r="Z45" s="67" t="str">
        <f>IFERROR(_xll.qlRateHelperRate(X45,Trigger),"")</f>
        <v/>
      </c>
      <c r="AA45" s="95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206" t="e">
        <v>#N/A</v>
      </c>
    </row>
    <row r="46" spans="1:30" ht="11.25" customHeight="1" x14ac:dyDescent="0.2">
      <c r="A46" s="58" t="s">
        <v>93</v>
      </c>
      <c r="B46" s="105" t="b">
        <v>1</v>
      </c>
      <c r="C46" s="61" t="str">
        <f>_xll.qlIMMNextCode(C45,B46,Trigger)</f>
        <v>U0</v>
      </c>
      <c r="D46" s="114"/>
      <c r="E46" s="114"/>
      <c r="F46" s="114"/>
      <c r="G46" s="60" t="str">
        <f t="shared" si="17"/>
        <v>GbpLibor3M</v>
      </c>
      <c r="H46" s="108" t="str">
        <f t="shared" si="18"/>
        <v>GBPFUT3MU0_Quote</v>
      </c>
      <c r="I46" s="108" t="str">
        <f t="shared" si="19"/>
        <v>GBPFUT3MU0ConvAdj_Quote</v>
      </c>
      <c r="J46" s="223" t="str">
        <f>IF(P42,_xll.qlFuturesRateHelper(,H46,FuturesType,C46,G46,I46,Permanent,Trigger,ObjectOverwrite),"--")</f>
        <v>obj_00329#0001</v>
      </c>
      <c r="L46" s="226" t="s">
        <v>26</v>
      </c>
      <c r="M46" s="230" t="str">
        <f t="shared" si="21"/>
        <v>GBPAM3L1Y_Quote</v>
      </c>
      <c r="N46" s="228">
        <f>IFERROR(_xll.qlQuoteValue(H52,Trigger),"--")</f>
        <v>3.6100000000000004E-3</v>
      </c>
      <c r="O46" s="228">
        <f t="shared" si="22"/>
        <v>0</v>
      </c>
      <c r="P46" s="90" t="b">
        <v>0</v>
      </c>
      <c r="Q46" s="87">
        <v>50</v>
      </c>
      <c r="R46" s="87">
        <v>1</v>
      </c>
      <c r="S46" s="87" t="str">
        <f t="shared" si="23"/>
        <v>--</v>
      </c>
      <c r="T46" s="91" t="str">
        <f>IFERROR(_xll.qlRateHelperEarliestDate(S46,Trigger),"--")</f>
        <v>--</v>
      </c>
      <c r="U46" s="91" t="str">
        <f>IFERROR(_xll.qlRateHelperPillarDate(S46,Trigger),"--")</f>
        <v>--</v>
      </c>
      <c r="W46" s="3" t="str">
        <f t="shared" si="20"/>
        <v/>
      </c>
      <c r="X46" s="3" t="e">
        <v>#N/A</v>
      </c>
      <c r="Y46" s="3" t="str">
        <f>IFERROR(_xll.qlRateHelperQuoteName(X46,Trigger),"")</f>
        <v/>
      </c>
      <c r="Z46" s="67" t="str">
        <f>IFERROR(_xll.qlRateHelperRate(X46,Trigger),"")</f>
        <v/>
      </c>
      <c r="AA46" s="95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206" t="e">
        <v>#N/A</v>
      </c>
    </row>
    <row r="47" spans="1:30" ht="11.25" customHeight="1" x14ac:dyDescent="0.2">
      <c r="A47" s="1" t="s">
        <v>93</v>
      </c>
      <c r="B47" s="106" t="b">
        <v>1</v>
      </c>
      <c r="C47" s="8" t="str">
        <f>_xll.qlIMMNextCode(C46,B47,Trigger)</f>
        <v>Z0</v>
      </c>
      <c r="D47" s="115"/>
      <c r="E47" s="115"/>
      <c r="F47" s="115"/>
      <c r="G47" s="6" t="str">
        <f t="shared" si="17"/>
        <v>GbpLibor3M</v>
      </c>
      <c r="H47" s="109" t="str">
        <f t="shared" si="18"/>
        <v>GBPFUT3MZ0_Quote</v>
      </c>
      <c r="I47" s="109" t="str">
        <f t="shared" si="19"/>
        <v>GBPFUT3MZ0ConvAdj_Quote</v>
      </c>
      <c r="J47" s="224" t="str">
        <f>IF(P43,_xll.qlFuturesRateHelper(,H47,FuturesType,C47,G47,I47,Permanent,Trigger,ObjectOverwrite),"--")</f>
        <v>obj_0031d#0001</v>
      </c>
      <c r="L47" s="226" t="s">
        <v>26</v>
      </c>
      <c r="M47" s="230" t="str">
        <f t="shared" si="21"/>
        <v>GBPAM3L15M_Quote</v>
      </c>
      <c r="N47" s="228">
        <f>IFERROR(_xll.qlQuoteValue(H53,Trigger),"--")</f>
        <v>3.5000000000000005E-3</v>
      </c>
      <c r="O47" s="228">
        <f t="shared" si="22"/>
        <v>0</v>
      </c>
      <c r="P47" s="90" t="b">
        <v>0</v>
      </c>
      <c r="Q47" s="87">
        <v>50</v>
      </c>
      <c r="R47" s="87">
        <v>1</v>
      </c>
      <c r="S47" s="87" t="str">
        <f t="shared" si="23"/>
        <v>--</v>
      </c>
      <c r="T47" s="91" t="str">
        <f>IFERROR(_xll.qlRateHelperEarliestDate(S47,Trigger),"--")</f>
        <v>--</v>
      </c>
      <c r="U47" s="91" t="str">
        <f>IFERROR(_xll.qlRateHelperPillarDate(S47,Trigger),"--")</f>
        <v>--</v>
      </c>
      <c r="W47" s="3" t="str">
        <f t="shared" si="20"/>
        <v/>
      </c>
      <c r="X47" s="3" t="e">
        <v>#N/A</v>
      </c>
      <c r="Y47" s="3" t="str">
        <f>IFERROR(_xll.qlRateHelperQuoteName(X47,Trigger),"")</f>
        <v/>
      </c>
      <c r="Z47" s="67" t="str">
        <f>IFERROR(_xll.qlRateHelperRate(X47,Trigger),"")</f>
        <v/>
      </c>
      <c r="AA47" s="95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206" t="e">
        <v>#N/A</v>
      </c>
    </row>
    <row r="48" spans="1:30" ht="11.25" customHeight="1" x14ac:dyDescent="0.2">
      <c r="G48" s="50" t="s">
        <v>139</v>
      </c>
      <c r="H48" s="50" t="s">
        <v>138</v>
      </c>
      <c r="L48" s="226" t="s">
        <v>26</v>
      </c>
      <c r="M48" s="230" t="str">
        <f t="shared" si="21"/>
        <v>GBPAM3L18M_Quote</v>
      </c>
      <c r="N48" s="228">
        <f>IFERROR(_xll.qlQuoteValue(H54,Trigger),"--")</f>
        <v>3.4500000000000004E-3</v>
      </c>
      <c r="O48" s="228">
        <f t="shared" si="22"/>
        <v>0</v>
      </c>
      <c r="P48" s="90" t="b">
        <v>0</v>
      </c>
      <c r="Q48" s="87">
        <v>50</v>
      </c>
      <c r="R48" s="87">
        <v>1</v>
      </c>
      <c r="S48" s="87" t="str">
        <f t="shared" si="23"/>
        <v>--</v>
      </c>
      <c r="T48" s="91" t="str">
        <f>IFERROR(_xll.qlRateHelperEarliestDate(S48,Trigger),"--")</f>
        <v>--</v>
      </c>
      <c r="U48" s="91" t="str">
        <f>IFERROR(_xll.qlRateHelperPillarDate(S48,Trigger),"--")</f>
        <v>--</v>
      </c>
      <c r="W48" s="3" t="str">
        <f t="shared" si="20"/>
        <v/>
      </c>
      <c r="X48" s="3" t="e">
        <v>#N/A</v>
      </c>
      <c r="Y48" s="3" t="str">
        <f>IFERROR(_xll.qlRateHelperQuoteName(X48,Trigger),"")</f>
        <v/>
      </c>
      <c r="Z48" s="67" t="str">
        <f>IFERROR(_xll.qlRateHelperRate(X48,Trigger),"")</f>
        <v/>
      </c>
      <c r="AA48" s="95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206" t="e">
        <v>#N/A</v>
      </c>
    </row>
    <row r="49" spans="1:30" ht="11.25" customHeight="1" x14ac:dyDescent="0.2">
      <c r="A49" s="63" t="s">
        <v>9</v>
      </c>
      <c r="B49" s="63" t="s">
        <v>30</v>
      </c>
      <c r="C49" s="63" t="s">
        <v>127</v>
      </c>
      <c r="D49" s="63" t="s">
        <v>5</v>
      </c>
      <c r="E49" s="63" t="s">
        <v>34</v>
      </c>
      <c r="F49" s="63" t="s">
        <v>113</v>
      </c>
      <c r="G49" s="63" t="s">
        <v>4</v>
      </c>
      <c r="H49" s="63" t="s">
        <v>1</v>
      </c>
      <c r="I49" s="63" t="s">
        <v>112</v>
      </c>
      <c r="J49" s="63" t="s">
        <v>25</v>
      </c>
      <c r="L49" s="231" t="s">
        <v>26</v>
      </c>
      <c r="M49" s="232" t="str">
        <f t="shared" si="21"/>
        <v>GBPAM3L21M_Quote</v>
      </c>
      <c r="N49" s="233" t="str">
        <f>IFERROR(_xll.qlQuoteValue(H55,Trigger),"--")</f>
        <v>--</v>
      </c>
      <c r="O49" s="233">
        <f t="shared" si="22"/>
        <v>0</v>
      </c>
      <c r="P49" s="92" t="b">
        <v>0</v>
      </c>
      <c r="Q49" s="88">
        <v>50</v>
      </c>
      <c r="R49" s="88">
        <v>1</v>
      </c>
      <c r="S49" s="88" t="str">
        <f t="shared" si="23"/>
        <v>--</v>
      </c>
      <c r="T49" s="93" t="str">
        <f>IFERROR(_xll.qlRateHelperEarliestDate(S49,Trigger),"--")</f>
        <v>--</v>
      </c>
      <c r="U49" s="93" t="str">
        <f>IFERROR(_xll.qlRateHelperPillarDate(S49,Trigger),"--")</f>
        <v>--</v>
      </c>
      <c r="W49" s="3" t="str">
        <f t="shared" si="20"/>
        <v/>
      </c>
      <c r="X49" s="3" t="e">
        <v>#N/A</v>
      </c>
      <c r="Y49" s="3" t="str">
        <f>IFERROR(_xll.qlRateHelperQuoteName(X49,Trigger),"")</f>
        <v/>
      </c>
      <c r="Z49" s="67" t="str">
        <f>IFERROR(_xll.qlRateHelperRate(X49,Trigger),"")</f>
        <v/>
      </c>
      <c r="AA49" s="95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206" t="e">
        <v>#N/A</v>
      </c>
    </row>
    <row r="50" spans="1:30" ht="11.25" customHeight="1" x14ac:dyDescent="0.2">
      <c r="A50" s="53" t="s">
        <v>26</v>
      </c>
      <c r="B50" s="54" t="s">
        <v>3</v>
      </c>
      <c r="C50" s="55" t="s">
        <v>6</v>
      </c>
      <c r="D50" s="55" t="s">
        <v>8</v>
      </c>
      <c r="E50" s="55" t="s">
        <v>7</v>
      </c>
      <c r="F50" s="55" t="s">
        <v>28</v>
      </c>
      <c r="G50" s="55" t="str">
        <f t="shared" ref="G50:G55" si="24">PROPER(Currency)&amp;FamilyName&amp;Tenor</f>
        <v>GbpLibor3M</v>
      </c>
      <c r="H50" s="53" t="str">
        <f t="shared" ref="H50:H55" si="25">Currency&amp;$G$48&amp;$H$48&amp;B50&amp;QuoteSuffix</f>
        <v>GBPAM3L6M_Quote</v>
      </c>
      <c r="I50" s="117">
        <v>0</v>
      </c>
      <c r="J50" s="225" t="str">
        <f>IF(P44,_xll.qlSwapRateHelper2(,H50,0,B50,Calendar,D50,E50,F50,G50,I50,C50,Discounting,PillarDate,,Permanent,Trigger,ObjectOverwrite),"--")</f>
        <v>--</v>
      </c>
      <c r="K50" s="46" t="s">
        <v>36</v>
      </c>
      <c r="L50" s="226" t="str">
        <f t="shared" ref="L50:L86" si="26">A58</f>
        <v>Sw</v>
      </c>
      <c r="M50" s="246" t="str">
        <f>H58</f>
        <v>GBPSM3L1Y_Quote</v>
      </c>
      <c r="N50" s="228">
        <f>IFERROR(_xll.qlQuoteValue(H58,Trigger),"--")</f>
        <v>3.5999999999999999E-3</v>
      </c>
      <c r="O50" s="228">
        <f>I58</f>
        <v>0</v>
      </c>
      <c r="P50" s="129" t="b">
        <v>0</v>
      </c>
      <c r="Q50" s="128">
        <v>50</v>
      </c>
      <c r="R50" s="128">
        <v>1</v>
      </c>
      <c r="S50" s="128" t="str">
        <f>J58</f>
        <v>--</v>
      </c>
      <c r="T50" s="130" t="str">
        <f>IFERROR(_xll.qlRateHelperEarliestDate(S50,Trigger),"--")</f>
        <v>--</v>
      </c>
      <c r="U50" s="130" t="str">
        <f>IFERROR(_xll.qlRateHelperPillarDate(S50,Trigger),"--")</f>
        <v>--</v>
      </c>
      <c r="W50" s="3" t="str">
        <f t="shared" si="20"/>
        <v/>
      </c>
      <c r="X50" s="3" t="e">
        <v>#N/A</v>
      </c>
      <c r="Y50" s="3" t="str">
        <f>IFERROR(_xll.qlRateHelperQuoteName(X50,Trigger),"")</f>
        <v/>
      </c>
      <c r="Z50" s="67" t="str">
        <f>IFERROR(_xll.qlRateHelperRate(X50,Trigger),"")</f>
        <v/>
      </c>
      <c r="AA50" s="95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206" t="e">
        <v>#N/A</v>
      </c>
    </row>
    <row r="51" spans="1:30" ht="11.25" customHeight="1" x14ac:dyDescent="0.2">
      <c r="A51" s="58" t="s">
        <v>26</v>
      </c>
      <c r="B51" s="59" t="s">
        <v>46</v>
      </c>
      <c r="C51" s="60" t="s">
        <v>6</v>
      </c>
      <c r="D51" s="60" t="s">
        <v>8</v>
      </c>
      <c r="E51" s="60" t="s">
        <v>7</v>
      </c>
      <c r="F51" s="60" t="s">
        <v>28</v>
      </c>
      <c r="G51" s="60" t="str">
        <f t="shared" si="24"/>
        <v>GbpLibor3M</v>
      </c>
      <c r="H51" s="58" t="str">
        <f t="shared" si="25"/>
        <v>GBPAM3L9M_Quote</v>
      </c>
      <c r="I51" s="118">
        <v>0</v>
      </c>
      <c r="J51" s="223" t="str">
        <f>IF(P45,_xll.qlSwapRateHelper2(,H51,0,B51,Calendar,D51,E51,F51,G51,I51,C51,Discounting,PillarDate,,Permanent,Trigger,ObjectOverwrite),"--")</f>
        <v>--</v>
      </c>
      <c r="L51" s="226" t="str">
        <f t="shared" si="26"/>
        <v>Sw</v>
      </c>
      <c r="M51" s="230" t="str">
        <f t="shared" ref="M51:M86" si="27">H59</f>
        <v>GBPSM3L15M_Quote</v>
      </c>
      <c r="N51" s="228" t="str">
        <f>IFERROR(_xll.qlQuoteValue(H59,Trigger),"--")</f>
        <v>--</v>
      </c>
      <c r="O51" s="228">
        <f t="shared" ref="O51:O86" si="28">I59</f>
        <v>0</v>
      </c>
      <c r="P51" s="129" t="b">
        <v>0</v>
      </c>
      <c r="Q51" s="128">
        <v>50</v>
      </c>
      <c r="R51" s="128">
        <v>1</v>
      </c>
      <c r="S51" s="128" t="str">
        <f t="shared" ref="S51:S86" si="29">J59</f>
        <v>--</v>
      </c>
      <c r="T51" s="130" t="str">
        <f>IFERROR(_xll.qlRateHelperEarliestDate(S51,Trigger),"--")</f>
        <v>--</v>
      </c>
      <c r="U51" s="130" t="str">
        <f>IFERROR(_xll.qlRateHelperPillarDate(S51,Trigger),"--")</f>
        <v>--</v>
      </c>
      <c r="W51" s="3" t="str">
        <f t="shared" si="20"/>
        <v/>
      </c>
      <c r="X51" s="3" t="e">
        <v>#N/A</v>
      </c>
      <c r="Y51" s="3" t="str">
        <f>IFERROR(_xll.qlRateHelperQuoteName(X51,Trigger),"")</f>
        <v/>
      </c>
      <c r="Z51" s="67" t="str">
        <f>IFERROR(_xll.qlRateHelperRate(X51,Trigger),"")</f>
        <v/>
      </c>
      <c r="AA51" s="95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206" t="e">
        <v>#N/A</v>
      </c>
    </row>
    <row r="52" spans="1:30" ht="11.25" customHeight="1" x14ac:dyDescent="0.2">
      <c r="A52" s="58" t="s">
        <v>26</v>
      </c>
      <c r="B52" s="59" t="s">
        <v>29</v>
      </c>
      <c r="C52" s="60" t="s">
        <v>6</v>
      </c>
      <c r="D52" s="60" t="s">
        <v>8</v>
      </c>
      <c r="E52" s="60" t="s">
        <v>7</v>
      </c>
      <c r="F52" s="60" t="s">
        <v>28</v>
      </c>
      <c r="G52" s="60" t="str">
        <f t="shared" si="24"/>
        <v>GbpLibor3M</v>
      </c>
      <c r="H52" s="58" t="str">
        <f t="shared" si="25"/>
        <v>GBPAM3L1Y_Quote</v>
      </c>
      <c r="I52" s="118">
        <v>0</v>
      </c>
      <c r="J52" s="223" t="str">
        <f>IF(P46,_xll.qlSwapRateHelper2(,H52,0,B52,Calendar,D52,E52,F52,G52,I52,C52,Discounting,PillarDate,,Permanent,Trigger,ObjectOverwrite),"--")</f>
        <v>--</v>
      </c>
      <c r="L52" s="226" t="str">
        <f t="shared" si="26"/>
        <v>Sw</v>
      </c>
      <c r="M52" s="230" t="str">
        <f t="shared" si="27"/>
        <v>GBPSM3L18M_Quote</v>
      </c>
      <c r="N52" s="228" t="str">
        <f>IFERROR(_xll.qlQuoteValue(H60,Trigger),"--")</f>
        <v>--</v>
      </c>
      <c r="O52" s="228">
        <f t="shared" si="28"/>
        <v>0</v>
      </c>
      <c r="P52" s="129" t="b">
        <v>0</v>
      </c>
      <c r="Q52" s="128">
        <v>50</v>
      </c>
      <c r="R52" s="128">
        <v>1</v>
      </c>
      <c r="S52" s="128" t="str">
        <f t="shared" si="29"/>
        <v>--</v>
      </c>
      <c r="T52" s="130" t="str">
        <f>IFERROR(_xll.qlRateHelperEarliestDate(S52,Trigger),"--")</f>
        <v>--</v>
      </c>
      <c r="U52" s="130" t="str">
        <f>IFERROR(_xll.qlRateHelperPillarDate(S52,Trigger),"--")</f>
        <v>--</v>
      </c>
      <c r="W52" s="3" t="str">
        <f t="shared" si="20"/>
        <v/>
      </c>
      <c r="X52" s="3" t="e">
        <v>#N/A</v>
      </c>
      <c r="Y52" s="3" t="str">
        <f>IFERROR(_xll.qlRateHelperQuoteName(X52,Trigger),"")</f>
        <v/>
      </c>
      <c r="Z52" s="67" t="str">
        <f>IFERROR(_xll.qlRateHelperRate(X52,Trigger),"")</f>
        <v/>
      </c>
      <c r="AA52" s="95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206" t="e">
        <v>#N/A</v>
      </c>
    </row>
    <row r="53" spans="1:30" ht="11.25" customHeight="1" x14ac:dyDescent="0.2">
      <c r="A53" s="58" t="s">
        <v>26</v>
      </c>
      <c r="B53" s="59" t="s">
        <v>49</v>
      </c>
      <c r="C53" s="60" t="s">
        <v>6</v>
      </c>
      <c r="D53" s="60" t="s">
        <v>8</v>
      </c>
      <c r="E53" s="60" t="s">
        <v>7</v>
      </c>
      <c r="F53" s="60" t="s">
        <v>28</v>
      </c>
      <c r="G53" s="60" t="str">
        <f t="shared" si="24"/>
        <v>GbpLibor3M</v>
      </c>
      <c r="H53" s="58" t="str">
        <f t="shared" si="25"/>
        <v>GBPAM3L15M_Quote</v>
      </c>
      <c r="I53" s="118">
        <v>0</v>
      </c>
      <c r="J53" s="223" t="str">
        <f>IF(P47,_xll.qlSwapRateHelper2(,H53,0,B53,Calendar,D53,E53,F53,G53,I53,C53,Discounting,PillarDate,,Permanent,Trigger,ObjectOverwrite),"--")</f>
        <v>--</v>
      </c>
      <c r="L53" s="226" t="str">
        <f t="shared" si="26"/>
        <v>Sw</v>
      </c>
      <c r="M53" s="230" t="str">
        <f t="shared" si="27"/>
        <v>GBPSM3L21M_Quote</v>
      </c>
      <c r="N53" s="228" t="str">
        <f>IFERROR(_xll.qlQuoteValue(H61,Trigger),"--")</f>
        <v>--</v>
      </c>
      <c r="O53" s="228">
        <f t="shared" si="28"/>
        <v>0</v>
      </c>
      <c r="P53" s="129" t="b">
        <v>0</v>
      </c>
      <c r="Q53" s="128">
        <v>50</v>
      </c>
      <c r="R53" s="128">
        <v>1</v>
      </c>
      <c r="S53" s="128" t="str">
        <f t="shared" si="29"/>
        <v>--</v>
      </c>
      <c r="T53" s="130" t="str">
        <f>IFERROR(_xll.qlRateHelperEarliestDate(S53,Trigger),"--")</f>
        <v>--</v>
      </c>
      <c r="U53" s="130" t="str">
        <f>IFERROR(_xll.qlRateHelperPillarDate(S53,Trigger),"--")</f>
        <v>--</v>
      </c>
      <c r="W53" s="3" t="str">
        <f t="shared" si="20"/>
        <v/>
      </c>
      <c r="X53" s="3" t="e">
        <v>#N/A</v>
      </c>
      <c r="Y53" s="3" t="str">
        <f>IFERROR(_xll.qlRateHelperQuoteName(X53,Trigger),"")</f>
        <v/>
      </c>
      <c r="Z53" s="67" t="str">
        <f>IFERROR(_xll.qlRateHelperRate(X53,Trigger),"")</f>
        <v/>
      </c>
      <c r="AA53" s="95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206" t="e">
        <v>#N/A</v>
      </c>
    </row>
    <row r="54" spans="1:30" ht="11.25" customHeight="1" x14ac:dyDescent="0.2">
      <c r="A54" s="58" t="s">
        <v>26</v>
      </c>
      <c r="B54" s="59" t="s">
        <v>50</v>
      </c>
      <c r="C54" s="60" t="s">
        <v>6</v>
      </c>
      <c r="D54" s="60" t="s">
        <v>8</v>
      </c>
      <c r="E54" s="60" t="s">
        <v>7</v>
      </c>
      <c r="F54" s="60" t="s">
        <v>28</v>
      </c>
      <c r="G54" s="60" t="str">
        <f t="shared" si="24"/>
        <v>GbpLibor3M</v>
      </c>
      <c r="H54" s="58" t="str">
        <f t="shared" si="25"/>
        <v>GBPAM3L18M_Quote</v>
      </c>
      <c r="I54" s="118">
        <v>0</v>
      </c>
      <c r="J54" s="223" t="str">
        <f>IF(P48,_xll.qlSwapRateHelper2(,H54,0,B54,Calendar,D54,E54,F54,G54,I54,C54,Discounting,PillarDate,,Permanent,Trigger,ObjectOverwrite),"--")</f>
        <v>--</v>
      </c>
      <c r="L54" s="226" t="str">
        <f t="shared" si="26"/>
        <v>Sw</v>
      </c>
      <c r="M54" s="230" t="str">
        <f t="shared" si="27"/>
        <v>GBPSM3L2Y_Quote</v>
      </c>
      <c r="N54" s="228">
        <f>IFERROR(_xll.qlQuoteValue(H62,Trigger),"--")</f>
        <v>3.4200000000000003E-3</v>
      </c>
      <c r="O54" s="228">
        <f t="shared" si="28"/>
        <v>0</v>
      </c>
      <c r="P54" s="129" t="b">
        <v>0</v>
      </c>
      <c r="Q54" s="128">
        <v>50</v>
      </c>
      <c r="R54" s="128">
        <v>1</v>
      </c>
      <c r="S54" s="128" t="str">
        <f t="shared" si="29"/>
        <v>--</v>
      </c>
      <c r="T54" s="130" t="str">
        <f>IFERROR(_xll.qlRateHelperEarliestDate(S54,Trigger),"--")</f>
        <v>--</v>
      </c>
      <c r="U54" s="130" t="str">
        <f>IFERROR(_xll.qlRateHelperPillarDate(S54,Trigger),"--")</f>
        <v>--</v>
      </c>
      <c r="W54" s="3" t="str">
        <f t="shared" si="20"/>
        <v/>
      </c>
      <c r="X54" s="3" t="e">
        <v>#N/A</v>
      </c>
      <c r="Y54" s="3" t="str">
        <f>IFERROR(_xll.qlRateHelperQuoteName(X54,Trigger),"")</f>
        <v/>
      </c>
      <c r="Z54" s="67" t="str">
        <f>IFERROR(_xll.qlRateHelperRate(X54,Trigger),"")</f>
        <v/>
      </c>
      <c r="AA54" s="95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206" t="e">
        <v>#N/A</v>
      </c>
    </row>
    <row r="55" spans="1:30" ht="11.25" customHeight="1" x14ac:dyDescent="0.2">
      <c r="A55" s="1" t="s">
        <v>26</v>
      </c>
      <c r="B55" s="7" t="s">
        <v>51</v>
      </c>
      <c r="C55" s="6" t="s">
        <v>6</v>
      </c>
      <c r="D55" s="6" t="s">
        <v>8</v>
      </c>
      <c r="E55" s="6" t="s">
        <v>7</v>
      </c>
      <c r="F55" s="6" t="s">
        <v>28</v>
      </c>
      <c r="G55" s="6" t="str">
        <f t="shared" si="24"/>
        <v>GbpLibor3M</v>
      </c>
      <c r="H55" s="1" t="str">
        <f t="shared" si="25"/>
        <v>GBPAM3L21M_Quote</v>
      </c>
      <c r="I55" s="121">
        <v>0</v>
      </c>
      <c r="J55" s="224" t="str">
        <f>IF(P49,_xll.qlSwapRateHelper2(,H55,0,B55,Calendar,D55,E55,F55,G55,I55,C55,Discounting,PillarDate,,Permanent,Trigger,ObjectOverwrite),"--")</f>
        <v>--</v>
      </c>
      <c r="L55" s="226" t="str">
        <f t="shared" si="26"/>
        <v>Sw</v>
      </c>
      <c r="M55" s="230" t="str">
        <f t="shared" si="27"/>
        <v>GBPSM3L3Y_Quote</v>
      </c>
      <c r="N55" s="228">
        <f>IFERROR(_xll.qlQuoteValue(H63,Trigger),"--")</f>
        <v>3.5400000000000002E-3</v>
      </c>
      <c r="O55" s="228">
        <f t="shared" si="28"/>
        <v>0</v>
      </c>
      <c r="P55" s="129" t="b">
        <v>1</v>
      </c>
      <c r="Q55" s="128">
        <v>50</v>
      </c>
      <c r="R55" s="128">
        <v>1</v>
      </c>
      <c r="S55" s="128" t="str">
        <f t="shared" si="29"/>
        <v>obj_002d4#0001</v>
      </c>
      <c r="T55" s="130">
        <f>IFERROR(_xll.qlRateHelperEarliestDate(S55,Trigger),"--")</f>
        <v>42559</v>
      </c>
      <c r="U55" s="130">
        <f>IFERROR(_xll.qlRateHelperPillarDate(S55,Trigger),"--")</f>
        <v>43654</v>
      </c>
      <c r="W55" s="3" t="str">
        <f t="shared" si="20"/>
        <v/>
      </c>
      <c r="X55" s="3" t="e">
        <v>#N/A</v>
      </c>
      <c r="Y55" s="3" t="str">
        <f>IFERROR(_xll.qlRateHelperQuoteName(X55,Trigger),"")</f>
        <v/>
      </c>
      <c r="Z55" s="67" t="str">
        <f>IFERROR(_xll.qlRateHelperRate(X55,Trigger),"")</f>
        <v/>
      </c>
      <c r="AA55" s="95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206" t="e">
        <v>#N/A</v>
      </c>
    </row>
    <row r="56" spans="1:30" ht="11.25" customHeight="1" x14ac:dyDescent="0.2">
      <c r="G56" s="50" t="s">
        <v>137</v>
      </c>
      <c r="H56" s="50" t="s">
        <v>138</v>
      </c>
      <c r="L56" s="226" t="str">
        <f t="shared" si="26"/>
        <v>Sw</v>
      </c>
      <c r="M56" s="230" t="str">
        <f t="shared" si="27"/>
        <v>GBPSM3L4Y_Quote</v>
      </c>
      <c r="N56" s="228">
        <f>IFERROR(_xll.qlQuoteValue(H64,Trigger),"--")</f>
        <v>3.8400000000000001E-3</v>
      </c>
      <c r="O56" s="228">
        <f t="shared" si="28"/>
        <v>0</v>
      </c>
      <c r="P56" s="129" t="b">
        <v>1</v>
      </c>
      <c r="Q56" s="128">
        <v>50</v>
      </c>
      <c r="R56" s="128">
        <v>1</v>
      </c>
      <c r="S56" s="128" t="str">
        <f t="shared" si="29"/>
        <v>obj_002dc#0001</v>
      </c>
      <c r="T56" s="130">
        <f>IFERROR(_xll.qlRateHelperEarliestDate(S56,Trigger),"--")</f>
        <v>42559</v>
      </c>
      <c r="U56" s="130">
        <f>IFERROR(_xll.qlRateHelperPillarDate(S56,Trigger),"--")</f>
        <v>44020</v>
      </c>
      <c r="W56" s="3" t="str">
        <f t="shared" si="20"/>
        <v/>
      </c>
      <c r="X56" s="3" t="e">
        <v>#N/A</v>
      </c>
      <c r="Y56" s="3" t="str">
        <f>IFERROR(_xll.qlRateHelperQuoteName(X56,Trigger),"")</f>
        <v/>
      </c>
      <c r="Z56" s="67" t="str">
        <f>IFERROR(_xll.qlRateHelperRate(X56,Trigger),"")</f>
        <v/>
      </c>
      <c r="AA56" s="95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206" t="e">
        <v>#N/A</v>
      </c>
    </row>
    <row r="57" spans="1:30" ht="11.25" customHeight="1" x14ac:dyDescent="0.2">
      <c r="A57" s="63" t="s">
        <v>9</v>
      </c>
      <c r="B57" s="63" t="s">
        <v>30</v>
      </c>
      <c r="C57" s="63" t="s">
        <v>127</v>
      </c>
      <c r="D57" s="63" t="s">
        <v>5</v>
      </c>
      <c r="E57" s="63" t="s">
        <v>34</v>
      </c>
      <c r="F57" s="63" t="s">
        <v>113</v>
      </c>
      <c r="G57" s="63" t="s">
        <v>4</v>
      </c>
      <c r="H57" s="63" t="s">
        <v>1</v>
      </c>
      <c r="I57" s="63" t="s">
        <v>112</v>
      </c>
      <c r="J57" s="63" t="s">
        <v>25</v>
      </c>
      <c r="L57" s="226" t="str">
        <f t="shared" si="26"/>
        <v>Sw</v>
      </c>
      <c r="M57" s="230" t="str">
        <f t="shared" si="27"/>
        <v>GBPSM3L5Y_Quote</v>
      </c>
      <c r="N57" s="228">
        <f>IFERROR(_xll.qlQuoteValue(H65,Trigger),"--")</f>
        <v>4.2500000000000003E-3</v>
      </c>
      <c r="O57" s="228">
        <f t="shared" si="28"/>
        <v>0</v>
      </c>
      <c r="P57" s="129" t="b">
        <v>1</v>
      </c>
      <c r="Q57" s="128">
        <v>50</v>
      </c>
      <c r="R57" s="128">
        <v>1</v>
      </c>
      <c r="S57" s="128" t="str">
        <f t="shared" si="29"/>
        <v>obj_002d2#0001</v>
      </c>
      <c r="T57" s="130">
        <f>IFERROR(_xll.qlRateHelperEarliestDate(S57,Trigger),"--")</f>
        <v>42559</v>
      </c>
      <c r="U57" s="130">
        <f>IFERROR(_xll.qlRateHelperPillarDate(S57,Trigger),"--")</f>
        <v>44385</v>
      </c>
      <c r="W57" s="3" t="str">
        <f t="shared" si="20"/>
        <v/>
      </c>
      <c r="X57" s="3" t="e">
        <v>#N/A</v>
      </c>
      <c r="Y57" s="3" t="str">
        <f>IFERROR(_xll.qlRateHelperQuoteName(X57,Trigger),"")</f>
        <v/>
      </c>
      <c r="Z57" s="67" t="str">
        <f>IFERROR(_xll.qlRateHelperRate(X57,Trigger),"")</f>
        <v/>
      </c>
      <c r="AA57" s="95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206" t="e">
        <v>#N/A</v>
      </c>
    </row>
    <row r="58" spans="1:30" ht="11.25" customHeight="1" x14ac:dyDescent="0.2">
      <c r="A58" s="58" t="s">
        <v>26</v>
      </c>
      <c r="B58" s="59" t="s">
        <v>29</v>
      </c>
      <c r="C58" s="60" t="s">
        <v>6</v>
      </c>
      <c r="D58" s="60" t="s">
        <v>140</v>
      </c>
      <c r="E58" s="60" t="s">
        <v>7</v>
      </c>
      <c r="F58" s="60" t="s">
        <v>141</v>
      </c>
      <c r="G58" s="60" t="str">
        <f t="shared" ref="G58:G94" si="30">PROPER(Currency)&amp;FamilyName&amp;Tenor</f>
        <v>GbpLibor3M</v>
      </c>
      <c r="H58" s="58" t="str">
        <f t="shared" ref="H58:H94" si="31">Currency&amp;$G$56&amp;$H$56&amp;$B58&amp;QuoteSuffix</f>
        <v>GBPSM3L1Y_Quote</v>
      </c>
      <c r="I58" s="118">
        <v>0</v>
      </c>
      <c r="J58" s="223" t="str">
        <f>IF(P50,_xll.qlSwapRateHelper2(,H58,0,B58,Calendar,D58,E58,F58,G58,I58,C58,Discounting,PillarDate,,Permanent,Trigger,ObjectOverwrite),"--")</f>
        <v>--</v>
      </c>
      <c r="L58" s="226" t="str">
        <f t="shared" si="26"/>
        <v>Sw</v>
      </c>
      <c r="M58" s="230" t="str">
        <f t="shared" si="27"/>
        <v>GBPSM3L6Y_Quote</v>
      </c>
      <c r="N58" s="228">
        <f>IFERROR(_xll.qlQuoteValue(H66,Trigger),"--")</f>
        <v>4.8199999999999996E-3</v>
      </c>
      <c r="O58" s="228">
        <f t="shared" si="28"/>
        <v>0</v>
      </c>
      <c r="P58" s="129" t="b">
        <v>1</v>
      </c>
      <c r="Q58" s="128">
        <v>50</v>
      </c>
      <c r="R58" s="128">
        <v>1</v>
      </c>
      <c r="S58" s="128" t="str">
        <f t="shared" si="29"/>
        <v>obj_002da#0001</v>
      </c>
      <c r="T58" s="130">
        <f>IFERROR(_xll.qlRateHelperEarliestDate(S58,Trigger),"--")</f>
        <v>42559</v>
      </c>
      <c r="U58" s="130">
        <f>IFERROR(_xll.qlRateHelperPillarDate(S58,Trigger),"--")</f>
        <v>44750</v>
      </c>
      <c r="W58" s="3" t="str">
        <f t="shared" si="20"/>
        <v/>
      </c>
      <c r="X58" s="3" t="e">
        <v>#N/A</v>
      </c>
      <c r="Y58" s="3" t="str">
        <f>IFERROR(_xll.qlRateHelperQuoteName(X58,Trigger),"")</f>
        <v/>
      </c>
      <c r="Z58" s="67" t="str">
        <f>IFERROR(_xll.qlRateHelperRate(X58,Trigger),"")</f>
        <v/>
      </c>
      <c r="AA58" s="95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206" t="e">
        <v>#N/A</v>
      </c>
    </row>
    <row r="59" spans="1:30" ht="11.25" customHeight="1" x14ac:dyDescent="0.2">
      <c r="A59" s="58" t="s">
        <v>26</v>
      </c>
      <c r="B59" s="59" t="s">
        <v>49</v>
      </c>
      <c r="C59" s="60" t="s">
        <v>6</v>
      </c>
      <c r="D59" s="60" t="s">
        <v>140</v>
      </c>
      <c r="E59" s="60" t="s">
        <v>7</v>
      </c>
      <c r="F59" s="60" t="s">
        <v>141</v>
      </c>
      <c r="G59" s="60" t="str">
        <f t="shared" si="30"/>
        <v>GbpLibor3M</v>
      </c>
      <c r="H59" s="58" t="str">
        <f t="shared" si="31"/>
        <v>GBPSM3L15M_Quote</v>
      </c>
      <c r="I59" s="118">
        <v>0</v>
      </c>
      <c r="J59" s="223" t="str">
        <f>IF(P51,_xll.qlSwapRateHelper2(,H59,0,B59,Calendar,D59,E59,F59,G59,I59,C59,Discounting,PillarDate,,Permanent,Trigger,ObjectOverwrite),"--")</f>
        <v>--</v>
      </c>
      <c r="L59" s="226" t="str">
        <f t="shared" si="26"/>
        <v>Sw</v>
      </c>
      <c r="M59" s="230" t="str">
        <f t="shared" si="27"/>
        <v>GBPSM3L7Y_Quote</v>
      </c>
      <c r="N59" s="228">
        <f>IFERROR(_xll.qlQuoteValue(H67,Trigger),"--")</f>
        <v>5.4800000000000005E-3</v>
      </c>
      <c r="O59" s="228">
        <f t="shared" si="28"/>
        <v>0</v>
      </c>
      <c r="P59" s="129" t="b">
        <v>1</v>
      </c>
      <c r="Q59" s="128">
        <v>50</v>
      </c>
      <c r="R59" s="128">
        <v>1</v>
      </c>
      <c r="S59" s="128" t="str">
        <f t="shared" si="29"/>
        <v>obj_002d8#0001</v>
      </c>
      <c r="T59" s="130">
        <f>IFERROR(_xll.qlRateHelperEarliestDate(S59,Trigger),"--")</f>
        <v>42559</v>
      </c>
      <c r="U59" s="130">
        <f>IFERROR(_xll.qlRateHelperPillarDate(S59,Trigger),"--")</f>
        <v>45117</v>
      </c>
      <c r="W59" s="3" t="str">
        <f t="shared" si="20"/>
        <v/>
      </c>
      <c r="X59" s="3" t="e">
        <v>#N/A</v>
      </c>
      <c r="Y59" s="3" t="str">
        <f>IFERROR(_xll.qlRateHelperQuoteName(X59,Trigger),"")</f>
        <v/>
      </c>
      <c r="Z59" s="67" t="str">
        <f>IFERROR(_xll.qlRateHelperRate(X59,Trigger),"")</f>
        <v/>
      </c>
      <c r="AA59" s="95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206" t="e">
        <v>#N/A</v>
      </c>
    </row>
    <row r="60" spans="1:30" ht="11.25" customHeight="1" x14ac:dyDescent="0.2">
      <c r="A60" s="58" t="s">
        <v>26</v>
      </c>
      <c r="B60" s="59" t="s">
        <v>50</v>
      </c>
      <c r="C60" s="60" t="s">
        <v>6</v>
      </c>
      <c r="D60" s="60" t="s">
        <v>140</v>
      </c>
      <c r="E60" s="60" t="s">
        <v>7</v>
      </c>
      <c r="F60" s="60" t="s">
        <v>141</v>
      </c>
      <c r="G60" s="60" t="str">
        <f t="shared" si="30"/>
        <v>GbpLibor3M</v>
      </c>
      <c r="H60" s="58" t="str">
        <f t="shared" si="31"/>
        <v>GBPSM3L18M_Quote</v>
      </c>
      <c r="I60" s="118">
        <v>0</v>
      </c>
      <c r="J60" s="223" t="str">
        <f>IF(P52,_xll.qlSwapRateHelper2(,H60,0,B60,Calendar,D60,E60,F60,G60,I60,C60,Discounting,PillarDate,,Permanent,Trigger,ObjectOverwrite),"--")</f>
        <v>--</v>
      </c>
      <c r="L60" s="226" t="str">
        <f t="shared" si="26"/>
        <v>Sw</v>
      </c>
      <c r="M60" s="230" t="str">
        <f t="shared" si="27"/>
        <v>GBPSM3L8Y_Quote</v>
      </c>
      <c r="N60" s="228">
        <f>IFERROR(_xll.qlQuoteValue(H68,Trigger),"--")</f>
        <v>6.2100000000000002E-3</v>
      </c>
      <c r="O60" s="228">
        <f t="shared" si="28"/>
        <v>0</v>
      </c>
      <c r="P60" s="129" t="b">
        <v>1</v>
      </c>
      <c r="Q60" s="128">
        <v>50</v>
      </c>
      <c r="R60" s="128">
        <v>1</v>
      </c>
      <c r="S60" s="128" t="str">
        <f t="shared" si="29"/>
        <v>obj_002d3#0001</v>
      </c>
      <c r="T60" s="130">
        <f>IFERROR(_xll.qlRateHelperEarliestDate(S60,Trigger),"--")</f>
        <v>42559</v>
      </c>
      <c r="U60" s="130">
        <f>IFERROR(_xll.qlRateHelperPillarDate(S60,Trigger),"--")</f>
        <v>45481</v>
      </c>
      <c r="W60" s="3" t="str">
        <f t="shared" si="20"/>
        <v/>
      </c>
      <c r="X60" s="3" t="e">
        <v>#N/A</v>
      </c>
      <c r="Y60" s="3" t="str">
        <f>IFERROR(_xll.qlRateHelperQuoteName(X60,Trigger),"")</f>
        <v/>
      </c>
      <c r="Z60" s="67" t="str">
        <f>IFERROR(_xll.qlRateHelperRate(X60,Trigger),"")</f>
        <v/>
      </c>
      <c r="AA60" s="95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206" t="e">
        <v>#N/A</v>
      </c>
    </row>
    <row r="61" spans="1:30" ht="11.25" customHeight="1" x14ac:dyDescent="0.2">
      <c r="A61" s="58" t="s">
        <v>26</v>
      </c>
      <c r="B61" s="59" t="s">
        <v>51</v>
      </c>
      <c r="C61" s="60" t="s">
        <v>6</v>
      </c>
      <c r="D61" s="60" t="s">
        <v>140</v>
      </c>
      <c r="E61" s="60" t="s">
        <v>7</v>
      </c>
      <c r="F61" s="60" t="s">
        <v>141</v>
      </c>
      <c r="G61" s="60" t="str">
        <f t="shared" si="30"/>
        <v>GbpLibor3M</v>
      </c>
      <c r="H61" s="58" t="str">
        <f t="shared" si="31"/>
        <v>GBPSM3L21M_Quote</v>
      </c>
      <c r="I61" s="118">
        <v>0</v>
      </c>
      <c r="J61" s="223" t="str">
        <f>IF(P53,_xll.qlSwapRateHelper2(,H61,0,B61,Calendar,D61,E61,F61,G61,I61,C61,Discounting,PillarDate,,Permanent,Trigger,ObjectOverwrite),"--")</f>
        <v>--</v>
      </c>
      <c r="L61" s="226" t="str">
        <f t="shared" si="26"/>
        <v>Sw</v>
      </c>
      <c r="M61" s="230" t="str">
        <f t="shared" si="27"/>
        <v>GBPSM3L9Y_Quote</v>
      </c>
      <c r="N61" s="228">
        <f>IFERROR(_xll.qlQuoteValue(H69,Trigger),"--")</f>
        <v>6.8800000000000007E-3</v>
      </c>
      <c r="O61" s="228">
        <f t="shared" si="28"/>
        <v>0</v>
      </c>
      <c r="P61" s="129" t="b">
        <v>1</v>
      </c>
      <c r="Q61" s="128">
        <v>50</v>
      </c>
      <c r="R61" s="128">
        <v>1</v>
      </c>
      <c r="S61" s="128" t="str">
        <f t="shared" si="29"/>
        <v>obj_002df#0001</v>
      </c>
      <c r="T61" s="130">
        <f>IFERROR(_xll.qlRateHelperEarliestDate(S61,Trigger),"--")</f>
        <v>42559</v>
      </c>
      <c r="U61" s="130">
        <f>IFERROR(_xll.qlRateHelperPillarDate(S61,Trigger),"--")</f>
        <v>45846</v>
      </c>
      <c r="W61" s="3" t="str">
        <f t="shared" si="20"/>
        <v/>
      </c>
      <c r="X61" s="3" t="e">
        <v>#N/A</v>
      </c>
      <c r="Y61" s="3" t="str">
        <f>IFERROR(_xll.qlRateHelperQuoteName(X61,Trigger),"")</f>
        <v/>
      </c>
      <c r="Z61" s="67" t="str">
        <f>IFERROR(_xll.qlRateHelperRate(X61,Trigger),"")</f>
        <v/>
      </c>
      <c r="AA61" s="95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206" t="e">
        <v>#N/A</v>
      </c>
    </row>
    <row r="62" spans="1:30" ht="11.25" customHeight="1" x14ac:dyDescent="0.2">
      <c r="A62" s="58" t="s">
        <v>26</v>
      </c>
      <c r="B62" s="59" t="s">
        <v>52</v>
      </c>
      <c r="C62" s="60" t="s">
        <v>6</v>
      </c>
      <c r="D62" s="60" t="s">
        <v>140</v>
      </c>
      <c r="E62" s="60" t="s">
        <v>7</v>
      </c>
      <c r="F62" s="60" t="s">
        <v>141</v>
      </c>
      <c r="G62" s="60" t="str">
        <f t="shared" si="30"/>
        <v>GbpLibor3M</v>
      </c>
      <c r="H62" s="58" t="str">
        <f t="shared" si="31"/>
        <v>GBPSM3L2Y_Quote</v>
      </c>
      <c r="I62" s="118">
        <v>0</v>
      </c>
      <c r="J62" s="223" t="str">
        <f>IF(P54,_xll.qlSwapRateHelper2(,H62,0,B62,Calendar,D62,E62,F62,G62,I62,C62,Discounting,PillarDate,,Permanent,Trigger,ObjectOverwrite),"--")</f>
        <v>--</v>
      </c>
      <c r="L62" s="226" t="str">
        <f t="shared" si="26"/>
        <v>Sw</v>
      </c>
      <c r="M62" s="230" t="str">
        <f t="shared" si="27"/>
        <v>GBPSM3L10Y_Quote</v>
      </c>
      <c r="N62" s="228">
        <f>IFERROR(_xll.qlQuoteValue(H70,Trigger),"--")</f>
        <v>7.490000000000001E-3</v>
      </c>
      <c r="O62" s="228">
        <f t="shared" si="28"/>
        <v>0</v>
      </c>
      <c r="P62" s="129" t="b">
        <v>1</v>
      </c>
      <c r="Q62" s="129">
        <v>50</v>
      </c>
      <c r="R62" s="129">
        <v>1</v>
      </c>
      <c r="S62" s="129" t="str">
        <f t="shared" si="29"/>
        <v>obj_002de#0001</v>
      </c>
      <c r="T62" s="130">
        <f>IFERROR(_xll.qlRateHelperEarliestDate(S62,Trigger),"--")</f>
        <v>42559</v>
      </c>
      <c r="U62" s="130">
        <f>IFERROR(_xll.qlRateHelperPillarDate(S62,Trigger),"--")</f>
        <v>46211</v>
      </c>
      <c r="W62" s="3" t="str">
        <f t="shared" si="20"/>
        <v/>
      </c>
      <c r="X62" s="3" t="e">
        <v>#N/A</v>
      </c>
      <c r="Y62" s="3" t="str">
        <f>IFERROR(_xll.qlRateHelperQuoteName(X62,Trigger),"")</f>
        <v/>
      </c>
      <c r="Z62" s="67" t="str">
        <f>IFERROR(_xll.qlRateHelperRate(X62,Trigger),"")</f>
        <v/>
      </c>
      <c r="AA62" s="95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206" t="e">
        <v>#N/A</v>
      </c>
    </row>
    <row r="63" spans="1:30" ht="11.25" customHeight="1" x14ac:dyDescent="0.2">
      <c r="A63" s="58" t="s">
        <v>26</v>
      </c>
      <c r="B63" s="59" t="s">
        <v>53</v>
      </c>
      <c r="C63" s="60" t="s">
        <v>6</v>
      </c>
      <c r="D63" s="60" t="s">
        <v>140</v>
      </c>
      <c r="E63" s="60" t="s">
        <v>7</v>
      </c>
      <c r="F63" s="60" t="s">
        <v>141</v>
      </c>
      <c r="G63" s="60" t="str">
        <f t="shared" si="30"/>
        <v>GbpLibor3M</v>
      </c>
      <c r="H63" s="58" t="str">
        <f t="shared" si="31"/>
        <v>GBPSM3L3Y_Quote</v>
      </c>
      <c r="I63" s="118">
        <v>0</v>
      </c>
      <c r="J63" s="223" t="str">
        <f>IF(P55,_xll.qlSwapRateHelper2(,H63,0,B63,Calendar,D63,E63,F63,G63,I63,C63,Discounting,PillarDate,,Permanent,Trigger,ObjectOverwrite),"--")</f>
        <v>obj_002d4#0001</v>
      </c>
      <c r="L63" s="226" t="str">
        <f t="shared" si="26"/>
        <v>Sw</v>
      </c>
      <c r="M63" s="230" t="str">
        <f t="shared" si="27"/>
        <v>GBPSM3L11Y_Quote</v>
      </c>
      <c r="N63" s="228">
        <f>IFERROR(_xll.qlQuoteValue(H71,Trigger),"--")</f>
        <v>8.0700000000000008E-3</v>
      </c>
      <c r="O63" s="228">
        <f t="shared" si="28"/>
        <v>0</v>
      </c>
      <c r="P63" s="129" t="b">
        <v>0</v>
      </c>
      <c r="Q63" s="129">
        <v>50</v>
      </c>
      <c r="R63" s="129">
        <v>1</v>
      </c>
      <c r="S63" s="129" t="str">
        <f t="shared" si="29"/>
        <v>--</v>
      </c>
      <c r="T63" s="130" t="str">
        <f>IFERROR(_xll.qlRateHelperEarliestDate(S63,Trigger),"--")</f>
        <v>--</v>
      </c>
      <c r="U63" s="130" t="str">
        <f>IFERROR(_xll.qlRateHelperPillarDate(S63,Trigger),"--")</f>
        <v>--</v>
      </c>
      <c r="W63" s="3" t="str">
        <f t="shared" si="20"/>
        <v/>
      </c>
      <c r="X63" s="3" t="e">
        <v>#N/A</v>
      </c>
      <c r="Y63" s="3" t="str">
        <f>IFERROR(_xll.qlRateHelperQuoteName(X63,Trigger),"")</f>
        <v/>
      </c>
      <c r="Z63" s="67" t="str">
        <f>IFERROR(_xll.qlRateHelperRate(X63,Trigger),"")</f>
        <v/>
      </c>
      <c r="AA63" s="95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206" t="e">
        <v>#N/A</v>
      </c>
    </row>
    <row r="64" spans="1:30" ht="11.25" customHeight="1" x14ac:dyDescent="0.2">
      <c r="A64" s="58" t="s">
        <v>26</v>
      </c>
      <c r="B64" s="59" t="s">
        <v>54</v>
      </c>
      <c r="C64" s="60" t="s">
        <v>6</v>
      </c>
      <c r="D64" s="60" t="s">
        <v>140</v>
      </c>
      <c r="E64" s="60" t="s">
        <v>7</v>
      </c>
      <c r="F64" s="60" t="s">
        <v>141</v>
      </c>
      <c r="G64" s="60" t="str">
        <f t="shared" si="30"/>
        <v>GbpLibor3M</v>
      </c>
      <c r="H64" s="58" t="str">
        <f t="shared" si="31"/>
        <v>GBPSM3L4Y_Quote</v>
      </c>
      <c r="I64" s="118">
        <v>0</v>
      </c>
      <c r="J64" s="223" t="str">
        <f>IF(P56,_xll.qlSwapRateHelper2(,H64,0,B64,Calendar,D64,E64,F64,G64,I64,C64,Discounting,PillarDate,,Permanent,Trigger,ObjectOverwrite),"--")</f>
        <v>obj_002dc#0001</v>
      </c>
      <c r="L64" s="226" t="str">
        <f t="shared" si="26"/>
        <v>Sw</v>
      </c>
      <c r="M64" s="230" t="str">
        <f t="shared" si="27"/>
        <v>GBPSM3L12Y_Quote</v>
      </c>
      <c r="N64" s="228">
        <f>IFERROR(_xll.qlQuoteValue(H72,Trigger),"--")</f>
        <v>8.5800000000000008E-3</v>
      </c>
      <c r="O64" s="228">
        <f t="shared" si="28"/>
        <v>0</v>
      </c>
      <c r="P64" s="129" t="b">
        <v>1</v>
      </c>
      <c r="Q64" s="129">
        <v>50</v>
      </c>
      <c r="R64" s="129">
        <v>1</v>
      </c>
      <c r="S64" s="129" t="str">
        <f t="shared" si="29"/>
        <v>obj_002d9#0001</v>
      </c>
      <c r="T64" s="130">
        <f>IFERROR(_xll.qlRateHelperEarliestDate(S64,Trigger),"--")</f>
        <v>42559</v>
      </c>
      <c r="U64" s="130">
        <f>IFERROR(_xll.qlRateHelperPillarDate(S64,Trigger),"--")</f>
        <v>46944</v>
      </c>
      <c r="W64" s="3" t="str">
        <f t="shared" si="20"/>
        <v/>
      </c>
      <c r="X64" s="3" t="e">
        <v>#N/A</v>
      </c>
      <c r="Y64" s="3" t="str">
        <f>IFERROR(_xll.qlRateHelperQuoteName(X64,Trigger),"")</f>
        <v/>
      </c>
      <c r="Z64" s="67" t="str">
        <f>IFERROR(_xll.qlRateHelperRate(X64,Trigger),"")</f>
        <v/>
      </c>
      <c r="AA64" s="95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206" t="e">
        <v>#N/A</v>
      </c>
    </row>
    <row r="65" spans="1:30" ht="11.25" customHeight="1" x14ac:dyDescent="0.2">
      <c r="A65" s="58" t="s">
        <v>26</v>
      </c>
      <c r="B65" s="59" t="s">
        <v>55</v>
      </c>
      <c r="C65" s="60" t="s">
        <v>6</v>
      </c>
      <c r="D65" s="60" t="s">
        <v>140</v>
      </c>
      <c r="E65" s="60" t="s">
        <v>7</v>
      </c>
      <c r="F65" s="60" t="s">
        <v>141</v>
      </c>
      <c r="G65" s="60" t="str">
        <f t="shared" si="30"/>
        <v>GbpLibor3M</v>
      </c>
      <c r="H65" s="58" t="str">
        <f t="shared" si="31"/>
        <v>GBPSM3L5Y_Quote</v>
      </c>
      <c r="I65" s="118">
        <v>0</v>
      </c>
      <c r="J65" s="223" t="str">
        <f>IF(P57,_xll.qlSwapRateHelper2(,H65,0,B65,Calendar,D65,E65,F65,G65,I65,C65,Discounting,PillarDate,,Permanent,Trigger,ObjectOverwrite),"--")</f>
        <v>obj_002d2#0001</v>
      </c>
      <c r="L65" s="226" t="str">
        <f t="shared" si="26"/>
        <v>Sw</v>
      </c>
      <c r="M65" s="230" t="str">
        <f t="shared" si="27"/>
        <v>GBPSM3L13Y_Quote</v>
      </c>
      <c r="N65" s="228" t="str">
        <f>IFERROR(_xll.qlQuoteValue(H73,Trigger),"--")</f>
        <v>--</v>
      </c>
      <c r="O65" s="228">
        <f t="shared" si="28"/>
        <v>0</v>
      </c>
      <c r="P65" s="129" t="b">
        <v>0</v>
      </c>
      <c r="Q65" s="129">
        <v>50</v>
      </c>
      <c r="R65" s="129">
        <v>1</v>
      </c>
      <c r="S65" s="129" t="str">
        <f t="shared" si="29"/>
        <v>--</v>
      </c>
      <c r="T65" s="130" t="str">
        <f>IFERROR(_xll.qlRateHelperEarliestDate(S65,Trigger),"--")</f>
        <v>--</v>
      </c>
      <c r="U65" s="130" t="str">
        <f>IFERROR(_xll.qlRateHelperPillarDate(S65,Trigger),"--")</f>
        <v>--</v>
      </c>
      <c r="W65" s="3" t="str">
        <f t="shared" si="20"/>
        <v/>
      </c>
      <c r="X65" s="3" t="e">
        <v>#N/A</v>
      </c>
      <c r="Y65" s="3" t="str">
        <f>IFERROR(_xll.qlRateHelperQuoteName(X65,Trigger),"")</f>
        <v/>
      </c>
      <c r="Z65" s="67" t="str">
        <f>IFERROR(_xll.qlRateHelperRate(X65,Trigger),"")</f>
        <v/>
      </c>
      <c r="AA65" s="95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206" t="e">
        <v>#N/A</v>
      </c>
    </row>
    <row r="66" spans="1:30" ht="11.25" customHeight="1" x14ac:dyDescent="0.2">
      <c r="A66" s="58" t="s">
        <v>26</v>
      </c>
      <c r="B66" s="59" t="s">
        <v>56</v>
      </c>
      <c r="C66" s="60" t="s">
        <v>6</v>
      </c>
      <c r="D66" s="60" t="s">
        <v>140</v>
      </c>
      <c r="E66" s="60" t="s">
        <v>7</v>
      </c>
      <c r="F66" s="60" t="s">
        <v>141</v>
      </c>
      <c r="G66" s="60" t="str">
        <f t="shared" si="30"/>
        <v>GbpLibor3M</v>
      </c>
      <c r="H66" s="58" t="str">
        <f t="shared" si="31"/>
        <v>GBPSM3L6Y_Quote</v>
      </c>
      <c r="I66" s="118">
        <v>0</v>
      </c>
      <c r="J66" s="223" t="str">
        <f>IF(P58,_xll.qlSwapRateHelper2(,H66,0,B66,Calendar,D66,E66,F66,G66,I66,C66,Discounting,PillarDate,,Permanent,Trigger,ObjectOverwrite),"--")</f>
        <v>obj_002da#0001</v>
      </c>
      <c r="L66" s="226" t="str">
        <f t="shared" si="26"/>
        <v>Sw</v>
      </c>
      <c r="M66" s="230" t="str">
        <f t="shared" si="27"/>
        <v>GBPSM3L14Y_Quote</v>
      </c>
      <c r="N66" s="228" t="str">
        <f>IFERROR(_xll.qlQuoteValue(H74,Trigger),"--")</f>
        <v>--</v>
      </c>
      <c r="O66" s="228">
        <f t="shared" si="28"/>
        <v>0</v>
      </c>
      <c r="P66" s="129" t="b">
        <v>0</v>
      </c>
      <c r="Q66" s="129">
        <v>50</v>
      </c>
      <c r="R66" s="129">
        <v>1</v>
      </c>
      <c r="S66" s="129" t="str">
        <f t="shared" si="29"/>
        <v>--</v>
      </c>
      <c r="T66" s="130" t="str">
        <f>IFERROR(_xll.qlRateHelperEarliestDate(S66,Trigger),"--")</f>
        <v>--</v>
      </c>
      <c r="U66" s="130" t="str">
        <f>IFERROR(_xll.qlRateHelperPillarDate(S66,Trigger),"--")</f>
        <v>--</v>
      </c>
      <c r="W66" s="3" t="str">
        <f t="shared" si="20"/>
        <v/>
      </c>
      <c r="X66" s="3" t="e">
        <v>#N/A</v>
      </c>
      <c r="Y66" s="3" t="str">
        <f>IFERROR(_xll.qlRateHelperQuoteName(X66,Trigger),"")</f>
        <v/>
      </c>
      <c r="Z66" s="67" t="str">
        <f>IFERROR(_xll.qlRateHelperRate(X66,Trigger),"")</f>
        <v/>
      </c>
      <c r="AA66" s="95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206" t="e">
        <v>#N/A</v>
      </c>
    </row>
    <row r="67" spans="1:30" ht="11.25" customHeight="1" x14ac:dyDescent="0.2">
      <c r="A67" s="58" t="s">
        <v>26</v>
      </c>
      <c r="B67" s="59" t="s">
        <v>57</v>
      </c>
      <c r="C67" s="60" t="s">
        <v>6</v>
      </c>
      <c r="D67" s="60" t="s">
        <v>140</v>
      </c>
      <c r="E67" s="60" t="s">
        <v>7</v>
      </c>
      <c r="F67" s="60" t="s">
        <v>141</v>
      </c>
      <c r="G67" s="60" t="str">
        <f t="shared" si="30"/>
        <v>GbpLibor3M</v>
      </c>
      <c r="H67" s="58" t="str">
        <f t="shared" si="31"/>
        <v>GBPSM3L7Y_Quote</v>
      </c>
      <c r="I67" s="118">
        <v>0</v>
      </c>
      <c r="J67" s="223" t="str">
        <f>IF(P59,_xll.qlSwapRateHelper2(,H67,0,B67,Calendar,D67,E67,F67,G67,I67,C67,Discounting,PillarDate,,Permanent,Trigger,ObjectOverwrite),"--")</f>
        <v>obj_002d8#0001</v>
      </c>
      <c r="L67" s="226" t="str">
        <f t="shared" si="26"/>
        <v>Sw</v>
      </c>
      <c r="M67" s="230" t="str">
        <f t="shared" si="27"/>
        <v>GBPSM3L15Y_Quote</v>
      </c>
      <c r="N67" s="228">
        <f>IFERROR(_xll.qlQuoteValue(H75,Trigger),"--")</f>
        <v>9.6200000000000001E-3</v>
      </c>
      <c r="O67" s="228">
        <f t="shared" si="28"/>
        <v>0</v>
      </c>
      <c r="P67" s="129" t="b">
        <v>1</v>
      </c>
      <c r="Q67" s="129">
        <v>50</v>
      </c>
      <c r="R67" s="129">
        <v>1</v>
      </c>
      <c r="S67" s="129" t="str">
        <f t="shared" si="29"/>
        <v>obj_002d1#0001</v>
      </c>
      <c r="T67" s="130">
        <f>IFERROR(_xll.qlRateHelperEarliestDate(S67,Trigger),"--")</f>
        <v>42559</v>
      </c>
      <c r="U67" s="130">
        <f>IFERROR(_xll.qlRateHelperPillarDate(S67,Trigger),"--")</f>
        <v>48037</v>
      </c>
      <c r="W67" s="3" t="str">
        <f t="shared" ref="W67:W98" si="32">IFERROR(INDEX($L$3:$L$130,MATCH(Y67,$M$3:$M$130,0),1),"")</f>
        <v/>
      </c>
      <c r="X67" s="3" t="e">
        <v>#N/A</v>
      </c>
      <c r="Y67" s="3" t="str">
        <f>IFERROR(_xll.qlRateHelperQuoteName(X67,Trigger),"")</f>
        <v/>
      </c>
      <c r="Z67" s="67" t="str">
        <f>IFERROR(_xll.qlRateHelperRate(X67,Trigger),"")</f>
        <v/>
      </c>
      <c r="AA67" s="95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206" t="e">
        <v>#N/A</v>
      </c>
    </row>
    <row r="68" spans="1:30" ht="11.25" customHeight="1" x14ac:dyDescent="0.2">
      <c r="A68" s="58" t="s">
        <v>26</v>
      </c>
      <c r="B68" s="59" t="s">
        <v>58</v>
      </c>
      <c r="C68" s="60" t="s">
        <v>6</v>
      </c>
      <c r="D68" s="60" t="s">
        <v>140</v>
      </c>
      <c r="E68" s="60" t="s">
        <v>7</v>
      </c>
      <c r="F68" s="60" t="s">
        <v>141</v>
      </c>
      <c r="G68" s="60" t="str">
        <f t="shared" si="30"/>
        <v>GbpLibor3M</v>
      </c>
      <c r="H68" s="58" t="str">
        <f t="shared" si="31"/>
        <v>GBPSM3L8Y_Quote</v>
      </c>
      <c r="I68" s="118">
        <v>0</v>
      </c>
      <c r="J68" s="223" t="str">
        <f>IF(P60,_xll.qlSwapRateHelper2(,H68,0,B68,Calendar,D68,E68,F68,G68,I68,C68,Discounting,PillarDate,,Permanent,Trigger,ObjectOverwrite),"--")</f>
        <v>obj_002d3#0001</v>
      </c>
      <c r="L68" s="226" t="str">
        <f t="shared" si="26"/>
        <v>Sw</v>
      </c>
      <c r="M68" s="230" t="str">
        <f t="shared" si="27"/>
        <v>GBPSM3L16Y_Quote</v>
      </c>
      <c r="N68" s="228" t="str">
        <f>IFERROR(_xll.qlQuoteValue(H76,Trigger),"--")</f>
        <v>--</v>
      </c>
      <c r="O68" s="228">
        <f t="shared" si="28"/>
        <v>0</v>
      </c>
      <c r="P68" s="129" t="b">
        <v>0</v>
      </c>
      <c r="Q68" s="129">
        <v>50</v>
      </c>
      <c r="R68" s="129">
        <v>1</v>
      </c>
      <c r="S68" s="129" t="str">
        <f t="shared" si="29"/>
        <v>--</v>
      </c>
      <c r="T68" s="130" t="str">
        <f>IFERROR(_xll.qlRateHelperEarliestDate(S68,Trigger),"--")</f>
        <v>--</v>
      </c>
      <c r="U68" s="130" t="str">
        <f>IFERROR(_xll.qlRateHelperPillarDate(S68,Trigger),"--")</f>
        <v>--</v>
      </c>
      <c r="W68" s="3" t="str">
        <f t="shared" si="32"/>
        <v/>
      </c>
      <c r="X68" s="3" t="e">
        <v>#N/A</v>
      </c>
      <c r="Y68" s="3" t="str">
        <f>IFERROR(_xll.qlRateHelperQuoteName(X68,Trigger),"")</f>
        <v/>
      </c>
      <c r="Z68" s="67" t="str">
        <f>IFERROR(_xll.qlRateHelperRate(X68,Trigger),"")</f>
        <v/>
      </c>
      <c r="AA68" s="95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206" t="e">
        <v>#N/A</v>
      </c>
    </row>
    <row r="69" spans="1:30" ht="11.25" customHeight="1" x14ac:dyDescent="0.2">
      <c r="A69" s="58" t="s">
        <v>26</v>
      </c>
      <c r="B69" s="59" t="s">
        <v>59</v>
      </c>
      <c r="C69" s="60" t="s">
        <v>6</v>
      </c>
      <c r="D69" s="60" t="s">
        <v>140</v>
      </c>
      <c r="E69" s="60" t="s">
        <v>7</v>
      </c>
      <c r="F69" s="60" t="s">
        <v>141</v>
      </c>
      <c r="G69" s="60" t="str">
        <f t="shared" si="30"/>
        <v>GbpLibor3M</v>
      </c>
      <c r="H69" s="58" t="str">
        <f t="shared" si="31"/>
        <v>GBPSM3L9Y_Quote</v>
      </c>
      <c r="I69" s="118">
        <v>0</v>
      </c>
      <c r="J69" s="223" t="str">
        <f>IF(P61,_xll.qlSwapRateHelper2(,H69,0,B69,Calendar,D69,E69,F69,G69,I69,C69,Discounting,PillarDate,,Permanent,Trigger,ObjectOverwrite),"--")</f>
        <v>obj_002df#0001</v>
      </c>
      <c r="L69" s="226" t="str">
        <f t="shared" si="26"/>
        <v>Sw</v>
      </c>
      <c r="M69" s="230" t="str">
        <f t="shared" si="27"/>
        <v>GBPSM3L17Y_Quote</v>
      </c>
      <c r="N69" s="228" t="str">
        <f>IFERROR(_xll.qlQuoteValue(H77,Trigger),"--")</f>
        <v>--</v>
      </c>
      <c r="O69" s="228">
        <f t="shared" si="28"/>
        <v>0</v>
      </c>
      <c r="P69" s="129" t="b">
        <v>0</v>
      </c>
      <c r="Q69" s="129">
        <v>50</v>
      </c>
      <c r="R69" s="129">
        <v>1</v>
      </c>
      <c r="S69" s="129" t="str">
        <f t="shared" si="29"/>
        <v>--</v>
      </c>
      <c r="T69" s="130" t="str">
        <f>IFERROR(_xll.qlRateHelperEarliestDate(S69,Trigger),"--")</f>
        <v>--</v>
      </c>
      <c r="U69" s="130" t="str">
        <f>IFERROR(_xll.qlRateHelperPillarDate(S69,Trigger),"--")</f>
        <v>--</v>
      </c>
      <c r="W69" s="3" t="str">
        <f t="shared" si="32"/>
        <v/>
      </c>
      <c r="X69" s="3" t="e">
        <v>#N/A</v>
      </c>
      <c r="Y69" s="3" t="str">
        <f>IFERROR(_xll.qlRateHelperQuoteName(X69,Trigger),"")</f>
        <v/>
      </c>
      <c r="Z69" s="67" t="str">
        <f>IFERROR(_xll.qlRateHelperRate(X69,Trigger),"")</f>
        <v/>
      </c>
      <c r="AA69" s="95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206" t="e">
        <v>#N/A</v>
      </c>
    </row>
    <row r="70" spans="1:30" ht="11.25" customHeight="1" x14ac:dyDescent="0.2">
      <c r="A70" s="58" t="s">
        <v>26</v>
      </c>
      <c r="B70" s="59" t="s">
        <v>60</v>
      </c>
      <c r="C70" s="60" t="s">
        <v>6</v>
      </c>
      <c r="D70" s="60" t="s">
        <v>140</v>
      </c>
      <c r="E70" s="60" t="s">
        <v>7</v>
      </c>
      <c r="F70" s="60" t="s">
        <v>141</v>
      </c>
      <c r="G70" s="60" t="str">
        <f t="shared" si="30"/>
        <v>GbpLibor3M</v>
      </c>
      <c r="H70" s="58" t="str">
        <f t="shared" si="31"/>
        <v>GBPSM3L10Y_Quote</v>
      </c>
      <c r="I70" s="118">
        <v>0</v>
      </c>
      <c r="J70" s="223" t="str">
        <f>IF(P62,_xll.qlSwapRateHelper2(,H70,0,B70,Calendar,D70,E70,F70,G70,I70,C70,Discounting,PillarDate,,Permanent,Trigger,ObjectOverwrite),"--")</f>
        <v>obj_002de#0001</v>
      </c>
      <c r="L70" s="226" t="str">
        <f t="shared" si="26"/>
        <v>Sw</v>
      </c>
      <c r="M70" s="230" t="str">
        <f t="shared" si="27"/>
        <v>GBPSM3L18Y_Quote</v>
      </c>
      <c r="N70" s="228" t="str">
        <f>IFERROR(_xll.qlQuoteValue(H78,Trigger),"--")</f>
        <v>--</v>
      </c>
      <c r="O70" s="228">
        <f t="shared" si="28"/>
        <v>0</v>
      </c>
      <c r="P70" s="129" t="b">
        <v>0</v>
      </c>
      <c r="Q70" s="129">
        <v>50</v>
      </c>
      <c r="R70" s="129">
        <v>1</v>
      </c>
      <c r="S70" s="129" t="str">
        <f t="shared" si="29"/>
        <v>--</v>
      </c>
      <c r="T70" s="130" t="str">
        <f>IFERROR(_xll.qlRateHelperEarliestDate(S70,Trigger),"--")</f>
        <v>--</v>
      </c>
      <c r="U70" s="130" t="str">
        <f>IFERROR(_xll.qlRateHelperPillarDate(S70,Trigger),"--")</f>
        <v>--</v>
      </c>
      <c r="W70" s="3" t="str">
        <f t="shared" si="32"/>
        <v/>
      </c>
      <c r="X70" s="3" t="e">
        <v>#N/A</v>
      </c>
      <c r="Y70" s="3" t="str">
        <f>IFERROR(_xll.qlRateHelperQuoteName(X70,Trigger),"")</f>
        <v/>
      </c>
      <c r="Z70" s="67" t="str">
        <f>IFERROR(_xll.qlRateHelperRate(X70,Trigger),"")</f>
        <v/>
      </c>
      <c r="AA70" s="95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206" t="e">
        <v>#N/A</v>
      </c>
    </row>
    <row r="71" spans="1:30" ht="11.25" customHeight="1" x14ac:dyDescent="0.2">
      <c r="A71" s="58" t="s">
        <v>26</v>
      </c>
      <c r="B71" s="59" t="s">
        <v>97</v>
      </c>
      <c r="C71" s="60" t="s">
        <v>6</v>
      </c>
      <c r="D71" s="60" t="s">
        <v>140</v>
      </c>
      <c r="E71" s="60" t="s">
        <v>7</v>
      </c>
      <c r="F71" s="60" t="s">
        <v>141</v>
      </c>
      <c r="G71" s="60" t="str">
        <f t="shared" si="30"/>
        <v>GbpLibor3M</v>
      </c>
      <c r="H71" s="58" t="str">
        <f t="shared" si="31"/>
        <v>GBPSM3L11Y_Quote</v>
      </c>
      <c r="I71" s="118">
        <v>0</v>
      </c>
      <c r="J71" s="223" t="str">
        <f>IF(P63,_xll.qlSwapRateHelper2(,H71,0,B71,Calendar,D71,E71,F71,G71,I71,C71,Discounting,PillarDate,,Permanent,Trigger,ObjectOverwrite),"--")</f>
        <v>--</v>
      </c>
      <c r="L71" s="226" t="str">
        <f t="shared" si="26"/>
        <v>Sw</v>
      </c>
      <c r="M71" s="230" t="str">
        <f t="shared" si="27"/>
        <v>GBPSM3L19Y_Quote</v>
      </c>
      <c r="N71" s="228" t="str">
        <f>IFERROR(_xll.qlQuoteValue(H79,Trigger),"--")</f>
        <v>--</v>
      </c>
      <c r="O71" s="228">
        <f t="shared" si="28"/>
        <v>0</v>
      </c>
      <c r="P71" s="129" t="b">
        <v>0</v>
      </c>
      <c r="Q71" s="129">
        <v>50</v>
      </c>
      <c r="R71" s="129">
        <v>1</v>
      </c>
      <c r="S71" s="129" t="str">
        <f t="shared" si="29"/>
        <v>--</v>
      </c>
      <c r="T71" s="130" t="str">
        <f>IFERROR(_xll.qlRateHelperEarliestDate(S71,Trigger),"--")</f>
        <v>--</v>
      </c>
      <c r="U71" s="130" t="str">
        <f>IFERROR(_xll.qlRateHelperPillarDate(S71,Trigger),"--")</f>
        <v>--</v>
      </c>
      <c r="W71" s="3" t="str">
        <f t="shared" si="32"/>
        <v/>
      </c>
      <c r="X71" s="3" t="e">
        <v>#N/A</v>
      </c>
      <c r="Y71" s="3" t="str">
        <f>IFERROR(_xll.qlRateHelperQuoteName(X71,Trigger),"")</f>
        <v/>
      </c>
      <c r="Z71" s="67" t="str">
        <f>IFERROR(_xll.qlRateHelperRate(X71,Trigger),"")</f>
        <v/>
      </c>
      <c r="AA71" s="95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206" t="e">
        <v>#N/A</v>
      </c>
    </row>
    <row r="72" spans="1:30" ht="11.25" customHeight="1" x14ac:dyDescent="0.2">
      <c r="A72" s="58" t="s">
        <v>26</v>
      </c>
      <c r="B72" s="59" t="s">
        <v>61</v>
      </c>
      <c r="C72" s="60" t="s">
        <v>6</v>
      </c>
      <c r="D72" s="60" t="s">
        <v>140</v>
      </c>
      <c r="E72" s="60" t="s">
        <v>7</v>
      </c>
      <c r="F72" s="60" t="s">
        <v>141</v>
      </c>
      <c r="G72" s="60" t="str">
        <f t="shared" si="30"/>
        <v>GbpLibor3M</v>
      </c>
      <c r="H72" s="58" t="str">
        <f t="shared" si="31"/>
        <v>GBPSM3L12Y_Quote</v>
      </c>
      <c r="I72" s="118">
        <v>0</v>
      </c>
      <c r="J72" s="223" t="str">
        <f>IF(P64,_xll.qlSwapRateHelper2(,H72,0,B72,Calendar,D72,E72,F72,G72,I72,C72,Discounting,PillarDate,,Permanent,Trigger,ObjectOverwrite),"--")</f>
        <v>obj_002d9#0001</v>
      </c>
      <c r="L72" s="226" t="str">
        <f t="shared" si="26"/>
        <v>Sw</v>
      </c>
      <c r="M72" s="230" t="str">
        <f t="shared" si="27"/>
        <v>GBPSM3L20Y_Quote</v>
      </c>
      <c r="N72" s="228">
        <f>IFERROR(_xll.qlQuoteValue(H80,Trigger),"--")</f>
        <v>1.0310000000000001E-2</v>
      </c>
      <c r="O72" s="228">
        <f t="shared" si="28"/>
        <v>0</v>
      </c>
      <c r="P72" s="129" t="b">
        <v>1</v>
      </c>
      <c r="Q72" s="129">
        <v>50</v>
      </c>
      <c r="R72" s="129">
        <v>1</v>
      </c>
      <c r="S72" s="129" t="str">
        <f t="shared" si="29"/>
        <v>obj_002d5#0001</v>
      </c>
      <c r="T72" s="130">
        <f>IFERROR(_xll.qlRateHelperEarliestDate(S72,Trigger),"--")</f>
        <v>42559</v>
      </c>
      <c r="U72" s="130">
        <f>IFERROR(_xll.qlRateHelperPillarDate(S72,Trigger),"--")</f>
        <v>49864</v>
      </c>
      <c r="W72" s="3" t="str">
        <f t="shared" si="32"/>
        <v/>
      </c>
      <c r="X72" s="3" t="e">
        <v>#N/A</v>
      </c>
      <c r="Y72" s="3" t="str">
        <f>IFERROR(_xll.qlRateHelperQuoteName(X72,Trigger),"")</f>
        <v/>
      </c>
      <c r="Z72" s="67" t="str">
        <f>IFERROR(_xll.qlRateHelperRate(X72,Trigger),"")</f>
        <v/>
      </c>
      <c r="AA72" s="95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206" t="e">
        <v>#N/A</v>
      </c>
    </row>
    <row r="73" spans="1:30" ht="11.25" customHeight="1" x14ac:dyDescent="0.2">
      <c r="A73" s="58" t="s">
        <v>26</v>
      </c>
      <c r="B73" s="59" t="s">
        <v>98</v>
      </c>
      <c r="C73" s="60" t="s">
        <v>6</v>
      </c>
      <c r="D73" s="60" t="s">
        <v>140</v>
      </c>
      <c r="E73" s="60" t="s">
        <v>7</v>
      </c>
      <c r="F73" s="60" t="s">
        <v>141</v>
      </c>
      <c r="G73" s="60" t="str">
        <f t="shared" si="30"/>
        <v>GbpLibor3M</v>
      </c>
      <c r="H73" s="58" t="str">
        <f t="shared" si="31"/>
        <v>GBPSM3L13Y_Quote</v>
      </c>
      <c r="I73" s="118">
        <v>0</v>
      </c>
      <c r="J73" s="223" t="str">
        <f>IF(P65,_xll.qlSwapRateHelper2(,H73,0,B73,Calendar,D73,E73,F73,G73,I73,C73,Discounting,PillarDate,,Permanent,Trigger,ObjectOverwrite),"--")</f>
        <v>--</v>
      </c>
      <c r="L73" s="226" t="str">
        <f t="shared" si="26"/>
        <v>Sw</v>
      </c>
      <c r="M73" s="230" t="str">
        <f t="shared" si="27"/>
        <v>GBPSM3L21Y_Quote</v>
      </c>
      <c r="N73" s="228" t="str">
        <f>IFERROR(_xll.qlQuoteValue(H81,Trigger),"--")</f>
        <v>--</v>
      </c>
      <c r="O73" s="228">
        <f t="shared" si="28"/>
        <v>0</v>
      </c>
      <c r="P73" s="129" t="b">
        <v>0</v>
      </c>
      <c r="Q73" s="129">
        <v>50</v>
      </c>
      <c r="R73" s="129">
        <v>1</v>
      </c>
      <c r="S73" s="129" t="str">
        <f t="shared" si="29"/>
        <v>--</v>
      </c>
      <c r="T73" s="130" t="str">
        <f>IFERROR(_xll.qlRateHelperEarliestDate(S73,Trigger),"--")</f>
        <v>--</v>
      </c>
      <c r="U73" s="130" t="str">
        <f>IFERROR(_xll.qlRateHelperPillarDate(S73,Trigger),"--")</f>
        <v>--</v>
      </c>
      <c r="W73" s="3" t="str">
        <f t="shared" si="32"/>
        <v/>
      </c>
      <c r="X73" s="3" t="e">
        <v>#N/A</v>
      </c>
      <c r="Y73" s="3" t="str">
        <f>IFERROR(_xll.qlRateHelperQuoteName(X73,Trigger),"")</f>
        <v/>
      </c>
      <c r="Z73" s="67" t="str">
        <f>IFERROR(_xll.qlRateHelperRate(X73,Trigger),"")</f>
        <v/>
      </c>
      <c r="AA73" s="95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206" t="e">
        <v>#N/A</v>
      </c>
    </row>
    <row r="74" spans="1:30" ht="11.25" customHeight="1" x14ac:dyDescent="0.2">
      <c r="A74" s="58" t="s">
        <v>26</v>
      </c>
      <c r="B74" s="59" t="s">
        <v>99</v>
      </c>
      <c r="C74" s="60" t="s">
        <v>6</v>
      </c>
      <c r="D74" s="60" t="s">
        <v>140</v>
      </c>
      <c r="E74" s="60" t="s">
        <v>7</v>
      </c>
      <c r="F74" s="60" t="s">
        <v>141</v>
      </c>
      <c r="G74" s="60" t="str">
        <f t="shared" si="30"/>
        <v>GbpLibor3M</v>
      </c>
      <c r="H74" s="58" t="str">
        <f t="shared" si="31"/>
        <v>GBPSM3L14Y_Quote</v>
      </c>
      <c r="I74" s="118">
        <v>0</v>
      </c>
      <c r="J74" s="223" t="str">
        <f>IF(P66,_xll.qlSwapRateHelper2(,H74,0,B74,Calendar,D74,E74,F74,G74,I74,C74,Discounting,PillarDate,,Permanent,Trigger,ObjectOverwrite),"--")</f>
        <v>--</v>
      </c>
      <c r="L74" s="226" t="str">
        <f t="shared" si="26"/>
        <v>Sw</v>
      </c>
      <c r="M74" s="230" t="str">
        <f t="shared" si="27"/>
        <v>GBPSM3L22Y_Quote</v>
      </c>
      <c r="N74" s="228" t="str">
        <f>IFERROR(_xll.qlQuoteValue(H82,Trigger),"--")</f>
        <v>--</v>
      </c>
      <c r="O74" s="228">
        <f t="shared" si="28"/>
        <v>0</v>
      </c>
      <c r="P74" s="129" t="b">
        <v>0</v>
      </c>
      <c r="Q74" s="129">
        <v>50</v>
      </c>
      <c r="R74" s="129">
        <v>1</v>
      </c>
      <c r="S74" s="129" t="str">
        <f t="shared" si="29"/>
        <v>--</v>
      </c>
      <c r="T74" s="130" t="str">
        <f>IFERROR(_xll.qlRateHelperEarliestDate(S74,Trigger),"--")</f>
        <v>--</v>
      </c>
      <c r="U74" s="130" t="str">
        <f>IFERROR(_xll.qlRateHelperPillarDate(S74,Trigger),"--")</f>
        <v>--</v>
      </c>
      <c r="W74" s="3" t="str">
        <f t="shared" si="32"/>
        <v/>
      </c>
      <c r="X74" s="3" t="e">
        <v>#N/A</v>
      </c>
      <c r="Y74" s="3" t="str">
        <f>IFERROR(_xll.qlRateHelperQuoteName(X74,Trigger),"")</f>
        <v/>
      </c>
      <c r="Z74" s="67" t="str">
        <f>IFERROR(_xll.qlRateHelperRate(X74,Trigger),"")</f>
        <v/>
      </c>
      <c r="AA74" s="95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206" t="e">
        <v>#N/A</v>
      </c>
    </row>
    <row r="75" spans="1:30" ht="11.25" customHeight="1" x14ac:dyDescent="0.2">
      <c r="A75" s="58" t="s">
        <v>26</v>
      </c>
      <c r="B75" s="59" t="s">
        <v>62</v>
      </c>
      <c r="C75" s="60" t="s">
        <v>6</v>
      </c>
      <c r="D75" s="60" t="s">
        <v>140</v>
      </c>
      <c r="E75" s="60" t="s">
        <v>7</v>
      </c>
      <c r="F75" s="60" t="s">
        <v>141</v>
      </c>
      <c r="G75" s="60" t="str">
        <f t="shared" si="30"/>
        <v>GbpLibor3M</v>
      </c>
      <c r="H75" s="58" t="str">
        <f t="shared" si="31"/>
        <v>GBPSM3L15Y_Quote</v>
      </c>
      <c r="I75" s="118">
        <v>0</v>
      </c>
      <c r="J75" s="223" t="str">
        <f>IF(P67,_xll.qlSwapRateHelper2(,H75,0,B75,Calendar,D75,E75,F75,G75,I75,C75,Discounting,PillarDate,,Permanent,Trigger,ObjectOverwrite),"--")</f>
        <v>obj_002d1#0001</v>
      </c>
      <c r="L75" s="226" t="str">
        <f t="shared" si="26"/>
        <v>Sw</v>
      </c>
      <c r="M75" s="230" t="str">
        <f t="shared" si="27"/>
        <v>GBPSM3L23Y_Quote</v>
      </c>
      <c r="N75" s="228" t="str">
        <f>IFERROR(_xll.qlQuoteValue(H83,Trigger),"--")</f>
        <v>--</v>
      </c>
      <c r="O75" s="228">
        <f t="shared" si="28"/>
        <v>0</v>
      </c>
      <c r="P75" s="129" t="b">
        <v>0</v>
      </c>
      <c r="Q75" s="129">
        <v>50</v>
      </c>
      <c r="R75" s="129">
        <v>1</v>
      </c>
      <c r="S75" s="129" t="str">
        <f t="shared" si="29"/>
        <v>--</v>
      </c>
      <c r="T75" s="130" t="str">
        <f>IFERROR(_xll.qlRateHelperEarliestDate(S75,Trigger),"--")</f>
        <v>--</v>
      </c>
      <c r="U75" s="130" t="str">
        <f>IFERROR(_xll.qlRateHelperPillarDate(S75,Trigger),"--")</f>
        <v>--</v>
      </c>
      <c r="W75" s="3" t="str">
        <f t="shared" si="32"/>
        <v/>
      </c>
      <c r="X75" s="3" t="e">
        <v>#N/A</v>
      </c>
      <c r="Y75" s="3" t="str">
        <f>IFERROR(_xll.qlRateHelperQuoteName(X75,Trigger),"")</f>
        <v/>
      </c>
      <c r="Z75" s="67" t="str">
        <f>IFERROR(_xll.qlRateHelperRate(X75,Trigger),"")</f>
        <v/>
      </c>
      <c r="AA75" s="95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206" t="e">
        <v>#N/A</v>
      </c>
    </row>
    <row r="76" spans="1:30" ht="11.25" customHeight="1" x14ac:dyDescent="0.2">
      <c r="A76" s="58" t="s">
        <v>26</v>
      </c>
      <c r="B76" s="59" t="s">
        <v>100</v>
      </c>
      <c r="C76" s="60" t="s">
        <v>6</v>
      </c>
      <c r="D76" s="60" t="s">
        <v>140</v>
      </c>
      <c r="E76" s="60" t="s">
        <v>7</v>
      </c>
      <c r="F76" s="60" t="s">
        <v>141</v>
      </c>
      <c r="G76" s="60" t="str">
        <f t="shared" si="30"/>
        <v>GbpLibor3M</v>
      </c>
      <c r="H76" s="58" t="str">
        <f t="shared" si="31"/>
        <v>GBPSM3L16Y_Quote</v>
      </c>
      <c r="I76" s="118">
        <v>0</v>
      </c>
      <c r="J76" s="223" t="str">
        <f>IF(P68,_xll.qlSwapRateHelper2(,H76,0,B76,Calendar,D76,E76,F76,G76,I76,C76,Discounting,PillarDate,,Permanent,Trigger,ObjectOverwrite),"--")</f>
        <v>--</v>
      </c>
      <c r="L76" s="226" t="str">
        <f t="shared" si="26"/>
        <v>Sw</v>
      </c>
      <c r="M76" s="230" t="str">
        <f t="shared" si="27"/>
        <v>GBPSM3L24Y_Quote</v>
      </c>
      <c r="N76" s="228" t="str">
        <f>IFERROR(_xll.qlQuoteValue(H84,Trigger),"--")</f>
        <v>--</v>
      </c>
      <c r="O76" s="228">
        <f t="shared" si="28"/>
        <v>0</v>
      </c>
      <c r="P76" s="129" t="b">
        <v>0</v>
      </c>
      <c r="Q76" s="129">
        <v>50</v>
      </c>
      <c r="R76" s="129">
        <v>1</v>
      </c>
      <c r="S76" s="129" t="str">
        <f t="shared" si="29"/>
        <v>--</v>
      </c>
      <c r="T76" s="130" t="str">
        <f>IFERROR(_xll.qlRateHelperEarliestDate(S76,Trigger),"--")</f>
        <v>--</v>
      </c>
      <c r="U76" s="130" t="str">
        <f>IFERROR(_xll.qlRateHelperPillarDate(S76,Trigger),"--")</f>
        <v>--</v>
      </c>
      <c r="W76" s="3" t="str">
        <f t="shared" si="32"/>
        <v/>
      </c>
      <c r="X76" s="3" t="e">
        <v>#N/A</v>
      </c>
      <c r="Y76" s="3" t="str">
        <f>IFERROR(_xll.qlRateHelperQuoteName(X76,Trigger),"")</f>
        <v/>
      </c>
      <c r="Z76" s="67" t="str">
        <f>IFERROR(_xll.qlRateHelperRate(X76,Trigger),"")</f>
        <v/>
      </c>
      <c r="AA76" s="95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206" t="e">
        <v>#N/A</v>
      </c>
    </row>
    <row r="77" spans="1:30" ht="11.25" customHeight="1" x14ac:dyDescent="0.2">
      <c r="A77" s="58" t="s">
        <v>26</v>
      </c>
      <c r="B77" s="59" t="s">
        <v>101</v>
      </c>
      <c r="C77" s="60" t="s">
        <v>6</v>
      </c>
      <c r="D77" s="60" t="s">
        <v>140</v>
      </c>
      <c r="E77" s="60" t="s">
        <v>7</v>
      </c>
      <c r="F77" s="60" t="s">
        <v>141</v>
      </c>
      <c r="G77" s="60" t="str">
        <f t="shared" si="30"/>
        <v>GbpLibor3M</v>
      </c>
      <c r="H77" s="58" t="str">
        <f t="shared" si="31"/>
        <v>GBPSM3L17Y_Quote</v>
      </c>
      <c r="I77" s="118">
        <v>0</v>
      </c>
      <c r="J77" s="223" t="str">
        <f>IF(P69,_xll.qlSwapRateHelper2(,H77,0,B77,Calendar,D77,E77,F77,G77,I77,C77,Discounting,PillarDate,,Permanent,Trigger,ObjectOverwrite),"--")</f>
        <v>--</v>
      </c>
      <c r="L77" s="226" t="str">
        <f t="shared" si="26"/>
        <v>Sw</v>
      </c>
      <c r="M77" s="230" t="str">
        <f t="shared" si="27"/>
        <v>GBPSM3L25Y_Quote</v>
      </c>
      <c r="N77" s="228">
        <f>IFERROR(_xll.qlQuoteValue(H85,Trigger),"--")</f>
        <v>1.0360000000000001E-2</v>
      </c>
      <c r="O77" s="228">
        <f t="shared" si="28"/>
        <v>0</v>
      </c>
      <c r="P77" s="129" t="b">
        <v>1</v>
      </c>
      <c r="Q77" s="129">
        <v>50</v>
      </c>
      <c r="R77" s="129">
        <v>1</v>
      </c>
      <c r="S77" s="129" t="str">
        <f t="shared" si="29"/>
        <v>obj_002dd#0001</v>
      </c>
      <c r="T77" s="130">
        <f>IFERROR(_xll.qlRateHelperEarliestDate(S77,Trigger),"--")</f>
        <v>42559</v>
      </c>
      <c r="U77" s="130">
        <f>IFERROR(_xll.qlRateHelperPillarDate(S77,Trigger),"--")</f>
        <v>51690</v>
      </c>
      <c r="W77" s="3" t="str">
        <f t="shared" si="32"/>
        <v/>
      </c>
      <c r="X77" s="3" t="e">
        <v>#N/A</v>
      </c>
      <c r="Y77" s="3" t="str">
        <f>IFERROR(_xll.qlRateHelperQuoteName(X77,Trigger),"")</f>
        <v/>
      </c>
      <c r="Z77" s="67" t="str">
        <f>IFERROR(_xll.qlRateHelperRate(X77,Trigger),"")</f>
        <v/>
      </c>
      <c r="AA77" s="95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206" t="e">
        <v>#N/A</v>
      </c>
    </row>
    <row r="78" spans="1:30" ht="11.25" customHeight="1" x14ac:dyDescent="0.2">
      <c r="A78" s="58" t="s">
        <v>26</v>
      </c>
      <c r="B78" s="59" t="s">
        <v>102</v>
      </c>
      <c r="C78" s="60" t="s">
        <v>6</v>
      </c>
      <c r="D78" s="60" t="s">
        <v>140</v>
      </c>
      <c r="E78" s="60" t="s">
        <v>7</v>
      </c>
      <c r="F78" s="60" t="s">
        <v>141</v>
      </c>
      <c r="G78" s="60" t="str">
        <f t="shared" si="30"/>
        <v>GbpLibor3M</v>
      </c>
      <c r="H78" s="58" t="str">
        <f t="shared" si="31"/>
        <v>GBPSM3L18Y_Quote</v>
      </c>
      <c r="I78" s="118">
        <v>0</v>
      </c>
      <c r="J78" s="223" t="str">
        <f>IF(P70,_xll.qlSwapRateHelper2(,H78,0,B78,Calendar,D78,E78,F78,G78,I78,C78,Discounting,PillarDate,,Permanent,Trigger,ObjectOverwrite),"--")</f>
        <v>--</v>
      </c>
      <c r="L78" s="226" t="str">
        <f t="shared" si="26"/>
        <v>Sw</v>
      </c>
      <c r="M78" s="230" t="str">
        <f t="shared" si="27"/>
        <v>GBPSM3L26Y_Quote</v>
      </c>
      <c r="N78" s="228" t="str">
        <f>IFERROR(_xll.qlQuoteValue(H86,Trigger),"--")</f>
        <v>--</v>
      </c>
      <c r="O78" s="228">
        <f t="shared" si="28"/>
        <v>0</v>
      </c>
      <c r="P78" s="129" t="b">
        <v>0</v>
      </c>
      <c r="Q78" s="129">
        <v>50</v>
      </c>
      <c r="R78" s="129">
        <v>1</v>
      </c>
      <c r="S78" s="129" t="str">
        <f t="shared" si="29"/>
        <v>--</v>
      </c>
      <c r="T78" s="130" t="str">
        <f>IFERROR(_xll.qlRateHelperEarliestDate(S78,Trigger),"--")</f>
        <v>--</v>
      </c>
      <c r="U78" s="130" t="str">
        <f>IFERROR(_xll.qlRateHelperPillarDate(S78,Trigger),"--")</f>
        <v>--</v>
      </c>
      <c r="W78" s="3" t="str">
        <f t="shared" si="32"/>
        <v/>
      </c>
      <c r="X78" s="3" t="e">
        <v>#N/A</v>
      </c>
      <c r="Y78" s="3" t="str">
        <f>IFERROR(_xll.qlRateHelperQuoteName(X78,Trigger),"")</f>
        <v/>
      </c>
      <c r="Z78" s="67" t="str">
        <f>IFERROR(_xll.qlRateHelperRate(X78,Trigger),"")</f>
        <v/>
      </c>
      <c r="AA78" s="95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206" t="e">
        <v>#N/A</v>
      </c>
    </row>
    <row r="79" spans="1:30" ht="11.25" customHeight="1" x14ac:dyDescent="0.2">
      <c r="A79" s="58" t="s">
        <v>26</v>
      </c>
      <c r="B79" s="59" t="s">
        <v>103</v>
      </c>
      <c r="C79" s="60" t="s">
        <v>6</v>
      </c>
      <c r="D79" s="60" t="s">
        <v>140</v>
      </c>
      <c r="E79" s="60" t="s">
        <v>7</v>
      </c>
      <c r="F79" s="60" t="s">
        <v>141</v>
      </c>
      <c r="G79" s="60" t="str">
        <f t="shared" si="30"/>
        <v>GbpLibor3M</v>
      </c>
      <c r="H79" s="58" t="str">
        <f t="shared" si="31"/>
        <v>GBPSM3L19Y_Quote</v>
      </c>
      <c r="I79" s="118">
        <v>0</v>
      </c>
      <c r="J79" s="223" t="str">
        <f>IF(P71,_xll.qlSwapRateHelper2(,H79,0,B79,Calendar,D79,E79,F79,G79,I79,C79,Discounting,PillarDate,,Permanent,Trigger,ObjectOverwrite),"--")</f>
        <v>--</v>
      </c>
      <c r="L79" s="226" t="str">
        <f t="shared" si="26"/>
        <v>Sw</v>
      </c>
      <c r="M79" s="230" t="str">
        <f t="shared" si="27"/>
        <v>GBPSM3L27Y_Quote</v>
      </c>
      <c r="N79" s="228" t="str">
        <f>IFERROR(_xll.qlQuoteValue(H87,Trigger),"--")</f>
        <v>--</v>
      </c>
      <c r="O79" s="228">
        <f t="shared" si="28"/>
        <v>0</v>
      </c>
      <c r="P79" s="129" t="b">
        <v>0</v>
      </c>
      <c r="Q79" s="129">
        <v>50</v>
      </c>
      <c r="R79" s="129">
        <v>1</v>
      </c>
      <c r="S79" s="129" t="str">
        <f t="shared" si="29"/>
        <v>--</v>
      </c>
      <c r="T79" s="130" t="str">
        <f>IFERROR(_xll.qlRateHelperEarliestDate(S79,Trigger),"--")</f>
        <v>--</v>
      </c>
      <c r="U79" s="130" t="str">
        <f>IFERROR(_xll.qlRateHelperPillarDate(S79,Trigger),"--")</f>
        <v>--</v>
      </c>
      <c r="W79" s="3" t="str">
        <f t="shared" si="32"/>
        <v/>
      </c>
      <c r="X79" s="3" t="e">
        <v>#N/A</v>
      </c>
      <c r="Y79" s="3" t="str">
        <f>IFERROR(_xll.qlRateHelperQuoteName(X79,Trigger),"")</f>
        <v/>
      </c>
      <c r="Z79" s="67" t="str">
        <f>IFERROR(_xll.qlRateHelperRate(X79,Trigger),"")</f>
        <v/>
      </c>
      <c r="AA79" s="95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206" t="e">
        <v>#N/A</v>
      </c>
    </row>
    <row r="80" spans="1:30" ht="11.25" customHeight="1" x14ac:dyDescent="0.2">
      <c r="A80" s="58" t="s">
        <v>26</v>
      </c>
      <c r="B80" s="59" t="s">
        <v>63</v>
      </c>
      <c r="C80" s="60" t="s">
        <v>6</v>
      </c>
      <c r="D80" s="60" t="s">
        <v>140</v>
      </c>
      <c r="E80" s="60" t="s">
        <v>7</v>
      </c>
      <c r="F80" s="60" t="s">
        <v>141</v>
      </c>
      <c r="G80" s="60" t="str">
        <f t="shared" si="30"/>
        <v>GbpLibor3M</v>
      </c>
      <c r="H80" s="58" t="str">
        <f t="shared" si="31"/>
        <v>GBPSM3L20Y_Quote</v>
      </c>
      <c r="I80" s="118">
        <v>0</v>
      </c>
      <c r="J80" s="223" t="str">
        <f>IF(P72,_xll.qlSwapRateHelper2(,H80,0,B80,Calendar,D80,E80,F80,G80,I80,C80,Discounting,PillarDate,,Permanent,Trigger,ObjectOverwrite),"--")</f>
        <v>obj_002d5#0001</v>
      </c>
      <c r="L80" s="226" t="str">
        <f t="shared" si="26"/>
        <v>Sw</v>
      </c>
      <c r="M80" s="230" t="str">
        <f t="shared" si="27"/>
        <v>GBPSM3L28Y_Quote</v>
      </c>
      <c r="N80" s="228" t="str">
        <f>IFERROR(_xll.qlQuoteValue(H88,Trigger),"--")</f>
        <v>--</v>
      </c>
      <c r="O80" s="228">
        <f t="shared" si="28"/>
        <v>0</v>
      </c>
      <c r="P80" s="129" t="b">
        <v>0</v>
      </c>
      <c r="Q80" s="129">
        <v>50</v>
      </c>
      <c r="R80" s="129">
        <v>1</v>
      </c>
      <c r="S80" s="129" t="str">
        <f t="shared" si="29"/>
        <v>--</v>
      </c>
      <c r="T80" s="130" t="str">
        <f>IFERROR(_xll.qlRateHelperEarliestDate(S80,Trigger),"--")</f>
        <v>--</v>
      </c>
      <c r="U80" s="130" t="str">
        <f>IFERROR(_xll.qlRateHelperPillarDate(S80,Trigger),"--")</f>
        <v>--</v>
      </c>
      <c r="W80" s="3" t="str">
        <f t="shared" si="32"/>
        <v/>
      </c>
      <c r="X80" s="3" t="e">
        <v>#N/A</v>
      </c>
      <c r="Y80" s="3" t="str">
        <f>IFERROR(_xll.qlRateHelperQuoteName(X80,Trigger),"")</f>
        <v/>
      </c>
      <c r="Z80" s="67" t="str">
        <f>IFERROR(_xll.qlRateHelperRate(X80,Trigger),"")</f>
        <v/>
      </c>
      <c r="AA80" s="95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206" t="e">
        <v>#N/A</v>
      </c>
    </row>
    <row r="81" spans="1:30" x14ac:dyDescent="0.2">
      <c r="A81" s="58" t="s">
        <v>26</v>
      </c>
      <c r="B81" s="59" t="s">
        <v>104</v>
      </c>
      <c r="C81" s="60" t="s">
        <v>6</v>
      </c>
      <c r="D81" s="60" t="s">
        <v>140</v>
      </c>
      <c r="E81" s="60" t="s">
        <v>7</v>
      </c>
      <c r="F81" s="60" t="s">
        <v>141</v>
      </c>
      <c r="G81" s="60" t="str">
        <f t="shared" si="30"/>
        <v>GbpLibor3M</v>
      </c>
      <c r="H81" s="58" t="str">
        <f t="shared" si="31"/>
        <v>GBPSM3L21Y_Quote</v>
      </c>
      <c r="I81" s="118">
        <v>0</v>
      </c>
      <c r="J81" s="223" t="str">
        <f>IF(P73,_xll.qlSwapRateHelper2(,H81,0,B81,Calendar,D81,E81,F81,G81,I81,C81,Discounting,PillarDate,,Permanent,Trigger,ObjectOverwrite),"--")</f>
        <v>--</v>
      </c>
      <c r="L81" s="226" t="str">
        <f t="shared" si="26"/>
        <v>Sw</v>
      </c>
      <c r="M81" s="230" t="str">
        <f t="shared" si="27"/>
        <v>GBPSM3L29Y_Quote</v>
      </c>
      <c r="N81" s="228" t="str">
        <f>IFERROR(_xll.qlQuoteValue(H89,Trigger),"--")</f>
        <v>--</v>
      </c>
      <c r="O81" s="228">
        <f t="shared" si="28"/>
        <v>0</v>
      </c>
      <c r="P81" s="129" t="b">
        <v>0</v>
      </c>
      <c r="Q81" s="129">
        <v>50</v>
      </c>
      <c r="R81" s="129">
        <v>1</v>
      </c>
      <c r="S81" s="129" t="str">
        <f t="shared" si="29"/>
        <v>--</v>
      </c>
      <c r="T81" s="130" t="str">
        <f>IFERROR(_xll.qlRateHelperEarliestDate(S81,Trigger),"--")</f>
        <v>--</v>
      </c>
      <c r="U81" s="130" t="str">
        <f>IFERROR(_xll.qlRateHelperPillarDate(S81,Trigger),"--")</f>
        <v>--</v>
      </c>
      <c r="W81" s="3" t="str">
        <f t="shared" si="32"/>
        <v/>
      </c>
      <c r="X81" s="3" t="e">
        <v>#N/A</v>
      </c>
      <c r="Y81" s="3" t="str">
        <f>IFERROR(_xll.qlRateHelperQuoteName(X81,Trigger),"")</f>
        <v/>
      </c>
      <c r="Z81" s="67" t="str">
        <f>IFERROR(_xll.qlRateHelperRate(X81,Trigger),"")</f>
        <v/>
      </c>
      <c r="AA81" s="95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206" t="e">
        <v>#N/A</v>
      </c>
    </row>
    <row r="82" spans="1:30" x14ac:dyDescent="0.2">
      <c r="A82" s="58" t="s">
        <v>26</v>
      </c>
      <c r="B82" s="59" t="s">
        <v>105</v>
      </c>
      <c r="C82" s="60" t="s">
        <v>6</v>
      </c>
      <c r="D82" s="60" t="s">
        <v>140</v>
      </c>
      <c r="E82" s="60" t="s">
        <v>7</v>
      </c>
      <c r="F82" s="60" t="s">
        <v>141</v>
      </c>
      <c r="G82" s="60" t="str">
        <f t="shared" si="30"/>
        <v>GbpLibor3M</v>
      </c>
      <c r="H82" s="58" t="str">
        <f t="shared" si="31"/>
        <v>GBPSM3L22Y_Quote</v>
      </c>
      <c r="I82" s="118">
        <v>0</v>
      </c>
      <c r="J82" s="223" t="str">
        <f>IF(P74,_xll.qlSwapRateHelper2(,H82,0,B82,Calendar,D82,E82,F82,G82,I82,C82,Discounting,PillarDate,,Permanent,Trigger,ObjectOverwrite),"--")</f>
        <v>--</v>
      </c>
      <c r="L82" s="226" t="str">
        <f t="shared" si="26"/>
        <v>Sw</v>
      </c>
      <c r="M82" s="230" t="str">
        <f t="shared" si="27"/>
        <v>GBPSM3L30Y_Quote</v>
      </c>
      <c r="N82" s="228">
        <f>IFERROR(_xll.qlQuoteValue(H90,Trigger),"--")</f>
        <v>1.0290000000000001E-2</v>
      </c>
      <c r="O82" s="228">
        <f t="shared" si="28"/>
        <v>0</v>
      </c>
      <c r="P82" s="129" t="b">
        <v>1</v>
      </c>
      <c r="Q82" s="129">
        <v>50</v>
      </c>
      <c r="R82" s="129">
        <v>1</v>
      </c>
      <c r="S82" s="129" t="str">
        <f t="shared" si="29"/>
        <v>obj_002d6#0001</v>
      </c>
      <c r="T82" s="130">
        <f>IFERROR(_xll.qlRateHelperEarliestDate(S82,Trigger),"--")</f>
        <v>42559</v>
      </c>
      <c r="U82" s="130">
        <f>IFERROR(_xll.qlRateHelperPillarDate(S82,Trigger),"--")</f>
        <v>53517</v>
      </c>
      <c r="W82" s="3" t="str">
        <f t="shared" si="32"/>
        <v/>
      </c>
      <c r="X82" s="3" t="e">
        <v>#N/A</v>
      </c>
      <c r="Y82" s="3" t="str">
        <f>IFERROR(_xll.qlRateHelperQuoteName(X82,Trigger),"")</f>
        <v/>
      </c>
      <c r="Z82" s="67" t="str">
        <f>IFERROR(_xll.qlRateHelperRate(X82,Trigger),"")</f>
        <v/>
      </c>
      <c r="AA82" s="95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206" t="e">
        <v>#N/A</v>
      </c>
    </row>
    <row r="83" spans="1:30" x14ac:dyDescent="0.2">
      <c r="A83" s="58" t="s">
        <v>26</v>
      </c>
      <c r="B83" s="59" t="s">
        <v>106</v>
      </c>
      <c r="C83" s="60" t="s">
        <v>6</v>
      </c>
      <c r="D83" s="60" t="s">
        <v>140</v>
      </c>
      <c r="E83" s="60" t="s">
        <v>7</v>
      </c>
      <c r="F83" s="60" t="s">
        <v>141</v>
      </c>
      <c r="G83" s="60" t="str">
        <f t="shared" si="30"/>
        <v>GbpLibor3M</v>
      </c>
      <c r="H83" s="58" t="str">
        <f t="shared" si="31"/>
        <v>GBPSM3L23Y_Quote</v>
      </c>
      <c r="I83" s="118">
        <v>0</v>
      </c>
      <c r="J83" s="223" t="str">
        <f>IF(P75,_xll.qlSwapRateHelper2(,H83,0,B83,Calendar,D83,E83,F83,G83,I83,C83,Discounting,PillarDate,,Permanent,Trigger,ObjectOverwrite),"--")</f>
        <v>--</v>
      </c>
      <c r="L83" s="226" t="str">
        <f t="shared" si="26"/>
        <v>Sw</v>
      </c>
      <c r="M83" s="230" t="str">
        <f t="shared" si="27"/>
        <v>GBPSM3L35Y_Quote</v>
      </c>
      <c r="N83" s="228" t="str">
        <f>IFERROR(_xll.qlQuoteValue(H91,Trigger),"--")</f>
        <v>--</v>
      </c>
      <c r="O83" s="228">
        <f t="shared" si="28"/>
        <v>0</v>
      </c>
      <c r="P83" s="129" t="b">
        <v>0</v>
      </c>
      <c r="Q83" s="129">
        <v>50</v>
      </c>
      <c r="R83" s="129">
        <v>1</v>
      </c>
      <c r="S83" s="129" t="str">
        <f t="shared" si="29"/>
        <v>--</v>
      </c>
      <c r="T83" s="130" t="str">
        <f>IFERROR(_xll.qlRateHelperEarliestDate(S83,Trigger),"--")</f>
        <v>--</v>
      </c>
      <c r="U83" s="130" t="str">
        <f>IFERROR(_xll.qlRateHelperPillarDate(S83,Trigger),"--")</f>
        <v>--</v>
      </c>
      <c r="W83" s="3" t="str">
        <f t="shared" si="32"/>
        <v/>
      </c>
      <c r="X83" s="3" t="e">
        <v>#N/A</v>
      </c>
      <c r="Y83" s="3" t="str">
        <f>IFERROR(_xll.qlRateHelperQuoteName(X83,Trigger),"")</f>
        <v/>
      </c>
      <c r="Z83" s="67" t="str">
        <f>IFERROR(_xll.qlRateHelperRate(X83,Trigger),"")</f>
        <v/>
      </c>
      <c r="AA83" s="95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206" t="e">
        <v>#N/A</v>
      </c>
    </row>
    <row r="84" spans="1:30" x14ac:dyDescent="0.2">
      <c r="A84" s="58" t="s">
        <v>26</v>
      </c>
      <c r="B84" s="59" t="s">
        <v>107</v>
      </c>
      <c r="C84" s="60" t="s">
        <v>6</v>
      </c>
      <c r="D84" s="60" t="s">
        <v>140</v>
      </c>
      <c r="E84" s="60" t="s">
        <v>7</v>
      </c>
      <c r="F84" s="60" t="s">
        <v>141</v>
      </c>
      <c r="G84" s="60" t="str">
        <f t="shared" si="30"/>
        <v>GbpLibor3M</v>
      </c>
      <c r="H84" s="58" t="str">
        <f t="shared" si="31"/>
        <v>GBPSM3L24Y_Quote</v>
      </c>
      <c r="I84" s="118">
        <v>0</v>
      </c>
      <c r="J84" s="223" t="str">
        <f>IF(P76,_xll.qlSwapRateHelper2(,H84,0,B84,Calendar,D84,E84,F84,G84,I84,C84,Discounting,PillarDate,,Permanent,Trigger,ObjectOverwrite),"--")</f>
        <v>--</v>
      </c>
      <c r="L84" s="226" t="str">
        <f t="shared" si="26"/>
        <v>Sw</v>
      </c>
      <c r="M84" s="230" t="str">
        <f t="shared" si="27"/>
        <v>GBPSM3L40Y_Quote</v>
      </c>
      <c r="N84" s="228">
        <f>IFERROR(_xll.qlQuoteValue(H92,Trigger),"--")</f>
        <v>9.7600000000000013E-3</v>
      </c>
      <c r="O84" s="228">
        <f t="shared" si="28"/>
        <v>0</v>
      </c>
      <c r="P84" s="129" t="b">
        <v>1</v>
      </c>
      <c r="Q84" s="129">
        <v>50</v>
      </c>
      <c r="R84" s="129">
        <v>1</v>
      </c>
      <c r="S84" s="129" t="str">
        <f t="shared" si="29"/>
        <v>obj_002e0#0001</v>
      </c>
      <c r="T84" s="130">
        <f>IFERROR(_xll.qlRateHelperEarliestDate(S84,Trigger),"--")</f>
        <v>42559</v>
      </c>
      <c r="U84" s="130">
        <f>IFERROR(_xll.qlRateHelperPillarDate(S84,Trigger),"--")</f>
        <v>57171</v>
      </c>
      <c r="W84" s="3" t="str">
        <f t="shared" si="32"/>
        <v/>
      </c>
      <c r="X84" s="3" t="e">
        <v>#N/A</v>
      </c>
      <c r="Y84" s="3" t="str">
        <f>IFERROR(_xll.qlRateHelperQuoteName(X84,Trigger),"")</f>
        <v/>
      </c>
      <c r="Z84" s="67" t="str">
        <f>IFERROR(_xll.qlRateHelperRate(X84,Trigger),"")</f>
        <v/>
      </c>
      <c r="AA84" s="95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206" t="e">
        <v>#N/A</v>
      </c>
    </row>
    <row r="85" spans="1:30" x14ac:dyDescent="0.2">
      <c r="A85" s="58" t="s">
        <v>26</v>
      </c>
      <c r="B85" s="59" t="s">
        <v>64</v>
      </c>
      <c r="C85" s="60" t="s">
        <v>6</v>
      </c>
      <c r="D85" s="60" t="s">
        <v>140</v>
      </c>
      <c r="E85" s="60" t="s">
        <v>7</v>
      </c>
      <c r="F85" s="60" t="s">
        <v>141</v>
      </c>
      <c r="G85" s="60" t="str">
        <f t="shared" si="30"/>
        <v>GbpLibor3M</v>
      </c>
      <c r="H85" s="58" t="str">
        <f t="shared" si="31"/>
        <v>GBPSM3L25Y_Quote</v>
      </c>
      <c r="I85" s="118">
        <v>0</v>
      </c>
      <c r="J85" s="223" t="str">
        <f>IF(P77,_xll.qlSwapRateHelper2(,H85,0,B85,Calendar,D85,E85,F85,G85,I85,C85,Discounting,PillarDate,,Permanent,Trigger,ObjectOverwrite),"--")</f>
        <v>obj_002dd#0001</v>
      </c>
      <c r="L85" s="226" t="str">
        <f t="shared" si="26"/>
        <v>Sw</v>
      </c>
      <c r="M85" s="230" t="str">
        <f t="shared" si="27"/>
        <v>GBPSM3L50Y_Quote</v>
      </c>
      <c r="N85" s="228">
        <f>IFERROR(_xll.qlQuoteValue(H93,Trigger),"--")</f>
        <v>9.3800000000000012E-3</v>
      </c>
      <c r="O85" s="228">
        <f t="shared" si="28"/>
        <v>0</v>
      </c>
      <c r="P85" s="129" t="b">
        <v>1</v>
      </c>
      <c r="Q85" s="129">
        <v>50</v>
      </c>
      <c r="R85" s="129">
        <v>1</v>
      </c>
      <c r="S85" s="129" t="str">
        <f t="shared" si="29"/>
        <v>obj_002d7#0001</v>
      </c>
      <c r="T85" s="130">
        <f>IFERROR(_xll.qlRateHelperEarliestDate(S85,Trigger),"--")</f>
        <v>42559</v>
      </c>
      <c r="U85" s="130">
        <f>IFERROR(_xll.qlRateHelperPillarDate(S85,Trigger),"--")</f>
        <v>60821</v>
      </c>
      <c r="W85" s="3" t="str">
        <f t="shared" si="32"/>
        <v/>
      </c>
      <c r="X85" s="3" t="e">
        <v>#N/A</v>
      </c>
      <c r="Y85" s="3" t="str">
        <f>IFERROR(_xll.qlRateHelperQuoteName(X85,Trigger),"")</f>
        <v/>
      </c>
      <c r="Z85" s="67" t="str">
        <f>IFERROR(_xll.qlRateHelperRate(X85,Trigger),"")</f>
        <v/>
      </c>
      <c r="AA85" s="95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206" t="e">
        <v>#N/A</v>
      </c>
    </row>
    <row r="86" spans="1:30" x14ac:dyDescent="0.2">
      <c r="A86" s="58" t="s">
        <v>26</v>
      </c>
      <c r="B86" s="59" t="s">
        <v>108</v>
      </c>
      <c r="C86" s="60" t="s">
        <v>6</v>
      </c>
      <c r="D86" s="60" t="s">
        <v>140</v>
      </c>
      <c r="E86" s="60" t="s">
        <v>7</v>
      </c>
      <c r="F86" s="60" t="s">
        <v>141</v>
      </c>
      <c r="G86" s="60" t="str">
        <f t="shared" si="30"/>
        <v>GbpLibor3M</v>
      </c>
      <c r="H86" s="58" t="str">
        <f t="shared" si="31"/>
        <v>GBPSM3L26Y_Quote</v>
      </c>
      <c r="I86" s="118">
        <v>0</v>
      </c>
      <c r="J86" s="223" t="str">
        <f>IF(P78,_xll.qlSwapRateHelper2(,H86,0,B86,Calendar,D86,E86,F86,G86,I86,C86,Discounting,PillarDate,,Permanent,Trigger,ObjectOverwrite),"--")</f>
        <v>--</v>
      </c>
      <c r="L86" s="231" t="str">
        <f t="shared" si="26"/>
        <v>Sw</v>
      </c>
      <c r="M86" s="230" t="str">
        <f t="shared" si="27"/>
        <v>GBPSM3L60Y_Quote</v>
      </c>
      <c r="N86" s="233">
        <f>IFERROR(_xll.qlQuoteValue(H94,Trigger),"--")</f>
        <v>9.3500000000000007E-3</v>
      </c>
      <c r="O86" s="233">
        <f t="shared" si="28"/>
        <v>0</v>
      </c>
      <c r="P86" s="131" t="b">
        <v>1</v>
      </c>
      <c r="Q86" s="131">
        <v>50</v>
      </c>
      <c r="R86" s="131">
        <v>1</v>
      </c>
      <c r="S86" s="131" t="str">
        <f t="shared" si="29"/>
        <v>obj_002db#0001</v>
      </c>
      <c r="T86" s="130">
        <f>IFERROR(_xll.qlRateHelperEarliestDate(S86,Trigger),"--")</f>
        <v>42559</v>
      </c>
      <c r="U86" s="130">
        <f>IFERROR(_xll.qlRateHelperPillarDate(S86,Trigger),"--")</f>
        <v>64474</v>
      </c>
      <c r="W86" s="3" t="str">
        <f t="shared" si="32"/>
        <v/>
      </c>
      <c r="X86" s="3" t="e">
        <v>#N/A</v>
      </c>
      <c r="Y86" s="3" t="str">
        <f>IFERROR(_xll.qlRateHelperQuoteName(X86,Trigger),"")</f>
        <v/>
      </c>
      <c r="Z86" s="67" t="str">
        <f>IFERROR(_xll.qlRateHelperRate(X86,Trigger),"")</f>
        <v/>
      </c>
      <c r="AA86" s="95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206" t="e">
        <v>#N/A</v>
      </c>
    </row>
    <row r="87" spans="1:30" x14ac:dyDescent="0.2">
      <c r="A87" s="58" t="s">
        <v>26</v>
      </c>
      <c r="B87" s="59" t="s">
        <v>65</v>
      </c>
      <c r="C87" s="60" t="s">
        <v>6</v>
      </c>
      <c r="D87" s="60" t="s">
        <v>140</v>
      </c>
      <c r="E87" s="60" t="s">
        <v>7</v>
      </c>
      <c r="F87" s="60" t="s">
        <v>141</v>
      </c>
      <c r="G87" s="60" t="str">
        <f t="shared" si="30"/>
        <v>GbpLibor3M</v>
      </c>
      <c r="H87" s="58" t="str">
        <f t="shared" si="31"/>
        <v>GBPSM3L27Y_Quote</v>
      </c>
      <c r="I87" s="118">
        <v>0</v>
      </c>
      <c r="J87" s="223" t="str">
        <f>IF(P79,_xll.qlSwapRateHelper2(,H87,0,B87,Calendar,D87,E87,F87,G87,I87,C87,Discounting,PillarDate,,Permanent,Trigger,ObjectOverwrite),"--")</f>
        <v>--</v>
      </c>
      <c r="L87" s="238" t="str">
        <f t="shared" ref="L87:L93" si="33">A97</f>
        <v>Sw</v>
      </c>
      <c r="M87" s="245" t="str">
        <f>H97</f>
        <v>GBP1S12_Quote</v>
      </c>
      <c r="N87" s="240">
        <f>IFERROR(_xll.qlQuoteValue(H97,Trigger),"--")</f>
        <v>3.0900000000000007E-3</v>
      </c>
      <c r="O87" s="240">
        <f>I97</f>
        <v>0</v>
      </c>
      <c r="P87" s="126" t="b">
        <v>0</v>
      </c>
      <c r="Q87" s="126">
        <v>40</v>
      </c>
      <c r="R87" s="126">
        <v>1</v>
      </c>
      <c r="S87" s="126" t="str">
        <f>J97</f>
        <v>--</v>
      </c>
      <c r="T87" s="127" t="str">
        <f>IFERROR(_xll.qlRateHelperEarliestDate(S87,Trigger),"--")</f>
        <v>--</v>
      </c>
      <c r="U87" s="127" t="str">
        <f>IFERROR(_xll.qlRateHelperPillarDate(S87,Trigger),"--")</f>
        <v>--</v>
      </c>
      <c r="W87" s="3" t="str">
        <f t="shared" si="32"/>
        <v/>
      </c>
      <c r="X87" s="3" t="e">
        <v>#N/A</v>
      </c>
      <c r="Y87" s="3" t="str">
        <f>IFERROR(_xll.qlRateHelperQuoteName(X87,Trigger),"")</f>
        <v/>
      </c>
      <c r="Z87" s="67" t="str">
        <f>IFERROR(_xll.qlRateHelperRate(X87,Trigger),"")</f>
        <v/>
      </c>
      <c r="AA87" s="95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206" t="e">
        <v>#N/A</v>
      </c>
    </row>
    <row r="88" spans="1:30" x14ac:dyDescent="0.2">
      <c r="A88" s="58" t="s">
        <v>26</v>
      </c>
      <c r="B88" s="59" t="s">
        <v>109</v>
      </c>
      <c r="C88" s="60" t="s">
        <v>6</v>
      </c>
      <c r="D88" s="60" t="s">
        <v>140</v>
      </c>
      <c r="E88" s="60" t="s">
        <v>7</v>
      </c>
      <c r="F88" s="60" t="s">
        <v>141</v>
      </c>
      <c r="G88" s="60" t="str">
        <f t="shared" si="30"/>
        <v>GbpLibor3M</v>
      </c>
      <c r="H88" s="58" t="str">
        <f t="shared" si="31"/>
        <v>GBPSM3L28Y_Quote</v>
      </c>
      <c r="I88" s="118">
        <v>0</v>
      </c>
      <c r="J88" s="223" t="str">
        <f>IF(P80,_xll.qlSwapRateHelper2(,H88,0,B88,Calendar,D88,E88,F88,G88,I88,C88,Discounting,PillarDate,,Permanent,Trigger,ObjectOverwrite),"--")</f>
        <v>--</v>
      </c>
      <c r="L88" s="226" t="str">
        <f t="shared" si="33"/>
        <v>Sw</v>
      </c>
      <c r="M88" s="230" t="str">
        <f t="shared" ref="M88:M93" si="34">H98</f>
        <v>GBP2S12_Quote</v>
      </c>
      <c r="N88" s="228">
        <f>IFERROR(_xll.qlQuoteValue(H98,Trigger),"--")</f>
        <v>3.0500000000000006E-3</v>
      </c>
      <c r="O88" s="228">
        <f t="shared" ref="O88:O93" si="35">I98</f>
        <v>0</v>
      </c>
      <c r="P88" s="129" t="b">
        <v>0</v>
      </c>
      <c r="Q88" s="129">
        <v>40</v>
      </c>
      <c r="R88" s="129">
        <v>1</v>
      </c>
      <c r="S88" s="129" t="str">
        <f t="shared" ref="S88:S93" si="36">J98</f>
        <v>--</v>
      </c>
      <c r="T88" s="130" t="str">
        <f>IFERROR(_xll.qlRateHelperEarliestDate(S88,Trigger),"--")</f>
        <v>--</v>
      </c>
      <c r="U88" s="130" t="str">
        <f>IFERROR(_xll.qlRateHelperPillarDate(S88,Trigger),"--")</f>
        <v>--</v>
      </c>
      <c r="W88" s="3" t="str">
        <f t="shared" si="32"/>
        <v/>
      </c>
      <c r="X88" s="3" t="e">
        <v>#N/A</v>
      </c>
      <c r="Y88" s="3" t="str">
        <f>IFERROR(_xll.qlRateHelperQuoteName(X88,Trigger),"")</f>
        <v/>
      </c>
      <c r="Z88" s="67" t="str">
        <f>IFERROR(_xll.qlRateHelperRate(X88,Trigger),"")</f>
        <v/>
      </c>
      <c r="AA88" s="95" t="str">
        <f>IF(ISERROR(_xll.qlSwapRateHelperSpread($X88)),IF(ISERROR(_xll.qlFuturesRateHelperConvexityAdjustment($X88)),"",_xll.qlFuturesRateHelperConvexityAdjustment($X88)),_xll.qlSwapRateHelperSpread($X88))</f>
        <v/>
      </c>
      <c r="AB88" s="4" t="str">
        <f>IFERROR(_xll.qlRateHelperEarliestDate(X88,Trigger),"")</f>
        <v/>
      </c>
      <c r="AC88" s="4" t="str">
        <f>IFERROR(_xll.qlRateHelperPillarDate(X88,Trigger),"")</f>
        <v/>
      </c>
      <c r="AD88" s="206" t="e">
        <v>#N/A</v>
      </c>
    </row>
    <row r="89" spans="1:30" x14ac:dyDescent="0.2">
      <c r="A89" s="58" t="s">
        <v>26</v>
      </c>
      <c r="B89" s="59" t="s">
        <v>110</v>
      </c>
      <c r="C89" s="60" t="s">
        <v>6</v>
      </c>
      <c r="D89" s="60" t="s">
        <v>140</v>
      </c>
      <c r="E89" s="60" t="s">
        <v>7</v>
      </c>
      <c r="F89" s="60" t="s">
        <v>141</v>
      </c>
      <c r="G89" s="60" t="str">
        <f t="shared" si="30"/>
        <v>GbpLibor3M</v>
      </c>
      <c r="H89" s="58" t="str">
        <f t="shared" si="31"/>
        <v>GBPSM3L29Y_Quote</v>
      </c>
      <c r="I89" s="118">
        <v>0</v>
      </c>
      <c r="J89" s="223" t="str">
        <f>IF(P81,_xll.qlSwapRateHelper2(,H89,0,B89,Calendar,D89,E89,F89,G89,I89,C89,Discounting,PillarDate,,Permanent,Trigger,ObjectOverwrite),"--")</f>
        <v>--</v>
      </c>
      <c r="L89" s="226" t="str">
        <f t="shared" si="33"/>
        <v>Sw</v>
      </c>
      <c r="M89" s="230" t="str">
        <f t="shared" si="34"/>
        <v>GBP3S12_Quote</v>
      </c>
      <c r="N89" s="228">
        <f>IFERROR(_xll.qlQuoteValue(H99,Trigger),"--")</f>
        <v>3.1300000000000004E-3</v>
      </c>
      <c r="O89" s="228">
        <f t="shared" si="35"/>
        <v>0</v>
      </c>
      <c r="P89" s="129" t="b">
        <v>0</v>
      </c>
      <c r="Q89" s="129">
        <v>40</v>
      </c>
      <c r="R89" s="129">
        <v>1</v>
      </c>
      <c r="S89" s="129" t="str">
        <f t="shared" si="36"/>
        <v>--</v>
      </c>
      <c r="T89" s="130" t="str">
        <f>IFERROR(_xll.qlRateHelperEarliestDate(S89,Trigger),"--")</f>
        <v>--</v>
      </c>
      <c r="U89" s="130" t="str">
        <f>IFERROR(_xll.qlRateHelperPillarDate(S89,Trigger),"--")</f>
        <v>--</v>
      </c>
      <c r="W89" s="3" t="str">
        <f t="shared" si="32"/>
        <v/>
      </c>
      <c r="X89" s="3" t="e">
        <v>#N/A</v>
      </c>
      <c r="Y89" s="3" t="str">
        <f>IFERROR(_xll.qlRateHelperQuoteName(X89,Trigger),"")</f>
        <v/>
      </c>
      <c r="Z89" s="67" t="str">
        <f>IFERROR(_xll.qlRateHelperRate(X89,Trigger),"")</f>
        <v/>
      </c>
      <c r="AA89" s="95" t="str">
        <f>IF(ISERROR(_xll.qlSwapRateHelperSpread($X89)),IF(ISERROR(_xll.qlFuturesRateHelperConvexityAdjustment($X89)),"",_xll.qlFuturesRateHelperConvexityAdjustment($X89)),_xll.qlSwapRateHelperSpread($X89))</f>
        <v/>
      </c>
      <c r="AB89" s="4" t="str">
        <f>IFERROR(_xll.qlRateHelperEarliestDate(X89,Trigger),"")</f>
        <v/>
      </c>
      <c r="AC89" s="4" t="str">
        <f>IFERROR(_xll.qlRateHelperPillarDate(X89,Trigger),"")</f>
        <v/>
      </c>
      <c r="AD89" s="206" t="e">
        <v>#N/A</v>
      </c>
    </row>
    <row r="90" spans="1:30" x14ac:dyDescent="0.2">
      <c r="A90" s="58" t="s">
        <v>26</v>
      </c>
      <c r="B90" s="59" t="s">
        <v>66</v>
      </c>
      <c r="C90" s="60" t="s">
        <v>6</v>
      </c>
      <c r="D90" s="60" t="s">
        <v>140</v>
      </c>
      <c r="E90" s="60" t="s">
        <v>7</v>
      </c>
      <c r="F90" s="60" t="s">
        <v>141</v>
      </c>
      <c r="G90" s="60" t="str">
        <f t="shared" si="30"/>
        <v>GbpLibor3M</v>
      </c>
      <c r="H90" s="58" t="str">
        <f t="shared" si="31"/>
        <v>GBPSM3L30Y_Quote</v>
      </c>
      <c r="I90" s="118">
        <v>0</v>
      </c>
      <c r="J90" s="223" t="str">
        <f>IF(P82,_xll.qlSwapRateHelper2(,H90,0,B90,Calendar,D90,E90,F90,G90,I90,C90,Discounting,PillarDate,,Permanent,Trigger,ObjectOverwrite),"--")</f>
        <v>obj_002d6#0001</v>
      </c>
      <c r="K90" s="46" t="s">
        <v>36</v>
      </c>
      <c r="L90" s="226" t="str">
        <f t="shared" si="33"/>
        <v>Sw</v>
      </c>
      <c r="M90" s="230" t="str">
        <f t="shared" si="34"/>
        <v>GBP4S12_Quote</v>
      </c>
      <c r="N90" s="228">
        <f>IFERROR(_xll.qlQuoteValue(H100,Trigger),"--")</f>
        <v>3.2200000000000002E-3</v>
      </c>
      <c r="O90" s="228">
        <f t="shared" si="35"/>
        <v>0</v>
      </c>
      <c r="P90" s="129" t="b">
        <v>0</v>
      </c>
      <c r="Q90" s="129">
        <v>40</v>
      </c>
      <c r="R90" s="129">
        <v>1</v>
      </c>
      <c r="S90" s="129" t="str">
        <f t="shared" si="36"/>
        <v>--</v>
      </c>
      <c r="T90" s="130" t="str">
        <f>IFERROR(_xll.qlRateHelperEarliestDate(S90,Trigger),"--")</f>
        <v>--</v>
      </c>
      <c r="U90" s="130" t="str">
        <f>IFERROR(_xll.qlRateHelperPillarDate(S90,Trigger),"--")</f>
        <v>--</v>
      </c>
      <c r="W90" s="3" t="str">
        <f t="shared" si="32"/>
        <v/>
      </c>
      <c r="X90" s="3" t="e">
        <v>#N/A</v>
      </c>
      <c r="Y90" s="3" t="str">
        <f>IFERROR(_xll.qlRateHelperQuoteName(X90,Trigger),"")</f>
        <v/>
      </c>
      <c r="Z90" s="67" t="str">
        <f>IFERROR(_xll.qlRateHelperRate(X90,Trigger),"")</f>
        <v/>
      </c>
      <c r="AA90" s="95" t="str">
        <f>IF(ISERROR(_xll.qlSwapRateHelperSpread($X90)),IF(ISERROR(_xll.qlFuturesRateHelperConvexityAdjustment($X90)),"",_xll.qlFuturesRateHelperConvexityAdjustment($X90)),_xll.qlSwapRateHelperSpread($X90))</f>
        <v/>
      </c>
      <c r="AB90" s="4" t="str">
        <f>IFERROR(_xll.qlRateHelperEarliestDate(X90,Trigger),"")</f>
        <v/>
      </c>
      <c r="AC90" s="4" t="str">
        <f>IFERROR(_xll.qlRateHelperPillarDate(X90,Trigger),"")</f>
        <v/>
      </c>
      <c r="AD90" s="206" t="e">
        <v>#N/A</v>
      </c>
    </row>
    <row r="91" spans="1:30" x14ac:dyDescent="0.2">
      <c r="A91" s="58" t="s">
        <v>26</v>
      </c>
      <c r="B91" s="59" t="s">
        <v>67</v>
      </c>
      <c r="C91" s="60" t="s">
        <v>6</v>
      </c>
      <c r="D91" s="60" t="s">
        <v>140</v>
      </c>
      <c r="E91" s="60" t="s">
        <v>7</v>
      </c>
      <c r="F91" s="60" t="s">
        <v>141</v>
      </c>
      <c r="G91" s="60" t="str">
        <f t="shared" si="30"/>
        <v>GbpLibor3M</v>
      </c>
      <c r="H91" s="58" t="str">
        <f t="shared" si="31"/>
        <v>GBPSM3L35Y_Quote</v>
      </c>
      <c r="I91" s="116">
        <v>0</v>
      </c>
      <c r="J91" s="223" t="str">
        <f>IF(P83,_xll.qlSwapRateHelper2(,H91,0,B91,Calendar,D91,E91,F91,G91,I91,C91,Discounting,PillarDate,,Permanent,Trigger,ObjectOverwrite),"--")</f>
        <v>--</v>
      </c>
      <c r="L91" s="226" t="str">
        <f t="shared" si="33"/>
        <v>Sw</v>
      </c>
      <c r="M91" s="230" t="str">
        <f t="shared" si="34"/>
        <v>GBP1S24_Quote</v>
      </c>
      <c r="N91" s="228">
        <f>IFERROR(_xll.qlQuoteValue(H101,Trigger),"--")</f>
        <v>3.2000000000000002E-3</v>
      </c>
      <c r="O91" s="228">
        <f t="shared" si="35"/>
        <v>0</v>
      </c>
      <c r="P91" s="129" t="b">
        <v>0</v>
      </c>
      <c r="Q91" s="129">
        <v>40</v>
      </c>
      <c r="R91" s="129">
        <v>1</v>
      </c>
      <c r="S91" s="129" t="str">
        <f t="shared" si="36"/>
        <v>--</v>
      </c>
      <c r="T91" s="130" t="str">
        <f>IFERROR(_xll.qlRateHelperEarliestDate(S91,Trigger),"--")</f>
        <v>--</v>
      </c>
      <c r="U91" s="130" t="str">
        <f>IFERROR(_xll.qlRateHelperPillarDate(S91,Trigger),"--")</f>
        <v>--</v>
      </c>
      <c r="W91" s="3" t="str">
        <f t="shared" si="32"/>
        <v/>
      </c>
      <c r="X91" s="3" t="e">
        <v>#N/A</v>
      </c>
      <c r="Y91" s="3" t="str">
        <f>IFERROR(_xll.qlRateHelperQuoteName(X91,Trigger),"")</f>
        <v/>
      </c>
      <c r="Z91" s="67" t="str">
        <f>IFERROR(_xll.qlRateHelperRate(X91,Trigger),"")</f>
        <v/>
      </c>
      <c r="AA91" s="95" t="str">
        <f>IF(ISERROR(_xll.qlSwapRateHelperSpread($X91)),IF(ISERROR(_xll.qlFuturesRateHelperConvexityAdjustment($X91)),"",_xll.qlFuturesRateHelperConvexityAdjustment($X91)),_xll.qlSwapRateHelperSpread($X91))</f>
        <v/>
      </c>
      <c r="AB91" s="4" t="str">
        <f>IFERROR(_xll.qlRateHelperEarliestDate(X91,Trigger),"")</f>
        <v/>
      </c>
      <c r="AC91" s="4" t="str">
        <f>IFERROR(_xll.qlRateHelperPillarDate(X91,Trigger),"")</f>
        <v/>
      </c>
      <c r="AD91" s="206" t="e">
        <v>#N/A</v>
      </c>
    </row>
    <row r="92" spans="1:30" x14ac:dyDescent="0.2">
      <c r="A92" s="58" t="s">
        <v>26</v>
      </c>
      <c r="B92" s="59" t="s">
        <v>68</v>
      </c>
      <c r="C92" s="60" t="s">
        <v>6</v>
      </c>
      <c r="D92" s="60" t="s">
        <v>140</v>
      </c>
      <c r="E92" s="60" t="s">
        <v>7</v>
      </c>
      <c r="F92" s="60" t="s">
        <v>141</v>
      </c>
      <c r="G92" s="60" t="str">
        <f t="shared" si="30"/>
        <v>GbpLibor3M</v>
      </c>
      <c r="H92" s="58" t="str">
        <f t="shared" si="31"/>
        <v>GBPSM3L40Y_Quote</v>
      </c>
      <c r="I92" s="116">
        <v>0</v>
      </c>
      <c r="J92" s="223" t="str">
        <f>IF(P84,_xll.qlSwapRateHelper2(,H92,0,B92,Calendar,D92,E92,F92,G92,I92,C92,Discounting,PillarDate,,Permanent,Trigger,ObjectOverwrite),"--")</f>
        <v>obj_002e0#0001</v>
      </c>
      <c r="L92" s="226" t="str">
        <f t="shared" si="33"/>
        <v>Sw</v>
      </c>
      <c r="M92" s="230" t="str">
        <f t="shared" si="34"/>
        <v>GBP2S24_Quote</v>
      </c>
      <c r="N92" s="228">
        <f>IFERROR(_xll.qlQuoteValue(H102,Trigger),"--")</f>
        <v>3.2400000000000003E-3</v>
      </c>
      <c r="O92" s="228">
        <f t="shared" si="35"/>
        <v>0</v>
      </c>
      <c r="P92" s="129" t="b">
        <v>0</v>
      </c>
      <c r="Q92" s="129">
        <v>40</v>
      </c>
      <c r="R92" s="129">
        <v>1</v>
      </c>
      <c r="S92" s="129" t="str">
        <f t="shared" si="36"/>
        <v>--</v>
      </c>
      <c r="T92" s="130" t="str">
        <f>IFERROR(_xll.qlRateHelperEarliestDate(S92,Trigger),"--")</f>
        <v>--</v>
      </c>
      <c r="U92" s="130" t="str">
        <f>IFERROR(_xll.qlRateHelperPillarDate(S92,Trigger),"--")</f>
        <v>--</v>
      </c>
      <c r="W92" s="3" t="str">
        <f t="shared" si="32"/>
        <v/>
      </c>
      <c r="X92" s="3" t="e">
        <v>#N/A</v>
      </c>
      <c r="Y92" s="3" t="str">
        <f>IFERROR(_xll.qlRateHelperQuoteName(X92,Trigger),"")</f>
        <v/>
      </c>
      <c r="Z92" s="67" t="str">
        <f>IFERROR(_xll.qlRateHelperRate(X92,Trigger),"")</f>
        <v/>
      </c>
      <c r="AA92" s="95" t="str">
        <f>IF(ISERROR(_xll.qlSwapRateHelperSpread($X92)),IF(ISERROR(_xll.qlFuturesRateHelperConvexityAdjustment($X92)),"",_xll.qlFuturesRateHelperConvexityAdjustment($X92)),_xll.qlSwapRateHelperSpread($X92))</f>
        <v/>
      </c>
      <c r="AB92" s="4" t="str">
        <f>IFERROR(_xll.qlRateHelperEarliestDate(X92,Trigger),"")</f>
        <v/>
      </c>
      <c r="AC92" s="4" t="str">
        <f>IFERROR(_xll.qlRateHelperPillarDate(X92,Trigger),"")</f>
        <v/>
      </c>
      <c r="AD92" s="206" t="e">
        <v>#N/A</v>
      </c>
    </row>
    <row r="93" spans="1:30" x14ac:dyDescent="0.2">
      <c r="A93" s="58" t="s">
        <v>26</v>
      </c>
      <c r="B93" s="59" t="s">
        <v>69</v>
      </c>
      <c r="C93" s="60" t="s">
        <v>6</v>
      </c>
      <c r="D93" s="60" t="s">
        <v>140</v>
      </c>
      <c r="E93" s="60" t="s">
        <v>7</v>
      </c>
      <c r="F93" s="60" t="s">
        <v>141</v>
      </c>
      <c r="G93" s="60" t="str">
        <f t="shared" si="30"/>
        <v>GbpLibor3M</v>
      </c>
      <c r="H93" s="58" t="str">
        <f t="shared" si="31"/>
        <v>GBPSM3L50Y_Quote</v>
      </c>
      <c r="I93" s="116">
        <v>0</v>
      </c>
      <c r="J93" s="223" t="str">
        <f>IF(P85,_xll.qlSwapRateHelper2(,H93,0,B93,Calendar,D93,E93,F93,G93,I93,C93,Discounting,PillarDate,,Permanent,Trigger,ObjectOverwrite),"--")</f>
        <v>obj_002d7#0001</v>
      </c>
      <c r="L93" s="231" t="str">
        <f t="shared" si="33"/>
        <v>Sw</v>
      </c>
      <c r="M93" s="232" t="str">
        <f t="shared" si="34"/>
        <v>GBP1S36_Quote</v>
      </c>
      <c r="N93" s="233" t="str">
        <f>IFERROR(_xll.qlQuoteValue(H103,Trigger),"--")</f>
        <v>--</v>
      </c>
      <c r="O93" s="233">
        <f t="shared" si="35"/>
        <v>0</v>
      </c>
      <c r="P93" s="131" t="b">
        <v>0</v>
      </c>
      <c r="Q93" s="131">
        <v>40</v>
      </c>
      <c r="R93" s="131">
        <v>1</v>
      </c>
      <c r="S93" s="131" t="str">
        <f t="shared" si="36"/>
        <v>--</v>
      </c>
      <c r="T93" s="134" t="str">
        <f>IFERROR(_xll.qlRateHelperEarliestDate(S93,Trigger),"--")</f>
        <v>--</v>
      </c>
      <c r="U93" s="134" t="str">
        <f>IFERROR(_xll.qlRateHelperPillarDate(S93,Trigger),"--")</f>
        <v>--</v>
      </c>
      <c r="W93" s="3" t="str">
        <f t="shared" si="32"/>
        <v/>
      </c>
      <c r="X93" s="3" t="e">
        <v>#N/A</v>
      </c>
      <c r="Y93" s="3" t="str">
        <f>IFERROR(_xll.qlRateHelperQuoteName(X93,Trigger),"")</f>
        <v/>
      </c>
      <c r="Z93" s="67" t="str">
        <f>IFERROR(_xll.qlRateHelperRate(X93,Trigger),"")</f>
        <v/>
      </c>
      <c r="AA93" s="95" t="str">
        <f>IF(ISERROR(_xll.qlSwapRateHelperSpread($X93)),IF(ISERROR(_xll.qlFuturesRateHelperConvexityAdjustment($X93)),"",_xll.qlFuturesRateHelperConvexityAdjustment($X93)),_xll.qlSwapRateHelperSpread($X93))</f>
        <v/>
      </c>
      <c r="AB93" s="4" t="str">
        <f>IFERROR(_xll.qlRateHelperEarliestDate(X93,Trigger),"")</f>
        <v/>
      </c>
      <c r="AC93" s="4" t="str">
        <f>IFERROR(_xll.qlRateHelperPillarDate(X93,Trigger),"")</f>
        <v/>
      </c>
      <c r="AD93" s="206" t="e">
        <v>#N/A</v>
      </c>
    </row>
    <row r="94" spans="1:30" x14ac:dyDescent="0.2">
      <c r="A94" s="1" t="s">
        <v>26</v>
      </c>
      <c r="B94" s="7" t="s">
        <v>111</v>
      </c>
      <c r="C94" s="6" t="s">
        <v>6</v>
      </c>
      <c r="D94" s="6" t="s">
        <v>140</v>
      </c>
      <c r="E94" s="6" t="s">
        <v>7</v>
      </c>
      <c r="F94" s="6" t="s">
        <v>141</v>
      </c>
      <c r="G94" s="6" t="str">
        <f t="shared" si="30"/>
        <v>GbpLibor3M</v>
      </c>
      <c r="H94" s="1" t="str">
        <f t="shared" si="31"/>
        <v>GBPSM3L60Y_Quote</v>
      </c>
      <c r="I94" s="119">
        <v>0</v>
      </c>
      <c r="J94" s="224" t="str">
        <f>IF(P86,_xll.qlSwapRateHelper2(,H94,0,B94,Calendar,D94,E94,F94,G94,I94,C94,Discounting,PillarDate,,Permanent,Trigger,ObjectOverwrite),"--")</f>
        <v>obj_002db#0001</v>
      </c>
      <c r="L94" s="226" t="str">
        <f t="shared" ref="L94:L129" si="37">A106</f>
        <v>BasSw</v>
      </c>
      <c r="M94" s="246" t="str">
        <f>H106</f>
        <v>GBPSB6L1Y_Quote</v>
      </c>
      <c r="N94" s="228" t="str">
        <f>IFERROR(_xll.qlQuoteValue(H106,Trigger),"--")</f>
        <v>--</v>
      </c>
      <c r="O94" s="228">
        <f>IFERROR(_xll.qlQuoteValue(I106,Trigger),"--")</f>
        <v>1.7700000000000001E-3</v>
      </c>
      <c r="P94" s="129" t="b">
        <v>0</v>
      </c>
      <c r="Q94" s="129">
        <v>40</v>
      </c>
      <c r="R94" s="129">
        <v>1</v>
      </c>
      <c r="S94" s="129" t="str">
        <f>J106</f>
        <v>--</v>
      </c>
      <c r="T94" s="130" t="str">
        <f>IFERROR(_xll.qlRateHelperEarliestDate(S94,Trigger),"--")</f>
        <v>--</v>
      </c>
      <c r="U94" s="130" t="str">
        <f>IFERROR(_xll.qlRateHelperPillarDate(S94,Trigger),"--")</f>
        <v>--</v>
      </c>
      <c r="W94" s="3" t="str">
        <f t="shared" si="32"/>
        <v/>
      </c>
      <c r="X94" s="3" t="e">
        <v>#N/A</v>
      </c>
      <c r="Y94" s="3" t="str">
        <f>IFERROR(_xll.qlRateHelperQuoteName(X94,Trigger),"")</f>
        <v/>
      </c>
      <c r="Z94" s="67" t="str">
        <f>IFERROR(_xll.qlRateHelperRate(X94,Trigger),"")</f>
        <v/>
      </c>
      <c r="AA94" s="95" t="str">
        <f>IF(ISERROR(_xll.qlSwapRateHelperSpread($X94)),IF(ISERROR(_xll.qlFuturesRateHelperConvexityAdjustment($X94)),"",_xll.qlFuturesRateHelperConvexityAdjustment($X94)),_xll.qlSwapRateHelperSpread($X94))</f>
        <v/>
      </c>
      <c r="AB94" s="4" t="str">
        <f>IFERROR(_xll.qlRateHelperEarliestDate(X94,Trigger),"")</f>
        <v/>
      </c>
      <c r="AC94" s="4" t="str">
        <f>IFERROR(_xll.qlRateHelperPillarDate(X94,Trigger),"")</f>
        <v/>
      </c>
      <c r="AD94" s="206" t="e">
        <v>#N/A</v>
      </c>
    </row>
    <row r="95" spans="1:30" x14ac:dyDescent="0.2">
      <c r="L95" s="226" t="str">
        <f t="shared" si="37"/>
        <v>BasSw</v>
      </c>
      <c r="M95" s="230" t="str">
        <f t="shared" ref="M95:M130" si="38">H107</f>
        <v>GBPSB6L15M_Quote</v>
      </c>
      <c r="N95" s="228" t="str">
        <f>IFERROR(_xll.qlQuoteValue(H107,Trigger),"--")</f>
        <v>--</v>
      </c>
      <c r="O95" s="228" t="str">
        <f>IFERROR(_xll.qlQuoteValue(I107,Trigger),"--")</f>
        <v>--</v>
      </c>
      <c r="P95" s="129" t="b">
        <v>0</v>
      </c>
      <c r="Q95" s="129">
        <v>40</v>
      </c>
      <c r="R95" s="129">
        <v>1</v>
      </c>
      <c r="S95" s="129" t="str">
        <f t="shared" ref="S95:S130" si="39">J107</f>
        <v>--</v>
      </c>
      <c r="T95" s="130" t="str">
        <f>IFERROR(_xll.qlRateHelperEarliestDate(S95,Trigger),"--")</f>
        <v>--</v>
      </c>
      <c r="U95" s="130" t="str">
        <f>IFERROR(_xll.qlRateHelperPillarDate(S95,Trigger),"--")</f>
        <v>--</v>
      </c>
      <c r="W95" s="3" t="str">
        <f t="shared" si="32"/>
        <v/>
      </c>
      <c r="X95" s="3" t="e">
        <v>#N/A</v>
      </c>
      <c r="Y95" s="3" t="str">
        <f>IFERROR(_xll.qlRateHelperQuoteName(X95,Trigger),"")</f>
        <v/>
      </c>
      <c r="Z95" s="67" t="str">
        <f>IFERROR(_xll.qlRateHelperRate(X95,Trigger),"")</f>
        <v/>
      </c>
      <c r="AA95" s="95" t="str">
        <f>IF(ISERROR(_xll.qlSwapRateHelperSpread($X95)),IF(ISERROR(_xll.qlFuturesRateHelperConvexityAdjustment($X95)),"",_xll.qlFuturesRateHelperConvexityAdjustment($X95)),_xll.qlSwapRateHelperSpread($X95))</f>
        <v/>
      </c>
      <c r="AB95" s="4" t="str">
        <f>IFERROR(_xll.qlRateHelperEarliestDate(X95,Trigger),"")</f>
        <v/>
      </c>
      <c r="AC95" s="4" t="str">
        <f>IFERROR(_xll.qlRateHelperPillarDate(X95,Trigger),"")</f>
        <v/>
      </c>
      <c r="AD95" s="206" t="e">
        <v>#N/A</v>
      </c>
    </row>
    <row r="96" spans="1:30" ht="22.5" x14ac:dyDescent="0.2">
      <c r="A96" s="63" t="s">
        <v>9</v>
      </c>
      <c r="B96" s="63" t="s">
        <v>30</v>
      </c>
      <c r="C96" s="63" t="s">
        <v>127</v>
      </c>
      <c r="D96" s="63" t="s">
        <v>5</v>
      </c>
      <c r="E96" s="63" t="s">
        <v>34</v>
      </c>
      <c r="F96" s="63" t="s">
        <v>113</v>
      </c>
      <c r="G96" s="63" t="s">
        <v>4</v>
      </c>
      <c r="H96" s="63" t="s">
        <v>1</v>
      </c>
      <c r="I96" s="63" t="s">
        <v>112</v>
      </c>
      <c r="J96" s="63" t="s">
        <v>25</v>
      </c>
      <c r="L96" s="226" t="str">
        <f t="shared" si="37"/>
        <v>BasSw</v>
      </c>
      <c r="M96" s="230" t="str">
        <f t="shared" si="38"/>
        <v>GBPSB6L18M_Quote</v>
      </c>
      <c r="N96" s="228">
        <f>IFERROR(_xll.qlQuoteValue(H108,Trigger),"--")</f>
        <v>5.1500000000000001E-3</v>
      </c>
      <c r="O96" s="228" t="str">
        <f>IFERROR(_xll.qlQuoteValue(I108,Trigger),"--")</f>
        <v>--</v>
      </c>
      <c r="P96" s="129" t="b">
        <v>0</v>
      </c>
      <c r="Q96" s="129">
        <v>40</v>
      </c>
      <c r="R96" s="129">
        <v>1</v>
      </c>
      <c r="S96" s="129" t="str">
        <f t="shared" si="39"/>
        <v>--</v>
      </c>
      <c r="T96" s="130" t="str">
        <f>IFERROR(_xll.qlRateHelperEarliestDate(S96,Trigger),"--")</f>
        <v>--</v>
      </c>
      <c r="U96" s="130" t="str">
        <f>IFERROR(_xll.qlRateHelperPillarDate(S96,Trigger),"--")</f>
        <v>--</v>
      </c>
      <c r="W96" s="3" t="str">
        <f t="shared" si="32"/>
        <v/>
      </c>
      <c r="X96" s="3" t="e">
        <v>#N/A</v>
      </c>
      <c r="Y96" s="3" t="str">
        <f>IFERROR(_xll.qlRateHelperQuoteName(X96,Trigger),"")</f>
        <v/>
      </c>
      <c r="Z96" s="67" t="str">
        <f>IFERROR(_xll.qlRateHelperRate(X96,Trigger),"")</f>
        <v/>
      </c>
      <c r="AA96" s="95" t="str">
        <f>IF(ISERROR(_xll.qlSwapRateHelperSpread($X96)),IF(ISERROR(_xll.qlFuturesRateHelperConvexityAdjustment($X96)),"",_xll.qlFuturesRateHelperConvexityAdjustment($X96)),_xll.qlSwapRateHelperSpread($X96))</f>
        <v/>
      </c>
      <c r="AB96" s="4" t="str">
        <f>IFERROR(_xll.qlRateHelperEarliestDate(X96,Trigger),"")</f>
        <v/>
      </c>
      <c r="AC96" s="4" t="str">
        <f>IFERROR(_xll.qlRateHelperPillarDate(X96,Trigger),"")</f>
        <v/>
      </c>
      <c r="AD96" s="206" t="e">
        <v>#N/A</v>
      </c>
    </row>
    <row r="97" spans="1:30" x14ac:dyDescent="0.2">
      <c r="A97" s="53" t="s">
        <v>26</v>
      </c>
      <c r="B97" s="104">
        <v>12</v>
      </c>
      <c r="C97" s="55" t="s">
        <v>6</v>
      </c>
      <c r="D97" s="60" t="s">
        <v>8</v>
      </c>
      <c r="E97" s="60" t="s">
        <v>7</v>
      </c>
      <c r="F97" s="60" t="s">
        <v>141</v>
      </c>
      <c r="G97" s="60" t="str">
        <f t="shared" ref="G97:G103" si="40">PROPER(Currency)&amp;FamilyName&amp;Tenor</f>
        <v>GbpLibor3M</v>
      </c>
      <c r="H97" s="58" t="str">
        <f>Currency&amp;"1S"&amp;$B97&amp;QuoteSuffix</f>
        <v>GBP1S12_Quote</v>
      </c>
      <c r="I97" s="117">
        <v>0</v>
      </c>
      <c r="J97" s="225" t="str">
        <f>IF(P87,_xll.qlSwapRateHelper2(,H97,0,B97&amp;"M",Calendar,D97,E97,F97,G97,I97,C97,Discounting,PillarDate,,Permanent,Trigger,ObjectOverwrite),"--")</f>
        <v>--</v>
      </c>
      <c r="L97" s="226" t="str">
        <f t="shared" si="37"/>
        <v>BasSw</v>
      </c>
      <c r="M97" s="230" t="str">
        <f t="shared" si="38"/>
        <v>GBPSB6L21M_Quote</v>
      </c>
      <c r="N97" s="228" t="str">
        <f>IFERROR(_xll.qlQuoteValue(H109,Trigger),"--")</f>
        <v>--</v>
      </c>
      <c r="O97" s="228" t="str">
        <f>IFERROR(_xll.qlQuoteValue(I109,Trigger),"--")</f>
        <v>--</v>
      </c>
      <c r="P97" s="129" t="b">
        <v>0</v>
      </c>
      <c r="Q97" s="129">
        <v>40</v>
      </c>
      <c r="R97" s="129">
        <v>1</v>
      </c>
      <c r="S97" s="129" t="str">
        <f t="shared" si="39"/>
        <v>--</v>
      </c>
      <c r="T97" s="130" t="str">
        <f>IFERROR(_xll.qlRateHelperEarliestDate(S97,Trigger),"--")</f>
        <v>--</v>
      </c>
      <c r="U97" s="130" t="str">
        <f>IFERROR(_xll.qlRateHelperPillarDate(S97,Trigger),"--")</f>
        <v>--</v>
      </c>
      <c r="W97" s="3" t="str">
        <f t="shared" si="32"/>
        <v/>
      </c>
      <c r="X97" s="3" t="e">
        <v>#N/A</v>
      </c>
      <c r="Y97" s="3" t="str">
        <f>IFERROR(_xll.qlRateHelperQuoteName(X97,Trigger),"")</f>
        <v/>
      </c>
      <c r="Z97" s="67" t="str">
        <f>IFERROR(_xll.qlRateHelperRate(X97,Trigger),"")</f>
        <v/>
      </c>
      <c r="AA97" s="95" t="str">
        <f>IF(ISERROR(_xll.qlSwapRateHelperSpread($X97)),IF(ISERROR(_xll.qlFuturesRateHelperConvexityAdjustment($X97)),"",_xll.qlFuturesRateHelperConvexityAdjustment($X97)),_xll.qlSwapRateHelperSpread($X97))</f>
        <v/>
      </c>
      <c r="AB97" s="4" t="str">
        <f>IFERROR(_xll.qlRateHelperEarliestDate(X97,Trigger),"")</f>
        <v/>
      </c>
      <c r="AC97" s="4" t="str">
        <f>IFERROR(_xll.qlRateHelperPillarDate(X97,Trigger),"")</f>
        <v/>
      </c>
      <c r="AD97" s="206" t="e">
        <v>#N/A</v>
      </c>
    </row>
    <row r="98" spans="1:30" x14ac:dyDescent="0.2">
      <c r="A98" s="58" t="s">
        <v>26</v>
      </c>
      <c r="B98" s="105">
        <v>12</v>
      </c>
      <c r="C98" s="60" t="s">
        <v>6</v>
      </c>
      <c r="D98" s="60" t="s">
        <v>8</v>
      </c>
      <c r="E98" s="60" t="s">
        <v>7</v>
      </c>
      <c r="F98" s="60" t="s">
        <v>141</v>
      </c>
      <c r="G98" s="60" t="str">
        <f t="shared" si="40"/>
        <v>GbpLibor3M</v>
      </c>
      <c r="H98" s="58" t="str">
        <f>Currency&amp;"2S"&amp;$B98&amp;QuoteSuffix</f>
        <v>GBP2S12_Quote</v>
      </c>
      <c r="I98" s="118">
        <v>0</v>
      </c>
      <c r="J98" s="223" t="str">
        <f>IF(P88,_xll.qlSwapRateHelper2(,H98,0,B98&amp;"M",Calendar,D98,E98,F98,G98,I98,C98,Discounting,PillarDate,,Permanent,Trigger,ObjectOverwrite),"--")</f>
        <v>--</v>
      </c>
      <c r="L98" s="226" t="str">
        <f t="shared" si="37"/>
        <v>BasSw</v>
      </c>
      <c r="M98" s="230" t="str">
        <f t="shared" si="38"/>
        <v>GBPSB6L2Y_Quote</v>
      </c>
      <c r="N98" s="228">
        <f>IFERROR(_xll.qlQuoteValue(H110,Trigger),"--")</f>
        <v>5.0600000000000003E-3</v>
      </c>
      <c r="O98" s="228">
        <f>IFERROR(_xll.qlQuoteValue(I110,Trigger),"--")</f>
        <v>1.64E-3</v>
      </c>
      <c r="P98" s="129" t="b">
        <v>0</v>
      </c>
      <c r="Q98" s="129">
        <v>40</v>
      </c>
      <c r="R98" s="129">
        <v>1</v>
      </c>
      <c r="S98" s="129" t="str">
        <f t="shared" si="39"/>
        <v>--</v>
      </c>
      <c r="T98" s="130" t="str">
        <f>IFERROR(_xll.qlRateHelperEarliestDate(S98,Trigger),"--")</f>
        <v>--</v>
      </c>
      <c r="U98" s="130" t="str">
        <f>IFERROR(_xll.qlRateHelperPillarDate(S98,Trigger),"--")</f>
        <v>--</v>
      </c>
      <c r="W98" s="3" t="str">
        <f t="shared" si="32"/>
        <v/>
      </c>
      <c r="X98" s="3" t="e">
        <v>#N/A</v>
      </c>
      <c r="Y98" s="3" t="str">
        <f>IFERROR(_xll.qlRateHelperQuoteName(X98,Trigger),"")</f>
        <v/>
      </c>
      <c r="Z98" s="67" t="str">
        <f>IFERROR(_xll.qlRateHelperRate(X98,Trigger),"")</f>
        <v/>
      </c>
      <c r="AA98" s="95" t="str">
        <f>IF(ISERROR(_xll.qlSwapRateHelperSpread($X98)),IF(ISERROR(_xll.qlFuturesRateHelperConvexityAdjustment($X98)),"",_xll.qlFuturesRateHelperConvexityAdjustment($X98)),_xll.qlSwapRateHelperSpread($X98))</f>
        <v/>
      </c>
      <c r="AB98" s="4" t="str">
        <f>IFERROR(_xll.qlRateHelperEarliestDate(X98,Trigger),"")</f>
        <v/>
      </c>
      <c r="AC98" s="4" t="str">
        <f>IFERROR(_xll.qlRateHelperPillarDate(X98,Trigger),"")</f>
        <v/>
      </c>
      <c r="AD98" s="206" t="e">
        <v>#N/A</v>
      </c>
    </row>
    <row r="99" spans="1:30" x14ac:dyDescent="0.2">
      <c r="A99" s="58" t="s">
        <v>26</v>
      </c>
      <c r="B99" s="105">
        <v>12</v>
      </c>
      <c r="C99" s="60" t="s">
        <v>6</v>
      </c>
      <c r="D99" s="60" t="s">
        <v>8</v>
      </c>
      <c r="E99" s="60" t="s">
        <v>7</v>
      </c>
      <c r="F99" s="60" t="s">
        <v>141</v>
      </c>
      <c r="G99" s="60" t="str">
        <f t="shared" si="40"/>
        <v>GbpLibor3M</v>
      </c>
      <c r="H99" s="58" t="str">
        <f>Currency&amp;"3S"&amp;$B99&amp;QuoteSuffix</f>
        <v>GBP3S12_Quote</v>
      </c>
      <c r="I99" s="118">
        <v>0</v>
      </c>
      <c r="J99" s="223" t="str">
        <f>IF(P89,_xll.qlSwapRateHelper2(,H99,0,B99&amp;"M",Calendar,D99,E99,F99,G99,I99,C99,Discounting,PillarDate,,Permanent,Trigger,ObjectOverwrite),"--")</f>
        <v>--</v>
      </c>
      <c r="L99" s="226" t="str">
        <f t="shared" si="37"/>
        <v>BasSw</v>
      </c>
      <c r="M99" s="230" t="str">
        <f t="shared" si="38"/>
        <v>GBPSB6L3Y_Quote</v>
      </c>
      <c r="N99" s="228">
        <f>IFERROR(_xll.qlQuoteValue(H111,Trigger),"--")</f>
        <v>5.0499999999999998E-3</v>
      </c>
      <c r="O99" s="228">
        <f>IFERROR(_xll.qlQuoteValue(I111,Trigger),"--")</f>
        <v>1.5299999999999999E-3</v>
      </c>
      <c r="P99" s="129" t="b">
        <v>0</v>
      </c>
      <c r="Q99" s="129">
        <v>40</v>
      </c>
      <c r="R99" s="129">
        <v>1</v>
      </c>
      <c r="S99" s="129" t="str">
        <f t="shared" si="39"/>
        <v>--</v>
      </c>
      <c r="T99" s="130" t="str">
        <f>IFERROR(_xll.qlRateHelperEarliestDate(S99,Trigger),"--")</f>
        <v>--</v>
      </c>
      <c r="U99" s="130" t="str">
        <f>IFERROR(_xll.qlRateHelperPillarDate(S99,Trigger),"--")</f>
        <v>--</v>
      </c>
      <c r="W99" s="3" t="str">
        <f t="shared" ref="W99:W130" si="41">IFERROR(INDEX($L$3:$L$130,MATCH(Y99,$M$3:$M$130,0),1),"")</f>
        <v/>
      </c>
      <c r="X99" s="3" t="e">
        <v>#N/A</v>
      </c>
      <c r="Y99" s="3" t="str">
        <f>IFERROR(_xll.qlRateHelperQuoteName(X99,Trigger),"")</f>
        <v/>
      </c>
      <c r="Z99" s="67" t="str">
        <f>IFERROR(_xll.qlRateHelperRate(X99,Trigger),"")</f>
        <v/>
      </c>
      <c r="AA99" s="95" t="str">
        <f>IF(ISERROR(_xll.qlSwapRateHelperSpread($X99)),IF(ISERROR(_xll.qlFuturesRateHelperConvexityAdjustment($X99)),"",_xll.qlFuturesRateHelperConvexityAdjustment($X99)),_xll.qlSwapRateHelperSpread($X99))</f>
        <v/>
      </c>
      <c r="AB99" s="4" t="str">
        <f>IFERROR(_xll.qlRateHelperEarliestDate(X99,Trigger),"")</f>
        <v/>
      </c>
      <c r="AC99" s="4" t="str">
        <f>IFERROR(_xll.qlRateHelperPillarDate(X99,Trigger),"")</f>
        <v/>
      </c>
      <c r="AD99" s="206" t="e">
        <v>#N/A</v>
      </c>
    </row>
    <row r="100" spans="1:30" x14ac:dyDescent="0.2">
      <c r="A100" s="58" t="s">
        <v>26</v>
      </c>
      <c r="B100" s="105">
        <v>12</v>
      </c>
      <c r="C100" s="60" t="s">
        <v>6</v>
      </c>
      <c r="D100" s="60" t="s">
        <v>8</v>
      </c>
      <c r="E100" s="60" t="s">
        <v>7</v>
      </c>
      <c r="F100" s="60" t="s">
        <v>141</v>
      </c>
      <c r="G100" s="60" t="str">
        <f t="shared" si="40"/>
        <v>GbpLibor3M</v>
      </c>
      <c r="H100" s="58" t="str">
        <f>Currency&amp;"4S"&amp;$B100&amp;QuoteSuffix</f>
        <v>GBP4S12_Quote</v>
      </c>
      <c r="I100" s="118">
        <v>0</v>
      </c>
      <c r="J100" s="223" t="str">
        <f>IF(P90,_xll.qlSwapRateHelper2(,H100,0,B100&amp;"M",Calendar,D100,E100,F100,G100,I100,C100,Discounting,PillarDate,,Permanent,Trigger,ObjectOverwrite),"--")</f>
        <v>--</v>
      </c>
      <c r="L100" s="226" t="str">
        <f t="shared" si="37"/>
        <v>BasSw</v>
      </c>
      <c r="M100" s="230" t="str">
        <f t="shared" si="38"/>
        <v>GBPSB6L4Y_Quote</v>
      </c>
      <c r="N100" s="228">
        <f>IFERROR(_xll.qlQuoteValue(H112,Trigger),"--")</f>
        <v>5.2700000000000004E-3</v>
      </c>
      <c r="O100" s="228">
        <f>IFERROR(_xll.qlQuoteValue(I112,Trigger),"--")</f>
        <v>1.4300000000000001E-3</v>
      </c>
      <c r="P100" s="129" t="b">
        <v>0</v>
      </c>
      <c r="Q100" s="129">
        <v>40</v>
      </c>
      <c r="R100" s="129">
        <v>1</v>
      </c>
      <c r="S100" s="129" t="str">
        <f t="shared" si="39"/>
        <v>--</v>
      </c>
      <c r="T100" s="130" t="str">
        <f>IFERROR(_xll.qlRateHelperEarliestDate(S100,Trigger),"--")</f>
        <v>--</v>
      </c>
      <c r="U100" s="130" t="str">
        <f>IFERROR(_xll.qlRateHelperPillarDate(S100,Trigger),"--")</f>
        <v>--</v>
      </c>
      <c r="W100" s="3" t="str">
        <f t="shared" si="41"/>
        <v/>
      </c>
      <c r="X100" s="3" t="e">
        <v>#N/A</v>
      </c>
      <c r="Y100" s="3" t="str">
        <f>IFERROR(_xll.qlRateHelperQuoteName(X100,Trigger),"")</f>
        <v/>
      </c>
      <c r="Z100" s="67" t="str">
        <f>IFERROR(_xll.qlRateHelperRate(X100,Trigger),"")</f>
        <v/>
      </c>
      <c r="AA100" s="95" t="str">
        <f>IF(ISERROR(_xll.qlSwapRateHelperSpread($X100)),IF(ISERROR(_xll.qlFuturesRateHelperConvexityAdjustment($X100)),"",_xll.qlFuturesRateHelperConvexityAdjustment($X100)),_xll.qlSwapRateHelperSpread($X100))</f>
        <v/>
      </c>
      <c r="AB100" s="4" t="str">
        <f>IFERROR(_xll.qlRateHelperEarliestDate(X100,Trigger),"")</f>
        <v/>
      </c>
      <c r="AC100" s="4" t="str">
        <f>IFERROR(_xll.qlRateHelperPillarDate(X100,Trigger),"")</f>
        <v/>
      </c>
      <c r="AD100" s="206" t="e">
        <v>#N/A</v>
      </c>
    </row>
    <row r="101" spans="1:30" x14ac:dyDescent="0.2">
      <c r="A101" s="197" t="s">
        <v>26</v>
      </c>
      <c r="B101" s="198">
        <v>24</v>
      </c>
      <c r="C101" s="199" t="s">
        <v>6</v>
      </c>
      <c r="D101" s="199" t="s">
        <v>8</v>
      </c>
      <c r="E101" s="199" t="s">
        <v>7</v>
      </c>
      <c r="F101" s="199" t="s">
        <v>141</v>
      </c>
      <c r="G101" s="199" t="str">
        <f t="shared" si="40"/>
        <v>GbpLibor3M</v>
      </c>
      <c r="H101" s="197" t="str">
        <f>Currency&amp;"1S"&amp;$B101&amp;QuoteSuffix</f>
        <v>GBP1S24_Quote</v>
      </c>
      <c r="I101" s="200">
        <v>0</v>
      </c>
      <c r="J101" s="237" t="str">
        <f>IF(P91,_xll.qlSwapRateHelper2(,H101,0,B101&amp;"M",Calendar,D101,E101,F101,G101,I101,C101,Discounting,PillarDate,,Permanent,Trigger,ObjectOverwrite),"--")</f>
        <v>--</v>
      </c>
      <c r="L101" s="226" t="str">
        <f t="shared" si="37"/>
        <v>BasSw</v>
      </c>
      <c r="M101" s="230" t="str">
        <f t="shared" si="38"/>
        <v>GBPSB6L5Y_Quote</v>
      </c>
      <c r="N101" s="228">
        <f>IFERROR(_xll.qlQuoteValue(H113,Trigger),"--")</f>
        <v>5.6100000000000004E-3</v>
      </c>
      <c r="O101" s="228">
        <f>IFERROR(_xll.qlQuoteValue(I113,Trigger),"--")</f>
        <v>1.3600000000000001E-3</v>
      </c>
      <c r="P101" s="129" t="b">
        <v>0</v>
      </c>
      <c r="Q101" s="129">
        <v>40</v>
      </c>
      <c r="R101" s="129">
        <v>1</v>
      </c>
      <c r="S101" s="129" t="str">
        <f t="shared" si="39"/>
        <v>--</v>
      </c>
      <c r="T101" s="130" t="str">
        <f>IFERROR(_xll.qlRateHelperEarliestDate(S101,Trigger),"--")</f>
        <v>--</v>
      </c>
      <c r="U101" s="130" t="str">
        <f>IFERROR(_xll.qlRateHelperPillarDate(S101,Trigger),"--")</f>
        <v>--</v>
      </c>
      <c r="W101" s="3" t="str">
        <f t="shared" si="41"/>
        <v/>
      </c>
      <c r="X101" s="3" t="e">
        <v>#N/A</v>
      </c>
      <c r="Y101" s="3" t="str">
        <f>IFERROR(_xll.qlRateHelperQuoteName(X101,Trigger),"")</f>
        <v/>
      </c>
      <c r="Z101" s="67" t="str">
        <f>IFERROR(_xll.qlRateHelperRate(X101,Trigger),"")</f>
        <v/>
      </c>
      <c r="AA101" s="95" t="str">
        <f>IF(ISERROR(_xll.qlSwapRateHelperSpread($X101)),IF(ISERROR(_xll.qlFuturesRateHelperConvexityAdjustment($X101)),"",_xll.qlFuturesRateHelperConvexityAdjustment($X101)),_xll.qlSwapRateHelperSpread($X101))</f>
        <v/>
      </c>
      <c r="AB101" s="4" t="str">
        <f>IFERROR(_xll.qlRateHelperEarliestDate(X101,Trigger),"")</f>
        <v/>
      </c>
      <c r="AC101" s="4" t="str">
        <f>IFERROR(_xll.qlRateHelperPillarDate(X101,Trigger),"")</f>
        <v/>
      </c>
      <c r="AD101" s="206" t="e">
        <v>#N/A</v>
      </c>
    </row>
    <row r="102" spans="1:30" x14ac:dyDescent="0.2">
      <c r="A102" s="201" t="s">
        <v>26</v>
      </c>
      <c r="B102" s="202">
        <v>24</v>
      </c>
      <c r="C102" s="203" t="s">
        <v>6</v>
      </c>
      <c r="D102" s="203" t="s">
        <v>8</v>
      </c>
      <c r="E102" s="203" t="s">
        <v>7</v>
      </c>
      <c r="F102" s="203" t="s">
        <v>141</v>
      </c>
      <c r="G102" s="203" t="str">
        <f t="shared" si="40"/>
        <v>GbpLibor3M</v>
      </c>
      <c r="H102" s="201" t="str">
        <f>Currency&amp;"2S"&amp;$B102&amp;QuoteSuffix</f>
        <v>GBP2S24_Quote</v>
      </c>
      <c r="I102" s="204">
        <v>0</v>
      </c>
      <c r="J102" s="236" t="str">
        <f>IF(P92,_xll.qlSwapRateHelper2(,H102,0,B102&amp;"M",Calendar,D102,E102,F102,G102,I102,C102,Discounting,PillarDate,,Permanent,Trigger,ObjectOverwrite),"--")</f>
        <v>--</v>
      </c>
      <c r="L102" s="226" t="str">
        <f t="shared" si="37"/>
        <v>BasSw</v>
      </c>
      <c r="M102" s="230" t="str">
        <f t="shared" si="38"/>
        <v>GBPSB6L6Y_Quote</v>
      </c>
      <c r="N102" s="228">
        <f>IFERROR(_xll.qlQuoteValue(H114,Trigger),"--")</f>
        <v>6.1200000000000013E-3</v>
      </c>
      <c r="O102" s="228">
        <f>IFERROR(_xll.qlQuoteValue(I114,Trigger),"--")</f>
        <v>1.2999999999999999E-3</v>
      </c>
      <c r="P102" s="129" t="b">
        <v>0</v>
      </c>
      <c r="Q102" s="129">
        <v>40</v>
      </c>
      <c r="R102" s="129">
        <v>1</v>
      </c>
      <c r="S102" s="129" t="str">
        <f t="shared" si="39"/>
        <v>--</v>
      </c>
      <c r="T102" s="130" t="str">
        <f>IFERROR(_xll.qlRateHelperEarliestDate(S102,Trigger),"--")</f>
        <v>--</v>
      </c>
      <c r="U102" s="130" t="str">
        <f>IFERROR(_xll.qlRateHelperPillarDate(S102,Trigger),"--")</f>
        <v>--</v>
      </c>
      <c r="W102" s="3" t="str">
        <f t="shared" si="41"/>
        <v/>
      </c>
      <c r="X102" s="3" t="e">
        <v>#N/A</v>
      </c>
      <c r="Y102" s="3" t="str">
        <f>IFERROR(_xll.qlRateHelperQuoteName(X102,Trigger),"")</f>
        <v/>
      </c>
      <c r="Z102" s="67" t="str">
        <f>IFERROR(_xll.qlRateHelperRate(X102,Trigger),"")</f>
        <v/>
      </c>
      <c r="AA102" s="95" t="str">
        <f>IF(ISERROR(_xll.qlSwapRateHelperSpread($X102)),IF(ISERROR(_xll.qlFuturesRateHelperConvexityAdjustment($X102)),"",_xll.qlFuturesRateHelperConvexityAdjustment($X102)),_xll.qlSwapRateHelperSpread($X102))</f>
        <v/>
      </c>
      <c r="AB102" s="4" t="str">
        <f>IFERROR(_xll.qlRateHelperEarliestDate(X102,Trigger),"")</f>
        <v/>
      </c>
      <c r="AC102" s="4" t="str">
        <f>IFERROR(_xll.qlRateHelperPillarDate(X102,Trigger),"")</f>
        <v/>
      </c>
      <c r="AD102" s="206" t="e">
        <v>#N/A</v>
      </c>
    </row>
    <row r="103" spans="1:30" x14ac:dyDescent="0.2">
      <c r="A103" s="1" t="s">
        <v>26</v>
      </c>
      <c r="B103" s="106">
        <v>36</v>
      </c>
      <c r="C103" s="6" t="s">
        <v>6</v>
      </c>
      <c r="D103" s="6" t="s">
        <v>8</v>
      </c>
      <c r="E103" s="6" t="s">
        <v>7</v>
      </c>
      <c r="F103" s="6" t="s">
        <v>141</v>
      </c>
      <c r="G103" s="6" t="str">
        <f t="shared" si="40"/>
        <v>GbpLibor3M</v>
      </c>
      <c r="H103" s="1" t="str">
        <f>Currency&amp;"1S"&amp;$B103&amp;QuoteSuffix</f>
        <v>GBP1S36_Quote</v>
      </c>
      <c r="I103" s="121">
        <v>0</v>
      </c>
      <c r="J103" s="224" t="str">
        <f>IF(P93,_xll.qlSwapRateHelper2(,H103,0,B103&amp;"M",Calendar,D103,E103,F103,G103,I103,C103,Discounting,PillarDate,,Permanent,Trigger,ObjectOverwrite),"--")</f>
        <v>--</v>
      </c>
      <c r="L103" s="226" t="str">
        <f t="shared" si="37"/>
        <v>BasSw</v>
      </c>
      <c r="M103" s="230" t="str">
        <f t="shared" si="38"/>
        <v>GBPSB6L7Y_Quote</v>
      </c>
      <c r="N103" s="228">
        <f>IFERROR(_xll.qlQuoteValue(H115,Trigger),"--")</f>
        <v>6.7100000000000007E-3</v>
      </c>
      <c r="O103" s="228">
        <f>IFERROR(_xll.qlQuoteValue(I115,Trigger),"--")</f>
        <v>1.23E-3</v>
      </c>
      <c r="P103" s="129" t="b">
        <v>0</v>
      </c>
      <c r="Q103" s="129">
        <v>40</v>
      </c>
      <c r="R103" s="129">
        <v>1</v>
      </c>
      <c r="S103" s="129" t="str">
        <f t="shared" si="39"/>
        <v>--</v>
      </c>
      <c r="T103" s="130" t="str">
        <f>IFERROR(_xll.qlRateHelperEarliestDate(S103,Trigger),"--")</f>
        <v>--</v>
      </c>
      <c r="U103" s="130" t="str">
        <f>IFERROR(_xll.qlRateHelperPillarDate(S103,Trigger),"--")</f>
        <v>--</v>
      </c>
      <c r="W103" s="3" t="str">
        <f t="shared" si="41"/>
        <v/>
      </c>
      <c r="X103" s="3" t="e">
        <v>#N/A</v>
      </c>
      <c r="Y103" s="3" t="str">
        <f>IFERROR(_xll.qlRateHelperQuoteName(X103,Trigger),"")</f>
        <v/>
      </c>
      <c r="Z103" s="67" t="str">
        <f>IFERROR(_xll.qlRateHelperRate(X103,Trigger),"")</f>
        <v/>
      </c>
      <c r="AA103" s="95" t="str">
        <f>IF(ISERROR(_xll.qlSwapRateHelperSpread($X103)),IF(ISERROR(_xll.qlFuturesRateHelperConvexityAdjustment($X103)),"",_xll.qlFuturesRateHelperConvexityAdjustment($X103)),_xll.qlSwapRateHelperSpread($X103))</f>
        <v/>
      </c>
      <c r="AB103" s="4" t="str">
        <f>IFERROR(_xll.qlRateHelperEarliestDate(X103,Trigger),"")</f>
        <v/>
      </c>
      <c r="AC103" s="4" t="str">
        <f>IFERROR(_xll.qlRateHelperPillarDate(X103,Trigger),"")</f>
        <v/>
      </c>
      <c r="AD103" s="206" t="e">
        <v>#N/A</v>
      </c>
    </row>
    <row r="104" spans="1:30" x14ac:dyDescent="0.2">
      <c r="G104" s="50" t="s">
        <v>142</v>
      </c>
      <c r="H104" s="94" t="s">
        <v>143</v>
      </c>
      <c r="I104" s="94" t="s">
        <v>138</v>
      </c>
      <c r="L104" s="226" t="str">
        <f t="shared" si="37"/>
        <v>BasSw</v>
      </c>
      <c r="M104" s="230" t="str">
        <f t="shared" si="38"/>
        <v>GBPSB6L8Y_Quote</v>
      </c>
      <c r="N104" s="228">
        <f>IFERROR(_xll.qlQuoteValue(H116,Trigger),"--")</f>
        <v>7.3500000000000006E-3</v>
      </c>
      <c r="O104" s="228">
        <f>IFERROR(_xll.qlQuoteValue(I116,Trigger),"--")</f>
        <v>1.14E-3</v>
      </c>
      <c r="P104" s="129" t="b">
        <v>0</v>
      </c>
      <c r="Q104" s="129">
        <v>40</v>
      </c>
      <c r="R104" s="129">
        <v>1</v>
      </c>
      <c r="S104" s="129" t="str">
        <f t="shared" si="39"/>
        <v>--</v>
      </c>
      <c r="T104" s="130" t="str">
        <f>IFERROR(_xll.qlRateHelperEarliestDate(S104,Trigger),"--")</f>
        <v>--</v>
      </c>
      <c r="U104" s="130" t="str">
        <f>IFERROR(_xll.qlRateHelperPillarDate(S104,Trigger),"--")</f>
        <v>--</v>
      </c>
      <c r="W104" s="3" t="str">
        <f t="shared" si="41"/>
        <v/>
      </c>
      <c r="X104" s="3" t="e">
        <v>#N/A</v>
      </c>
      <c r="Y104" s="3" t="str">
        <f>IFERROR(_xll.qlRateHelperQuoteName(X104,Trigger),"")</f>
        <v/>
      </c>
      <c r="Z104" s="67" t="str">
        <f>IFERROR(_xll.qlRateHelperRate(X104,Trigger),"")</f>
        <v/>
      </c>
      <c r="AA104" s="95" t="str">
        <f>IF(ISERROR(_xll.qlSwapRateHelperSpread($X104)),IF(ISERROR(_xll.qlFuturesRateHelperConvexityAdjustment($X104)),"",_xll.qlFuturesRateHelperConvexityAdjustment($X104)),_xll.qlSwapRateHelperSpread($X104))</f>
        <v/>
      </c>
      <c r="AB104" s="4" t="str">
        <f>IFERROR(_xll.qlRateHelperEarliestDate(X104,Trigger),"")</f>
        <v/>
      </c>
      <c r="AC104" s="4" t="str">
        <f>IFERROR(_xll.qlRateHelperPillarDate(X104,Trigger),"")</f>
        <v/>
      </c>
      <c r="AD104" s="206" t="e">
        <v>#N/A</v>
      </c>
    </row>
    <row r="105" spans="1:30" ht="22.5" x14ac:dyDescent="0.2">
      <c r="A105" s="63" t="s">
        <v>9</v>
      </c>
      <c r="B105" s="63" t="s">
        <v>30</v>
      </c>
      <c r="C105" s="63" t="s">
        <v>127</v>
      </c>
      <c r="D105" s="63" t="s">
        <v>5</v>
      </c>
      <c r="E105" s="63" t="s">
        <v>34</v>
      </c>
      <c r="F105" s="63" t="s">
        <v>113</v>
      </c>
      <c r="G105" s="63" t="s">
        <v>4</v>
      </c>
      <c r="H105" s="63" t="s">
        <v>1</v>
      </c>
      <c r="I105" s="63" t="s">
        <v>112</v>
      </c>
      <c r="J105" s="63" t="s">
        <v>25</v>
      </c>
      <c r="L105" s="226" t="str">
        <f t="shared" si="37"/>
        <v>BasSw</v>
      </c>
      <c r="M105" s="230" t="str">
        <f t="shared" si="38"/>
        <v>GBPSB6L9Y_Quote</v>
      </c>
      <c r="N105" s="228">
        <f>IFERROR(_xll.qlQuoteValue(H117,Trigger),"--")</f>
        <v>7.9600000000000001E-3</v>
      </c>
      <c r="O105" s="228">
        <f>IFERROR(_xll.qlQuoteValue(I117,Trigger),"--")</f>
        <v>1.08E-3</v>
      </c>
      <c r="P105" s="129" t="b">
        <v>0</v>
      </c>
      <c r="Q105" s="129">
        <v>40</v>
      </c>
      <c r="R105" s="129">
        <v>1</v>
      </c>
      <c r="S105" s="129" t="str">
        <f t="shared" si="39"/>
        <v>--</v>
      </c>
      <c r="T105" s="130" t="str">
        <f>IFERROR(_xll.qlRateHelperEarliestDate(S105,Trigger),"--")</f>
        <v>--</v>
      </c>
      <c r="U105" s="130" t="str">
        <f>IFERROR(_xll.qlRateHelperPillarDate(S105,Trigger),"--")</f>
        <v>--</v>
      </c>
      <c r="W105" s="3" t="str">
        <f t="shared" si="41"/>
        <v/>
      </c>
      <c r="X105" s="3" t="e">
        <v>#N/A</v>
      </c>
      <c r="Y105" s="3" t="str">
        <f>IFERROR(_xll.qlRateHelperQuoteName(X105,Trigger),"")</f>
        <v/>
      </c>
      <c r="Z105" s="67" t="str">
        <f>IFERROR(_xll.qlRateHelperRate(X105,Trigger),"")</f>
        <v/>
      </c>
      <c r="AA105" s="95" t="str">
        <f>IF(ISERROR(_xll.qlSwapRateHelperSpread($X105)),IF(ISERROR(_xll.qlFuturesRateHelperConvexityAdjustment($X105)),"",_xll.qlFuturesRateHelperConvexityAdjustment($X105)),_xll.qlSwapRateHelperSpread($X105))</f>
        <v/>
      </c>
      <c r="AB105" s="4" t="str">
        <f>IFERROR(_xll.qlRateHelperEarliestDate(X105,Trigger),"")</f>
        <v/>
      </c>
      <c r="AC105" s="4" t="str">
        <f>IFERROR(_xll.qlRateHelperPillarDate(X105,Trigger),"")</f>
        <v/>
      </c>
      <c r="AD105" s="206" t="e">
        <v>#N/A</v>
      </c>
    </row>
    <row r="106" spans="1:30" x14ac:dyDescent="0.2">
      <c r="A106" s="53" t="s">
        <v>115</v>
      </c>
      <c r="B106" s="104" t="s">
        <v>29</v>
      </c>
      <c r="C106" s="55" t="s">
        <v>6</v>
      </c>
      <c r="D106" s="55" t="s">
        <v>140</v>
      </c>
      <c r="E106" s="55" t="s">
        <v>7</v>
      </c>
      <c r="F106" s="55" t="s">
        <v>141</v>
      </c>
      <c r="G106" s="60" t="str">
        <f t="shared" ref="G106:G142" si="42">PROPER(Currency)&amp;FamilyName&amp;Tenor</f>
        <v>GbpLibor3M</v>
      </c>
      <c r="H106" s="58" t="str">
        <f t="shared" ref="H106:H142" si="43">Currency&amp;$G$104&amp;$H$104&amp;$B106&amp;QuoteSuffix</f>
        <v>GBPSB6L1Y_Quote</v>
      </c>
      <c r="I106" s="58" t="str">
        <f t="shared" ref="I106:I142" si="44">Currency&amp;$I$104&amp;$H$104&amp;$B106&amp;QuoteSuffix</f>
        <v>GBP3L6L1Y_Quote</v>
      </c>
      <c r="J106" s="225" t="str">
        <f>IF(P94,_xll.qlSwapRateHelper2(,H106,0,B106,Calendar,D106,E106,F106,G106,I106,C106,Discounting,PillarDate,,Permanent,Trigger,ObjectOverwrite),"--")</f>
        <v>--</v>
      </c>
      <c r="L106" s="226" t="str">
        <f t="shared" si="37"/>
        <v>BasSw</v>
      </c>
      <c r="M106" s="230" t="str">
        <f t="shared" si="38"/>
        <v>GBPSB6L10Y_Quote</v>
      </c>
      <c r="N106" s="228">
        <f>IFERROR(_xll.qlQuoteValue(H118,Trigger),"--")</f>
        <v>8.5100000000000002E-3</v>
      </c>
      <c r="O106" s="228">
        <f>IFERROR(_xll.qlQuoteValue(I118,Trigger),"--")</f>
        <v>1.0200000000000001E-3</v>
      </c>
      <c r="P106" s="129" t="b">
        <v>0</v>
      </c>
      <c r="Q106" s="129">
        <v>40</v>
      </c>
      <c r="R106" s="129">
        <v>1</v>
      </c>
      <c r="S106" s="129" t="str">
        <f t="shared" si="39"/>
        <v>--</v>
      </c>
      <c r="T106" s="130" t="str">
        <f>IFERROR(_xll.qlRateHelperEarliestDate(S106,Trigger),"--")</f>
        <v>--</v>
      </c>
      <c r="U106" s="130" t="str">
        <f>IFERROR(_xll.qlRateHelperPillarDate(S106,Trigger),"--")</f>
        <v>--</v>
      </c>
      <c r="W106" s="3" t="str">
        <f t="shared" si="41"/>
        <v/>
      </c>
      <c r="X106" s="3" t="e">
        <v>#N/A</v>
      </c>
      <c r="Y106" s="3" t="str">
        <f>IFERROR(_xll.qlRateHelperQuoteName(X106,Trigger),"")</f>
        <v/>
      </c>
      <c r="Z106" s="67" t="str">
        <f>IFERROR(_xll.qlRateHelperRate(X106,Trigger),"")</f>
        <v/>
      </c>
      <c r="AA106" s="95" t="str">
        <f>IF(ISERROR(_xll.qlSwapRateHelperSpread($X106)),IF(ISERROR(_xll.qlFuturesRateHelperConvexityAdjustment($X106)),"",_xll.qlFuturesRateHelperConvexityAdjustment($X106)),_xll.qlSwapRateHelperSpread($X106))</f>
        <v/>
      </c>
      <c r="AB106" s="4" t="str">
        <f>IFERROR(_xll.qlRateHelperEarliestDate(X106,Trigger),"")</f>
        <v/>
      </c>
      <c r="AC106" s="4" t="str">
        <f>IFERROR(_xll.qlRateHelperPillarDate(X106,Trigger),"")</f>
        <v/>
      </c>
      <c r="AD106" s="206" t="e">
        <v>#N/A</v>
      </c>
    </row>
    <row r="107" spans="1:30" x14ac:dyDescent="0.2">
      <c r="A107" s="58" t="s">
        <v>115</v>
      </c>
      <c r="B107" s="105" t="s">
        <v>49</v>
      </c>
      <c r="C107" s="60" t="s">
        <v>6</v>
      </c>
      <c r="D107" s="60" t="s">
        <v>140</v>
      </c>
      <c r="E107" s="60" t="s">
        <v>7</v>
      </c>
      <c r="F107" s="60" t="s">
        <v>141</v>
      </c>
      <c r="G107" s="60" t="str">
        <f t="shared" si="42"/>
        <v>GbpLibor3M</v>
      </c>
      <c r="H107" s="58" t="str">
        <f t="shared" si="43"/>
        <v>GBPSB6L15M_Quote</v>
      </c>
      <c r="I107" s="58" t="str">
        <f t="shared" si="44"/>
        <v>GBP3L6L15M_Quote</v>
      </c>
      <c r="J107" s="223" t="str">
        <f>IF(P95,_xll.qlSwapRateHelper2(,H107,0,B107,Calendar,D107,E107,F107,G107,I107,C107,Discounting,PillarDate,,Permanent,Trigger,ObjectOverwrite),"--")</f>
        <v>--</v>
      </c>
      <c r="L107" s="226" t="str">
        <f t="shared" si="37"/>
        <v>BasSw</v>
      </c>
      <c r="M107" s="230" t="str">
        <f t="shared" si="38"/>
        <v>GBPSB6L11Y_Quote</v>
      </c>
      <c r="N107" s="228">
        <f>IFERROR(_xll.qlQuoteValue(H119,Trigger),"--")</f>
        <v>9.0299999999999998E-3</v>
      </c>
      <c r="O107" s="228" t="str">
        <f>IFERROR(_xll.qlQuoteValue(I119,Trigger),"--")</f>
        <v>--</v>
      </c>
      <c r="P107" s="129" t="b">
        <v>0</v>
      </c>
      <c r="Q107" s="129">
        <v>40</v>
      </c>
      <c r="R107" s="129">
        <v>1</v>
      </c>
      <c r="S107" s="129" t="str">
        <f t="shared" si="39"/>
        <v>--</v>
      </c>
      <c r="T107" s="130" t="str">
        <f>IFERROR(_xll.qlRateHelperEarliestDate(S107,Trigger),"--")</f>
        <v>--</v>
      </c>
      <c r="U107" s="130" t="str">
        <f>IFERROR(_xll.qlRateHelperPillarDate(S107,Trigger),"--")</f>
        <v>--</v>
      </c>
      <c r="W107" s="3" t="str">
        <f t="shared" si="41"/>
        <v/>
      </c>
      <c r="X107" s="3" t="e">
        <v>#N/A</v>
      </c>
      <c r="Y107" s="3" t="str">
        <f>IFERROR(_xll.qlRateHelperQuoteName(X107,Trigger),"")</f>
        <v/>
      </c>
      <c r="Z107" s="67" t="str">
        <f>IFERROR(_xll.qlRateHelperRate(X107,Trigger),"")</f>
        <v/>
      </c>
      <c r="AA107" s="95" t="str">
        <f>IF(ISERROR(_xll.qlSwapRateHelperSpread($X107)),IF(ISERROR(_xll.qlFuturesRateHelperConvexityAdjustment($X107)),"",_xll.qlFuturesRateHelperConvexityAdjustment($X107)),_xll.qlSwapRateHelperSpread($X107))</f>
        <v/>
      </c>
      <c r="AB107" s="4" t="str">
        <f>IFERROR(_xll.qlRateHelperEarliestDate(X107,Trigger),"")</f>
        <v/>
      </c>
      <c r="AC107" s="4" t="str">
        <f>IFERROR(_xll.qlRateHelperPillarDate(X107,Trigger),"")</f>
        <v/>
      </c>
      <c r="AD107" s="206" t="e">
        <v>#N/A</v>
      </c>
    </row>
    <row r="108" spans="1:30" x14ac:dyDescent="0.2">
      <c r="A108" s="58" t="s">
        <v>115</v>
      </c>
      <c r="B108" s="105" t="s">
        <v>50</v>
      </c>
      <c r="C108" s="60" t="s">
        <v>6</v>
      </c>
      <c r="D108" s="60" t="s">
        <v>140</v>
      </c>
      <c r="E108" s="60" t="s">
        <v>7</v>
      </c>
      <c r="F108" s="60" t="s">
        <v>141</v>
      </c>
      <c r="G108" s="60" t="str">
        <f t="shared" si="42"/>
        <v>GbpLibor3M</v>
      </c>
      <c r="H108" s="58" t="str">
        <f t="shared" si="43"/>
        <v>GBPSB6L18M_Quote</v>
      </c>
      <c r="I108" s="58" t="str">
        <f t="shared" si="44"/>
        <v>GBP3L6L18M_Quote</v>
      </c>
      <c r="J108" s="223" t="str">
        <f>IF(P96,_xll.qlSwapRateHelper2(,H108,0,B108,Calendar,D108,E108,F108,G108,I108,C108,Discounting,PillarDate,,Permanent,Trigger,ObjectOverwrite),"--")</f>
        <v>--</v>
      </c>
      <c r="L108" s="226" t="str">
        <f t="shared" si="37"/>
        <v>BasSw</v>
      </c>
      <c r="M108" s="230" t="str">
        <f t="shared" si="38"/>
        <v>GBPSB6L12Y_Quote</v>
      </c>
      <c r="N108" s="228">
        <f>IFERROR(_xll.qlQuoteValue(H120,Trigger),"--")</f>
        <v>9.470000000000001E-3</v>
      </c>
      <c r="O108" s="228">
        <f>IFERROR(_xll.qlQuoteValue(I120,Trigger),"--")</f>
        <v>8.8999999999999995E-4</v>
      </c>
      <c r="P108" s="129" t="b">
        <v>0</v>
      </c>
      <c r="Q108" s="129">
        <v>40</v>
      </c>
      <c r="R108" s="129">
        <v>1</v>
      </c>
      <c r="S108" s="129" t="str">
        <f t="shared" si="39"/>
        <v>--</v>
      </c>
      <c r="T108" s="130" t="str">
        <f>IFERROR(_xll.qlRateHelperEarliestDate(S108,Trigger),"--")</f>
        <v>--</v>
      </c>
      <c r="U108" s="130" t="str">
        <f>IFERROR(_xll.qlRateHelperPillarDate(S108,Trigger),"--")</f>
        <v>--</v>
      </c>
      <c r="W108" s="3" t="str">
        <f t="shared" si="41"/>
        <v/>
      </c>
      <c r="X108" s="3" t="e">
        <v>#N/A</v>
      </c>
      <c r="Y108" s="3" t="str">
        <f>IFERROR(_xll.qlRateHelperQuoteName(X108,Trigger),"")</f>
        <v/>
      </c>
      <c r="Z108" s="67" t="str">
        <f>IFERROR(_xll.qlRateHelperRate(X108,Trigger),"")</f>
        <v/>
      </c>
      <c r="AA108" s="95" t="str">
        <f>IF(ISERROR(_xll.qlSwapRateHelperSpread($X108)),IF(ISERROR(_xll.qlFuturesRateHelperConvexityAdjustment($X108)),"",_xll.qlFuturesRateHelperConvexityAdjustment($X108)),_xll.qlSwapRateHelperSpread($X108))</f>
        <v/>
      </c>
      <c r="AB108" s="4" t="str">
        <f>IFERROR(_xll.qlRateHelperEarliestDate(X108,Trigger),"")</f>
        <v/>
      </c>
      <c r="AC108" s="4" t="str">
        <f>IFERROR(_xll.qlRateHelperPillarDate(X108,Trigger),"")</f>
        <v/>
      </c>
      <c r="AD108" s="206" t="e">
        <v>#N/A</v>
      </c>
    </row>
    <row r="109" spans="1:30" x14ac:dyDescent="0.2">
      <c r="A109" s="58" t="s">
        <v>115</v>
      </c>
      <c r="B109" s="105" t="s">
        <v>51</v>
      </c>
      <c r="C109" s="60" t="s">
        <v>6</v>
      </c>
      <c r="D109" s="60" t="s">
        <v>140</v>
      </c>
      <c r="E109" s="60" t="s">
        <v>7</v>
      </c>
      <c r="F109" s="60" t="s">
        <v>141</v>
      </c>
      <c r="G109" s="60" t="str">
        <f t="shared" si="42"/>
        <v>GbpLibor3M</v>
      </c>
      <c r="H109" s="58" t="str">
        <f t="shared" si="43"/>
        <v>GBPSB6L21M_Quote</v>
      </c>
      <c r="I109" s="58" t="str">
        <f t="shared" si="44"/>
        <v>GBP3L6L21M_Quote</v>
      </c>
      <c r="J109" s="223" t="str">
        <f>IF(P97,_xll.qlSwapRateHelper2(,H109,0,B109,Calendar,D109,E109,F109,G109,I109,C109,Discounting,PillarDate,,Permanent,Trigger,ObjectOverwrite),"--")</f>
        <v>--</v>
      </c>
      <c r="L109" s="226" t="str">
        <f t="shared" si="37"/>
        <v>BasSw</v>
      </c>
      <c r="M109" s="230" t="str">
        <f t="shared" si="38"/>
        <v>GBPSB6L13Y_Quote</v>
      </c>
      <c r="N109" s="228" t="str">
        <f>IFERROR(_xll.qlQuoteValue(H121,Trigger),"--")</f>
        <v>--</v>
      </c>
      <c r="O109" s="228" t="str">
        <f>IFERROR(_xll.qlQuoteValue(I121,Trigger),"--")</f>
        <v>--</v>
      </c>
      <c r="P109" s="129" t="b">
        <v>0</v>
      </c>
      <c r="Q109" s="129">
        <v>40</v>
      </c>
      <c r="R109" s="129">
        <v>1</v>
      </c>
      <c r="S109" s="129" t="str">
        <f t="shared" si="39"/>
        <v>--</v>
      </c>
      <c r="T109" s="130" t="str">
        <f>IFERROR(_xll.qlRateHelperEarliestDate(S109,Trigger),"--")</f>
        <v>--</v>
      </c>
      <c r="U109" s="130" t="str">
        <f>IFERROR(_xll.qlRateHelperPillarDate(S109,Trigger),"--")</f>
        <v>--</v>
      </c>
      <c r="W109" s="3" t="str">
        <f t="shared" si="41"/>
        <v/>
      </c>
      <c r="X109" s="3" t="e">
        <v>#N/A</v>
      </c>
      <c r="Y109" s="3" t="str">
        <f>IFERROR(_xll.qlRateHelperQuoteName(X109,Trigger),"")</f>
        <v/>
      </c>
      <c r="Z109" s="67" t="str">
        <f>IFERROR(_xll.qlRateHelperRate(X109,Trigger),"")</f>
        <v/>
      </c>
      <c r="AA109" s="95" t="str">
        <f>IF(ISERROR(_xll.qlSwapRateHelperSpread($X109)),IF(ISERROR(_xll.qlFuturesRateHelperConvexityAdjustment($X109)),"",_xll.qlFuturesRateHelperConvexityAdjustment($X109)),_xll.qlSwapRateHelperSpread($X109))</f>
        <v/>
      </c>
      <c r="AB109" s="4" t="str">
        <f>IFERROR(_xll.qlRateHelperEarliestDate(X109,Trigger),"")</f>
        <v/>
      </c>
      <c r="AC109" s="4" t="str">
        <f>IFERROR(_xll.qlRateHelperPillarDate(X109,Trigger),"")</f>
        <v/>
      </c>
      <c r="AD109" s="206" t="e">
        <v>#N/A</v>
      </c>
    </row>
    <row r="110" spans="1:30" x14ac:dyDescent="0.2">
      <c r="A110" s="58" t="s">
        <v>115</v>
      </c>
      <c r="B110" s="105" t="s">
        <v>52</v>
      </c>
      <c r="C110" s="60" t="s">
        <v>6</v>
      </c>
      <c r="D110" s="60" t="s">
        <v>140</v>
      </c>
      <c r="E110" s="60" t="s">
        <v>7</v>
      </c>
      <c r="F110" s="60" t="s">
        <v>141</v>
      </c>
      <c r="G110" s="60" t="str">
        <f t="shared" si="42"/>
        <v>GbpLibor3M</v>
      </c>
      <c r="H110" s="58" t="str">
        <f t="shared" si="43"/>
        <v>GBPSB6L2Y_Quote</v>
      </c>
      <c r="I110" s="58" t="str">
        <f t="shared" si="44"/>
        <v>GBP3L6L2Y_Quote</v>
      </c>
      <c r="J110" s="223" t="str">
        <f>IF(P98,_xll.qlSwapRateHelper2(,H110,0,B110,Calendar,D110,E110,F110,G110,I110,C110,Discounting,PillarDate,,Permanent,Trigger,ObjectOverwrite),"--")</f>
        <v>--</v>
      </c>
      <c r="L110" s="226" t="str">
        <f t="shared" si="37"/>
        <v>BasSw</v>
      </c>
      <c r="M110" s="230" t="str">
        <f t="shared" si="38"/>
        <v>GBPSB6L14Y_Quote</v>
      </c>
      <c r="N110" s="228" t="str">
        <f>IFERROR(_xll.qlQuoteValue(H122,Trigger),"--")</f>
        <v>--</v>
      </c>
      <c r="O110" s="228" t="str">
        <f>IFERROR(_xll.qlQuoteValue(I122,Trigger),"--")</f>
        <v>--</v>
      </c>
      <c r="P110" s="129" t="b">
        <v>0</v>
      </c>
      <c r="Q110" s="129">
        <v>40</v>
      </c>
      <c r="R110" s="129">
        <v>1</v>
      </c>
      <c r="S110" s="129" t="str">
        <f t="shared" si="39"/>
        <v>--</v>
      </c>
      <c r="T110" s="130" t="str">
        <f>IFERROR(_xll.qlRateHelperEarliestDate(S110,Trigger),"--")</f>
        <v>--</v>
      </c>
      <c r="U110" s="130" t="str">
        <f>IFERROR(_xll.qlRateHelperPillarDate(S110,Trigger),"--")</f>
        <v>--</v>
      </c>
      <c r="W110" s="3" t="str">
        <f t="shared" si="41"/>
        <v/>
      </c>
      <c r="X110" s="3" t="e">
        <v>#N/A</v>
      </c>
      <c r="Y110" s="3" t="str">
        <f>IFERROR(_xll.qlRateHelperQuoteName(X110,Trigger),"")</f>
        <v/>
      </c>
      <c r="Z110" s="67" t="str">
        <f>IFERROR(_xll.qlRateHelperRate(X110,Trigger),"")</f>
        <v/>
      </c>
      <c r="AA110" s="95" t="str">
        <f>IF(ISERROR(_xll.qlSwapRateHelperSpread($X110)),IF(ISERROR(_xll.qlFuturesRateHelperConvexityAdjustment($X110)),"",_xll.qlFuturesRateHelperConvexityAdjustment($X110)),_xll.qlSwapRateHelperSpread($X110))</f>
        <v/>
      </c>
      <c r="AB110" s="4" t="str">
        <f>IFERROR(_xll.qlRateHelperEarliestDate(X110,Trigger),"")</f>
        <v/>
      </c>
      <c r="AC110" s="4" t="str">
        <f>IFERROR(_xll.qlRateHelperPillarDate(X110,Trigger),"")</f>
        <v/>
      </c>
      <c r="AD110" s="206" t="e">
        <v>#N/A</v>
      </c>
    </row>
    <row r="111" spans="1:30" x14ac:dyDescent="0.2">
      <c r="A111" s="58" t="s">
        <v>115</v>
      </c>
      <c r="B111" s="105" t="s">
        <v>53</v>
      </c>
      <c r="C111" s="60" t="s">
        <v>6</v>
      </c>
      <c r="D111" s="60" t="s">
        <v>140</v>
      </c>
      <c r="E111" s="60" t="s">
        <v>7</v>
      </c>
      <c r="F111" s="60" t="s">
        <v>141</v>
      </c>
      <c r="G111" s="60" t="str">
        <f t="shared" si="42"/>
        <v>GbpLibor3M</v>
      </c>
      <c r="H111" s="58" t="str">
        <f t="shared" si="43"/>
        <v>GBPSB6L3Y_Quote</v>
      </c>
      <c r="I111" s="58" t="str">
        <f t="shared" si="44"/>
        <v>GBP3L6L3Y_Quote</v>
      </c>
      <c r="J111" s="223" t="str">
        <f>IF(P99,_xll.qlSwapRateHelper2(,H111,0,B111,Calendar,D111,E111,F111,G111,I111,C111,Discounting,PillarDate,,Permanent,Trigger,ObjectOverwrite),"--")</f>
        <v>--</v>
      </c>
      <c r="L111" s="226" t="str">
        <f t="shared" si="37"/>
        <v>BasSw</v>
      </c>
      <c r="M111" s="230" t="str">
        <f t="shared" si="38"/>
        <v>GBPSB6L15Y_Quote</v>
      </c>
      <c r="N111" s="228">
        <f>IFERROR(_xll.qlQuoteValue(H123,Trigger),"--")</f>
        <v>1.0360000000000001E-2</v>
      </c>
      <c r="O111" s="228">
        <f>IFERROR(_xll.qlQuoteValue(I123,Trigger),"--")</f>
        <v>7.3999999999999999E-4</v>
      </c>
      <c r="P111" s="129" t="b">
        <v>0</v>
      </c>
      <c r="Q111" s="129">
        <v>40</v>
      </c>
      <c r="R111" s="129">
        <v>1</v>
      </c>
      <c r="S111" s="129" t="str">
        <f t="shared" si="39"/>
        <v>--</v>
      </c>
      <c r="T111" s="130" t="str">
        <f>IFERROR(_xll.qlRateHelperEarliestDate(S111,Trigger),"--")</f>
        <v>--</v>
      </c>
      <c r="U111" s="130" t="str">
        <f>IFERROR(_xll.qlRateHelperPillarDate(S111,Trigger),"--")</f>
        <v>--</v>
      </c>
      <c r="W111" s="3" t="str">
        <f t="shared" si="41"/>
        <v/>
      </c>
      <c r="X111" s="3" t="e">
        <v>#N/A</v>
      </c>
      <c r="Y111" s="3" t="str">
        <f>IFERROR(_xll.qlRateHelperQuoteName(X111,Trigger),"")</f>
        <v/>
      </c>
      <c r="Z111" s="67" t="str">
        <f>IFERROR(_xll.qlRateHelperRate(X111,Trigger),"")</f>
        <v/>
      </c>
      <c r="AA111" s="95" t="str">
        <f>IF(ISERROR(_xll.qlSwapRateHelperSpread($X111)),IF(ISERROR(_xll.qlFuturesRateHelperConvexityAdjustment($X111)),"",_xll.qlFuturesRateHelperConvexityAdjustment($X111)),_xll.qlSwapRateHelperSpread($X111))</f>
        <v/>
      </c>
      <c r="AB111" s="4" t="str">
        <f>IFERROR(_xll.qlRateHelperEarliestDate(X111,Trigger),"")</f>
        <v/>
      </c>
      <c r="AC111" s="4" t="str">
        <f>IFERROR(_xll.qlRateHelperPillarDate(X111,Trigger),"")</f>
        <v/>
      </c>
      <c r="AD111" s="206" t="e">
        <v>#N/A</v>
      </c>
    </row>
    <row r="112" spans="1:30" x14ac:dyDescent="0.2">
      <c r="A112" s="58" t="s">
        <v>115</v>
      </c>
      <c r="B112" s="105" t="s">
        <v>54</v>
      </c>
      <c r="C112" s="60" t="s">
        <v>6</v>
      </c>
      <c r="D112" s="60" t="s">
        <v>140</v>
      </c>
      <c r="E112" s="60" t="s">
        <v>7</v>
      </c>
      <c r="F112" s="60" t="s">
        <v>141</v>
      </c>
      <c r="G112" s="60" t="str">
        <f t="shared" si="42"/>
        <v>GbpLibor3M</v>
      </c>
      <c r="H112" s="58" t="str">
        <f t="shared" si="43"/>
        <v>GBPSB6L4Y_Quote</v>
      </c>
      <c r="I112" s="58" t="str">
        <f t="shared" si="44"/>
        <v>GBP3L6L4Y_Quote</v>
      </c>
      <c r="J112" s="223" t="str">
        <f>IF(P100,_xll.qlSwapRateHelper2(,H112,0,B112,Calendar,D112,E112,F112,G112,I112,C112,Discounting,PillarDate,,Permanent,Trigger,ObjectOverwrite),"--")</f>
        <v>--</v>
      </c>
      <c r="L112" s="226" t="str">
        <f t="shared" si="37"/>
        <v>BasSw</v>
      </c>
      <c r="M112" s="230" t="str">
        <f t="shared" si="38"/>
        <v>GBPSB6L16Y_Quote</v>
      </c>
      <c r="N112" s="228" t="str">
        <f>IFERROR(_xll.qlQuoteValue(H124,Trigger),"--")</f>
        <v>--</v>
      </c>
      <c r="O112" s="228" t="str">
        <f>IFERROR(_xll.qlQuoteValue(I124,Trigger),"--")</f>
        <v>--</v>
      </c>
      <c r="P112" s="129" t="b">
        <v>0</v>
      </c>
      <c r="Q112" s="129">
        <v>40</v>
      </c>
      <c r="R112" s="129">
        <v>1</v>
      </c>
      <c r="S112" s="129" t="str">
        <f t="shared" si="39"/>
        <v>--</v>
      </c>
      <c r="T112" s="130" t="str">
        <f>IFERROR(_xll.qlRateHelperEarliestDate(S112,Trigger),"--")</f>
        <v>--</v>
      </c>
      <c r="U112" s="130" t="str">
        <f>IFERROR(_xll.qlRateHelperPillarDate(S112,Trigger),"--")</f>
        <v>--</v>
      </c>
      <c r="W112" s="3" t="str">
        <f t="shared" si="41"/>
        <v/>
      </c>
      <c r="X112" s="3" t="e">
        <v>#N/A</v>
      </c>
      <c r="Y112" s="3" t="str">
        <f>IFERROR(_xll.qlRateHelperQuoteName(X112,Trigger),"")</f>
        <v/>
      </c>
      <c r="Z112" s="67" t="str">
        <f>IFERROR(_xll.qlRateHelperRate(X112,Trigger),"")</f>
        <v/>
      </c>
      <c r="AA112" s="95" t="str">
        <f>IF(ISERROR(_xll.qlSwapRateHelperSpread($X112)),IF(ISERROR(_xll.qlFuturesRateHelperConvexityAdjustment($X112)),"",_xll.qlFuturesRateHelperConvexityAdjustment($X112)),_xll.qlSwapRateHelperSpread($X112))</f>
        <v/>
      </c>
      <c r="AB112" s="4" t="str">
        <f>IFERROR(_xll.qlRateHelperEarliestDate(X112,Trigger),"")</f>
        <v/>
      </c>
      <c r="AC112" s="4" t="str">
        <f>IFERROR(_xll.qlRateHelperPillarDate(X112,Trigger),"")</f>
        <v/>
      </c>
      <c r="AD112" s="206" t="e">
        <v>#N/A</v>
      </c>
    </row>
    <row r="113" spans="1:30" x14ac:dyDescent="0.2">
      <c r="A113" s="58" t="s">
        <v>115</v>
      </c>
      <c r="B113" s="105" t="s">
        <v>55</v>
      </c>
      <c r="C113" s="60" t="s">
        <v>6</v>
      </c>
      <c r="D113" s="60" t="s">
        <v>140</v>
      </c>
      <c r="E113" s="60" t="s">
        <v>7</v>
      </c>
      <c r="F113" s="60" t="s">
        <v>141</v>
      </c>
      <c r="G113" s="60" t="str">
        <f t="shared" si="42"/>
        <v>GbpLibor3M</v>
      </c>
      <c r="H113" s="58" t="str">
        <f t="shared" si="43"/>
        <v>GBPSB6L5Y_Quote</v>
      </c>
      <c r="I113" s="58" t="str">
        <f t="shared" si="44"/>
        <v>GBP3L6L5Y_Quote</v>
      </c>
      <c r="J113" s="223" t="str">
        <f>IF(P101,_xll.qlSwapRateHelper2(,H113,0,B113,Calendar,D113,E113,F113,G113,I113,C113,Discounting,PillarDate,,Permanent,Trigger,ObjectOverwrite),"--")</f>
        <v>--</v>
      </c>
      <c r="L113" s="226" t="str">
        <f t="shared" si="37"/>
        <v>BasSw</v>
      </c>
      <c r="M113" s="230" t="str">
        <f t="shared" si="38"/>
        <v>GBPSB6L17Y_Quote</v>
      </c>
      <c r="N113" s="228" t="str">
        <f>IFERROR(_xll.qlQuoteValue(H125,Trigger),"--")</f>
        <v>--</v>
      </c>
      <c r="O113" s="228" t="str">
        <f>IFERROR(_xll.qlQuoteValue(I125,Trigger),"--")</f>
        <v>--</v>
      </c>
      <c r="P113" s="129" t="b">
        <v>0</v>
      </c>
      <c r="Q113" s="129">
        <v>40</v>
      </c>
      <c r="R113" s="129">
        <v>1</v>
      </c>
      <c r="S113" s="129" t="str">
        <f t="shared" si="39"/>
        <v>--</v>
      </c>
      <c r="T113" s="130" t="str">
        <f>IFERROR(_xll.qlRateHelperEarliestDate(S113,Trigger),"--")</f>
        <v>--</v>
      </c>
      <c r="U113" s="130" t="str">
        <f>IFERROR(_xll.qlRateHelperPillarDate(S113,Trigger),"--")</f>
        <v>--</v>
      </c>
      <c r="W113" s="3" t="str">
        <f t="shared" si="41"/>
        <v/>
      </c>
      <c r="X113" s="3" t="e">
        <v>#N/A</v>
      </c>
      <c r="Y113" s="3" t="str">
        <f>IFERROR(_xll.qlRateHelperQuoteName(X113,Trigger),"")</f>
        <v/>
      </c>
      <c r="Z113" s="67" t="str">
        <f>IFERROR(_xll.qlRateHelperRate(X113,Trigger),"")</f>
        <v/>
      </c>
      <c r="AA113" s="95" t="str">
        <f>IF(ISERROR(_xll.qlSwapRateHelperSpread($X113)),IF(ISERROR(_xll.qlFuturesRateHelperConvexityAdjustment($X113)),"",_xll.qlFuturesRateHelperConvexityAdjustment($X113)),_xll.qlSwapRateHelperSpread($X113))</f>
        <v/>
      </c>
      <c r="AB113" s="4" t="str">
        <f>IFERROR(_xll.qlRateHelperEarliestDate(X113,Trigger),"")</f>
        <v/>
      </c>
      <c r="AC113" s="4" t="str">
        <f>IFERROR(_xll.qlRateHelperPillarDate(X113,Trigger),"")</f>
        <v/>
      </c>
      <c r="AD113" s="206" t="e">
        <v>#N/A</v>
      </c>
    </row>
    <row r="114" spans="1:30" x14ac:dyDescent="0.2">
      <c r="A114" s="58" t="s">
        <v>115</v>
      </c>
      <c r="B114" s="105" t="s">
        <v>56</v>
      </c>
      <c r="C114" s="60" t="s">
        <v>6</v>
      </c>
      <c r="D114" s="60" t="s">
        <v>140</v>
      </c>
      <c r="E114" s="60" t="s">
        <v>7</v>
      </c>
      <c r="F114" s="60" t="s">
        <v>141</v>
      </c>
      <c r="G114" s="60" t="str">
        <f t="shared" si="42"/>
        <v>GbpLibor3M</v>
      </c>
      <c r="H114" s="58" t="str">
        <f t="shared" si="43"/>
        <v>GBPSB6L6Y_Quote</v>
      </c>
      <c r="I114" s="58" t="str">
        <f t="shared" si="44"/>
        <v>GBP3L6L6Y_Quote</v>
      </c>
      <c r="J114" s="223" t="str">
        <f>IF(P102,_xll.qlSwapRateHelper2(,H114,0,B114,Calendar,D114,E114,F114,G114,I114,C114,Discounting,PillarDate,,Permanent,Trigger,ObjectOverwrite),"--")</f>
        <v>--</v>
      </c>
      <c r="L114" s="226" t="str">
        <f t="shared" si="37"/>
        <v>BasSw</v>
      </c>
      <c r="M114" s="230" t="str">
        <f t="shared" si="38"/>
        <v>GBPSB6L18Y_Quote</v>
      </c>
      <c r="N114" s="228" t="str">
        <f>IFERROR(_xll.qlQuoteValue(H126,Trigger),"--")</f>
        <v>--</v>
      </c>
      <c r="O114" s="228" t="str">
        <f>IFERROR(_xll.qlQuoteValue(I126,Trigger),"--")</f>
        <v>--</v>
      </c>
      <c r="P114" s="129" t="b">
        <v>0</v>
      </c>
      <c r="Q114" s="129">
        <v>40</v>
      </c>
      <c r="R114" s="129">
        <v>1</v>
      </c>
      <c r="S114" s="129" t="str">
        <f t="shared" si="39"/>
        <v>--</v>
      </c>
      <c r="T114" s="130" t="str">
        <f>IFERROR(_xll.qlRateHelperEarliestDate(S114,Trigger),"--")</f>
        <v>--</v>
      </c>
      <c r="U114" s="130" t="str">
        <f>IFERROR(_xll.qlRateHelperPillarDate(S114,Trigger),"--")</f>
        <v>--</v>
      </c>
      <c r="W114" s="3" t="str">
        <f t="shared" si="41"/>
        <v/>
      </c>
      <c r="X114" s="3" t="e">
        <v>#N/A</v>
      </c>
      <c r="Y114" s="3" t="str">
        <f>IFERROR(_xll.qlRateHelperQuoteName(X114,Trigger),"")</f>
        <v/>
      </c>
      <c r="Z114" s="67" t="str">
        <f>IFERROR(_xll.qlRateHelperRate(X114,Trigger),"")</f>
        <v/>
      </c>
      <c r="AA114" s="95" t="str">
        <f>IF(ISERROR(_xll.qlSwapRateHelperSpread($X114)),IF(ISERROR(_xll.qlFuturesRateHelperConvexityAdjustment($X114)),"",_xll.qlFuturesRateHelperConvexityAdjustment($X114)),_xll.qlSwapRateHelperSpread($X114))</f>
        <v/>
      </c>
      <c r="AB114" s="4" t="str">
        <f>IFERROR(_xll.qlRateHelperEarliestDate(X114,Trigger),"")</f>
        <v/>
      </c>
      <c r="AC114" s="4" t="str">
        <f>IFERROR(_xll.qlRateHelperPillarDate(X114,Trigger),"")</f>
        <v/>
      </c>
      <c r="AD114" s="206" t="e">
        <v>#N/A</v>
      </c>
    </row>
    <row r="115" spans="1:30" x14ac:dyDescent="0.2">
      <c r="A115" s="58" t="s">
        <v>115</v>
      </c>
      <c r="B115" s="105" t="s">
        <v>57</v>
      </c>
      <c r="C115" s="60" t="s">
        <v>6</v>
      </c>
      <c r="D115" s="60" t="s">
        <v>140</v>
      </c>
      <c r="E115" s="60" t="s">
        <v>7</v>
      </c>
      <c r="F115" s="60" t="s">
        <v>141</v>
      </c>
      <c r="G115" s="60" t="str">
        <f t="shared" si="42"/>
        <v>GbpLibor3M</v>
      </c>
      <c r="H115" s="58" t="str">
        <f t="shared" si="43"/>
        <v>GBPSB6L7Y_Quote</v>
      </c>
      <c r="I115" s="58" t="str">
        <f t="shared" si="44"/>
        <v>GBP3L6L7Y_Quote</v>
      </c>
      <c r="J115" s="223" t="str">
        <f>IF(P103,_xll.qlSwapRateHelper2(,H115,0,B115,Calendar,D115,E115,F115,G115,I115,C115,Discounting,PillarDate,,Permanent,Trigger,ObjectOverwrite),"--")</f>
        <v>--</v>
      </c>
      <c r="L115" s="226" t="str">
        <f t="shared" si="37"/>
        <v>BasSw</v>
      </c>
      <c r="M115" s="230" t="str">
        <f t="shared" si="38"/>
        <v>GBPSB6L19Y_Quote</v>
      </c>
      <c r="N115" s="228" t="str">
        <f>IFERROR(_xll.qlQuoteValue(H127,Trigger),"--")</f>
        <v>--</v>
      </c>
      <c r="O115" s="228" t="str">
        <f>IFERROR(_xll.qlQuoteValue(I127,Trigger),"--")</f>
        <v>--</v>
      </c>
      <c r="P115" s="129" t="b">
        <v>0</v>
      </c>
      <c r="Q115" s="129">
        <v>40</v>
      </c>
      <c r="R115" s="129">
        <v>1</v>
      </c>
      <c r="S115" s="129" t="str">
        <f t="shared" si="39"/>
        <v>--</v>
      </c>
      <c r="T115" s="130" t="str">
        <f>IFERROR(_xll.qlRateHelperEarliestDate(S115,Trigger),"--")</f>
        <v>--</v>
      </c>
      <c r="U115" s="130" t="str">
        <f>IFERROR(_xll.qlRateHelperPillarDate(S115,Trigger),"--")</f>
        <v>--</v>
      </c>
      <c r="W115" s="3" t="str">
        <f t="shared" si="41"/>
        <v/>
      </c>
      <c r="X115" s="3" t="e">
        <v>#N/A</v>
      </c>
      <c r="Y115" s="3" t="str">
        <f>IFERROR(_xll.qlRateHelperQuoteName(X115,Trigger),"")</f>
        <v/>
      </c>
      <c r="Z115" s="67" t="str">
        <f>IFERROR(_xll.qlRateHelperRate(X115,Trigger),"")</f>
        <v/>
      </c>
      <c r="AA115" s="95" t="str">
        <f>IF(ISERROR(_xll.qlSwapRateHelperSpread($X115)),IF(ISERROR(_xll.qlFuturesRateHelperConvexityAdjustment($X115)),"",_xll.qlFuturesRateHelperConvexityAdjustment($X115)),_xll.qlSwapRateHelperSpread($X115))</f>
        <v/>
      </c>
      <c r="AB115" s="4" t="str">
        <f>IFERROR(_xll.qlRateHelperEarliestDate(X115,Trigger),"")</f>
        <v/>
      </c>
      <c r="AC115" s="4" t="str">
        <f>IFERROR(_xll.qlRateHelperPillarDate(X115,Trigger),"")</f>
        <v/>
      </c>
      <c r="AD115" s="206" t="e">
        <v>#N/A</v>
      </c>
    </row>
    <row r="116" spans="1:30" x14ac:dyDescent="0.2">
      <c r="A116" s="58" t="s">
        <v>115</v>
      </c>
      <c r="B116" s="105" t="s">
        <v>58</v>
      </c>
      <c r="C116" s="60" t="s">
        <v>6</v>
      </c>
      <c r="D116" s="60" t="s">
        <v>140</v>
      </c>
      <c r="E116" s="60" t="s">
        <v>7</v>
      </c>
      <c r="F116" s="60" t="s">
        <v>141</v>
      </c>
      <c r="G116" s="60" t="str">
        <f t="shared" si="42"/>
        <v>GbpLibor3M</v>
      </c>
      <c r="H116" s="58" t="str">
        <f t="shared" si="43"/>
        <v>GBPSB6L8Y_Quote</v>
      </c>
      <c r="I116" s="58" t="str">
        <f t="shared" si="44"/>
        <v>GBP3L6L8Y_Quote</v>
      </c>
      <c r="J116" s="223" t="str">
        <f>IF(P104,_xll.qlSwapRateHelper2(,H116,0,B116,Calendar,D116,E116,F116,G116,I116,C116,Discounting,PillarDate,,Permanent,Trigger,ObjectOverwrite),"--")</f>
        <v>--</v>
      </c>
      <c r="L116" s="226" t="str">
        <f t="shared" si="37"/>
        <v>BasSw</v>
      </c>
      <c r="M116" s="230" t="str">
        <f t="shared" si="38"/>
        <v>GBPSB6L20Y_Quote</v>
      </c>
      <c r="N116" s="228">
        <f>IFERROR(_xll.qlQuoteValue(H128,Trigger),"--")</f>
        <v>1.09E-2</v>
      </c>
      <c r="O116" s="228">
        <f>IFERROR(_xll.qlQuoteValue(I128,Trigger),"--")</f>
        <v>5.9000000000000003E-4</v>
      </c>
      <c r="P116" s="129" t="b">
        <v>0</v>
      </c>
      <c r="Q116" s="129">
        <v>40</v>
      </c>
      <c r="R116" s="129">
        <v>1</v>
      </c>
      <c r="S116" s="129" t="str">
        <f t="shared" si="39"/>
        <v>--</v>
      </c>
      <c r="T116" s="130" t="str">
        <f>IFERROR(_xll.qlRateHelperEarliestDate(S116,Trigger),"--")</f>
        <v>--</v>
      </c>
      <c r="U116" s="130" t="str">
        <f>IFERROR(_xll.qlRateHelperPillarDate(S116,Trigger),"--")</f>
        <v>--</v>
      </c>
      <c r="W116" s="3" t="str">
        <f t="shared" si="41"/>
        <v/>
      </c>
      <c r="X116" s="3" t="e">
        <v>#N/A</v>
      </c>
      <c r="Y116" s="3" t="str">
        <f>IFERROR(_xll.qlRateHelperQuoteName(X116,Trigger),"")</f>
        <v/>
      </c>
      <c r="Z116" s="67" t="str">
        <f>IFERROR(_xll.qlRateHelperRate(X116,Trigger),"")</f>
        <v/>
      </c>
      <c r="AA116" s="95" t="str">
        <f>IF(ISERROR(_xll.qlSwapRateHelperSpread($X116)),IF(ISERROR(_xll.qlFuturesRateHelperConvexityAdjustment($X116)),"",_xll.qlFuturesRateHelperConvexityAdjustment($X116)),_xll.qlSwapRateHelperSpread($X116))</f>
        <v/>
      </c>
      <c r="AB116" s="4" t="str">
        <f>IFERROR(_xll.qlRateHelperEarliestDate(X116,Trigger),"")</f>
        <v/>
      </c>
      <c r="AC116" s="4" t="str">
        <f>IFERROR(_xll.qlRateHelperPillarDate(X116,Trigger),"")</f>
        <v/>
      </c>
      <c r="AD116" s="206" t="e">
        <v>#N/A</v>
      </c>
    </row>
    <row r="117" spans="1:30" x14ac:dyDescent="0.2">
      <c r="A117" s="58" t="s">
        <v>115</v>
      </c>
      <c r="B117" s="105" t="s">
        <v>59</v>
      </c>
      <c r="C117" s="60" t="s">
        <v>6</v>
      </c>
      <c r="D117" s="60" t="s">
        <v>140</v>
      </c>
      <c r="E117" s="60" t="s">
        <v>7</v>
      </c>
      <c r="F117" s="60" t="s">
        <v>141</v>
      </c>
      <c r="G117" s="60" t="str">
        <f t="shared" si="42"/>
        <v>GbpLibor3M</v>
      </c>
      <c r="H117" s="58" t="str">
        <f t="shared" si="43"/>
        <v>GBPSB6L9Y_Quote</v>
      </c>
      <c r="I117" s="58" t="str">
        <f t="shared" si="44"/>
        <v>GBP3L6L9Y_Quote</v>
      </c>
      <c r="J117" s="223" t="str">
        <f>IF(P105,_xll.qlSwapRateHelper2(,H117,0,B117,Calendar,D117,E117,F117,G117,I117,C117,Discounting,PillarDate,,Permanent,Trigger,ObjectOverwrite),"--")</f>
        <v>--</v>
      </c>
      <c r="L117" s="226" t="str">
        <f t="shared" si="37"/>
        <v>BasSw</v>
      </c>
      <c r="M117" s="230" t="str">
        <f t="shared" si="38"/>
        <v>GBPSB6L21Y_Quote</v>
      </c>
      <c r="N117" s="228" t="str">
        <f>IFERROR(_xll.qlQuoteValue(H129,Trigger),"--")</f>
        <v>--</v>
      </c>
      <c r="O117" s="228" t="str">
        <f>IFERROR(_xll.qlQuoteValue(I129,Trigger),"--")</f>
        <v>--</v>
      </c>
      <c r="P117" s="129" t="b">
        <v>0</v>
      </c>
      <c r="Q117" s="129">
        <v>40</v>
      </c>
      <c r="R117" s="129">
        <v>1</v>
      </c>
      <c r="S117" s="129" t="str">
        <f t="shared" si="39"/>
        <v>--</v>
      </c>
      <c r="T117" s="130" t="str">
        <f>IFERROR(_xll.qlRateHelperEarliestDate(S117,Trigger),"--")</f>
        <v>--</v>
      </c>
      <c r="U117" s="130" t="str">
        <f>IFERROR(_xll.qlRateHelperPillarDate(S117,Trigger),"--")</f>
        <v>--</v>
      </c>
      <c r="W117" s="3" t="str">
        <f t="shared" si="41"/>
        <v/>
      </c>
      <c r="X117" s="3" t="e">
        <v>#N/A</v>
      </c>
      <c r="Y117" s="3" t="str">
        <f>IFERROR(_xll.qlRateHelperQuoteName(X117,Trigger),"")</f>
        <v/>
      </c>
      <c r="Z117" s="67" t="str">
        <f>IFERROR(_xll.qlRateHelperRate(X117,Trigger),"")</f>
        <v/>
      </c>
      <c r="AA117" s="95" t="str">
        <f>IF(ISERROR(_xll.qlSwapRateHelperSpread($X117)),IF(ISERROR(_xll.qlFuturesRateHelperConvexityAdjustment($X117)),"",_xll.qlFuturesRateHelperConvexityAdjustment($X117)),_xll.qlSwapRateHelperSpread($X117))</f>
        <v/>
      </c>
      <c r="AB117" s="4" t="str">
        <f>IFERROR(_xll.qlRateHelperEarliestDate(X117,Trigger),"")</f>
        <v/>
      </c>
      <c r="AC117" s="4" t="str">
        <f>IFERROR(_xll.qlRateHelperPillarDate(X117,Trigger),"")</f>
        <v/>
      </c>
      <c r="AD117" s="206" t="e">
        <v>#N/A</v>
      </c>
    </row>
    <row r="118" spans="1:30" x14ac:dyDescent="0.2">
      <c r="A118" s="58" t="s">
        <v>115</v>
      </c>
      <c r="B118" s="105" t="s">
        <v>60</v>
      </c>
      <c r="C118" s="60" t="s">
        <v>6</v>
      </c>
      <c r="D118" s="60" t="s">
        <v>140</v>
      </c>
      <c r="E118" s="60" t="s">
        <v>7</v>
      </c>
      <c r="F118" s="60" t="s">
        <v>141</v>
      </c>
      <c r="G118" s="60" t="str">
        <f t="shared" si="42"/>
        <v>GbpLibor3M</v>
      </c>
      <c r="H118" s="58" t="str">
        <f t="shared" si="43"/>
        <v>GBPSB6L10Y_Quote</v>
      </c>
      <c r="I118" s="58" t="str">
        <f t="shared" si="44"/>
        <v>GBP3L6L10Y_Quote</v>
      </c>
      <c r="J118" s="223" t="str">
        <f>IF(P106,_xll.qlSwapRateHelper2(,H118,0,B118,Calendar,D118,E118,F118,G118,I118,C118,Discounting,PillarDate,,Permanent,Trigger,ObjectOverwrite),"--")</f>
        <v>--</v>
      </c>
      <c r="L118" s="226" t="str">
        <f t="shared" si="37"/>
        <v>BasSw</v>
      </c>
      <c r="M118" s="230" t="str">
        <f t="shared" si="38"/>
        <v>GBPSB6L22Y_Quote</v>
      </c>
      <c r="N118" s="228" t="str">
        <f>IFERROR(_xll.qlQuoteValue(H130,Trigger),"--")</f>
        <v>--</v>
      </c>
      <c r="O118" s="228" t="str">
        <f>IFERROR(_xll.qlQuoteValue(I130,Trigger),"--")</f>
        <v>--</v>
      </c>
      <c r="P118" s="129" t="b">
        <v>0</v>
      </c>
      <c r="Q118" s="129">
        <v>40</v>
      </c>
      <c r="R118" s="129">
        <v>1</v>
      </c>
      <c r="S118" s="129" t="str">
        <f t="shared" si="39"/>
        <v>--</v>
      </c>
      <c r="T118" s="130" t="str">
        <f>IFERROR(_xll.qlRateHelperEarliestDate(S118,Trigger),"--")</f>
        <v>--</v>
      </c>
      <c r="U118" s="130" t="str">
        <f>IFERROR(_xll.qlRateHelperPillarDate(S118,Trigger),"--")</f>
        <v>--</v>
      </c>
      <c r="W118" s="3" t="str">
        <f t="shared" si="41"/>
        <v/>
      </c>
      <c r="X118" s="3" t="e">
        <v>#N/A</v>
      </c>
      <c r="Y118" s="3" t="str">
        <f>IFERROR(_xll.qlRateHelperQuoteName(X118,Trigger),"")</f>
        <v/>
      </c>
      <c r="Z118" s="67" t="str">
        <f>IFERROR(_xll.qlRateHelperRate(X118,Trigger),"")</f>
        <v/>
      </c>
      <c r="AA118" s="95" t="str">
        <f>IF(ISERROR(_xll.qlSwapRateHelperSpread($X118)),IF(ISERROR(_xll.qlFuturesRateHelperConvexityAdjustment($X118)),"",_xll.qlFuturesRateHelperConvexityAdjustment($X118)),_xll.qlSwapRateHelperSpread($X118))</f>
        <v/>
      </c>
      <c r="AB118" s="4" t="str">
        <f>IFERROR(_xll.qlRateHelperEarliestDate(X118,Trigger),"")</f>
        <v/>
      </c>
      <c r="AC118" s="4" t="str">
        <f>IFERROR(_xll.qlRateHelperPillarDate(X118,Trigger),"")</f>
        <v/>
      </c>
      <c r="AD118" s="206" t="e">
        <v>#N/A</v>
      </c>
    </row>
    <row r="119" spans="1:30" x14ac:dyDescent="0.2">
      <c r="A119" s="58" t="s">
        <v>115</v>
      </c>
      <c r="B119" s="105" t="s">
        <v>97</v>
      </c>
      <c r="C119" s="60" t="s">
        <v>6</v>
      </c>
      <c r="D119" s="60" t="s">
        <v>140</v>
      </c>
      <c r="E119" s="60" t="s">
        <v>7</v>
      </c>
      <c r="F119" s="60" t="s">
        <v>141</v>
      </c>
      <c r="G119" s="60" t="str">
        <f t="shared" si="42"/>
        <v>GbpLibor3M</v>
      </c>
      <c r="H119" s="58" t="str">
        <f t="shared" si="43"/>
        <v>GBPSB6L11Y_Quote</v>
      </c>
      <c r="I119" s="58" t="str">
        <f t="shared" si="44"/>
        <v>GBP3L6L11Y_Quote</v>
      </c>
      <c r="J119" s="223" t="str">
        <f>IF(P107,_xll.qlSwapRateHelper2(,H119,0,B119,Calendar,D119,E119,F119,G119,I119,C119,Discounting,PillarDate,,Permanent,Trigger,ObjectOverwrite),"--")</f>
        <v>--</v>
      </c>
      <c r="L119" s="226" t="str">
        <f t="shared" si="37"/>
        <v>BasSw</v>
      </c>
      <c r="M119" s="230" t="str">
        <f t="shared" si="38"/>
        <v>GBPSB6L23Y_Quote</v>
      </c>
      <c r="N119" s="228" t="str">
        <f>IFERROR(_xll.qlQuoteValue(H131,Trigger),"--")</f>
        <v>--</v>
      </c>
      <c r="O119" s="228" t="str">
        <f>IFERROR(_xll.qlQuoteValue(I131,Trigger),"--")</f>
        <v>--</v>
      </c>
      <c r="P119" s="129" t="b">
        <v>0</v>
      </c>
      <c r="Q119" s="129">
        <v>40</v>
      </c>
      <c r="R119" s="129">
        <v>1</v>
      </c>
      <c r="S119" s="129" t="str">
        <f t="shared" si="39"/>
        <v>--</v>
      </c>
      <c r="T119" s="130" t="str">
        <f>IFERROR(_xll.qlRateHelperEarliestDate(S119,Trigger),"--")</f>
        <v>--</v>
      </c>
      <c r="U119" s="130" t="str">
        <f>IFERROR(_xll.qlRateHelperPillarDate(S119,Trigger),"--")</f>
        <v>--</v>
      </c>
      <c r="W119" s="3" t="str">
        <f t="shared" si="41"/>
        <v/>
      </c>
      <c r="X119" s="3" t="e">
        <v>#N/A</v>
      </c>
      <c r="Y119" s="3" t="str">
        <f>IFERROR(_xll.qlRateHelperQuoteName(X119,Trigger),"")</f>
        <v/>
      </c>
      <c r="Z119" s="67" t="str">
        <f>IFERROR(_xll.qlRateHelperRate(X119,Trigger),"")</f>
        <v/>
      </c>
      <c r="AA119" s="95" t="str">
        <f>IF(ISERROR(_xll.qlSwapRateHelperSpread($X119)),IF(ISERROR(_xll.qlFuturesRateHelperConvexityAdjustment($X119)),"",_xll.qlFuturesRateHelperConvexityAdjustment($X119)),_xll.qlSwapRateHelperSpread($X119))</f>
        <v/>
      </c>
      <c r="AB119" s="4" t="str">
        <f>IFERROR(_xll.qlRateHelperEarliestDate(X119,Trigger),"")</f>
        <v/>
      </c>
      <c r="AC119" s="4" t="str">
        <f>IFERROR(_xll.qlRateHelperPillarDate(X119,Trigger),"")</f>
        <v/>
      </c>
      <c r="AD119" s="206" t="e">
        <v>#N/A</v>
      </c>
    </row>
    <row r="120" spans="1:30" x14ac:dyDescent="0.2">
      <c r="A120" s="58" t="s">
        <v>115</v>
      </c>
      <c r="B120" s="105" t="s">
        <v>61</v>
      </c>
      <c r="C120" s="60" t="s">
        <v>6</v>
      </c>
      <c r="D120" s="60" t="s">
        <v>140</v>
      </c>
      <c r="E120" s="60" t="s">
        <v>7</v>
      </c>
      <c r="F120" s="60" t="s">
        <v>141</v>
      </c>
      <c r="G120" s="60" t="str">
        <f t="shared" si="42"/>
        <v>GbpLibor3M</v>
      </c>
      <c r="H120" s="58" t="str">
        <f t="shared" si="43"/>
        <v>GBPSB6L12Y_Quote</v>
      </c>
      <c r="I120" s="58" t="str">
        <f t="shared" si="44"/>
        <v>GBP3L6L12Y_Quote</v>
      </c>
      <c r="J120" s="223" t="str">
        <f>IF(P108,_xll.qlSwapRateHelper2(,H120,0,B120,Calendar,D120,E120,F120,G120,I120,C120,Discounting,PillarDate,,Permanent,Trigger,ObjectOverwrite),"--")</f>
        <v>--</v>
      </c>
      <c r="L120" s="226" t="str">
        <f t="shared" si="37"/>
        <v>BasSw</v>
      </c>
      <c r="M120" s="230" t="str">
        <f t="shared" si="38"/>
        <v>GBPSB6L24Y_Quote</v>
      </c>
      <c r="N120" s="228" t="str">
        <f>IFERROR(_xll.qlQuoteValue(H132,Trigger),"--")</f>
        <v>--</v>
      </c>
      <c r="O120" s="228" t="str">
        <f>IFERROR(_xll.qlQuoteValue(I132,Trigger),"--")</f>
        <v>--</v>
      </c>
      <c r="P120" s="129" t="b">
        <v>0</v>
      </c>
      <c r="Q120" s="129">
        <v>40</v>
      </c>
      <c r="R120" s="129">
        <v>1</v>
      </c>
      <c r="S120" s="129" t="str">
        <f t="shared" si="39"/>
        <v>--</v>
      </c>
      <c r="T120" s="130" t="str">
        <f>IFERROR(_xll.qlRateHelperEarliestDate(S120,Trigger),"--")</f>
        <v>--</v>
      </c>
      <c r="U120" s="130" t="str">
        <f>IFERROR(_xll.qlRateHelperPillarDate(S120,Trigger),"--")</f>
        <v>--</v>
      </c>
      <c r="W120" s="3" t="str">
        <f t="shared" si="41"/>
        <v/>
      </c>
      <c r="X120" s="3" t="e">
        <v>#N/A</v>
      </c>
      <c r="Y120" s="3" t="str">
        <f>IFERROR(_xll.qlRateHelperQuoteName(X120,Trigger),"")</f>
        <v/>
      </c>
      <c r="Z120" s="67" t="str">
        <f>IFERROR(_xll.qlRateHelperRate(X120,Trigger),"")</f>
        <v/>
      </c>
      <c r="AA120" s="95" t="str">
        <f>IF(ISERROR(_xll.qlSwapRateHelperSpread($X120)),IF(ISERROR(_xll.qlFuturesRateHelperConvexityAdjustment($X120)),"",_xll.qlFuturesRateHelperConvexityAdjustment($X120)),_xll.qlSwapRateHelperSpread($X120))</f>
        <v/>
      </c>
      <c r="AB120" s="4" t="str">
        <f>IFERROR(_xll.qlRateHelperEarliestDate(X120,Trigger),"")</f>
        <v/>
      </c>
      <c r="AC120" s="4" t="str">
        <f>IFERROR(_xll.qlRateHelperPillarDate(X120,Trigger),"")</f>
        <v/>
      </c>
      <c r="AD120" s="206" t="e">
        <v>#N/A</v>
      </c>
    </row>
    <row r="121" spans="1:30" x14ac:dyDescent="0.2">
      <c r="A121" s="58" t="s">
        <v>115</v>
      </c>
      <c r="B121" s="105" t="s">
        <v>98</v>
      </c>
      <c r="C121" s="60" t="s">
        <v>6</v>
      </c>
      <c r="D121" s="60" t="s">
        <v>140</v>
      </c>
      <c r="E121" s="60" t="s">
        <v>7</v>
      </c>
      <c r="F121" s="60" t="s">
        <v>141</v>
      </c>
      <c r="G121" s="60" t="str">
        <f t="shared" si="42"/>
        <v>GbpLibor3M</v>
      </c>
      <c r="H121" s="58" t="str">
        <f t="shared" si="43"/>
        <v>GBPSB6L13Y_Quote</v>
      </c>
      <c r="I121" s="58" t="str">
        <f t="shared" si="44"/>
        <v>GBP3L6L13Y_Quote</v>
      </c>
      <c r="J121" s="223" t="str">
        <f>IF(P109,_xll.qlSwapRateHelper2(,H121,0,B121,Calendar,D121,E121,F121,G121,I121,C121,Discounting,PillarDate,,Permanent,Trigger,ObjectOverwrite),"--")</f>
        <v>--</v>
      </c>
      <c r="L121" s="226" t="str">
        <f t="shared" si="37"/>
        <v>BasSw</v>
      </c>
      <c r="M121" s="230" t="str">
        <f t="shared" si="38"/>
        <v>GBPSB6L25Y_Quote</v>
      </c>
      <c r="N121" s="228">
        <f>IFERROR(_xll.qlQuoteValue(H133,Trigger),"--")</f>
        <v>1.085E-2</v>
      </c>
      <c r="O121" s="228">
        <f>IFERROR(_xll.qlQuoteValue(I133,Trigger),"--")</f>
        <v>4.8999999999999998E-4</v>
      </c>
      <c r="P121" s="129" t="b">
        <v>0</v>
      </c>
      <c r="Q121" s="129">
        <v>40</v>
      </c>
      <c r="R121" s="129">
        <v>1</v>
      </c>
      <c r="S121" s="129" t="str">
        <f t="shared" si="39"/>
        <v>--</v>
      </c>
      <c r="T121" s="130" t="str">
        <f>IFERROR(_xll.qlRateHelperEarliestDate(S121,Trigger),"--")</f>
        <v>--</v>
      </c>
      <c r="U121" s="130" t="str">
        <f>IFERROR(_xll.qlRateHelperPillarDate(S121,Trigger),"--")</f>
        <v>--</v>
      </c>
      <c r="W121" s="3" t="str">
        <f t="shared" si="41"/>
        <v/>
      </c>
      <c r="X121" s="3" t="e">
        <v>#N/A</v>
      </c>
      <c r="Y121" s="3" t="str">
        <f>IFERROR(_xll.qlRateHelperQuoteName(X121,Trigger),"")</f>
        <v/>
      </c>
      <c r="Z121" s="67" t="str">
        <f>IFERROR(_xll.qlRateHelperRate(X121,Trigger),"")</f>
        <v/>
      </c>
      <c r="AA121" s="95" t="str">
        <f>IF(ISERROR(_xll.qlSwapRateHelperSpread($X121)),IF(ISERROR(_xll.qlFuturesRateHelperConvexityAdjustment($X121)),"",_xll.qlFuturesRateHelperConvexityAdjustment($X121)),_xll.qlSwapRateHelperSpread($X121))</f>
        <v/>
      </c>
      <c r="AB121" s="4" t="str">
        <f>IFERROR(_xll.qlRateHelperEarliestDate(X121,Trigger),"")</f>
        <v/>
      </c>
      <c r="AC121" s="4" t="str">
        <f>IFERROR(_xll.qlRateHelperPillarDate(X121,Trigger),"")</f>
        <v/>
      </c>
      <c r="AD121" s="206" t="e">
        <v>#N/A</v>
      </c>
    </row>
    <row r="122" spans="1:30" x14ac:dyDescent="0.2">
      <c r="A122" s="58" t="s">
        <v>115</v>
      </c>
      <c r="B122" s="105" t="s">
        <v>99</v>
      </c>
      <c r="C122" s="60" t="s">
        <v>6</v>
      </c>
      <c r="D122" s="60" t="s">
        <v>140</v>
      </c>
      <c r="E122" s="60" t="s">
        <v>7</v>
      </c>
      <c r="F122" s="60" t="s">
        <v>141</v>
      </c>
      <c r="G122" s="60" t="str">
        <f t="shared" si="42"/>
        <v>GbpLibor3M</v>
      </c>
      <c r="H122" s="58" t="str">
        <f t="shared" si="43"/>
        <v>GBPSB6L14Y_Quote</v>
      </c>
      <c r="I122" s="58" t="str">
        <f t="shared" si="44"/>
        <v>GBP3L6L14Y_Quote</v>
      </c>
      <c r="J122" s="223" t="str">
        <f>IF(P110,_xll.qlSwapRateHelper2(,H122,0,B122,Calendar,D122,E122,F122,G122,I122,C122,Discounting,PillarDate,,Permanent,Trigger,ObjectOverwrite),"--")</f>
        <v>--</v>
      </c>
      <c r="L122" s="226" t="str">
        <f t="shared" si="37"/>
        <v>BasSw</v>
      </c>
      <c r="M122" s="230" t="str">
        <f t="shared" si="38"/>
        <v>GBPSB6L26Y_Quote</v>
      </c>
      <c r="N122" s="228" t="str">
        <f>IFERROR(_xll.qlQuoteValue(H134,Trigger),"--")</f>
        <v>--</v>
      </c>
      <c r="O122" s="228" t="str">
        <f>IFERROR(_xll.qlQuoteValue(I134,Trigger),"--")</f>
        <v>--</v>
      </c>
      <c r="P122" s="129" t="b">
        <v>0</v>
      </c>
      <c r="Q122" s="129">
        <v>40</v>
      </c>
      <c r="R122" s="129">
        <v>1</v>
      </c>
      <c r="S122" s="129" t="str">
        <f t="shared" si="39"/>
        <v>--</v>
      </c>
      <c r="T122" s="130" t="str">
        <f>IFERROR(_xll.qlRateHelperEarliestDate(S122,Trigger),"--")</f>
        <v>--</v>
      </c>
      <c r="U122" s="130" t="str">
        <f>IFERROR(_xll.qlRateHelperPillarDate(S122,Trigger),"--")</f>
        <v>--</v>
      </c>
      <c r="W122" s="3" t="str">
        <f t="shared" si="41"/>
        <v/>
      </c>
      <c r="X122" s="3" t="e">
        <v>#N/A</v>
      </c>
      <c r="Y122" s="3" t="str">
        <f>IFERROR(_xll.qlRateHelperQuoteName(X122,Trigger),"")</f>
        <v/>
      </c>
      <c r="Z122" s="67" t="str">
        <f>IFERROR(_xll.qlRateHelperRate(X122,Trigger),"")</f>
        <v/>
      </c>
      <c r="AA122" s="95" t="str">
        <f>IF(ISERROR(_xll.qlSwapRateHelperSpread($X122)),IF(ISERROR(_xll.qlFuturesRateHelperConvexityAdjustment($X122)),"",_xll.qlFuturesRateHelperConvexityAdjustment($X122)),_xll.qlSwapRateHelperSpread($X122))</f>
        <v/>
      </c>
      <c r="AB122" s="4" t="str">
        <f>IFERROR(_xll.qlRateHelperEarliestDate(X122,Trigger),"")</f>
        <v/>
      </c>
      <c r="AC122" s="4" t="str">
        <f>IFERROR(_xll.qlRateHelperPillarDate(X122,Trigger),"")</f>
        <v/>
      </c>
      <c r="AD122" s="206" t="e">
        <v>#N/A</v>
      </c>
    </row>
    <row r="123" spans="1:30" x14ac:dyDescent="0.2">
      <c r="A123" s="58" t="s">
        <v>115</v>
      </c>
      <c r="B123" s="105" t="s">
        <v>62</v>
      </c>
      <c r="C123" s="60" t="s">
        <v>6</v>
      </c>
      <c r="D123" s="60" t="s">
        <v>140</v>
      </c>
      <c r="E123" s="60" t="s">
        <v>7</v>
      </c>
      <c r="F123" s="60" t="s">
        <v>141</v>
      </c>
      <c r="G123" s="60" t="str">
        <f t="shared" si="42"/>
        <v>GbpLibor3M</v>
      </c>
      <c r="H123" s="58" t="str">
        <f t="shared" si="43"/>
        <v>GBPSB6L15Y_Quote</v>
      </c>
      <c r="I123" s="58" t="str">
        <f t="shared" si="44"/>
        <v>GBP3L6L15Y_Quote</v>
      </c>
      <c r="J123" s="223" t="str">
        <f>IF(P111,_xll.qlSwapRateHelper2(,H123,0,B123,Calendar,D123,E123,F123,G123,I123,C123,Discounting,PillarDate,,Permanent,Trigger,ObjectOverwrite),"--")</f>
        <v>--</v>
      </c>
      <c r="L123" s="226" t="str">
        <f t="shared" si="37"/>
        <v>BasSw</v>
      </c>
      <c r="M123" s="230" t="str">
        <f t="shared" si="38"/>
        <v>GBPSB6L27Y_Quote</v>
      </c>
      <c r="N123" s="228" t="str">
        <f>IFERROR(_xll.qlQuoteValue(H135,Trigger),"--")</f>
        <v>--</v>
      </c>
      <c r="O123" s="228" t="str">
        <f>IFERROR(_xll.qlQuoteValue(I135,Trigger),"--")</f>
        <v>--</v>
      </c>
      <c r="P123" s="129" t="b">
        <v>0</v>
      </c>
      <c r="Q123" s="129">
        <v>40</v>
      </c>
      <c r="R123" s="129">
        <v>1</v>
      </c>
      <c r="S123" s="129" t="str">
        <f t="shared" si="39"/>
        <v>--</v>
      </c>
      <c r="T123" s="130" t="str">
        <f>IFERROR(_xll.qlRateHelperEarliestDate(S123,Trigger),"--")</f>
        <v>--</v>
      </c>
      <c r="U123" s="130" t="str">
        <f>IFERROR(_xll.qlRateHelperPillarDate(S123,Trigger),"--")</f>
        <v>--</v>
      </c>
      <c r="W123" s="3" t="str">
        <f t="shared" si="41"/>
        <v/>
      </c>
      <c r="X123" s="3" t="e">
        <v>#N/A</v>
      </c>
      <c r="Y123" s="3" t="str">
        <f>IFERROR(_xll.qlRateHelperQuoteName(X123,Trigger),"")</f>
        <v/>
      </c>
      <c r="Z123" s="67" t="str">
        <f>IFERROR(_xll.qlRateHelperRate(X123,Trigger),"")</f>
        <v/>
      </c>
      <c r="AA123" s="95" t="str">
        <f>IF(ISERROR(_xll.qlSwapRateHelperSpread($X123)),IF(ISERROR(_xll.qlFuturesRateHelperConvexityAdjustment($X123)),"",_xll.qlFuturesRateHelperConvexityAdjustment($X123)),_xll.qlSwapRateHelperSpread($X123))</f>
        <v/>
      </c>
      <c r="AB123" s="4" t="str">
        <f>IFERROR(_xll.qlRateHelperEarliestDate(X123,Trigger),"")</f>
        <v/>
      </c>
      <c r="AC123" s="4" t="str">
        <f>IFERROR(_xll.qlRateHelperPillarDate(X123,Trigger),"")</f>
        <v/>
      </c>
      <c r="AD123" s="206" t="e">
        <v>#N/A</v>
      </c>
    </row>
    <row r="124" spans="1:30" x14ac:dyDescent="0.2">
      <c r="A124" s="58" t="s">
        <v>115</v>
      </c>
      <c r="B124" s="105" t="s">
        <v>100</v>
      </c>
      <c r="C124" s="60" t="s">
        <v>6</v>
      </c>
      <c r="D124" s="60" t="s">
        <v>140</v>
      </c>
      <c r="E124" s="60" t="s">
        <v>7</v>
      </c>
      <c r="F124" s="60" t="s">
        <v>141</v>
      </c>
      <c r="G124" s="60" t="str">
        <f t="shared" si="42"/>
        <v>GbpLibor3M</v>
      </c>
      <c r="H124" s="58" t="str">
        <f t="shared" si="43"/>
        <v>GBPSB6L16Y_Quote</v>
      </c>
      <c r="I124" s="58" t="str">
        <f t="shared" si="44"/>
        <v>GBP3L6L16Y_Quote</v>
      </c>
      <c r="J124" s="223" t="str">
        <f>IF(P112,_xll.qlSwapRateHelper2(,H124,0,B124,Calendar,D124,E124,F124,G124,I124,C124,Discounting,PillarDate,,Permanent,Trigger,ObjectOverwrite),"--")</f>
        <v>--</v>
      </c>
      <c r="L124" s="226" t="str">
        <f t="shared" si="37"/>
        <v>BasSw</v>
      </c>
      <c r="M124" s="230" t="str">
        <f t="shared" si="38"/>
        <v>GBPSB6L28Y_Quote</v>
      </c>
      <c r="N124" s="228" t="str">
        <f>IFERROR(_xll.qlQuoteValue(H136,Trigger),"--")</f>
        <v>--</v>
      </c>
      <c r="O124" s="228" t="str">
        <f>IFERROR(_xll.qlQuoteValue(I136,Trigger),"--")</f>
        <v>--</v>
      </c>
      <c r="P124" s="129" t="b">
        <v>0</v>
      </c>
      <c r="Q124" s="129">
        <v>40</v>
      </c>
      <c r="R124" s="129">
        <v>1</v>
      </c>
      <c r="S124" s="129" t="str">
        <f t="shared" si="39"/>
        <v>--</v>
      </c>
      <c r="T124" s="130" t="str">
        <f>IFERROR(_xll.qlRateHelperEarliestDate(S124,Trigger),"--")</f>
        <v>--</v>
      </c>
      <c r="U124" s="130" t="str">
        <f>IFERROR(_xll.qlRateHelperPillarDate(S124,Trigger),"--")</f>
        <v>--</v>
      </c>
      <c r="W124" s="3" t="str">
        <f t="shared" si="41"/>
        <v/>
      </c>
      <c r="X124" s="3" t="e">
        <v>#N/A</v>
      </c>
      <c r="Y124" s="3" t="str">
        <f>IFERROR(_xll.qlRateHelperQuoteName(X124,Trigger),"")</f>
        <v/>
      </c>
      <c r="Z124" s="67" t="str">
        <f>IFERROR(_xll.qlRateHelperRate(X124,Trigger),"")</f>
        <v/>
      </c>
      <c r="AA124" s="95" t="str">
        <f>IF(ISERROR(_xll.qlSwapRateHelperSpread($X124)),IF(ISERROR(_xll.qlFuturesRateHelperConvexityAdjustment($X124)),"",_xll.qlFuturesRateHelperConvexityAdjustment($X124)),_xll.qlSwapRateHelperSpread($X124))</f>
        <v/>
      </c>
      <c r="AB124" s="4" t="str">
        <f>IFERROR(_xll.qlRateHelperEarliestDate(X124,Trigger),"")</f>
        <v/>
      </c>
      <c r="AC124" s="4" t="str">
        <f>IFERROR(_xll.qlRateHelperPillarDate(X124,Trigger),"")</f>
        <v/>
      </c>
      <c r="AD124" s="206" t="e">
        <v>#N/A</v>
      </c>
    </row>
    <row r="125" spans="1:30" x14ac:dyDescent="0.2">
      <c r="A125" s="58" t="s">
        <v>115</v>
      </c>
      <c r="B125" s="105" t="s">
        <v>101</v>
      </c>
      <c r="C125" s="60" t="s">
        <v>6</v>
      </c>
      <c r="D125" s="60" t="s">
        <v>140</v>
      </c>
      <c r="E125" s="60" t="s">
        <v>7</v>
      </c>
      <c r="F125" s="60" t="s">
        <v>141</v>
      </c>
      <c r="G125" s="60" t="str">
        <f t="shared" si="42"/>
        <v>GbpLibor3M</v>
      </c>
      <c r="H125" s="58" t="str">
        <f t="shared" si="43"/>
        <v>GBPSB6L17Y_Quote</v>
      </c>
      <c r="I125" s="58" t="str">
        <f t="shared" si="44"/>
        <v>GBP3L6L17Y_Quote</v>
      </c>
      <c r="J125" s="223" t="str">
        <f>IF(P113,_xll.qlSwapRateHelper2(,H125,0,B125,Calendar,D125,E125,F125,G125,I125,C125,Discounting,PillarDate,,Permanent,Trigger,ObjectOverwrite),"--")</f>
        <v>--</v>
      </c>
      <c r="L125" s="226" t="str">
        <f t="shared" si="37"/>
        <v>BasSw</v>
      </c>
      <c r="M125" s="230" t="str">
        <f t="shared" si="38"/>
        <v>GBPSB6L29Y_Quote</v>
      </c>
      <c r="N125" s="228" t="str">
        <f>IFERROR(_xll.qlQuoteValue(H137,Trigger),"--")</f>
        <v>--</v>
      </c>
      <c r="O125" s="228" t="str">
        <f>IFERROR(_xll.qlQuoteValue(I137,Trigger),"--")</f>
        <v>--</v>
      </c>
      <c r="P125" s="129" t="b">
        <v>0</v>
      </c>
      <c r="Q125" s="129">
        <v>40</v>
      </c>
      <c r="R125" s="129">
        <v>1</v>
      </c>
      <c r="S125" s="129" t="str">
        <f t="shared" si="39"/>
        <v>--</v>
      </c>
      <c r="T125" s="130" t="str">
        <f>IFERROR(_xll.qlRateHelperEarliestDate(S125,Trigger),"--")</f>
        <v>--</v>
      </c>
      <c r="U125" s="130" t="str">
        <f>IFERROR(_xll.qlRateHelperPillarDate(S125,Trigger),"--")</f>
        <v>--</v>
      </c>
      <c r="W125" s="3" t="str">
        <f t="shared" si="41"/>
        <v/>
      </c>
      <c r="X125" s="3" t="e">
        <v>#N/A</v>
      </c>
      <c r="Y125" s="3" t="str">
        <f>IFERROR(_xll.qlRateHelperQuoteName(X125,Trigger),"")</f>
        <v/>
      </c>
      <c r="Z125" s="67" t="str">
        <f>IFERROR(_xll.qlRateHelperRate(X125,Trigger),"")</f>
        <v/>
      </c>
      <c r="AA125" s="95" t="str">
        <f>IF(ISERROR(_xll.qlSwapRateHelperSpread($X125)),IF(ISERROR(_xll.qlFuturesRateHelperConvexityAdjustment($X125)),"",_xll.qlFuturesRateHelperConvexityAdjustment($X125)),_xll.qlSwapRateHelperSpread($X125))</f>
        <v/>
      </c>
      <c r="AB125" s="4" t="str">
        <f>IFERROR(_xll.qlRateHelperEarliestDate(X125,Trigger),"")</f>
        <v/>
      </c>
      <c r="AC125" s="4" t="str">
        <f>IFERROR(_xll.qlRateHelperPillarDate(X125,Trigger),"")</f>
        <v/>
      </c>
      <c r="AD125" s="206" t="e">
        <v>#N/A</v>
      </c>
    </row>
    <row r="126" spans="1:30" x14ac:dyDescent="0.2">
      <c r="A126" s="58" t="s">
        <v>115</v>
      </c>
      <c r="B126" s="105" t="s">
        <v>102</v>
      </c>
      <c r="C126" s="60" t="s">
        <v>6</v>
      </c>
      <c r="D126" s="60" t="s">
        <v>140</v>
      </c>
      <c r="E126" s="60" t="s">
        <v>7</v>
      </c>
      <c r="F126" s="60" t="s">
        <v>141</v>
      </c>
      <c r="G126" s="60" t="str">
        <f t="shared" si="42"/>
        <v>GbpLibor3M</v>
      </c>
      <c r="H126" s="58" t="str">
        <f t="shared" si="43"/>
        <v>GBPSB6L18Y_Quote</v>
      </c>
      <c r="I126" s="58" t="str">
        <f t="shared" si="44"/>
        <v>GBP3L6L18Y_Quote</v>
      </c>
      <c r="J126" s="223" t="str">
        <f>IF(P114,_xll.qlSwapRateHelper2(,H126,0,B126,Calendar,D126,E126,F126,G126,I126,C126,Discounting,PillarDate,,Permanent,Trigger,ObjectOverwrite),"--")</f>
        <v>--</v>
      </c>
      <c r="L126" s="226" t="str">
        <f t="shared" si="37"/>
        <v>BasSw</v>
      </c>
      <c r="M126" s="230" t="str">
        <f t="shared" si="38"/>
        <v>GBPSB6L30Y_Quote</v>
      </c>
      <c r="N126" s="228">
        <f>IFERROR(_xll.qlQuoteValue(H138,Trigger),"--")</f>
        <v>1.0710000000000003E-2</v>
      </c>
      <c r="O126" s="228">
        <f>IFERROR(_xll.qlQuoteValue(I138,Trigger),"--")</f>
        <v>4.2000000000000002E-4</v>
      </c>
      <c r="P126" s="129" t="b">
        <v>0</v>
      </c>
      <c r="Q126" s="129">
        <v>40</v>
      </c>
      <c r="R126" s="129">
        <v>1</v>
      </c>
      <c r="S126" s="129" t="str">
        <f t="shared" si="39"/>
        <v>--</v>
      </c>
      <c r="T126" s="130" t="str">
        <f>IFERROR(_xll.qlRateHelperEarliestDate(S126,Trigger),"--")</f>
        <v>--</v>
      </c>
      <c r="U126" s="130" t="str">
        <f>IFERROR(_xll.qlRateHelperPillarDate(S126,Trigger),"--")</f>
        <v>--</v>
      </c>
      <c r="W126" s="3" t="str">
        <f t="shared" si="41"/>
        <v/>
      </c>
      <c r="X126" s="3" t="e">
        <v>#N/A</v>
      </c>
      <c r="Y126" s="3" t="str">
        <f>IFERROR(_xll.qlRateHelperQuoteName(X126,Trigger),"")</f>
        <v/>
      </c>
      <c r="Z126" s="67" t="str">
        <f>IFERROR(_xll.qlRateHelperRate(X126,Trigger),"")</f>
        <v/>
      </c>
      <c r="AA126" s="95" t="str">
        <f>IF(ISERROR(_xll.qlSwapRateHelperSpread($X126)),IF(ISERROR(_xll.qlFuturesRateHelperConvexityAdjustment($X126)),"",_xll.qlFuturesRateHelperConvexityAdjustment($X126)),_xll.qlSwapRateHelperSpread($X126))</f>
        <v/>
      </c>
      <c r="AB126" s="4" t="str">
        <f>IFERROR(_xll.qlRateHelperEarliestDate(X126,Trigger),"")</f>
        <v/>
      </c>
      <c r="AC126" s="4" t="str">
        <f>IFERROR(_xll.qlRateHelperPillarDate(X126,Trigger),"")</f>
        <v/>
      </c>
      <c r="AD126" s="206" t="e">
        <v>#N/A</v>
      </c>
    </row>
    <row r="127" spans="1:30" x14ac:dyDescent="0.2">
      <c r="A127" s="58" t="s">
        <v>115</v>
      </c>
      <c r="B127" s="105" t="s">
        <v>103</v>
      </c>
      <c r="C127" s="60" t="s">
        <v>6</v>
      </c>
      <c r="D127" s="60" t="s">
        <v>140</v>
      </c>
      <c r="E127" s="60" t="s">
        <v>7</v>
      </c>
      <c r="F127" s="60" t="s">
        <v>141</v>
      </c>
      <c r="G127" s="60" t="str">
        <f t="shared" si="42"/>
        <v>GbpLibor3M</v>
      </c>
      <c r="H127" s="58" t="str">
        <f t="shared" si="43"/>
        <v>GBPSB6L19Y_Quote</v>
      </c>
      <c r="I127" s="58" t="str">
        <f t="shared" si="44"/>
        <v>GBP3L6L19Y_Quote</v>
      </c>
      <c r="J127" s="223" t="str">
        <f>IF(P115,_xll.qlSwapRateHelper2(,H127,0,B127,Calendar,D127,E127,F127,G127,I127,C127,Discounting,PillarDate,,Permanent,Trigger,ObjectOverwrite),"--")</f>
        <v>--</v>
      </c>
      <c r="L127" s="226" t="str">
        <f t="shared" si="37"/>
        <v>BasSw</v>
      </c>
      <c r="M127" s="230" t="str">
        <f t="shared" si="38"/>
        <v>GBPSB6L35Y_Quote</v>
      </c>
      <c r="N127" s="228" t="str">
        <f>IFERROR(_xll.qlQuoteValue(H139,Trigger),"--")</f>
        <v>--</v>
      </c>
      <c r="O127" s="228" t="str">
        <f>IFERROR(_xll.qlQuoteValue(I139,Trigger),"--")</f>
        <v>--</v>
      </c>
      <c r="P127" s="129" t="b">
        <v>0</v>
      </c>
      <c r="Q127" s="129">
        <v>40</v>
      </c>
      <c r="R127" s="129">
        <v>1</v>
      </c>
      <c r="S127" s="129" t="str">
        <f t="shared" si="39"/>
        <v>--</v>
      </c>
      <c r="T127" s="130" t="str">
        <f>IFERROR(_xll.qlRateHelperEarliestDate(S127,Trigger),"--")</f>
        <v>--</v>
      </c>
      <c r="U127" s="130" t="str">
        <f>IFERROR(_xll.qlRateHelperPillarDate(S127,Trigger),"--")</f>
        <v>--</v>
      </c>
      <c r="W127" s="3" t="str">
        <f t="shared" si="41"/>
        <v/>
      </c>
      <c r="X127" s="3" t="e">
        <v>#N/A</v>
      </c>
      <c r="Y127" s="3" t="str">
        <f>IFERROR(_xll.qlRateHelperQuoteName(X127,Trigger),"")</f>
        <v/>
      </c>
      <c r="Z127" s="67" t="str">
        <f>IFERROR(_xll.qlRateHelperRate(X127,Trigger),"")</f>
        <v/>
      </c>
      <c r="AA127" s="95" t="str">
        <f>IF(ISERROR(_xll.qlSwapRateHelperSpread($X127)),IF(ISERROR(_xll.qlFuturesRateHelperConvexityAdjustment($X127)),"",_xll.qlFuturesRateHelperConvexityAdjustment($X127)),_xll.qlSwapRateHelperSpread($X127))</f>
        <v/>
      </c>
      <c r="AB127" s="4" t="str">
        <f>IFERROR(_xll.qlRateHelperEarliestDate(X127,Trigger),"")</f>
        <v/>
      </c>
      <c r="AC127" s="4" t="str">
        <f>IFERROR(_xll.qlRateHelperPillarDate(X127,Trigger),"")</f>
        <v/>
      </c>
      <c r="AD127" s="206" t="e">
        <v>#N/A</v>
      </c>
    </row>
    <row r="128" spans="1:30" x14ac:dyDescent="0.2">
      <c r="A128" s="58" t="s">
        <v>115</v>
      </c>
      <c r="B128" s="105" t="s">
        <v>63</v>
      </c>
      <c r="C128" s="60" t="s">
        <v>6</v>
      </c>
      <c r="D128" s="60" t="s">
        <v>140</v>
      </c>
      <c r="E128" s="60" t="s">
        <v>7</v>
      </c>
      <c r="F128" s="60" t="s">
        <v>141</v>
      </c>
      <c r="G128" s="60" t="str">
        <f t="shared" si="42"/>
        <v>GbpLibor3M</v>
      </c>
      <c r="H128" s="58" t="str">
        <f t="shared" si="43"/>
        <v>GBPSB6L20Y_Quote</v>
      </c>
      <c r="I128" s="58" t="str">
        <f t="shared" si="44"/>
        <v>GBP3L6L20Y_Quote</v>
      </c>
      <c r="J128" s="223" t="str">
        <f>IF(P116,_xll.qlSwapRateHelper2(,H128,0,B128,Calendar,D128,E128,F128,G128,I128,C128,Discounting,PillarDate,,Permanent,Trigger,ObjectOverwrite),"--")</f>
        <v>--</v>
      </c>
      <c r="L128" s="226" t="str">
        <f t="shared" si="37"/>
        <v>BasSw</v>
      </c>
      <c r="M128" s="230" t="str">
        <f t="shared" si="38"/>
        <v>GBPSB6L40Y_Quote</v>
      </c>
      <c r="N128" s="228">
        <f>IFERROR(_xll.qlQuoteValue(H140,Trigger),"--")</f>
        <v>1.008E-2</v>
      </c>
      <c r="O128" s="228">
        <f>IFERROR(_xll.qlQuoteValue(I140,Trigger),"--")</f>
        <v>3.2000000000000003E-4</v>
      </c>
      <c r="P128" s="129" t="b">
        <v>0</v>
      </c>
      <c r="Q128" s="129">
        <v>40</v>
      </c>
      <c r="R128" s="129">
        <v>1</v>
      </c>
      <c r="S128" s="129" t="str">
        <f t="shared" si="39"/>
        <v>--</v>
      </c>
      <c r="T128" s="130" t="str">
        <f>IFERROR(_xll.qlRateHelperEarliestDate(S128,Trigger),"--")</f>
        <v>--</v>
      </c>
      <c r="U128" s="130" t="str">
        <f>IFERROR(_xll.qlRateHelperPillarDate(S128,Trigger),"--")</f>
        <v>--</v>
      </c>
      <c r="W128" s="3" t="str">
        <f t="shared" si="41"/>
        <v/>
      </c>
      <c r="X128" s="3" t="e">
        <v>#N/A</v>
      </c>
      <c r="Y128" s="3" t="str">
        <f>IFERROR(_xll.qlRateHelperQuoteName(X128,Trigger),"")</f>
        <v/>
      </c>
      <c r="Z128" s="67" t="str">
        <f>IFERROR(_xll.qlRateHelperRate(X128,Trigger),"")</f>
        <v/>
      </c>
      <c r="AA128" s="95" t="str">
        <f>IF(ISERROR(_xll.qlSwapRateHelperSpread($X128)),IF(ISERROR(_xll.qlFuturesRateHelperConvexityAdjustment($X128)),"",_xll.qlFuturesRateHelperConvexityAdjustment($X128)),_xll.qlSwapRateHelperSpread($X128))</f>
        <v/>
      </c>
      <c r="AB128" s="4" t="str">
        <f>IFERROR(_xll.qlRateHelperEarliestDate(X128,Trigger),"")</f>
        <v/>
      </c>
      <c r="AC128" s="4" t="str">
        <f>IFERROR(_xll.qlRateHelperPillarDate(X128,Trigger),"")</f>
        <v/>
      </c>
      <c r="AD128" s="206" t="e">
        <v>#N/A</v>
      </c>
    </row>
    <row r="129" spans="1:30" x14ac:dyDescent="0.2">
      <c r="A129" s="58" t="s">
        <v>115</v>
      </c>
      <c r="B129" s="105" t="s">
        <v>104</v>
      </c>
      <c r="C129" s="60" t="s">
        <v>6</v>
      </c>
      <c r="D129" s="60" t="s">
        <v>140</v>
      </c>
      <c r="E129" s="60" t="s">
        <v>7</v>
      </c>
      <c r="F129" s="60" t="s">
        <v>141</v>
      </c>
      <c r="G129" s="60" t="str">
        <f t="shared" si="42"/>
        <v>GbpLibor3M</v>
      </c>
      <c r="H129" s="58" t="str">
        <f t="shared" si="43"/>
        <v>GBPSB6L21Y_Quote</v>
      </c>
      <c r="I129" s="58" t="str">
        <f t="shared" si="44"/>
        <v>GBP3L6L21Y_Quote</v>
      </c>
      <c r="J129" s="223" t="str">
        <f>IF(P117,_xll.qlSwapRateHelper2(,H129,0,B129,Calendar,D129,E129,F129,G129,I129,C129,Discounting,PillarDate,,Permanent,Trigger,ObjectOverwrite),"--")</f>
        <v>--</v>
      </c>
      <c r="L129" s="226" t="str">
        <f t="shared" si="37"/>
        <v>BasSw</v>
      </c>
      <c r="M129" s="230" t="str">
        <f t="shared" si="38"/>
        <v>GBPSB6L50Y_Quote</v>
      </c>
      <c r="N129" s="228">
        <f>IFERROR(_xll.qlQuoteValue(H141,Trigger),"--")</f>
        <v>9.6600000000000019E-3</v>
      </c>
      <c r="O129" s="228">
        <f>IFERROR(_xll.qlQuoteValue(I141,Trigger),"--")</f>
        <v>2.7999999999999998E-4</v>
      </c>
      <c r="P129" s="129" t="b">
        <v>0</v>
      </c>
      <c r="Q129" s="129">
        <v>40</v>
      </c>
      <c r="R129" s="129">
        <v>1</v>
      </c>
      <c r="S129" s="129" t="str">
        <f t="shared" si="39"/>
        <v>--</v>
      </c>
      <c r="T129" s="130" t="str">
        <f>IFERROR(_xll.qlRateHelperEarliestDate(S129,Trigger),"--")</f>
        <v>--</v>
      </c>
      <c r="U129" s="130" t="str">
        <f>IFERROR(_xll.qlRateHelperPillarDate(S129,Trigger),"--")</f>
        <v>--</v>
      </c>
      <c r="W129" s="3" t="str">
        <f t="shared" si="41"/>
        <v/>
      </c>
      <c r="X129" s="3" t="e">
        <v>#N/A</v>
      </c>
      <c r="Y129" s="3" t="str">
        <f>IFERROR(_xll.qlRateHelperQuoteName(X129,Trigger),"")</f>
        <v/>
      </c>
      <c r="Z129" s="67" t="str">
        <f>IFERROR(_xll.qlRateHelperRate(X129,Trigger),"")</f>
        <v/>
      </c>
      <c r="AA129" s="95" t="str">
        <f>IF(ISERROR(_xll.qlSwapRateHelperSpread($X129)),IF(ISERROR(_xll.qlFuturesRateHelperConvexityAdjustment($X129)),"",_xll.qlFuturesRateHelperConvexityAdjustment($X129)),_xll.qlSwapRateHelperSpread($X129))</f>
        <v/>
      </c>
      <c r="AB129" s="4" t="str">
        <f>IFERROR(_xll.qlRateHelperEarliestDate(X129,Trigger),"")</f>
        <v/>
      </c>
      <c r="AC129" s="4" t="str">
        <f>IFERROR(_xll.qlRateHelperPillarDate(X129,Trigger),"")</f>
        <v/>
      </c>
      <c r="AD129" s="206" t="e">
        <v>#N/A</v>
      </c>
    </row>
    <row r="130" spans="1:30" x14ac:dyDescent="0.2">
      <c r="A130" s="58" t="s">
        <v>115</v>
      </c>
      <c r="B130" s="105" t="s">
        <v>105</v>
      </c>
      <c r="C130" s="60" t="s">
        <v>6</v>
      </c>
      <c r="D130" s="60" t="s">
        <v>140</v>
      </c>
      <c r="E130" s="60" t="s">
        <v>7</v>
      </c>
      <c r="F130" s="60" t="s">
        <v>141</v>
      </c>
      <c r="G130" s="60" t="str">
        <f t="shared" si="42"/>
        <v>GbpLibor3M</v>
      </c>
      <c r="H130" s="58" t="str">
        <f t="shared" si="43"/>
        <v>GBPSB6L22Y_Quote</v>
      </c>
      <c r="I130" s="58" t="str">
        <f t="shared" si="44"/>
        <v>GBP3L6L22Y_Quote</v>
      </c>
      <c r="J130" s="223" t="str">
        <f>IF(P118,_xll.qlSwapRateHelper2(,H130,0,B130,Calendar,D130,E130,F130,G130,I130,C130,Discounting,PillarDate,,Permanent,Trigger,ObjectOverwrite),"--")</f>
        <v>--</v>
      </c>
      <c r="L130" s="231" t="str">
        <f>A142</f>
        <v>BasSw</v>
      </c>
      <c r="M130" s="232" t="str">
        <f t="shared" si="38"/>
        <v>GBPSB6L60Y_Quote</v>
      </c>
      <c r="N130" s="233">
        <f>IFERROR(_xll.qlQuoteValue(H142,Trigger),"--")</f>
        <v>9.6000000000000026E-3</v>
      </c>
      <c r="O130" s="233">
        <f>IFERROR(_xll.qlQuoteValue(I142,Trigger),"--")</f>
        <v>2.5000000000000001E-4</v>
      </c>
      <c r="P130" s="131" t="b">
        <v>0</v>
      </c>
      <c r="Q130" s="131">
        <v>40</v>
      </c>
      <c r="R130" s="131">
        <v>1</v>
      </c>
      <c r="S130" s="131" t="str">
        <f t="shared" si="39"/>
        <v>--</v>
      </c>
      <c r="T130" s="134" t="str">
        <f>IFERROR(_xll.qlRateHelperEarliestDate(S130,Trigger),"--")</f>
        <v>--</v>
      </c>
      <c r="U130" s="134" t="str">
        <f>IFERROR(_xll.qlRateHelperPillarDate(S130,Trigger),"--")</f>
        <v>--</v>
      </c>
      <c r="W130" s="5" t="str">
        <f t="shared" si="41"/>
        <v/>
      </c>
      <c r="X130" s="5" t="e">
        <v>#N/A</v>
      </c>
      <c r="Y130" s="5" t="str">
        <f>IFERROR(_xll.qlRateHelperQuoteName(X130,Trigger),"")</f>
        <v/>
      </c>
      <c r="Z130" s="72" t="str">
        <f>IFERROR(_xll.qlRateHelperRate(X130,Trigger),"")</f>
        <v/>
      </c>
      <c r="AA130" s="96" t="str">
        <f>IF(ISERROR(_xll.qlSwapRateHelperSpread($X130)),IF(ISERROR(_xll.qlFuturesRateHelperConvexityAdjustment($X130)),"",_xll.qlFuturesRateHelperConvexityAdjustment($X130)),_xll.qlSwapRateHelperSpread($X130))</f>
        <v/>
      </c>
      <c r="AB130" s="9" t="str">
        <f>IFERROR(_xll.qlRateHelperEarliestDate(X130,Trigger),"")</f>
        <v/>
      </c>
      <c r="AC130" s="9" t="str">
        <f>IFERROR(_xll.qlRateHelperPillarDate(X130,Trigger),"")</f>
        <v/>
      </c>
      <c r="AD130" s="207" t="e">
        <v>#N/A</v>
      </c>
    </row>
    <row r="131" spans="1:30" x14ac:dyDescent="0.2">
      <c r="A131" s="58" t="s">
        <v>115</v>
      </c>
      <c r="B131" s="105" t="s">
        <v>106</v>
      </c>
      <c r="C131" s="60" t="s">
        <v>6</v>
      </c>
      <c r="D131" s="60" t="s">
        <v>140</v>
      </c>
      <c r="E131" s="60" t="s">
        <v>7</v>
      </c>
      <c r="F131" s="60" t="s">
        <v>141</v>
      </c>
      <c r="G131" s="60" t="str">
        <f t="shared" si="42"/>
        <v>GbpLibor3M</v>
      </c>
      <c r="H131" s="58" t="str">
        <f t="shared" si="43"/>
        <v>GBPSB6L23Y_Quote</v>
      </c>
      <c r="I131" s="58" t="str">
        <f t="shared" si="44"/>
        <v>GBP3L6L23Y_Quote</v>
      </c>
      <c r="J131" s="223" t="str">
        <f>IF(P119,_xll.qlSwapRateHelper2(,H131,0,B131,Calendar,D131,E131,F131,G131,I131,C131,Discounting,PillarDate,,Permanent,Trigger,ObjectOverwrite),"--")</f>
        <v>--</v>
      </c>
      <c r="L131" s="151"/>
      <c r="Y131" s="46" t="str">
        <f>_xll.ohGroup(W1&amp;"_instruments",Y3:Y130,Permanent,Trigger,ObjectOverwrite)</f>
        <v>GBP3M_instruments#0012</v>
      </c>
    </row>
    <row r="132" spans="1:30" x14ac:dyDescent="0.2">
      <c r="A132" s="58" t="s">
        <v>115</v>
      </c>
      <c r="B132" s="105" t="s">
        <v>107</v>
      </c>
      <c r="C132" s="60" t="s">
        <v>6</v>
      </c>
      <c r="D132" s="60" t="s">
        <v>140</v>
      </c>
      <c r="E132" s="60" t="s">
        <v>7</v>
      </c>
      <c r="F132" s="60" t="s">
        <v>141</v>
      </c>
      <c r="G132" s="60" t="str">
        <f t="shared" si="42"/>
        <v>GbpLibor3M</v>
      </c>
      <c r="H132" s="58" t="str">
        <f t="shared" si="43"/>
        <v>GBPSB6L24Y_Quote</v>
      </c>
      <c r="I132" s="58" t="str">
        <f t="shared" si="44"/>
        <v>GBP3L6L24Y_Quote</v>
      </c>
      <c r="J132" s="223" t="str">
        <f>IF(P120,_xll.qlSwapRateHelper2(,H132,0,B132,Calendar,D132,E132,F132,G132,I132,C132,Discounting,PillarDate,,Permanent,Trigger,ObjectOverwrite),"--")</f>
        <v>--</v>
      </c>
      <c r="L132" s="151"/>
    </row>
    <row r="133" spans="1:30" x14ac:dyDescent="0.2">
      <c r="A133" s="58" t="s">
        <v>115</v>
      </c>
      <c r="B133" s="105" t="s">
        <v>64</v>
      </c>
      <c r="C133" s="60" t="s">
        <v>6</v>
      </c>
      <c r="D133" s="60" t="s">
        <v>140</v>
      </c>
      <c r="E133" s="60" t="s">
        <v>7</v>
      </c>
      <c r="F133" s="60" t="s">
        <v>141</v>
      </c>
      <c r="G133" s="60" t="str">
        <f t="shared" si="42"/>
        <v>GbpLibor3M</v>
      </c>
      <c r="H133" s="58" t="str">
        <f t="shared" si="43"/>
        <v>GBPSB6L25Y_Quote</v>
      </c>
      <c r="I133" s="58" t="str">
        <f t="shared" si="44"/>
        <v>GBP3L6L25Y_Quote</v>
      </c>
      <c r="J133" s="223" t="str">
        <f>IF(P121,_xll.qlSwapRateHelper2(,H133,0,B133,Calendar,D133,E133,F133,G133,I133,C133,Discounting,PillarDate,,Permanent,Trigger,ObjectOverwrite),"--")</f>
        <v>--</v>
      </c>
      <c r="L133" s="151"/>
    </row>
    <row r="134" spans="1:30" x14ac:dyDescent="0.2">
      <c r="A134" s="58" t="s">
        <v>115</v>
      </c>
      <c r="B134" s="105" t="s">
        <v>108</v>
      </c>
      <c r="C134" s="60" t="s">
        <v>6</v>
      </c>
      <c r="D134" s="60" t="s">
        <v>140</v>
      </c>
      <c r="E134" s="60" t="s">
        <v>7</v>
      </c>
      <c r="F134" s="60" t="s">
        <v>141</v>
      </c>
      <c r="G134" s="60" t="str">
        <f t="shared" si="42"/>
        <v>GbpLibor3M</v>
      </c>
      <c r="H134" s="58" t="str">
        <f t="shared" si="43"/>
        <v>GBPSB6L26Y_Quote</v>
      </c>
      <c r="I134" s="58" t="str">
        <f t="shared" si="44"/>
        <v>GBP3L6L26Y_Quote</v>
      </c>
      <c r="J134" s="223" t="str">
        <f>IF(P122,_xll.qlSwapRateHelper2(,H134,0,B134,Calendar,D134,E134,F134,G134,I134,C134,Discounting,PillarDate,,Permanent,Trigger,ObjectOverwrite),"--")</f>
        <v>--</v>
      </c>
      <c r="L134" s="151"/>
    </row>
    <row r="135" spans="1:30" x14ac:dyDescent="0.2">
      <c r="A135" s="58" t="s">
        <v>115</v>
      </c>
      <c r="B135" s="105" t="s">
        <v>65</v>
      </c>
      <c r="C135" s="60" t="s">
        <v>6</v>
      </c>
      <c r="D135" s="60" t="s">
        <v>140</v>
      </c>
      <c r="E135" s="60" t="s">
        <v>7</v>
      </c>
      <c r="F135" s="60" t="s">
        <v>141</v>
      </c>
      <c r="G135" s="60" t="str">
        <f t="shared" si="42"/>
        <v>GbpLibor3M</v>
      </c>
      <c r="H135" s="58" t="str">
        <f t="shared" si="43"/>
        <v>GBPSB6L27Y_Quote</v>
      </c>
      <c r="I135" s="58" t="str">
        <f t="shared" si="44"/>
        <v>GBP3L6L27Y_Quote</v>
      </c>
      <c r="J135" s="223" t="str">
        <f>IF(P123,_xll.qlSwapRateHelper2(,H135,0,B135,Calendar,D135,E135,F135,G135,I135,C135,Discounting,PillarDate,,Permanent,Trigger,ObjectOverwrite),"--")</f>
        <v>--</v>
      </c>
    </row>
    <row r="136" spans="1:30" x14ac:dyDescent="0.2">
      <c r="A136" s="58" t="s">
        <v>115</v>
      </c>
      <c r="B136" s="105" t="s">
        <v>109</v>
      </c>
      <c r="C136" s="60" t="s">
        <v>6</v>
      </c>
      <c r="D136" s="60" t="s">
        <v>140</v>
      </c>
      <c r="E136" s="60" t="s">
        <v>7</v>
      </c>
      <c r="F136" s="60" t="s">
        <v>141</v>
      </c>
      <c r="G136" s="60" t="str">
        <f t="shared" si="42"/>
        <v>GbpLibor3M</v>
      </c>
      <c r="H136" s="58" t="str">
        <f t="shared" si="43"/>
        <v>GBPSB6L28Y_Quote</v>
      </c>
      <c r="I136" s="58" t="str">
        <f t="shared" si="44"/>
        <v>GBP3L6L28Y_Quote</v>
      </c>
      <c r="J136" s="223" t="str">
        <f>IF(P124,_xll.qlSwapRateHelper2(,H136,0,B136,Calendar,D136,E136,F136,G136,I136,C136,Discounting,PillarDate,,Permanent,Trigger,ObjectOverwrite),"--")</f>
        <v>--</v>
      </c>
    </row>
    <row r="137" spans="1:30" x14ac:dyDescent="0.2">
      <c r="A137" s="58" t="s">
        <v>115</v>
      </c>
      <c r="B137" s="105" t="s">
        <v>110</v>
      </c>
      <c r="C137" s="60" t="s">
        <v>6</v>
      </c>
      <c r="D137" s="60" t="s">
        <v>140</v>
      </c>
      <c r="E137" s="60" t="s">
        <v>7</v>
      </c>
      <c r="F137" s="60" t="s">
        <v>141</v>
      </c>
      <c r="G137" s="60" t="str">
        <f t="shared" si="42"/>
        <v>GbpLibor3M</v>
      </c>
      <c r="H137" s="58" t="str">
        <f t="shared" si="43"/>
        <v>GBPSB6L29Y_Quote</v>
      </c>
      <c r="I137" s="58" t="str">
        <f t="shared" si="44"/>
        <v>GBP3L6L29Y_Quote</v>
      </c>
      <c r="J137" s="223" t="str">
        <f>IF(P125,_xll.qlSwapRateHelper2(,H137,0,B137,Calendar,D137,E137,F137,G137,I137,C137,Discounting,PillarDate,,Permanent,Trigger,ObjectOverwrite),"--")</f>
        <v>--</v>
      </c>
    </row>
    <row r="138" spans="1:30" x14ac:dyDescent="0.2">
      <c r="A138" s="58" t="s">
        <v>115</v>
      </c>
      <c r="B138" s="105" t="s">
        <v>66</v>
      </c>
      <c r="C138" s="60" t="s">
        <v>6</v>
      </c>
      <c r="D138" s="60" t="s">
        <v>140</v>
      </c>
      <c r="E138" s="60" t="s">
        <v>7</v>
      </c>
      <c r="F138" s="60" t="s">
        <v>141</v>
      </c>
      <c r="G138" s="60" t="str">
        <f t="shared" si="42"/>
        <v>GbpLibor3M</v>
      </c>
      <c r="H138" s="58" t="str">
        <f t="shared" si="43"/>
        <v>GBPSB6L30Y_Quote</v>
      </c>
      <c r="I138" s="58" t="str">
        <f t="shared" si="44"/>
        <v>GBP3L6L30Y_Quote</v>
      </c>
      <c r="J138" s="223" t="str">
        <f>IF(P126,_xll.qlSwapRateHelper2(,H138,0,B138,Calendar,D138,E138,F138,G138,I138,C138,Discounting,PillarDate,,Permanent,Trigger,ObjectOverwrite),"--")</f>
        <v>--</v>
      </c>
    </row>
    <row r="139" spans="1:30" x14ac:dyDescent="0.2">
      <c r="A139" s="58" t="s">
        <v>115</v>
      </c>
      <c r="B139" s="105" t="s">
        <v>67</v>
      </c>
      <c r="C139" s="60" t="s">
        <v>6</v>
      </c>
      <c r="D139" s="60" t="s">
        <v>140</v>
      </c>
      <c r="E139" s="60" t="s">
        <v>7</v>
      </c>
      <c r="F139" s="60" t="s">
        <v>141</v>
      </c>
      <c r="G139" s="60" t="str">
        <f t="shared" si="42"/>
        <v>GbpLibor3M</v>
      </c>
      <c r="H139" s="58" t="str">
        <f t="shared" si="43"/>
        <v>GBPSB6L35Y_Quote</v>
      </c>
      <c r="I139" s="58" t="str">
        <f t="shared" si="44"/>
        <v>GBP3L6L35Y_Quote</v>
      </c>
      <c r="J139" s="223" t="str">
        <f>IF(P127,_xll.qlSwapRateHelper2(,H139,0,B139,Calendar,D139,E139,F139,G139,I139,C139,Discounting,PillarDate,,Permanent,Trigger,ObjectOverwrite),"--")</f>
        <v>--</v>
      </c>
    </row>
    <row r="140" spans="1:30" x14ac:dyDescent="0.2">
      <c r="A140" s="58" t="s">
        <v>115</v>
      </c>
      <c r="B140" s="105" t="s">
        <v>68</v>
      </c>
      <c r="C140" s="60" t="s">
        <v>6</v>
      </c>
      <c r="D140" s="60" t="s">
        <v>140</v>
      </c>
      <c r="E140" s="60" t="s">
        <v>7</v>
      </c>
      <c r="F140" s="60" t="s">
        <v>141</v>
      </c>
      <c r="G140" s="60" t="str">
        <f t="shared" si="42"/>
        <v>GbpLibor3M</v>
      </c>
      <c r="H140" s="58" t="str">
        <f t="shared" si="43"/>
        <v>GBPSB6L40Y_Quote</v>
      </c>
      <c r="I140" s="58" t="str">
        <f t="shared" si="44"/>
        <v>GBP3L6L40Y_Quote</v>
      </c>
      <c r="J140" s="223" t="str">
        <f>IF(P128,_xll.qlSwapRateHelper2(,H140,0,B140,Calendar,D140,E140,F140,G140,I140,C140,Discounting,PillarDate,,Permanent,Trigger,ObjectOverwrite),"--")</f>
        <v>--</v>
      </c>
    </row>
    <row r="141" spans="1:30" x14ac:dyDescent="0.2">
      <c r="A141" s="58" t="s">
        <v>115</v>
      </c>
      <c r="B141" s="105" t="s">
        <v>69</v>
      </c>
      <c r="C141" s="60" t="s">
        <v>6</v>
      </c>
      <c r="D141" s="60" t="s">
        <v>140</v>
      </c>
      <c r="E141" s="60" t="s">
        <v>7</v>
      </c>
      <c r="F141" s="60" t="s">
        <v>141</v>
      </c>
      <c r="G141" s="60" t="str">
        <f t="shared" si="42"/>
        <v>GbpLibor3M</v>
      </c>
      <c r="H141" s="58" t="str">
        <f t="shared" si="43"/>
        <v>GBPSB6L50Y_Quote</v>
      </c>
      <c r="I141" s="58" t="str">
        <f t="shared" si="44"/>
        <v>GBP3L6L50Y_Quote</v>
      </c>
      <c r="J141" s="223" t="str">
        <f>IF(P129,_xll.qlSwapRateHelper2(,H141,0,B141,Calendar,D141,E141,F141,G141,I141,C141,Discounting,PillarDate,,Permanent,Trigger,ObjectOverwrite),"--")</f>
        <v>--</v>
      </c>
    </row>
    <row r="142" spans="1:30" x14ac:dyDescent="0.2">
      <c r="A142" s="1" t="s">
        <v>115</v>
      </c>
      <c r="B142" s="106" t="s">
        <v>111</v>
      </c>
      <c r="C142" s="6" t="s">
        <v>6</v>
      </c>
      <c r="D142" s="6" t="s">
        <v>140</v>
      </c>
      <c r="E142" s="6" t="s">
        <v>7</v>
      </c>
      <c r="F142" s="6" t="s">
        <v>141</v>
      </c>
      <c r="G142" s="6" t="str">
        <f t="shared" si="42"/>
        <v>GbpLibor3M</v>
      </c>
      <c r="H142" s="1" t="str">
        <f t="shared" si="43"/>
        <v>GBPSB6L60Y_Quote</v>
      </c>
      <c r="I142" s="1" t="str">
        <f t="shared" si="44"/>
        <v>GBP3L6L60Y_Quote</v>
      </c>
      <c r="J142" s="224" t="str">
        <f>IF(P130,_xll.qlSwapRateHelper2(,H142,0,B142,Calendar,D142,E142,F142,G142,I142,C142,Discounting,PillarDate,,Permanent,Trigger,ObjectOverwrite),"--")</f>
        <v>--</v>
      </c>
    </row>
  </sheetData>
  <dataValidations count="5">
    <dataValidation type="list" allowBlank="1" showInputMessage="1" showErrorMessage="1" sqref="D97:D103 D58:D94 D106:D142">
      <formula1>"Annual,Semiannual,EveryFourthMonth,Quarterly,Bimonthly,Monthly,Biweekly,Weekly,Daily,Once,NoFrequency"</formula1>
    </dataValidation>
    <dataValidation type="list" allowBlank="1" showInputMessage="1" showErrorMessage="1" sqref="E97:E103 E58:E94 E106:E142">
      <formula1>"Following,Modified Following,Preceding,Modified Preceding,Unadjusted,Half-Month Modified Following"</formula1>
    </dataValidation>
    <dataValidation type="list" allowBlank="1" showInputMessage="1" showErrorMessage="1" sqref="F97:F103 F50 F58:F94 F106:F14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:AK6">
      <formula1>"AllDepos,DeposBeforeFirstFuturesStartDate,DeposBeforeFirstFuturesStartDatePlusOne,DeposBeforeFirstFuturesExpiryDate"</formula1>
    </dataValidation>
    <dataValidation type="list" allowBlank="1" showInputMessage="1" showErrorMessage="1" sqref="P3:P130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0" hidden="1" customWidth="1" outlineLevel="1"/>
    <col min="8" max="8" width="20.7109375" style="52" hidden="1" customWidth="1" outlineLevel="1"/>
    <col min="9" max="9" width="25.7109375" style="46" hidden="1" customWidth="1" outlineLevel="1"/>
    <col min="10" max="10" width="15.7109375" style="94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4" hidden="1" customWidth="1" outlineLevel="1"/>
    <col min="14" max="18" width="8.7109375" style="94" hidden="1" customWidth="1" outlineLevel="1"/>
    <col min="19" max="19" width="15.7109375" style="94" hidden="1" customWidth="1" outlineLevel="1"/>
    <col min="20" max="21" width="10.7109375" style="94" hidden="1" customWidth="1" outlineLevel="1"/>
    <col min="22" max="22" width="2.7109375" style="48" hidden="1" customWidth="1" outlineLevel="1"/>
    <col min="23" max="23" width="6" style="46" bestFit="1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1" width="2.7109375" style="46" customWidth="1"/>
    <col min="32" max="32" width="3" style="46" bestFit="1" customWidth="1"/>
    <col min="33" max="33" width="24.42578125" style="46" bestFit="1" customWidth="1"/>
    <col min="34" max="34" width="24.42578125" style="46" hidden="1" customWidth="1" outlineLevel="1"/>
    <col min="35" max="35" width="7" style="46" hidden="1" customWidth="1" outlineLevel="1"/>
    <col min="36" max="36" width="11" style="46" hidden="1" customWidth="1" outlineLevel="1"/>
    <col min="37" max="37" width="9" style="46" bestFit="1" customWidth="1" collapsed="1"/>
    <col min="38" max="38" width="10" style="46" bestFit="1" customWidth="1"/>
    <col min="39" max="39" width="24.42578125" style="46" bestFit="1" customWidth="1"/>
    <col min="40" max="16384" width="9.140625" style="46"/>
  </cols>
  <sheetData>
    <row r="1" spans="1:39" ht="18" customHeight="1" x14ac:dyDescent="0.2">
      <c r="G1" s="50" t="s">
        <v>3</v>
      </c>
      <c r="H1" s="50" t="str">
        <f>"_SYNTH"&amp;Tenor</f>
        <v>_SYNTH6M</v>
      </c>
      <c r="L1" s="65" t="s">
        <v>147</v>
      </c>
      <c r="M1" s="97"/>
      <c r="N1" s="97"/>
      <c r="O1" s="89"/>
      <c r="P1" s="97" t="s">
        <v>25</v>
      </c>
      <c r="Q1" s="97"/>
      <c r="R1" s="97"/>
      <c r="S1" s="97"/>
      <c r="T1" s="97"/>
      <c r="U1" s="89"/>
      <c r="V1" s="86"/>
      <c r="W1" s="70" t="str">
        <f>Currency&amp;$G$1</f>
        <v>GBP6M</v>
      </c>
      <c r="X1" s="64"/>
      <c r="Y1" s="64"/>
      <c r="Z1" s="66"/>
      <c r="AA1" s="66"/>
      <c r="AB1" s="64"/>
      <c r="AC1" s="64"/>
      <c r="AD1" s="68" t="s">
        <v>134</v>
      </c>
    </row>
    <row r="2" spans="1:39" ht="21.75" customHeight="1" x14ac:dyDescent="0.2">
      <c r="A2" s="63" t="s">
        <v>9</v>
      </c>
      <c r="B2" s="63" t="s">
        <v>30</v>
      </c>
      <c r="C2" s="63" t="s">
        <v>148</v>
      </c>
      <c r="D2" s="63" t="s">
        <v>126</v>
      </c>
      <c r="E2" s="63" t="s">
        <v>34</v>
      </c>
      <c r="F2" s="63" t="s">
        <v>113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77</v>
      </c>
      <c r="N2" s="69" t="s">
        <v>80</v>
      </c>
      <c r="O2" s="69" t="s">
        <v>82</v>
      </c>
      <c r="P2" s="69" t="s">
        <v>78</v>
      </c>
      <c r="Q2" s="69" t="s">
        <v>79</v>
      </c>
      <c r="R2" s="69" t="s">
        <v>81</v>
      </c>
      <c r="S2" s="69" t="s">
        <v>25</v>
      </c>
      <c r="T2" s="69" t="s">
        <v>23</v>
      </c>
      <c r="U2" s="69" t="s">
        <v>74</v>
      </c>
      <c r="V2" s="86"/>
      <c r="W2" s="69" t="s">
        <v>9</v>
      </c>
      <c r="X2" s="69" t="s">
        <v>25</v>
      </c>
      <c r="Y2" s="69" t="s">
        <v>77</v>
      </c>
      <c r="Z2" s="71" t="s">
        <v>24</v>
      </c>
      <c r="AA2" s="71" t="s">
        <v>82</v>
      </c>
      <c r="AB2" s="69" t="s">
        <v>23</v>
      </c>
      <c r="AC2" s="69" t="s">
        <v>74</v>
      </c>
      <c r="AD2" s="205">
        <f t="array" ref="AD2:AD67">_xll.qlPiecewiseYieldCurveData(YieldCurve_6M,Trigger)</f>
        <v>1</v>
      </c>
      <c r="AG2" s="192" t="s">
        <v>83</v>
      </c>
      <c r="AH2" s="193"/>
      <c r="AI2" s="193"/>
      <c r="AJ2" s="193"/>
      <c r="AK2" s="194"/>
    </row>
    <row r="3" spans="1:39" ht="11.25" customHeight="1" x14ac:dyDescent="0.2">
      <c r="A3" s="101" t="s">
        <v>27</v>
      </c>
      <c r="B3" s="102" t="s">
        <v>73</v>
      </c>
      <c r="C3" s="103" t="s">
        <v>37</v>
      </c>
      <c r="D3" s="113"/>
      <c r="E3" s="113"/>
      <c r="F3" s="113"/>
      <c r="G3" s="103" t="str">
        <f>_xll.qlLibor(,Currency,C3,,Permanent,Trigger,ObjectOverwrite)</f>
        <v>obj_0026a#0003</v>
      </c>
      <c r="H3" s="110" t="str">
        <f t="shared" ref="H3:H12" si="0">Currency&amp;$B3&amp;"D"&amp;$H$1&amp;QuoteSuffix</f>
        <v>GBPSND_SYNTH6M_Quote</v>
      </c>
      <c r="I3" s="113"/>
      <c r="J3" s="235" t="str">
        <f>IF(P3,_xll.qlDepositRateHelper(,H3,G3,Permanent,Trigger,ObjectOverwrite),"--")</f>
        <v>--</v>
      </c>
      <c r="K3" s="49"/>
      <c r="L3" s="238" t="str">
        <f>A3</f>
        <v>Dp</v>
      </c>
      <c r="M3" s="239" t="str">
        <f>H3</f>
        <v>GBPSND_SYNTH6M_Quote</v>
      </c>
      <c r="N3" s="240">
        <f>IFERROR(_xll.qlQuoteValue(H3,Trigger),"--")</f>
        <v>1.3167999999999999E-2</v>
      </c>
      <c r="O3" s="241"/>
      <c r="P3" s="123" t="b">
        <v>0</v>
      </c>
      <c r="Q3" s="122">
        <v>10</v>
      </c>
      <c r="R3" s="122">
        <v>1</v>
      </c>
      <c r="S3" s="122" t="str">
        <f>J3</f>
        <v>--</v>
      </c>
      <c r="T3" s="124" t="str">
        <f>IFERROR(_xll.qlRateHelperEarliestDate(S3,Trigger),"--")</f>
        <v>--</v>
      </c>
      <c r="U3" s="124" t="str">
        <f>IFERROR(_xll.qlRateHelperPillarDate(S3,Trigger),"--")</f>
        <v>--</v>
      </c>
      <c r="W3" s="216" t="str">
        <f t="shared" ref="W3:W31" si="1">IFERROR(INDEX($L$3:$L$67,MATCH(Y3,$M$3:$M$67,0),1),"")</f>
        <v>Dp</v>
      </c>
      <c r="X3" s="3" t="str">
        <f t="array" ref="X3:X67">_xll.qlRateHelperSelection(_xll.ohFilter(RateHelpers,IncludeFlag),_xll.ohFilter(Priority,IncludeFlag),$AK$3,$AK$4,$AK$5,$AK$6,_xll.ohFilter(MinDistance,IncludeFlag),Trigger)</f>
        <v>obj_0030d</v>
      </c>
      <c r="Y3" s="3" t="str">
        <f>IFERROR(_xll.qlRateHelperQuoteName(X3,Trigger),"")</f>
        <v>GBP1MD_SYNTH6M_Quote</v>
      </c>
      <c r="Z3" s="67">
        <f>IFERROR(_xll.qlRateHelperRate(X3,Trigger),"")</f>
        <v>1.0351000000000001E-2</v>
      </c>
      <c r="AA3" s="95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42559</v>
      </c>
      <c r="AC3" s="4">
        <f>IFERROR(_xll.qlRateHelperPillarDate(X3,Trigger),"")</f>
        <v>42590</v>
      </c>
      <c r="AD3" s="206">
        <v>0.99912164615632792</v>
      </c>
      <c r="AG3" s="190" t="s">
        <v>84</v>
      </c>
      <c r="AK3" s="191">
        <v>0</v>
      </c>
    </row>
    <row r="4" spans="1:39" ht="11.25" customHeight="1" x14ac:dyDescent="0.2">
      <c r="A4" s="58" t="s">
        <v>27</v>
      </c>
      <c r="B4" s="59" t="s">
        <v>89</v>
      </c>
      <c r="C4" s="114"/>
      <c r="D4" s="114"/>
      <c r="E4" s="114"/>
      <c r="F4" s="114"/>
      <c r="G4" s="60" t="str">
        <f>PROPER(Currency)&amp;FamilyName&amp;B4</f>
        <v>GbpLiborSW</v>
      </c>
      <c r="H4" s="111" t="str">
        <f t="shared" si="0"/>
        <v>GBPSWD_SYNTH6M_Quote</v>
      </c>
      <c r="I4" s="114"/>
      <c r="J4" s="223" t="str">
        <f>IF(P4,_xll.qlDepositRateHelper(,H4,G4,Permanent,Trigger,ObjectOverwrite),"--")</f>
        <v>--</v>
      </c>
      <c r="K4" s="48"/>
      <c r="L4" s="226" t="str">
        <f t="shared" ref="L4:L9" si="2">A4</f>
        <v>Dp</v>
      </c>
      <c r="M4" s="230" t="str">
        <f t="shared" ref="M4:M12" si="3">H4</f>
        <v>GBPSWD_SYNTH6M_Quote</v>
      </c>
      <c r="N4" s="228">
        <f>IFERROR(_xll.qlQuoteValue(H4,Trigger),"--")</f>
        <v>1.2831E-2</v>
      </c>
      <c r="O4" s="229"/>
      <c r="P4" s="90" t="b">
        <v>0</v>
      </c>
      <c r="Q4" s="87">
        <v>10</v>
      </c>
      <c r="R4" s="87">
        <v>1</v>
      </c>
      <c r="S4" s="87" t="str">
        <f t="shared" ref="S4:S12" si="4">J4</f>
        <v>--</v>
      </c>
      <c r="T4" s="91" t="str">
        <f>IFERROR(_xll.qlRateHelperEarliestDate(S4,Trigger),"--")</f>
        <v>--</v>
      </c>
      <c r="U4" s="91" t="str">
        <f>IFERROR(_xll.qlRateHelperPillarDate(S4,Trigger),"--")</f>
        <v>--</v>
      </c>
      <c r="W4" s="3" t="str">
        <f t="shared" si="1"/>
        <v>Dp</v>
      </c>
      <c r="X4" s="3" t="str">
        <v>obj_00309</v>
      </c>
      <c r="Y4" s="3" t="str">
        <f>IFERROR(_xll.qlRateHelperQuoteName(X4,Trigger),"")</f>
        <v>GBP2MD_SYNTH6M_Quote</v>
      </c>
      <c r="Z4" s="67">
        <f>IFERROR(_xll.qlRateHelperRate(X4,Trigger),"")</f>
        <v>8.7849999999999994E-3</v>
      </c>
      <c r="AA4" s="95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42559</v>
      </c>
      <c r="AC4" s="4">
        <f>IFERROR(_xll.qlRateHelperPillarDate(X4,Trigger),"")</f>
        <v>42621</v>
      </c>
      <c r="AD4" s="206">
        <v>0.99850997690651599</v>
      </c>
      <c r="AG4" s="98" t="s">
        <v>85</v>
      </c>
      <c r="AK4" s="99">
        <v>0</v>
      </c>
    </row>
    <row r="5" spans="1:39" ht="11.25" customHeight="1" x14ac:dyDescent="0.2">
      <c r="A5" s="153" t="s">
        <v>27</v>
      </c>
      <c r="B5" s="154" t="s">
        <v>39</v>
      </c>
      <c r="C5" s="155"/>
      <c r="D5" s="155"/>
      <c r="E5" s="155"/>
      <c r="F5" s="155"/>
      <c r="G5" s="156" t="str">
        <f>_xll.qlLibor(,Currency,B5,,Permanent,Trigger,ObjectOverwrite)</f>
        <v>obj_0026b#0001</v>
      </c>
      <c r="H5" s="157" t="str">
        <f t="shared" si="0"/>
        <v>GBP2WD_SYNTH6M_Quote</v>
      </c>
      <c r="I5" s="155"/>
      <c r="J5" s="247" t="str">
        <f>IF(P5,_xll.qlDepositRateHelper(,H5,G5,Permanent,Trigger,ObjectOverwrite),"--")</f>
        <v>--</v>
      </c>
      <c r="K5" s="48"/>
      <c r="L5" s="226" t="str">
        <f t="shared" si="2"/>
        <v>Dp</v>
      </c>
      <c r="M5" s="230" t="str">
        <f t="shared" si="3"/>
        <v>GBP2WD_SYNTH6M_Quote</v>
      </c>
      <c r="N5" s="228">
        <f>IFERROR(_xll.qlQuoteValue(H5,Trigger),"--")</f>
        <v>1.1644E-2</v>
      </c>
      <c r="O5" s="229"/>
      <c r="P5" s="90" t="b">
        <v>0</v>
      </c>
      <c r="Q5" s="87">
        <v>10</v>
      </c>
      <c r="R5" s="87">
        <v>1</v>
      </c>
      <c r="S5" s="87" t="str">
        <f t="shared" si="4"/>
        <v>--</v>
      </c>
      <c r="T5" s="91" t="str">
        <f>IFERROR(_xll.qlRateHelperEarliestDate(S5,Trigger),"--")</f>
        <v>--</v>
      </c>
      <c r="U5" s="91" t="str">
        <f>IFERROR(_xll.qlRateHelperPillarDate(S5,Trigger),"--")</f>
        <v>--</v>
      </c>
      <c r="W5" s="3" t="str">
        <f t="shared" si="1"/>
        <v>Dp</v>
      </c>
      <c r="X5" s="3" t="str">
        <v>obj_0030c</v>
      </c>
      <c r="Y5" s="3" t="str">
        <f>IFERROR(_xll.qlRateHelperQuoteName(X5,Trigger),"")</f>
        <v>GBP3MD_SYNTH6M_Quote</v>
      </c>
      <c r="Z5" s="67">
        <f>IFERROR(_xll.qlRateHelperRate(X5,Trigger),"")</f>
        <v>7.7380000000000001E-3</v>
      </c>
      <c r="AA5" s="95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42559</v>
      </c>
      <c r="AC5" s="4">
        <f>IFERROR(_xll.qlRateHelperPillarDate(X5,Trigger),"")</f>
        <v>42653</v>
      </c>
      <c r="AD5" s="206">
        <v>0.99801116335366868</v>
      </c>
      <c r="AF5" s="73"/>
      <c r="AG5" s="98" t="s">
        <v>86</v>
      </c>
      <c r="AK5" s="99">
        <v>0</v>
      </c>
    </row>
    <row r="6" spans="1:39" ht="11.25" customHeight="1" x14ac:dyDescent="0.2">
      <c r="A6" s="158" t="s">
        <v>27</v>
      </c>
      <c r="B6" s="159" t="s">
        <v>40</v>
      </c>
      <c r="C6" s="160"/>
      <c r="D6" s="160"/>
      <c r="E6" s="160"/>
      <c r="F6" s="160"/>
      <c r="G6" s="161" t="str">
        <f>_xll.qlLibor(,Currency,B6,,Permanent,Trigger,ObjectOverwrite)</f>
        <v>obj_00269#0001</v>
      </c>
      <c r="H6" s="162" t="str">
        <f t="shared" si="0"/>
        <v>GBP3WD_SYNTH6M_Quote</v>
      </c>
      <c r="I6" s="160"/>
      <c r="J6" s="248" t="str">
        <f>IF(P6,_xll.qlDepositRateHelper(,H6,G6,Permanent,Trigger,ObjectOverwrite),"--")</f>
        <v>--</v>
      </c>
      <c r="K6" s="48"/>
      <c r="L6" s="226" t="str">
        <f t="shared" si="2"/>
        <v>Dp</v>
      </c>
      <c r="M6" s="230" t="str">
        <f t="shared" si="3"/>
        <v>GBP3WD_SYNTH6M_Quote</v>
      </c>
      <c r="N6" s="228">
        <f>IFERROR(_xll.qlQuoteValue(H6,Trigger),"--")</f>
        <v>1.0992E-2</v>
      </c>
      <c r="O6" s="229"/>
      <c r="P6" s="90" t="b">
        <v>0</v>
      </c>
      <c r="Q6" s="87">
        <v>10</v>
      </c>
      <c r="R6" s="87">
        <v>1</v>
      </c>
      <c r="S6" s="87" t="str">
        <f t="shared" si="4"/>
        <v>--</v>
      </c>
      <c r="T6" s="91" t="str">
        <f>IFERROR(_xll.qlRateHelperEarliestDate(S6,Trigger),"--")</f>
        <v>--</v>
      </c>
      <c r="U6" s="91" t="str">
        <f>IFERROR(_xll.qlRateHelperPillarDate(S6,Trigger),"--")</f>
        <v>--</v>
      </c>
      <c r="W6" s="3" t="str">
        <f t="shared" si="1"/>
        <v>Dp</v>
      </c>
      <c r="X6" s="3" t="str">
        <v>obj_0030b</v>
      </c>
      <c r="Y6" s="3" t="str">
        <f>IFERROR(_xll.qlRateHelperQuoteName(X6,Trigger),"")</f>
        <v>GBP4MD_SYNTH6M_Quote</v>
      </c>
      <c r="Z6" s="67">
        <f>IFERROR(_xll.qlRateHelperRate(X6,Trigger),"")</f>
        <v>7.0590000000000002E-3</v>
      </c>
      <c r="AA6" s="95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42559</v>
      </c>
      <c r="AC6" s="4">
        <f>IFERROR(_xll.qlRateHelperPillarDate(X6,Trigger),"")</f>
        <v>42682</v>
      </c>
      <c r="AD6" s="206">
        <v>0.99762685889418379</v>
      </c>
      <c r="AG6" s="98" t="s">
        <v>87</v>
      </c>
      <c r="AK6" s="100" t="s">
        <v>88</v>
      </c>
    </row>
    <row r="7" spans="1:39" ht="11.25" customHeight="1" x14ac:dyDescent="0.2">
      <c r="A7" s="58" t="s">
        <v>27</v>
      </c>
      <c r="B7" s="59" t="s">
        <v>2</v>
      </c>
      <c r="C7" s="114"/>
      <c r="D7" s="114"/>
      <c r="E7" s="114"/>
      <c r="F7" s="114"/>
      <c r="G7" s="60" t="str">
        <f>PROPER(Currency)&amp;FamilyName&amp;B7</f>
        <v>GbpLibor1M</v>
      </c>
      <c r="H7" s="111" t="str">
        <f t="shared" si="0"/>
        <v>GBP1MD_SYNTH6M_Quote</v>
      </c>
      <c r="I7" s="114"/>
      <c r="J7" s="223" t="str">
        <f>IF(P7,_xll.qlDepositRateHelper(,H7,G7,Permanent,Trigger,ObjectOverwrite),"--")</f>
        <v>obj_0030d#0001</v>
      </c>
      <c r="K7" s="48"/>
      <c r="L7" s="226" t="str">
        <f t="shared" si="2"/>
        <v>Dp</v>
      </c>
      <c r="M7" s="230" t="str">
        <f t="shared" si="3"/>
        <v>GBP1MD_SYNTH6M_Quote</v>
      </c>
      <c r="N7" s="228">
        <f>IFERROR(_xll.qlQuoteValue(H7,Trigger),"--")</f>
        <v>1.0397999999999999E-2</v>
      </c>
      <c r="O7" s="229"/>
      <c r="P7" s="90" t="b">
        <v>1</v>
      </c>
      <c r="Q7" s="87">
        <v>10</v>
      </c>
      <c r="R7" s="87">
        <v>1</v>
      </c>
      <c r="S7" s="87" t="str">
        <f t="shared" si="4"/>
        <v>obj_0030d#0001</v>
      </c>
      <c r="T7" s="91">
        <f>IFERROR(_xll.qlRateHelperEarliestDate(S7,Trigger),"--")</f>
        <v>42559</v>
      </c>
      <c r="U7" s="91">
        <f>IFERROR(_xll.qlRateHelperPillarDate(S7,Trigger),"--")</f>
        <v>42590</v>
      </c>
      <c r="W7" s="3" t="str">
        <f t="shared" si="1"/>
        <v>Dp</v>
      </c>
      <c r="X7" s="3" t="str">
        <v>obj_00310</v>
      </c>
      <c r="Y7" s="3" t="str">
        <f>IFERROR(_xll.qlRateHelperQuoteName(X7,Trigger),"")</f>
        <v>GBP5MD_SYNTH6M_Quote</v>
      </c>
      <c r="Z7" s="67">
        <f>IFERROR(_xll.qlRateHelperRate(X7,Trigger),"")</f>
        <v>6.4869999999999997E-3</v>
      </c>
      <c r="AA7" s="95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42559</v>
      </c>
      <c r="AC7" s="4">
        <f>IFERROR(_xll.qlRateHelperPillarDate(X7,Trigger),"")</f>
        <v>42712</v>
      </c>
      <c r="AD7" s="206">
        <v>0.99728816582260627</v>
      </c>
    </row>
    <row r="8" spans="1:39" ht="11.25" customHeight="1" x14ac:dyDescent="0.2">
      <c r="A8" s="58" t="s">
        <v>27</v>
      </c>
      <c r="B8" s="59" t="s">
        <v>41</v>
      </c>
      <c r="C8" s="114"/>
      <c r="D8" s="114"/>
      <c r="E8" s="114"/>
      <c r="F8" s="114"/>
      <c r="G8" s="60" t="str">
        <f>PROPER(Currency)&amp;FamilyName&amp;B8</f>
        <v>GbpLibor2M</v>
      </c>
      <c r="H8" s="111" t="str">
        <f t="shared" si="0"/>
        <v>GBP2MD_SYNTH6M_Quote</v>
      </c>
      <c r="I8" s="114"/>
      <c r="J8" s="223" t="str">
        <f>IF(P8,_xll.qlDepositRateHelper(,H8,G8,Permanent,Trigger,ObjectOverwrite),"--")</f>
        <v>obj_00309#0001</v>
      </c>
      <c r="K8" s="48"/>
      <c r="L8" s="226" t="str">
        <f t="shared" si="2"/>
        <v>Dp</v>
      </c>
      <c r="M8" s="230" t="str">
        <f t="shared" si="3"/>
        <v>GBP2MD_SYNTH6M_Quote</v>
      </c>
      <c r="N8" s="228">
        <f>IFERROR(_xll.qlQuoteValue(H8,Trigger),"--")</f>
        <v>8.8129999999999997E-3</v>
      </c>
      <c r="O8" s="229"/>
      <c r="P8" s="90" t="b">
        <v>1</v>
      </c>
      <c r="Q8" s="87">
        <v>10</v>
      </c>
      <c r="R8" s="87">
        <v>1</v>
      </c>
      <c r="S8" s="87" t="str">
        <f t="shared" si="4"/>
        <v>obj_00309#0001</v>
      </c>
      <c r="T8" s="91">
        <f>IFERROR(_xll.qlRateHelperEarliestDate(S8,Trigger),"--")</f>
        <v>42559</v>
      </c>
      <c r="U8" s="91">
        <f>IFERROR(_xll.qlRateHelperPillarDate(S8,Trigger),"--")</f>
        <v>42621</v>
      </c>
      <c r="W8" s="3" t="str">
        <f t="shared" si="1"/>
        <v>Dp</v>
      </c>
      <c r="X8" s="3" t="str">
        <v>obj_0030f</v>
      </c>
      <c r="Y8" s="3" t="str">
        <f>IFERROR(_xll.qlRateHelperQuoteName(X8,Trigger),"")</f>
        <v>GBP6MD_SYNTH6M_Quote</v>
      </c>
      <c r="Z8" s="67">
        <f>IFERROR(_xll.qlRateHelperRate(X8,Trigger),"")</f>
        <v>6.084E-3</v>
      </c>
      <c r="AA8" s="95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42559</v>
      </c>
      <c r="AC8" s="4">
        <f>IFERROR(_xll.qlRateHelperPillarDate(X8,Trigger),"")</f>
        <v>42744</v>
      </c>
      <c r="AD8" s="206">
        <v>0.99692580856282254</v>
      </c>
    </row>
    <row r="9" spans="1:39" ht="11.25" customHeight="1" x14ac:dyDescent="0.2">
      <c r="A9" s="58" t="s">
        <v>27</v>
      </c>
      <c r="B9" s="59" t="s">
        <v>0</v>
      </c>
      <c r="C9" s="114"/>
      <c r="D9" s="114"/>
      <c r="E9" s="114"/>
      <c r="F9" s="114"/>
      <c r="G9" s="60" t="str">
        <f>PROPER(Currency)&amp;FamilyName&amp;B9</f>
        <v>GbpLibor3M</v>
      </c>
      <c r="H9" s="111" t="str">
        <f t="shared" si="0"/>
        <v>GBP3MD_SYNTH6M_Quote</v>
      </c>
      <c r="I9" s="114"/>
      <c r="J9" s="223" t="str">
        <f>IF(P9,_xll.qlDepositRateHelper(,H9,G9,Permanent,Trigger,ObjectOverwrite),"--")</f>
        <v>obj_0030c#0001</v>
      </c>
      <c r="K9" s="48"/>
      <c r="L9" s="226" t="str">
        <f t="shared" si="2"/>
        <v>Dp</v>
      </c>
      <c r="M9" s="230" t="str">
        <f t="shared" si="3"/>
        <v>GBP3MD_SYNTH6M_Quote</v>
      </c>
      <c r="N9" s="228">
        <f>IFERROR(_xll.qlQuoteValue(H9,Trigger),"--")</f>
        <v>7.7580000000000001E-3</v>
      </c>
      <c r="O9" s="229"/>
      <c r="P9" s="90" t="b">
        <v>1</v>
      </c>
      <c r="Q9" s="87">
        <v>10</v>
      </c>
      <c r="R9" s="87">
        <v>1</v>
      </c>
      <c r="S9" s="87" t="str">
        <f t="shared" si="4"/>
        <v>obj_0030c#0001</v>
      </c>
      <c r="T9" s="91">
        <f>IFERROR(_xll.qlRateHelperEarliestDate(S9,Trigger),"--")</f>
        <v>42559</v>
      </c>
      <c r="U9" s="91">
        <f>IFERROR(_xll.qlRateHelperPillarDate(S9,Trigger),"--")</f>
        <v>42653</v>
      </c>
      <c r="W9" s="3" t="str">
        <f t="shared" si="1"/>
        <v>FRA</v>
      </c>
      <c r="X9" s="3" t="str">
        <v>obj_00303</v>
      </c>
      <c r="Y9" s="3" t="str">
        <f>IFERROR(_xll.qlRateHelperQuoteName(X9,Trigger),"")</f>
        <v>GBP1x7F_Quote</v>
      </c>
      <c r="Z9" s="67">
        <f>IFERROR(_xll.qlRateHelperRate(X9,Trigger),"")</f>
        <v>5.1600000000000005E-3</v>
      </c>
      <c r="AA9" s="95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42590</v>
      </c>
      <c r="AC9" s="4">
        <f>IFERROR(_xll.qlRateHelperPillarDate(X9,Trigger),"")</f>
        <v>42774</v>
      </c>
      <c r="AD9" s="206">
        <v>0.99652946824309852</v>
      </c>
      <c r="AH9" s="46" t="s">
        <v>123</v>
      </c>
    </row>
    <row r="10" spans="1:39" ht="11.25" customHeight="1" x14ac:dyDescent="0.2">
      <c r="A10" s="153" t="s">
        <v>27</v>
      </c>
      <c r="B10" s="154" t="s">
        <v>42</v>
      </c>
      <c r="C10" s="155"/>
      <c r="D10" s="155"/>
      <c r="E10" s="155"/>
      <c r="F10" s="155"/>
      <c r="G10" s="156" t="str">
        <f>_xll.qlLibor(,Currency,B10,,Permanent,Trigger,ObjectOverwrite)</f>
        <v>obj_002c6#0001</v>
      </c>
      <c r="H10" s="157" t="str">
        <f t="shared" si="0"/>
        <v>GBP4MD_SYNTH6M_Quote</v>
      </c>
      <c r="I10" s="155"/>
      <c r="J10" s="247" t="str">
        <f>IF(P10,_xll.qlDepositRateHelper(,H10,G10,Permanent,Trigger,ObjectOverwrite),"--")</f>
        <v>obj_0030b#0001</v>
      </c>
      <c r="K10" s="48"/>
      <c r="L10" s="226" t="str">
        <f t="shared" ref="L10:L12" si="5">A10</f>
        <v>Dp</v>
      </c>
      <c r="M10" s="230" t="str">
        <f t="shared" si="3"/>
        <v>GBP4MD_SYNTH6M_Quote</v>
      </c>
      <c r="N10" s="228">
        <f>IFERROR(_xll.qlQuoteValue(H10,Trigger),"--")</f>
        <v>7.0660000000000002E-3</v>
      </c>
      <c r="O10" s="229"/>
      <c r="P10" s="90" t="b">
        <v>1</v>
      </c>
      <c r="Q10" s="87">
        <v>10</v>
      </c>
      <c r="R10" s="87">
        <v>1</v>
      </c>
      <c r="S10" s="87" t="str">
        <f t="shared" si="4"/>
        <v>obj_0030b#0001</v>
      </c>
      <c r="T10" s="91">
        <f>IFERROR(_xll.qlRateHelperEarliestDate(S10,Trigger),"--")</f>
        <v>42559</v>
      </c>
      <c r="U10" s="91">
        <f>IFERROR(_xll.qlRateHelperPillarDate(S10,Trigger),"--")</f>
        <v>42682</v>
      </c>
      <c r="W10" s="3" t="str">
        <f t="shared" si="1"/>
        <v>FRA</v>
      </c>
      <c r="X10" s="3" t="str">
        <v>obj_00308</v>
      </c>
      <c r="Y10" s="3" t="str">
        <f>IFERROR(_xll.qlRateHelperQuoteName(X10,Trigger),"")</f>
        <v>GBP2x8F_Quote</v>
      </c>
      <c r="Z10" s="67">
        <f>IFERROR(_xll.qlRateHelperRate(X10,Trigger),"")</f>
        <v>4.9300000000000004E-3</v>
      </c>
      <c r="AA10" s="95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42621</v>
      </c>
      <c r="AC10" s="4">
        <f>IFERROR(_xll.qlRateHelperPillarDate(X10,Trigger),"")</f>
        <v>42802</v>
      </c>
      <c r="AD10" s="206">
        <v>0.99607483319164802</v>
      </c>
      <c r="AF10" s="69" t="s">
        <v>117</v>
      </c>
      <c r="AG10" s="69" t="s">
        <v>118</v>
      </c>
      <c r="AH10" s="69" t="s">
        <v>119</v>
      </c>
      <c r="AI10" s="69" t="s">
        <v>129</v>
      </c>
      <c r="AJ10" s="69" t="s">
        <v>120</v>
      </c>
      <c r="AK10" s="69" t="s">
        <v>130</v>
      </c>
      <c r="AL10" s="69" t="s">
        <v>121</v>
      </c>
      <c r="AM10" s="69" t="s">
        <v>122</v>
      </c>
    </row>
    <row r="11" spans="1:39" ht="11.25" customHeight="1" x14ac:dyDescent="0.2">
      <c r="A11" s="158" t="s">
        <v>27</v>
      </c>
      <c r="B11" s="159" t="s">
        <v>43</v>
      </c>
      <c r="C11" s="160"/>
      <c r="D11" s="160"/>
      <c r="E11" s="160"/>
      <c r="F11" s="160"/>
      <c r="G11" s="161" t="str">
        <f>_xll.qlLibor(,Currency,B11,,Permanent,Trigger,ObjectOverwrite)</f>
        <v>obj_00283#0001</v>
      </c>
      <c r="H11" s="162" t="str">
        <f t="shared" si="0"/>
        <v>GBP5MD_SYNTH6M_Quote</v>
      </c>
      <c r="I11" s="160"/>
      <c r="J11" s="248" t="str">
        <f>IF(P11,_xll.qlDepositRateHelper(,H11,G11,Permanent,Trigger,ObjectOverwrite),"--")</f>
        <v>obj_00310#0001</v>
      </c>
      <c r="K11" s="48"/>
      <c r="L11" s="226" t="str">
        <f t="shared" si="5"/>
        <v>Dp</v>
      </c>
      <c r="M11" s="230" t="str">
        <f t="shared" si="3"/>
        <v>GBP5MD_SYNTH6M_Quote</v>
      </c>
      <c r="N11" s="228">
        <f>IFERROR(_xll.qlQuoteValue(H11,Trigger),"--")</f>
        <v>6.4939999999999998E-3</v>
      </c>
      <c r="O11" s="229"/>
      <c r="P11" s="90" t="b">
        <v>1</v>
      </c>
      <c r="Q11" s="87">
        <v>10</v>
      </c>
      <c r="R11" s="87">
        <v>1</v>
      </c>
      <c r="S11" s="87" t="str">
        <f t="shared" si="4"/>
        <v>obj_00310#0001</v>
      </c>
      <c r="T11" s="91">
        <f>IFERROR(_xll.qlRateHelperEarliestDate(S11,Trigger),"--")</f>
        <v>42559</v>
      </c>
      <c r="U11" s="91">
        <f>IFERROR(_xll.qlRateHelperPillarDate(S11,Trigger),"--")</f>
        <v>42712</v>
      </c>
      <c r="W11" s="3" t="str">
        <f t="shared" si="1"/>
        <v>FRA</v>
      </c>
      <c r="X11" s="3" t="str">
        <v>obj_00307</v>
      </c>
      <c r="Y11" s="3" t="str">
        <f>IFERROR(_xll.qlRateHelperQuoteName(X11,Trigger),"")</f>
        <v>GBP3x9F_Quote</v>
      </c>
      <c r="Z11" s="67">
        <f>IFERROR(_xll.qlRateHelperRate(X11,Trigger),"")</f>
        <v>4.7499999999999999E-3</v>
      </c>
      <c r="AA11" s="95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42653</v>
      </c>
      <c r="AC11" s="4">
        <f>IFERROR(_xll.qlRateHelperPillarDate(X11,Trigger),"")</f>
        <v>42835</v>
      </c>
      <c r="AD11" s="206">
        <v>0.9956529661229474</v>
      </c>
      <c r="AF11" s="137">
        <v>1</v>
      </c>
      <c r="AG11" s="138">
        <f>_xll.qlCalendarEndOfMonth(Calendar,Settlementdate,Trigger)</f>
        <v>42580</v>
      </c>
      <c r="AH11" s="137" t="str">
        <f t="shared" ref="AH11:AH23" si="6">Currency&amp;$AH$9&amp;AF11&amp;JumpSuffix&amp;QuoteSuffix</f>
        <v>GBPJump1_SYNTHON_Quote</v>
      </c>
      <c r="AI11" s="177">
        <f>_xll.qlDayCounterYearFraction("actual/360",AG11,_xll.qlCalendarAdvance(Calendar,AG11,"1D",,,Trigger))</f>
        <v>8.3333333333333332E-3</v>
      </c>
      <c r="AJ11" s="139" t="e">
        <f>IF(_xll.qlQuoteIsValid(AH11,Trigger),_xll.qlQuoteValue(AH11,Trigger),1)</f>
        <v>#NUM!</v>
      </c>
      <c r="AK11" s="180" t="e">
        <f>-LN(AJ11)/AI11</f>
        <v>#NUM!</v>
      </c>
      <c r="AL11" s="183"/>
      <c r="AM11" s="139" t="str">
        <f>IF(ISBLANK(AL11),AH11,EXP(-AL11*AI11))</f>
        <v>GBPJump1_SYNTHON_Quote</v>
      </c>
    </row>
    <row r="12" spans="1:39" ht="11.25" customHeight="1" x14ac:dyDescent="0.2">
      <c r="A12" s="1" t="s">
        <v>27</v>
      </c>
      <c r="B12" s="7" t="s">
        <v>3</v>
      </c>
      <c r="C12" s="115"/>
      <c r="D12" s="115"/>
      <c r="E12" s="115"/>
      <c r="F12" s="115"/>
      <c r="G12" s="6" t="str">
        <f>PROPER(Currency)&amp;FamilyName&amp;B12</f>
        <v>GbpLibor6M</v>
      </c>
      <c r="H12" s="112" t="str">
        <f t="shared" si="0"/>
        <v>GBP6MD_SYNTH6M_Quote</v>
      </c>
      <c r="I12" s="115"/>
      <c r="J12" s="224" t="str">
        <f>IF(P12,_xll.qlDepositRateHelper(,H12,G12,Permanent,Trigger,ObjectOverwrite),"--")</f>
        <v>obj_0030f#0001</v>
      </c>
      <c r="K12" s="48" t="s">
        <v>36</v>
      </c>
      <c r="L12" s="231" t="str">
        <f t="shared" si="5"/>
        <v>Dp</v>
      </c>
      <c r="M12" s="232" t="str">
        <f t="shared" si="3"/>
        <v>GBP6MD_SYNTH6M_Quote</v>
      </c>
      <c r="N12" s="233">
        <f>IFERROR(_xll.qlQuoteValue(H12,Trigger),"--")</f>
        <v>6.084E-3</v>
      </c>
      <c r="O12" s="234"/>
      <c r="P12" s="92" t="b">
        <v>1</v>
      </c>
      <c r="Q12" s="88">
        <v>10</v>
      </c>
      <c r="R12" s="88">
        <v>1</v>
      </c>
      <c r="S12" s="88" t="str">
        <f t="shared" si="4"/>
        <v>obj_0030f#0001</v>
      </c>
      <c r="T12" s="93">
        <f>IFERROR(_xll.qlRateHelperEarliestDate(S12,Trigger),"--")</f>
        <v>42559</v>
      </c>
      <c r="U12" s="93">
        <f>IFERROR(_xll.qlRateHelperPillarDate(S12,Trigger),"--")</f>
        <v>42744</v>
      </c>
      <c r="W12" s="3" t="str">
        <f t="shared" si="1"/>
        <v>FRA</v>
      </c>
      <c r="X12" s="3" t="str">
        <v>obj_00304</v>
      </c>
      <c r="Y12" s="3" t="str">
        <f>IFERROR(_xll.qlRateHelperQuoteName(X12,Trigger),"")</f>
        <v>GBP4x10F_Quote</v>
      </c>
      <c r="Z12" s="67">
        <f>IFERROR(_xll.qlRateHelperRate(X12,Trigger),"")</f>
        <v>4.7099999999999998E-3</v>
      </c>
      <c r="AA12" s="95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42682</v>
      </c>
      <c r="AC12" s="4">
        <f>IFERROR(_xll.qlRateHelperPillarDate(X12,Trigger),"")</f>
        <v>42863</v>
      </c>
      <c r="AD12" s="206">
        <v>0.99530218747543131</v>
      </c>
      <c r="AF12" s="140">
        <v>2</v>
      </c>
      <c r="AG12" s="141">
        <f>_xll.qlCalendarEndOfMonth(Calendar,_xll.qlCalendarAdvance(Calendar,AG11,"1m","mf",TRUE),Trigger)</f>
        <v>42613</v>
      </c>
      <c r="AH12" s="140" t="str">
        <f t="shared" si="6"/>
        <v>GBPJump2_SYNTHON_Quote</v>
      </c>
      <c r="AI12" s="178">
        <f>_xll.qlDayCounterYearFraction("actual/360",AG12,_xll.qlCalendarAdvance(Calendar,AG12,"1D",,,Trigger))</f>
        <v>2.7777777777777779E-3</v>
      </c>
      <c r="AJ12" s="142" t="e">
        <f>IF(_xll.qlQuoteIsValid(AH12,Trigger),_xll.qlQuoteValue(AH12,Trigger),1)</f>
        <v>#NUM!</v>
      </c>
      <c r="AK12" s="181" t="e">
        <f t="shared" ref="AK12:AK23" si="7">-LN(AJ12)/AI12</f>
        <v>#NUM!</v>
      </c>
      <c r="AL12" s="184"/>
      <c r="AM12" s="142" t="str">
        <f t="shared" ref="AM12:AM23" si="8">IF(ISBLANK(AL12),AH12,EXP(-AL12*AI12))</f>
        <v>GBPJump2_SYNTHON_Quote</v>
      </c>
    </row>
    <row r="13" spans="1:39" ht="11.25" customHeight="1" x14ac:dyDescent="0.2">
      <c r="B13" s="46"/>
      <c r="C13" s="46"/>
      <c r="D13" s="46"/>
      <c r="E13" s="46"/>
      <c r="F13" s="46"/>
      <c r="G13" s="46"/>
      <c r="H13" s="46"/>
      <c r="K13" s="48"/>
      <c r="L13" s="238" t="str">
        <f>A15</f>
        <v>FRA</v>
      </c>
      <c r="M13" s="239" t="str">
        <f>H15</f>
        <v>GBP1x7F_Quote</v>
      </c>
      <c r="N13" s="240">
        <f>IFERROR(_xll.qlQuoteValue(H15,Trigger),"--")</f>
        <v>5.1600000000000005E-3</v>
      </c>
      <c r="O13" s="241"/>
      <c r="P13" s="123" t="b">
        <v>1</v>
      </c>
      <c r="Q13" s="122">
        <v>20</v>
      </c>
      <c r="R13" s="122">
        <v>1</v>
      </c>
      <c r="S13" s="122" t="str">
        <f>J15</f>
        <v>obj_00303#0001</v>
      </c>
      <c r="T13" s="124">
        <f>IFERROR(_xll.qlRateHelperEarliestDate(S13,Trigger),"--")</f>
        <v>42590</v>
      </c>
      <c r="U13" s="124">
        <f>IFERROR(_xll.qlRateHelperPillarDate(S13,Trigger),"--")</f>
        <v>42774</v>
      </c>
      <c r="W13" s="3" t="str">
        <f t="shared" si="1"/>
        <v>FRA</v>
      </c>
      <c r="X13" s="3" t="str">
        <v>obj_00302</v>
      </c>
      <c r="Y13" s="3" t="str">
        <f>IFERROR(_xll.qlRateHelperQuoteName(X13,Trigger),"")</f>
        <v>GBP5x11F_Quote</v>
      </c>
      <c r="Z13" s="67">
        <f>IFERROR(_xll.qlRateHelperRate(X13,Trigger),"")</f>
        <v>4.6499999999999996E-3</v>
      </c>
      <c r="AA13" s="95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42712</v>
      </c>
      <c r="AC13" s="4">
        <f>IFERROR(_xll.qlRateHelperPillarDate(X13,Trigger),"")</f>
        <v>42894</v>
      </c>
      <c r="AD13" s="206">
        <v>0.99498117249033613</v>
      </c>
      <c r="AF13" s="140">
        <v>3</v>
      </c>
      <c r="AG13" s="141">
        <f>_xll.qlCalendarEndOfMonth(Calendar,_xll.qlCalendarAdvance(Calendar,AG12,"1m","mf",TRUE),Trigger)</f>
        <v>42643</v>
      </c>
      <c r="AH13" s="140" t="str">
        <f t="shared" si="6"/>
        <v>GBPJump3_SYNTHON_Quote</v>
      </c>
      <c r="AI13" s="178">
        <f>_xll.qlDayCounterYearFraction("actual/360",AG13,_xll.qlCalendarAdvance(Calendar,AG13,"1D",,,Trigger))</f>
        <v>8.3333333333333332E-3</v>
      </c>
      <c r="AJ13" s="142" t="e">
        <f>IF(_xll.qlQuoteIsValid(AH13,Trigger),_xll.qlQuoteValue(AH13,Trigger),1)</f>
        <v>#NUM!</v>
      </c>
      <c r="AK13" s="181" t="e">
        <f t="shared" si="7"/>
        <v>#NUM!</v>
      </c>
      <c r="AL13" s="184"/>
      <c r="AM13" s="142" t="str">
        <f t="shared" si="8"/>
        <v>GBPJump3_SYNTHON_Quote</v>
      </c>
    </row>
    <row r="14" spans="1:39" ht="11.25" customHeight="1" x14ac:dyDescent="0.2">
      <c r="A14" s="63" t="s">
        <v>9</v>
      </c>
      <c r="B14" s="63" t="s">
        <v>90</v>
      </c>
      <c r="C14" s="63" t="s">
        <v>91</v>
      </c>
      <c r="D14" s="63"/>
      <c r="E14" s="63"/>
      <c r="F14" s="63"/>
      <c r="G14" s="63" t="s">
        <v>4</v>
      </c>
      <c r="H14" s="63" t="s">
        <v>1</v>
      </c>
      <c r="I14" s="63"/>
      <c r="J14" s="63" t="s">
        <v>25</v>
      </c>
      <c r="K14" s="48"/>
      <c r="L14" s="226" t="str">
        <f t="shared" ref="L14:L26" si="9">A16</f>
        <v>FRA</v>
      </c>
      <c r="M14" s="230" t="str">
        <f t="shared" ref="M14:M30" si="10">H16</f>
        <v>GBP2x8F_Quote</v>
      </c>
      <c r="N14" s="228">
        <f>IFERROR(_xll.qlQuoteValue(H16,Trigger),"--")</f>
        <v>4.9300000000000004E-3</v>
      </c>
      <c r="O14" s="229"/>
      <c r="P14" s="90" t="b">
        <v>1</v>
      </c>
      <c r="Q14" s="87">
        <v>20</v>
      </c>
      <c r="R14" s="87">
        <v>1</v>
      </c>
      <c r="S14" s="87" t="str">
        <f t="shared" ref="S14:S30" si="11">J16</f>
        <v>obj_00308#0001</v>
      </c>
      <c r="T14" s="91">
        <f>IFERROR(_xll.qlRateHelperEarliestDate(S14,Trigger),"--")</f>
        <v>42621</v>
      </c>
      <c r="U14" s="91">
        <f>IFERROR(_xll.qlRateHelperPillarDate(S14,Trigger),"--")</f>
        <v>42802</v>
      </c>
      <c r="W14" s="3" t="str">
        <f t="shared" si="1"/>
        <v>FRA</v>
      </c>
      <c r="X14" s="3" t="str">
        <v>obj_00306</v>
      </c>
      <c r="Y14" s="3" t="str">
        <f>IFERROR(_xll.qlRateHelperQuoteName(X14,Trigger),"")</f>
        <v>GBP6x12F_Quote</v>
      </c>
      <c r="Z14" s="67">
        <f>IFERROR(_xll.qlRateHelperRate(X14,Trigger),"")</f>
        <v>4.6299999999999996E-3</v>
      </c>
      <c r="AA14" s="95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42744</v>
      </c>
      <c r="AC14" s="4">
        <f>IFERROR(_xll.qlRateHelperPillarDate(X14,Trigger),"")</f>
        <v>42926</v>
      </c>
      <c r="AD14" s="206">
        <v>0.99462954955944782</v>
      </c>
      <c r="AF14" s="140">
        <v>4</v>
      </c>
      <c r="AG14" s="141">
        <f>_xll.qlCalendarEndOfMonth(Calendar,_xll.qlCalendarAdvance(Calendar,AG13,"1m","mf",TRUE),Trigger)</f>
        <v>42674</v>
      </c>
      <c r="AH14" s="140" t="str">
        <f t="shared" si="6"/>
        <v>GBPJump4_SYNTHON_Quote</v>
      </c>
      <c r="AI14" s="178">
        <f>_xll.qlDayCounterYearFraction("actual/360",AG14,_xll.qlCalendarAdvance(Calendar,AG14,"1D",,,Trigger))</f>
        <v>2.7777777777777779E-3</v>
      </c>
      <c r="AJ14" s="142" t="e">
        <f>IF(_xll.qlQuoteIsValid(AH14,Trigger),_xll.qlQuoteValue(AH14,Trigger),1)</f>
        <v>#NUM!</v>
      </c>
      <c r="AK14" s="181" t="e">
        <f t="shared" si="7"/>
        <v>#NUM!</v>
      </c>
      <c r="AL14" s="184"/>
      <c r="AM14" s="142" t="str">
        <f t="shared" si="8"/>
        <v>GBPJump4_SYNTHON_Quote</v>
      </c>
    </row>
    <row r="15" spans="1:39" ht="11.25" customHeight="1" x14ac:dyDescent="0.2">
      <c r="A15" s="53" t="s">
        <v>92</v>
      </c>
      <c r="B15" s="104">
        <v>1</v>
      </c>
      <c r="C15" s="56" t="str">
        <f t="shared" ref="C15:C32" si="12">"x"&amp;B15+SUBSTITUTE(Tenor,"M","")&amp;"F"</f>
        <v>x7F</v>
      </c>
      <c r="D15" s="120"/>
      <c r="E15" s="120"/>
      <c r="F15" s="120"/>
      <c r="G15" s="55" t="str">
        <f t="shared" ref="G15:G32" si="13">PROPER(Currency)&amp;FamilyName&amp;Tenor</f>
        <v>GbpLibor6M</v>
      </c>
      <c r="H15" s="107" t="str">
        <f t="shared" ref="H15:H24" si="14">Currency&amp;B15&amp;C15&amp;QuoteSuffix</f>
        <v>GBP1x7F_Quote</v>
      </c>
      <c r="I15" s="120"/>
      <c r="J15" s="225" t="str">
        <f>IF(P13,_xll.qlFraRateHelper(,H15,B15&amp;"M",G15,PillarDate,,Permanent,Trigger,ObjectOverwrite),"--")</f>
        <v>obj_00303#0001</v>
      </c>
      <c r="K15" s="48"/>
      <c r="L15" s="226" t="str">
        <f t="shared" si="9"/>
        <v>FRA</v>
      </c>
      <c r="M15" s="230" t="str">
        <f t="shared" si="10"/>
        <v>GBP3x9F_Quote</v>
      </c>
      <c r="N15" s="228">
        <f>IFERROR(_xll.qlQuoteValue(H17,Trigger),"--")</f>
        <v>4.7599999999999995E-3</v>
      </c>
      <c r="O15" s="229"/>
      <c r="P15" s="90" t="b">
        <v>1</v>
      </c>
      <c r="Q15" s="87">
        <v>20</v>
      </c>
      <c r="R15" s="87">
        <v>1</v>
      </c>
      <c r="S15" s="87" t="str">
        <f t="shared" si="11"/>
        <v>obj_00307#0001</v>
      </c>
      <c r="T15" s="91">
        <f>IFERROR(_xll.qlRateHelperEarliestDate(S15,Trigger),"--")</f>
        <v>42653</v>
      </c>
      <c r="U15" s="91">
        <f>IFERROR(_xll.qlRateHelperPillarDate(S15,Trigger),"--")</f>
        <v>42835</v>
      </c>
      <c r="W15" s="3" t="str">
        <f t="shared" si="1"/>
        <v>FRA</v>
      </c>
      <c r="X15" s="3" t="str">
        <v>obj_0030a</v>
      </c>
      <c r="Y15" s="3" t="str">
        <f>IFERROR(_xll.qlRateHelperQuoteName(X15,Trigger),"")</f>
        <v>GBP9x15F_Quote</v>
      </c>
      <c r="Z15" s="67">
        <f>IFERROR(_xll.qlRateHelperRate(X15,Trigger),"")</f>
        <v>4.6099999999999995E-3</v>
      </c>
      <c r="AA15" s="95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42835</v>
      </c>
      <c r="AC15" s="4">
        <f>IFERROR(_xll.qlRateHelperPillarDate(X15,Trigger),"")</f>
        <v>43017</v>
      </c>
      <c r="AD15" s="206">
        <v>0.99337021786562496</v>
      </c>
      <c r="AF15" s="140">
        <v>5</v>
      </c>
      <c r="AG15" s="141">
        <f>_xll.qlCalendarEndOfMonth(Calendar,_xll.qlCalendarAdvance(Calendar,AG14,"1m","mf",TRUE),Trigger)</f>
        <v>42704</v>
      </c>
      <c r="AH15" s="140" t="str">
        <f t="shared" si="6"/>
        <v>GBPJump5_SYNTHON_Quote</v>
      </c>
      <c r="AI15" s="178">
        <f>_xll.qlDayCounterYearFraction("actual/360",AG15,_xll.qlCalendarAdvance(Calendar,AG15,"1D",,,Trigger))</f>
        <v>2.7777777777777779E-3</v>
      </c>
      <c r="AJ15" s="142" t="e">
        <f>IF(_xll.qlQuoteIsValid(AH15,Trigger),_xll.qlQuoteValue(AH15,Trigger),1)</f>
        <v>#NUM!</v>
      </c>
      <c r="AK15" s="181" t="e">
        <f t="shared" si="7"/>
        <v>#NUM!</v>
      </c>
      <c r="AL15" s="184"/>
      <c r="AM15" s="142" t="str">
        <f t="shared" si="8"/>
        <v>GBPJump5_SYNTHON_Quote</v>
      </c>
    </row>
    <row r="16" spans="1:39" ht="11.25" customHeight="1" x14ac:dyDescent="0.2">
      <c r="A16" s="58" t="s">
        <v>92</v>
      </c>
      <c r="B16" s="105">
        <v>2</v>
      </c>
      <c r="C16" s="61" t="str">
        <f t="shared" si="12"/>
        <v>x8F</v>
      </c>
      <c r="D16" s="114"/>
      <c r="E16" s="114"/>
      <c r="F16" s="114"/>
      <c r="G16" s="60" t="str">
        <f t="shared" si="13"/>
        <v>GbpLibor6M</v>
      </c>
      <c r="H16" s="108" t="str">
        <f t="shared" si="14"/>
        <v>GBP2x8F_Quote</v>
      </c>
      <c r="I16" s="114"/>
      <c r="J16" s="223" t="str">
        <f>IF(P14,_xll.qlFraRateHelper(,H16,B16&amp;"M",G16,PillarDate,,Permanent,Trigger,ObjectOverwrite),"--")</f>
        <v>obj_00308#0001</v>
      </c>
      <c r="K16" s="48"/>
      <c r="L16" s="226" t="str">
        <f t="shared" si="9"/>
        <v>FRA</v>
      </c>
      <c r="M16" s="230" t="str">
        <f t="shared" si="10"/>
        <v>GBP4x10F_Quote</v>
      </c>
      <c r="N16" s="228">
        <f>IFERROR(_xll.qlQuoteValue(H18,Trigger),"--")</f>
        <v>4.7199999999999994E-3</v>
      </c>
      <c r="O16" s="229"/>
      <c r="P16" s="90" t="b">
        <v>1</v>
      </c>
      <c r="Q16" s="87">
        <v>20</v>
      </c>
      <c r="R16" s="87">
        <v>1</v>
      </c>
      <c r="S16" s="87" t="str">
        <f t="shared" si="11"/>
        <v>obj_00304#0001</v>
      </c>
      <c r="T16" s="91">
        <f>IFERROR(_xll.qlRateHelperEarliestDate(S16,Trigger),"--")</f>
        <v>42682</v>
      </c>
      <c r="U16" s="91">
        <f>IFERROR(_xll.qlRateHelperPillarDate(S16,Trigger),"--")</f>
        <v>42863</v>
      </c>
      <c r="W16" s="3" t="str">
        <f t="shared" si="1"/>
        <v>FRA</v>
      </c>
      <c r="X16" s="3" t="str">
        <v>obj_00305</v>
      </c>
      <c r="Y16" s="3" t="str">
        <f>IFERROR(_xll.qlRateHelperQuoteName(X16,Trigger),"")</f>
        <v>GBP12x18F_Quote</v>
      </c>
      <c r="Z16" s="67">
        <f>IFERROR(_xll.qlRateHelperRate(X16,Trigger),"")</f>
        <v>4.6899999999999997E-3</v>
      </c>
      <c r="AA16" s="95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42926</v>
      </c>
      <c r="AC16" s="4">
        <f>IFERROR(_xll.qlRateHelperPillarDate(X16,Trigger),"")</f>
        <v>43108</v>
      </c>
      <c r="AD16" s="206">
        <v>0.99230647616967438</v>
      </c>
      <c r="AF16" s="140">
        <v>6</v>
      </c>
      <c r="AG16" s="141">
        <f>_xll.qlCalendarEndOfMonth(Calendar,_xll.qlCalendarAdvance(Calendar,AG15,"1m","mf",TRUE),Trigger)</f>
        <v>42734</v>
      </c>
      <c r="AH16" s="140" t="str">
        <f t="shared" si="6"/>
        <v>GBPJump6_SYNTHON_Quote</v>
      </c>
      <c r="AI16" s="178">
        <f>_xll.qlDayCounterYearFraction("actual/360",AG16,_xll.qlCalendarAdvance(Calendar,AG16,"1D",,,Trigger))</f>
        <v>1.1111111111111112E-2</v>
      </c>
      <c r="AJ16" s="142" t="e">
        <f>IF(_xll.qlQuoteIsValid(AH16,Trigger),_xll.qlQuoteValue(AH16,Trigger),1)</f>
        <v>#NUM!</v>
      </c>
      <c r="AK16" s="181" t="e">
        <f t="shared" si="7"/>
        <v>#NUM!</v>
      </c>
      <c r="AL16" s="184"/>
      <c r="AM16" s="142" t="str">
        <f t="shared" si="8"/>
        <v>GBPJump6_SYNTHON_Quote</v>
      </c>
    </row>
    <row r="17" spans="1:39" ht="11.25" customHeight="1" x14ac:dyDescent="0.2">
      <c r="A17" s="58" t="s">
        <v>92</v>
      </c>
      <c r="B17" s="105">
        <v>3</v>
      </c>
      <c r="C17" s="61" t="str">
        <f t="shared" si="12"/>
        <v>x9F</v>
      </c>
      <c r="D17" s="114"/>
      <c r="E17" s="114"/>
      <c r="F17" s="114"/>
      <c r="G17" s="60" t="str">
        <f t="shared" si="13"/>
        <v>GbpLibor6M</v>
      </c>
      <c r="H17" s="108" t="str">
        <f t="shared" si="14"/>
        <v>GBP3x9F_Quote</v>
      </c>
      <c r="I17" s="114"/>
      <c r="J17" s="223" t="str">
        <f>IF(P15,_xll.qlFraRateHelper(,H17,B17&amp;"M",G17,PillarDate,,Permanent,Trigger,ObjectOverwrite),"--")</f>
        <v>obj_00307#0001</v>
      </c>
      <c r="K17" s="48"/>
      <c r="L17" s="226" t="str">
        <f t="shared" si="9"/>
        <v>FRA</v>
      </c>
      <c r="M17" s="230" t="str">
        <f t="shared" si="10"/>
        <v>GBP5x11F_Quote</v>
      </c>
      <c r="N17" s="228">
        <f>IFERROR(_xll.qlQuoteValue(H19,Trigger),"--")</f>
        <v>4.6800000000000001E-3</v>
      </c>
      <c r="O17" s="229"/>
      <c r="P17" s="90" t="b">
        <v>1</v>
      </c>
      <c r="Q17" s="87">
        <v>20</v>
      </c>
      <c r="R17" s="87">
        <v>1</v>
      </c>
      <c r="S17" s="87" t="str">
        <f t="shared" si="11"/>
        <v>obj_00302#0001</v>
      </c>
      <c r="T17" s="91">
        <f>IFERROR(_xll.qlRateHelperEarliestDate(S17,Trigger),"--")</f>
        <v>42712</v>
      </c>
      <c r="U17" s="91">
        <f>IFERROR(_xll.qlRateHelperPillarDate(S17,Trigger),"--")</f>
        <v>42894</v>
      </c>
      <c r="W17" s="3" t="str">
        <f t="shared" si="1"/>
        <v>Sw</v>
      </c>
      <c r="X17" s="3" t="str">
        <v>obj_002a4</v>
      </c>
      <c r="Y17" s="3" t="str">
        <f>IFERROR(_xll.qlRateHelperQuoteName(X17,Trigger),"")</f>
        <v>GBPSB6L2Y_Quote</v>
      </c>
      <c r="Z17" s="67">
        <f>IFERROR(_xll.qlRateHelperRate(X17,Trigger),"")</f>
        <v>5.0400000000000002E-3</v>
      </c>
      <c r="AA17" s="95">
        <f>IF(ISERROR(_xll.qlSwapRateHelperSpread($X17)),IF(ISERROR(_xll.qlFuturesRateHelperConvexityAdjustment($X17)),"",_xll.qlFuturesRateHelperConvexityAdjustment($X17)),_xll.qlSwapRateHelperSpread($X17))</f>
        <v>0</v>
      </c>
      <c r="AB17" s="4">
        <f>IFERROR(_xll.qlRateHelperEarliestDate(X17,Trigger),"")</f>
        <v>42559</v>
      </c>
      <c r="AC17" s="4">
        <f>IFERROR(_xll.qlRateHelperPillarDate(X17,Trigger),"")</f>
        <v>43290</v>
      </c>
      <c r="AD17" s="206">
        <v>0.98997044242720222</v>
      </c>
      <c r="AF17" s="140">
        <v>7</v>
      </c>
      <c r="AG17" s="141">
        <f>_xll.qlCalendarEndOfMonth(Calendar,_xll.qlCalendarAdvance(Calendar,AG16,"1m","mf",TRUE),Trigger)</f>
        <v>42766</v>
      </c>
      <c r="AH17" s="140" t="str">
        <f t="shared" si="6"/>
        <v>GBPJump7_SYNTHON_Quote</v>
      </c>
      <c r="AI17" s="178">
        <f>_xll.qlDayCounterYearFraction("actual/360",AG17,_xll.qlCalendarAdvance(Calendar,AG17,"1D",,,Trigger))</f>
        <v>2.7777777777777779E-3</v>
      </c>
      <c r="AJ17" s="142" t="e">
        <f>IF(_xll.qlQuoteIsValid(AH17,Trigger),_xll.qlQuoteValue(AH17,Trigger),1)</f>
        <v>#NUM!</v>
      </c>
      <c r="AK17" s="181" t="e">
        <f t="shared" si="7"/>
        <v>#NUM!</v>
      </c>
      <c r="AL17" s="184"/>
      <c r="AM17" s="142" t="str">
        <f t="shared" si="8"/>
        <v>GBPJump7_SYNTHON_Quote</v>
      </c>
    </row>
    <row r="18" spans="1:39" ht="11.25" customHeight="1" x14ac:dyDescent="0.2">
      <c r="A18" s="58" t="s">
        <v>92</v>
      </c>
      <c r="B18" s="105">
        <v>4</v>
      </c>
      <c r="C18" s="61" t="str">
        <f t="shared" si="12"/>
        <v>x10F</v>
      </c>
      <c r="D18" s="114"/>
      <c r="E18" s="114"/>
      <c r="F18" s="114"/>
      <c r="G18" s="60" t="str">
        <f t="shared" si="13"/>
        <v>GbpLibor6M</v>
      </c>
      <c r="H18" s="108" t="str">
        <f t="shared" si="14"/>
        <v>GBP4x10F_Quote</v>
      </c>
      <c r="I18" s="114"/>
      <c r="J18" s="223" t="str">
        <f>IF(P16,_xll.qlFraRateHelper(,H18,B18&amp;"M",G18,PillarDate,,Permanent,Trigger,ObjectOverwrite),"--")</f>
        <v>obj_00304#0001</v>
      </c>
      <c r="K18" s="48"/>
      <c r="L18" s="226" t="str">
        <f t="shared" si="9"/>
        <v>FRA</v>
      </c>
      <c r="M18" s="230" t="str">
        <f t="shared" si="10"/>
        <v>GBP6x12F_Quote</v>
      </c>
      <c r="N18" s="228">
        <f>IFERROR(_xll.qlQuoteValue(H20,Trigger),"--")</f>
        <v>4.6499999999999996E-3</v>
      </c>
      <c r="O18" s="229"/>
      <c r="P18" s="129" t="b">
        <v>1</v>
      </c>
      <c r="Q18" s="87">
        <v>20</v>
      </c>
      <c r="R18" s="87">
        <v>1</v>
      </c>
      <c r="S18" s="87" t="str">
        <f t="shared" si="11"/>
        <v>obj_00306#0001</v>
      </c>
      <c r="T18" s="91">
        <f>IFERROR(_xll.qlRateHelperEarliestDate(S18,Trigger),"--")</f>
        <v>42744</v>
      </c>
      <c r="U18" s="91">
        <f>IFERROR(_xll.qlRateHelperPillarDate(S18,Trigger),"--")</f>
        <v>42926</v>
      </c>
      <c r="W18" s="3" t="str">
        <f t="shared" si="1"/>
        <v>Sw</v>
      </c>
      <c r="X18" s="3" t="str">
        <v>obj_00271</v>
      </c>
      <c r="Y18" s="3" t="str">
        <f>IFERROR(_xll.qlRateHelperQuoteName(X18,Trigger),"")</f>
        <v>GBPSB6L3Y_Quote</v>
      </c>
      <c r="Z18" s="67">
        <f>IFERROR(_xll.qlRateHelperRate(X18,Trigger),"")</f>
        <v>5.0400000000000002E-3</v>
      </c>
      <c r="AA18" s="95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42559</v>
      </c>
      <c r="AC18" s="4">
        <f>IFERROR(_xll.qlRateHelperPillarDate(X18,Trigger),"")</f>
        <v>43654</v>
      </c>
      <c r="AD18" s="206">
        <v>0.98501331979642237</v>
      </c>
      <c r="AF18" s="140">
        <v>8</v>
      </c>
      <c r="AG18" s="141">
        <f>_xll.qlCalendarEndOfMonth(Calendar,_xll.qlCalendarAdvance(Calendar,AG17,"1m","mf",TRUE),Trigger)</f>
        <v>42794</v>
      </c>
      <c r="AH18" s="140" t="str">
        <f t="shared" si="6"/>
        <v>GBPJump8_SYNTHON_Quote</v>
      </c>
      <c r="AI18" s="178">
        <f>_xll.qlDayCounterYearFraction("actual/360",AG18,_xll.qlCalendarAdvance(Calendar,AG18,"1D",,,Trigger))</f>
        <v>2.7777777777777779E-3</v>
      </c>
      <c r="AJ18" s="142" t="e">
        <f>IF(_xll.qlQuoteIsValid(AH18,Trigger),_xll.qlQuoteValue(AH18,Trigger),1)</f>
        <v>#NUM!</v>
      </c>
      <c r="AK18" s="181" t="e">
        <f t="shared" si="7"/>
        <v>#NUM!</v>
      </c>
      <c r="AL18" s="184"/>
      <c r="AM18" s="142" t="str">
        <f t="shared" si="8"/>
        <v>GBPJump8_SYNTHON_Quote</v>
      </c>
    </row>
    <row r="19" spans="1:39" ht="11.25" customHeight="1" x14ac:dyDescent="0.2">
      <c r="A19" s="58" t="s">
        <v>92</v>
      </c>
      <c r="B19" s="105">
        <v>5</v>
      </c>
      <c r="C19" s="61" t="str">
        <f t="shared" si="12"/>
        <v>x11F</v>
      </c>
      <c r="D19" s="114"/>
      <c r="E19" s="114"/>
      <c r="F19" s="114"/>
      <c r="G19" s="60" t="str">
        <f t="shared" si="13"/>
        <v>GbpLibor6M</v>
      </c>
      <c r="H19" s="108" t="str">
        <f t="shared" si="14"/>
        <v>GBP5x11F_Quote</v>
      </c>
      <c r="I19" s="114"/>
      <c r="J19" s="223" t="str">
        <f>IF(P17,_xll.qlFraRateHelper(,H19,B19&amp;"M",G19,PillarDate,,Permanent,Trigger,ObjectOverwrite),"--")</f>
        <v>obj_00302#0001</v>
      </c>
      <c r="K19" s="48"/>
      <c r="L19" s="226" t="str">
        <f t="shared" si="9"/>
        <v>FRA</v>
      </c>
      <c r="M19" s="230" t="str">
        <f t="shared" si="10"/>
        <v>GBP7x13F_Quote</v>
      </c>
      <c r="N19" s="228" t="str">
        <f>IFERROR(_xll.qlQuoteValue(H21,Trigger),"--")</f>
        <v>--</v>
      </c>
      <c r="O19" s="229"/>
      <c r="P19" s="129" t="b">
        <v>0</v>
      </c>
      <c r="Q19" s="87">
        <v>20</v>
      </c>
      <c r="R19" s="87">
        <v>1</v>
      </c>
      <c r="S19" s="87" t="str">
        <f t="shared" si="11"/>
        <v>--</v>
      </c>
      <c r="T19" s="91" t="str">
        <f>IFERROR(_xll.qlRateHelperEarliestDate(S19,Trigger),"--")</f>
        <v>--</v>
      </c>
      <c r="U19" s="91" t="str">
        <f>IFERROR(_xll.qlRateHelperPillarDate(S19,Trigger),"--")</f>
        <v>--</v>
      </c>
      <c r="W19" s="3" t="str">
        <f t="shared" si="1"/>
        <v>Sw</v>
      </c>
      <c r="X19" s="3" t="str">
        <v>obj_00278</v>
      </c>
      <c r="Y19" s="3" t="str">
        <f>IFERROR(_xll.qlRateHelperQuoteName(X19,Trigger),"")</f>
        <v>GBPSB6L4Y_Quote</v>
      </c>
      <c r="Z19" s="67">
        <f>IFERROR(_xll.qlRateHelperRate(X19,Trigger),"")</f>
        <v>5.2300000000000003E-3</v>
      </c>
      <c r="AA19" s="95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42559</v>
      </c>
      <c r="AC19" s="4">
        <f>IFERROR(_xll.qlRateHelperPillarDate(X19,Trigger),"")</f>
        <v>44020</v>
      </c>
      <c r="AD19" s="206">
        <v>0.9793090188165352</v>
      </c>
      <c r="AF19" s="140">
        <v>9</v>
      </c>
      <c r="AG19" s="141">
        <f>_xll.qlCalendarEndOfMonth(Calendar,_xll.qlCalendarAdvance(Calendar,AG18,"1m","mf",TRUE),Trigger)</f>
        <v>42825</v>
      </c>
      <c r="AH19" s="140" t="str">
        <f t="shared" si="6"/>
        <v>GBPJump9_SYNTHON_Quote</v>
      </c>
      <c r="AI19" s="178">
        <f>_xll.qlDayCounterYearFraction("actual/360",AG19,_xll.qlCalendarAdvance(Calendar,AG19,"1D",,,Trigger))</f>
        <v>8.3333333333333332E-3</v>
      </c>
      <c r="AJ19" s="142" t="e">
        <f>IF(_xll.qlQuoteIsValid(AH19,Trigger),_xll.qlQuoteValue(AH19,Trigger),1)</f>
        <v>#NUM!</v>
      </c>
      <c r="AK19" s="181" t="e">
        <f t="shared" si="7"/>
        <v>#NUM!</v>
      </c>
      <c r="AL19" s="184"/>
      <c r="AM19" s="142" t="str">
        <f t="shared" si="8"/>
        <v>GBPJump9_SYNTHON_Quote</v>
      </c>
    </row>
    <row r="20" spans="1:39" ht="11.25" customHeight="1" x14ac:dyDescent="0.2">
      <c r="A20" s="58" t="s">
        <v>92</v>
      </c>
      <c r="B20" s="105">
        <v>6</v>
      </c>
      <c r="C20" s="61" t="str">
        <f t="shared" si="12"/>
        <v>x12F</v>
      </c>
      <c r="D20" s="114"/>
      <c r="E20" s="114"/>
      <c r="F20" s="114"/>
      <c r="G20" s="60" t="str">
        <f t="shared" si="13"/>
        <v>GbpLibor6M</v>
      </c>
      <c r="H20" s="108" t="str">
        <f t="shared" si="14"/>
        <v>GBP6x12F_Quote</v>
      </c>
      <c r="I20" s="114"/>
      <c r="J20" s="223" t="str">
        <f>IF(P18,_xll.qlFraRateHelper(,H20,B20&amp;"M",G20,PillarDate,,Permanent,Trigger,ObjectOverwrite),"--")</f>
        <v>obj_00306#0001</v>
      </c>
      <c r="K20" s="48"/>
      <c r="L20" s="226" t="str">
        <f t="shared" si="9"/>
        <v>FRA</v>
      </c>
      <c r="M20" s="230" t="str">
        <f t="shared" si="10"/>
        <v>GBP8x14F_Quote</v>
      </c>
      <c r="N20" s="228" t="str">
        <f>IFERROR(_xll.qlQuoteValue(H22,Trigger),"--")</f>
        <v>--</v>
      </c>
      <c r="O20" s="229"/>
      <c r="P20" s="129" t="b">
        <v>0</v>
      </c>
      <c r="Q20" s="87">
        <v>20</v>
      </c>
      <c r="R20" s="87">
        <v>1</v>
      </c>
      <c r="S20" s="87" t="str">
        <f t="shared" si="11"/>
        <v>--</v>
      </c>
      <c r="T20" s="91" t="str">
        <f>IFERROR(_xll.qlRateHelperEarliestDate(S20,Trigger),"--")</f>
        <v>--</v>
      </c>
      <c r="U20" s="91" t="str">
        <f>IFERROR(_xll.qlRateHelperPillarDate(S20,Trigger),"--")</f>
        <v>--</v>
      </c>
      <c r="W20" s="3" t="str">
        <f t="shared" si="1"/>
        <v>Sw</v>
      </c>
      <c r="X20" s="3" t="str">
        <v>obj_002ac</v>
      </c>
      <c r="Y20" s="3" t="str">
        <f>IFERROR(_xll.qlRateHelperQuoteName(X20,Trigger),"")</f>
        <v>GBPSB6L5Y_Quote</v>
      </c>
      <c r="Z20" s="67">
        <f>IFERROR(_xll.qlRateHelperRate(X20,Trigger),"")</f>
        <v>5.5500000000000002E-3</v>
      </c>
      <c r="AA20" s="95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42559</v>
      </c>
      <c r="AC20" s="4">
        <f>IFERROR(_xll.qlRateHelperPillarDate(X20,Trigger),"")</f>
        <v>44385</v>
      </c>
      <c r="AD20" s="206">
        <v>0.97264638667996994</v>
      </c>
      <c r="AF20" s="140">
        <v>10</v>
      </c>
      <c r="AG20" s="141">
        <f>_xll.qlCalendarEndOfMonth(Calendar,_xll.qlCalendarAdvance(Calendar,AG19,"1m","mf",TRUE),Trigger)</f>
        <v>42853</v>
      </c>
      <c r="AH20" s="140" t="str">
        <f t="shared" si="6"/>
        <v>GBPJump10_SYNTHON_Quote</v>
      </c>
      <c r="AI20" s="178">
        <f>_xll.qlDayCounterYearFraction("actual/360",AG20,_xll.qlCalendarAdvance(Calendar,AG20,"1D",,,Trigger))</f>
        <v>1.1111111111111112E-2</v>
      </c>
      <c r="AJ20" s="142" t="e">
        <f>IF(_xll.qlQuoteIsValid(AH20,Trigger),_xll.qlQuoteValue(AH20,Trigger),1)</f>
        <v>#NUM!</v>
      </c>
      <c r="AK20" s="181" t="e">
        <f t="shared" si="7"/>
        <v>#NUM!</v>
      </c>
      <c r="AL20" s="184"/>
      <c r="AM20" s="142" t="str">
        <f t="shared" si="8"/>
        <v>GBPJump10_SYNTHON_Quote</v>
      </c>
    </row>
    <row r="21" spans="1:39" ht="11.25" customHeight="1" x14ac:dyDescent="0.2">
      <c r="A21" s="58" t="s">
        <v>92</v>
      </c>
      <c r="B21" s="105">
        <v>7</v>
      </c>
      <c r="C21" s="61" t="str">
        <f t="shared" si="12"/>
        <v>x13F</v>
      </c>
      <c r="D21" s="114"/>
      <c r="E21" s="114"/>
      <c r="F21" s="114"/>
      <c r="G21" s="60" t="str">
        <f t="shared" si="13"/>
        <v>GbpLibor6M</v>
      </c>
      <c r="H21" s="108" t="str">
        <f t="shared" si="14"/>
        <v>GBP7x13F_Quote</v>
      </c>
      <c r="I21" s="114"/>
      <c r="J21" s="223" t="str">
        <f>IF(P19,_xll.qlFraRateHelper(,H21,B21&amp;"M",G21,PillarDate,,Permanent,Trigger,ObjectOverwrite),"--")</f>
        <v>--</v>
      </c>
      <c r="K21" s="48"/>
      <c r="L21" s="226" t="str">
        <f t="shared" si="9"/>
        <v>FRA</v>
      </c>
      <c r="M21" s="230" t="str">
        <f t="shared" si="10"/>
        <v>GBP9x15F_Quote</v>
      </c>
      <c r="N21" s="228">
        <f>IFERROR(_xll.qlQuoteValue(H23,Trigger),"--")</f>
        <v>4.62E-3</v>
      </c>
      <c r="O21" s="229"/>
      <c r="P21" s="129" t="b">
        <v>1</v>
      </c>
      <c r="Q21" s="87">
        <v>20</v>
      </c>
      <c r="R21" s="87">
        <v>1</v>
      </c>
      <c r="S21" s="87" t="str">
        <f t="shared" si="11"/>
        <v>obj_0030a#0001</v>
      </c>
      <c r="T21" s="91">
        <f>IFERROR(_xll.qlRateHelperEarliestDate(S21,Trigger),"--")</f>
        <v>42835</v>
      </c>
      <c r="U21" s="91">
        <f>IFERROR(_xll.qlRateHelperPillarDate(S21,Trigger),"--")</f>
        <v>43017</v>
      </c>
      <c r="W21" s="3" t="str">
        <f t="shared" si="1"/>
        <v>Sw</v>
      </c>
      <c r="X21" s="3" t="str">
        <v>obj_002b8</v>
      </c>
      <c r="Y21" s="3" t="str">
        <f>IFERROR(_xll.qlRateHelperQuoteName(X21,Trigger),"")</f>
        <v>GBPSB6L6Y_Quote</v>
      </c>
      <c r="Z21" s="67">
        <f>IFERROR(_xll.qlRateHelperRate(X21,Trigger),"")</f>
        <v>6.0400000000000011E-3</v>
      </c>
      <c r="AA21" s="95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42559</v>
      </c>
      <c r="AC21" s="4">
        <f>IFERROR(_xll.qlRateHelperPillarDate(X21,Trigger),"")</f>
        <v>44750</v>
      </c>
      <c r="AD21" s="206">
        <v>0.96441766231997783</v>
      </c>
      <c r="AF21" s="140">
        <v>11</v>
      </c>
      <c r="AG21" s="141">
        <f>_xll.qlCalendarEndOfMonth(Calendar,_xll.qlCalendarAdvance(Calendar,AG20,"1m","mf",TRUE),Trigger)</f>
        <v>42886</v>
      </c>
      <c r="AH21" s="140" t="str">
        <f t="shared" si="6"/>
        <v>GBPJump11_SYNTHON_Quote</v>
      </c>
      <c r="AI21" s="178">
        <f>_xll.qlDayCounterYearFraction("actual/360",AG21,_xll.qlCalendarAdvance(Calendar,AG21,"1D",,,Trigger))</f>
        <v>2.7777777777777779E-3</v>
      </c>
      <c r="AJ21" s="142" t="e">
        <f>IF(_xll.qlQuoteIsValid(AH21,Trigger),_xll.qlQuoteValue(AH21,Trigger),1)</f>
        <v>#NUM!</v>
      </c>
      <c r="AK21" s="181" t="e">
        <f t="shared" si="7"/>
        <v>#NUM!</v>
      </c>
      <c r="AL21" s="184"/>
      <c r="AM21" s="142" t="str">
        <f t="shared" si="8"/>
        <v>GBPJump11_SYNTHON_Quote</v>
      </c>
    </row>
    <row r="22" spans="1:39" ht="11.25" customHeight="1" x14ac:dyDescent="0.2">
      <c r="A22" s="58" t="s">
        <v>92</v>
      </c>
      <c r="B22" s="105">
        <v>8</v>
      </c>
      <c r="C22" s="61" t="str">
        <f t="shared" si="12"/>
        <v>x14F</v>
      </c>
      <c r="D22" s="114"/>
      <c r="E22" s="114"/>
      <c r="F22" s="114"/>
      <c r="G22" s="60" t="str">
        <f t="shared" si="13"/>
        <v>GbpLibor6M</v>
      </c>
      <c r="H22" s="108" t="str">
        <f t="shared" si="14"/>
        <v>GBP8x14F_Quote</v>
      </c>
      <c r="I22" s="114"/>
      <c r="J22" s="223" t="str">
        <f>IF(P20,_xll.qlFraRateHelper(,H22,B22&amp;"M",G22,PillarDate,,Permanent,Trigger,ObjectOverwrite),"--")</f>
        <v>--</v>
      </c>
      <c r="K22" s="48"/>
      <c r="L22" s="226" t="str">
        <f t="shared" si="9"/>
        <v>FRA</v>
      </c>
      <c r="M22" s="230" t="str">
        <f t="shared" si="10"/>
        <v>GBP10x16F_Quote</v>
      </c>
      <c r="N22" s="228" t="str">
        <f>IFERROR(_xll.qlQuoteValue(H24,Trigger),"--")</f>
        <v>--</v>
      </c>
      <c r="O22" s="229"/>
      <c r="P22" s="129" t="b">
        <v>0</v>
      </c>
      <c r="Q22" s="87">
        <v>20</v>
      </c>
      <c r="R22" s="87">
        <v>1</v>
      </c>
      <c r="S22" s="87" t="str">
        <f t="shared" si="11"/>
        <v>--</v>
      </c>
      <c r="T22" s="91" t="str">
        <f>IFERROR(_xll.qlRateHelperEarliestDate(S22,Trigger),"--")</f>
        <v>--</v>
      </c>
      <c r="U22" s="91" t="str">
        <f>IFERROR(_xll.qlRateHelperPillarDate(S22,Trigger),"--")</f>
        <v>--</v>
      </c>
      <c r="W22" s="3" t="str">
        <f t="shared" si="1"/>
        <v>Sw</v>
      </c>
      <c r="X22" s="3" t="str">
        <v>obj_002c2</v>
      </c>
      <c r="Y22" s="3" t="str">
        <f>IFERROR(_xll.qlRateHelperQuoteName(X22,Trigger),"")</f>
        <v>GBPSB6L7Y_Quote</v>
      </c>
      <c r="Z22" s="67">
        <f>IFERROR(_xll.qlRateHelperRate(X22,Trigger),"")</f>
        <v>6.62E-3</v>
      </c>
      <c r="AA22" s="95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42559</v>
      </c>
      <c r="AC22" s="4">
        <f>IFERROR(_xll.qlRateHelperPillarDate(X22,Trigger),"")</f>
        <v>45117</v>
      </c>
      <c r="AD22" s="206">
        <v>0.95466619307899703</v>
      </c>
      <c r="AF22" s="140">
        <v>12</v>
      </c>
      <c r="AG22" s="141">
        <f>_xll.qlCalendarEndOfMonth(Calendar,_xll.qlCalendarAdvance(Calendar,AG21,"1m","mf",TRUE),Trigger)</f>
        <v>42916</v>
      </c>
      <c r="AH22" s="140" t="str">
        <f t="shared" si="6"/>
        <v>GBPJump12_SYNTHON_Quote</v>
      </c>
      <c r="AI22" s="178">
        <f>_xll.qlDayCounterYearFraction("actual/360",AG22,_xll.qlCalendarAdvance(Calendar,AG22,"1D",,,Trigger))</f>
        <v>8.3333333333333332E-3</v>
      </c>
      <c r="AJ22" s="142" t="e">
        <f>IF(_xll.qlQuoteIsValid(AH22,Trigger),_xll.qlQuoteValue(AH22,Trigger),1)</f>
        <v>#NUM!</v>
      </c>
      <c r="AK22" s="181" t="e">
        <f t="shared" si="7"/>
        <v>#NUM!</v>
      </c>
      <c r="AL22" s="184"/>
      <c r="AM22" s="142" t="str">
        <f t="shared" si="8"/>
        <v>GBPJump12_SYNTHON_Quote</v>
      </c>
    </row>
    <row r="23" spans="1:39" ht="11.25" customHeight="1" x14ac:dyDescent="0.2">
      <c r="A23" s="58" t="s">
        <v>92</v>
      </c>
      <c r="B23" s="105">
        <v>9</v>
      </c>
      <c r="C23" s="61" t="str">
        <f t="shared" si="12"/>
        <v>x15F</v>
      </c>
      <c r="D23" s="114"/>
      <c r="E23" s="114"/>
      <c r="F23" s="114"/>
      <c r="G23" s="60" t="str">
        <f t="shared" si="13"/>
        <v>GbpLibor6M</v>
      </c>
      <c r="H23" s="108" t="str">
        <f t="shared" si="14"/>
        <v>GBP9x15F_Quote</v>
      </c>
      <c r="I23" s="114"/>
      <c r="J23" s="223" t="str">
        <f>IF(P21,_xll.qlFraRateHelper(,H23,B23&amp;"M",G23,PillarDate,,Permanent,Trigger,ObjectOverwrite),"--")</f>
        <v>obj_0030a#0001</v>
      </c>
      <c r="K23" s="48"/>
      <c r="L23" s="226" t="str">
        <f t="shared" si="9"/>
        <v>FRA</v>
      </c>
      <c r="M23" s="230" t="str">
        <f t="shared" si="10"/>
        <v>GBP11x17F_Quote</v>
      </c>
      <c r="N23" s="228" t="str">
        <f>IFERROR(_xll.qlQuoteValue(H25,Trigger),"--")</f>
        <v>--</v>
      </c>
      <c r="O23" s="229"/>
      <c r="P23" s="129" t="b">
        <v>0</v>
      </c>
      <c r="Q23" s="87">
        <v>20</v>
      </c>
      <c r="R23" s="87">
        <v>1</v>
      </c>
      <c r="S23" s="87" t="str">
        <f t="shared" si="11"/>
        <v>--</v>
      </c>
      <c r="T23" s="91" t="str">
        <f>IFERROR(_xll.qlRateHelperEarliestDate(S23,Trigger),"--")</f>
        <v>--</v>
      </c>
      <c r="U23" s="91" t="str">
        <f>IFERROR(_xll.qlRateHelperPillarDate(S23,Trigger),"--")</f>
        <v>--</v>
      </c>
      <c r="W23" s="3" t="str">
        <f t="shared" si="1"/>
        <v>Sw</v>
      </c>
      <c r="X23" s="3" t="str">
        <v>obj_002c1</v>
      </c>
      <c r="Y23" s="3" t="str">
        <f>IFERROR(_xll.qlRateHelperQuoteName(X23,Trigger),"")</f>
        <v>GBPSB6L8Y_Quote</v>
      </c>
      <c r="Z23" s="67">
        <f>IFERROR(_xll.qlRateHelperRate(X23,Trigger),"")</f>
        <v>7.2600000000000008E-3</v>
      </c>
      <c r="AA23" s="95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42559</v>
      </c>
      <c r="AC23" s="4">
        <f>IFERROR(_xll.qlRateHelperPillarDate(X23,Trigger),"")</f>
        <v>45481</v>
      </c>
      <c r="AD23" s="206">
        <v>0.94347998869700089</v>
      </c>
      <c r="AF23" s="143">
        <v>13</v>
      </c>
      <c r="AG23" s="144">
        <f>_xll.qlCalendarAdjust(Calendar,DATE(YEAR(AG11)+1,12,31),"preceding",Trigger)</f>
        <v>43098</v>
      </c>
      <c r="AH23" s="143" t="str">
        <f t="shared" si="6"/>
        <v>GBPJump13_SYNTHON_Quote</v>
      </c>
      <c r="AI23" s="179">
        <f>_xll.qlDayCounterYearFraction("actual/360",AG23,_xll.qlCalendarAdvance(Calendar,AG23,"1D",,,Trigger))</f>
        <v>1.1111111111111112E-2</v>
      </c>
      <c r="AJ23" s="145" t="e">
        <f>IF(_xll.qlQuoteIsValid(AH23,Trigger),_xll.qlQuoteValue(AH23,Trigger),1)</f>
        <v>#NUM!</v>
      </c>
      <c r="AK23" s="182" t="e">
        <f t="shared" si="7"/>
        <v>#NUM!</v>
      </c>
      <c r="AL23" s="185"/>
      <c r="AM23" s="145" t="str">
        <f t="shared" si="8"/>
        <v>GBPJump13_SYNTHON_Quote</v>
      </c>
    </row>
    <row r="24" spans="1:39" ht="11.25" customHeight="1" x14ac:dyDescent="0.2">
      <c r="A24" s="58" t="s">
        <v>92</v>
      </c>
      <c r="B24" s="105">
        <v>10</v>
      </c>
      <c r="C24" s="61" t="str">
        <f t="shared" si="12"/>
        <v>x16F</v>
      </c>
      <c r="D24" s="114"/>
      <c r="E24" s="114"/>
      <c r="F24" s="114"/>
      <c r="G24" s="60" t="str">
        <f t="shared" si="13"/>
        <v>GbpLibor6M</v>
      </c>
      <c r="H24" s="108" t="str">
        <f t="shared" si="14"/>
        <v>GBP10x16F_Quote</v>
      </c>
      <c r="I24" s="114"/>
      <c r="J24" s="223" t="str">
        <f>IF(P22,_xll.qlFraRateHelper(,H24,B24&amp;"M",G24,PillarDate,,Permanent,Trigger,ObjectOverwrite),"--")</f>
        <v>--</v>
      </c>
      <c r="K24" s="48"/>
      <c r="L24" s="226" t="str">
        <f t="shared" si="9"/>
        <v>FRA</v>
      </c>
      <c r="M24" s="230" t="str">
        <f t="shared" si="10"/>
        <v>GBP12x18F_Quote</v>
      </c>
      <c r="N24" s="228">
        <f>IFERROR(_xll.qlQuoteValue(H26,Trigger),"--")</f>
        <v>4.6899999999999997E-3</v>
      </c>
      <c r="O24" s="229"/>
      <c r="P24" s="129" t="b">
        <v>1</v>
      </c>
      <c r="Q24" s="87">
        <v>20</v>
      </c>
      <c r="R24" s="87">
        <v>1</v>
      </c>
      <c r="S24" s="87" t="str">
        <f t="shared" si="11"/>
        <v>obj_00305#0001</v>
      </c>
      <c r="T24" s="91">
        <f>IFERROR(_xll.qlRateHelperEarliestDate(S24,Trigger),"--")</f>
        <v>42926</v>
      </c>
      <c r="U24" s="91">
        <f>IFERROR(_xll.qlRateHelperPillarDate(S24,Trigger),"--")</f>
        <v>43108</v>
      </c>
      <c r="W24" s="3" t="str">
        <f t="shared" si="1"/>
        <v>Sw</v>
      </c>
      <c r="X24" s="3" t="str">
        <v>obj_00273</v>
      </c>
      <c r="Y24" s="3" t="str">
        <f>IFERROR(_xll.qlRateHelperQuoteName(X24,Trigger),"")</f>
        <v>GBPSB6L9Y_Quote</v>
      </c>
      <c r="Z24" s="67">
        <f>IFERROR(_xll.qlRateHelperRate(X24,Trigger),"")</f>
        <v>7.8600000000000007E-3</v>
      </c>
      <c r="AA24" s="95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42559</v>
      </c>
      <c r="AC24" s="4">
        <f>IFERROR(_xll.qlRateHelperPillarDate(X24,Trigger),"")</f>
        <v>45846</v>
      </c>
      <c r="AD24" s="206">
        <v>0.93151644163693093</v>
      </c>
    </row>
    <row r="25" spans="1:39" ht="11.25" customHeight="1" x14ac:dyDescent="0.2">
      <c r="A25" s="58" t="s">
        <v>92</v>
      </c>
      <c r="B25" s="105">
        <v>11</v>
      </c>
      <c r="C25" s="61" t="str">
        <f t="shared" si="12"/>
        <v>x17F</v>
      </c>
      <c r="D25" s="114"/>
      <c r="E25" s="114"/>
      <c r="F25" s="114"/>
      <c r="G25" s="60" t="str">
        <f t="shared" si="13"/>
        <v>GbpLibor6M</v>
      </c>
      <c r="H25" s="108" t="str">
        <f t="shared" ref="H25:H32" si="15">Currency&amp;B25&amp;C25&amp;QuoteSuffix</f>
        <v>GBP11x17F_Quote</v>
      </c>
      <c r="I25" s="114"/>
      <c r="J25" s="223" t="str">
        <f>IF(P23,_xll.qlFraRateHelper(,H25,B25&amp;"M",G25,PillarDate,,Permanent,Trigger,ObjectOverwrite),"--")</f>
        <v>--</v>
      </c>
      <c r="K25" s="48"/>
      <c r="L25" s="226" t="str">
        <f t="shared" si="9"/>
        <v>FRA</v>
      </c>
      <c r="M25" s="230" t="str">
        <f t="shared" si="10"/>
        <v>GBP13x19F_Quote</v>
      </c>
      <c r="N25" s="228" t="str">
        <f>IFERROR(_xll.qlQuoteValue(H27,Trigger),"--")</f>
        <v>--</v>
      </c>
      <c r="O25" s="229"/>
      <c r="P25" s="129" t="b">
        <v>0</v>
      </c>
      <c r="Q25" s="87">
        <v>20</v>
      </c>
      <c r="R25" s="87">
        <v>1</v>
      </c>
      <c r="S25" s="87" t="str">
        <f t="shared" si="11"/>
        <v>--</v>
      </c>
      <c r="T25" s="91" t="str">
        <f>IFERROR(_xll.qlRateHelperEarliestDate(S25,Trigger),"--")</f>
        <v>--</v>
      </c>
      <c r="U25" s="91" t="str">
        <f>IFERROR(_xll.qlRateHelperPillarDate(S25,Trigger),"--")</f>
        <v>--</v>
      </c>
      <c r="W25" s="3" t="str">
        <f t="shared" si="1"/>
        <v>Sw</v>
      </c>
      <c r="X25" s="3" t="str">
        <v>obj_00277</v>
      </c>
      <c r="Y25" s="3" t="str">
        <f>IFERROR(_xll.qlRateHelperQuoteName(X25,Trigger),"")</f>
        <v>GBPSB6L10Y_Quote</v>
      </c>
      <c r="Z25" s="67">
        <f>IFERROR(_xll.qlRateHelperRate(X25,Trigger),"")</f>
        <v>8.4100000000000008E-3</v>
      </c>
      <c r="AA25" s="95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42559</v>
      </c>
      <c r="AC25" s="4">
        <f>IFERROR(_xll.qlRateHelperPillarDate(X25,Trigger),"")</f>
        <v>46211</v>
      </c>
      <c r="AD25" s="206">
        <v>0.91902413486579659</v>
      </c>
    </row>
    <row r="26" spans="1:39" ht="11.25" customHeight="1" x14ac:dyDescent="0.2">
      <c r="A26" s="58" t="s">
        <v>92</v>
      </c>
      <c r="B26" s="105">
        <v>12</v>
      </c>
      <c r="C26" s="61" t="str">
        <f t="shared" si="12"/>
        <v>x18F</v>
      </c>
      <c r="D26" s="114"/>
      <c r="E26" s="114"/>
      <c r="F26" s="114"/>
      <c r="G26" s="60" t="str">
        <f t="shared" si="13"/>
        <v>GbpLibor6M</v>
      </c>
      <c r="H26" s="108" t="str">
        <f t="shared" si="15"/>
        <v>GBP12x18F_Quote</v>
      </c>
      <c r="I26" s="114"/>
      <c r="J26" s="223" t="str">
        <f>IF(P24,_xll.qlFraRateHelper(,H26,B26&amp;"M",G26,PillarDate,,Permanent,Trigger,ObjectOverwrite),"--")</f>
        <v>obj_00305#0001</v>
      </c>
      <c r="K26" s="48"/>
      <c r="L26" s="226" t="str">
        <f t="shared" si="9"/>
        <v>FRA</v>
      </c>
      <c r="M26" s="230" t="str">
        <f t="shared" si="10"/>
        <v>GBP14x20F_Quote</v>
      </c>
      <c r="N26" s="228" t="str">
        <f>IFERROR(_xll.qlQuoteValue(H28,Trigger),"--")</f>
        <v>--</v>
      </c>
      <c r="O26" s="229"/>
      <c r="P26" s="129" t="b">
        <v>0</v>
      </c>
      <c r="Q26" s="87">
        <v>20</v>
      </c>
      <c r="R26" s="87">
        <v>1</v>
      </c>
      <c r="S26" s="87" t="str">
        <f t="shared" si="11"/>
        <v>--</v>
      </c>
      <c r="T26" s="91" t="str">
        <f>IFERROR(_xll.qlRateHelperEarliestDate(S26,Trigger),"--")</f>
        <v>--</v>
      </c>
      <c r="U26" s="91" t="str">
        <f>IFERROR(_xll.qlRateHelperPillarDate(S26,Trigger),"--")</f>
        <v>--</v>
      </c>
      <c r="W26" s="3" t="str">
        <f t="shared" si="1"/>
        <v>Sw</v>
      </c>
      <c r="X26" s="3" t="str">
        <v>obj_0027e</v>
      </c>
      <c r="Y26" s="3" t="str">
        <f>IFERROR(_xll.qlRateHelperQuoteName(X26,Trigger),"")</f>
        <v>GBPSB6L11Y_Quote</v>
      </c>
      <c r="Z26" s="67">
        <f>IFERROR(_xll.qlRateHelperRate(X26,Trigger),"")</f>
        <v>8.9300000000000004E-3</v>
      </c>
      <c r="AA26" s="95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42559</v>
      </c>
      <c r="AC26" s="4">
        <f>IFERROR(_xll.qlRateHelperPillarDate(X26,Trigger),"")</f>
        <v>46576</v>
      </c>
      <c r="AD26" s="206">
        <v>0.90595578760165885</v>
      </c>
    </row>
    <row r="27" spans="1:39" ht="11.25" customHeight="1" x14ac:dyDescent="0.2">
      <c r="A27" s="58" t="s">
        <v>92</v>
      </c>
      <c r="B27" s="105">
        <v>13</v>
      </c>
      <c r="C27" s="61" t="str">
        <f t="shared" si="12"/>
        <v>x19F</v>
      </c>
      <c r="D27" s="114"/>
      <c r="E27" s="114"/>
      <c r="F27" s="114"/>
      <c r="G27" s="60" t="str">
        <f t="shared" si="13"/>
        <v>GbpLibor6M</v>
      </c>
      <c r="H27" s="108" t="str">
        <f t="shared" si="15"/>
        <v>GBP13x19F_Quote</v>
      </c>
      <c r="I27" s="114"/>
      <c r="J27" s="223" t="str">
        <f>IF(P25,_xll.qlFraRateHelper(,H27,B27&amp;"M",G27,PillarDate,,Permanent,Trigger,ObjectOverwrite),"--")</f>
        <v>--</v>
      </c>
      <c r="K27" s="48"/>
      <c r="L27" s="226" t="str">
        <f>A29</f>
        <v>FRA</v>
      </c>
      <c r="M27" s="230" t="str">
        <f t="shared" si="10"/>
        <v>GBP15x21F_Quote</v>
      </c>
      <c r="N27" s="228" t="str">
        <f>IFERROR(_xll.qlQuoteValue(H29,Trigger),"--")</f>
        <v>--</v>
      </c>
      <c r="O27" s="229"/>
      <c r="P27" s="129" t="b">
        <v>0</v>
      </c>
      <c r="Q27" s="87">
        <v>20</v>
      </c>
      <c r="R27" s="87">
        <v>1</v>
      </c>
      <c r="S27" s="87" t="str">
        <f t="shared" si="11"/>
        <v>--</v>
      </c>
      <c r="T27" s="91" t="str">
        <f>IFERROR(_xll.qlRateHelperEarliestDate(S27,Trigger),"--")</f>
        <v>--</v>
      </c>
      <c r="U27" s="91" t="str">
        <f>IFERROR(_xll.qlRateHelperPillarDate(S27,Trigger),"--")</f>
        <v>--</v>
      </c>
      <c r="W27" s="3" t="str">
        <f t="shared" si="1"/>
        <v>Sw</v>
      </c>
      <c r="X27" s="3" t="str">
        <v>obj_00270</v>
      </c>
      <c r="Y27" s="3" t="str">
        <f>IFERROR(_xll.qlRateHelperQuoteName(X27,Trigger),"")</f>
        <v>GBPSB6L12Y_Quote</v>
      </c>
      <c r="Z27" s="67">
        <f>IFERROR(_xll.qlRateHelperRate(X27,Trigger),"")</f>
        <v>9.3699999999999999E-3</v>
      </c>
      <c r="AA27" s="95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42559</v>
      </c>
      <c r="AC27" s="4">
        <f>IFERROR(_xll.qlRateHelperPillarDate(X27,Trigger),"")</f>
        <v>46944</v>
      </c>
      <c r="AD27" s="206">
        <v>0.8929086918266218</v>
      </c>
    </row>
    <row r="28" spans="1:39" ht="11.25" customHeight="1" x14ac:dyDescent="0.2">
      <c r="A28" s="58" t="s">
        <v>92</v>
      </c>
      <c r="B28" s="105">
        <v>14</v>
      </c>
      <c r="C28" s="61" t="str">
        <f t="shared" si="12"/>
        <v>x20F</v>
      </c>
      <c r="D28" s="114"/>
      <c r="E28" s="114"/>
      <c r="F28" s="114"/>
      <c r="G28" s="60" t="str">
        <f t="shared" si="13"/>
        <v>GbpLibor6M</v>
      </c>
      <c r="H28" s="108" t="str">
        <f t="shared" si="15"/>
        <v>GBP14x20F_Quote</v>
      </c>
      <c r="I28" s="114"/>
      <c r="J28" s="223" t="str">
        <f>IF(P26,_xll.qlFraRateHelper(,H28,B28&amp;"M",G28,PillarDate,,Permanent,Trigger,ObjectOverwrite),"--")</f>
        <v>--</v>
      </c>
      <c r="K28" s="48"/>
      <c r="L28" s="226" t="str">
        <f t="shared" ref="L28:L29" si="16">A30</f>
        <v>FRA</v>
      </c>
      <c r="M28" s="230" t="str">
        <f t="shared" si="10"/>
        <v>GBP16x22F_Quote</v>
      </c>
      <c r="N28" s="228" t="str">
        <f>IFERROR(_xll.qlQuoteValue(H30,Trigger),"--")</f>
        <v>--</v>
      </c>
      <c r="O28" s="229"/>
      <c r="P28" s="90" t="b">
        <v>0</v>
      </c>
      <c r="Q28" s="87">
        <v>20</v>
      </c>
      <c r="R28" s="87">
        <v>1</v>
      </c>
      <c r="S28" s="87" t="str">
        <f t="shared" si="11"/>
        <v>--</v>
      </c>
      <c r="T28" s="91" t="str">
        <f>IFERROR(_xll.qlRateHelperEarliestDate(S28,Trigger),"--")</f>
        <v>--</v>
      </c>
      <c r="U28" s="91" t="str">
        <f>IFERROR(_xll.qlRateHelperPillarDate(S28,Trigger),"--")</f>
        <v>--</v>
      </c>
      <c r="W28" s="3" t="str">
        <f t="shared" si="1"/>
        <v>Sw</v>
      </c>
      <c r="X28" s="3" t="str">
        <v>obj_00293</v>
      </c>
      <c r="Y28" s="3" t="str">
        <f>IFERROR(_xll.qlRateHelperQuoteName(X28,Trigger),"")</f>
        <v>GBPSB6L15Y_Quote</v>
      </c>
      <c r="Z28" s="67">
        <f>IFERROR(_xll.qlRateHelperRate(X28,Trigger),"")</f>
        <v>1.0260000000000002E-2</v>
      </c>
      <c r="AA28" s="95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42559</v>
      </c>
      <c r="AC28" s="4">
        <f>IFERROR(_xll.qlRateHelperPillarDate(X28,Trigger),"")</f>
        <v>48037</v>
      </c>
      <c r="AD28" s="206">
        <v>0.85609678003260381</v>
      </c>
    </row>
    <row r="29" spans="1:39" ht="11.25" customHeight="1" x14ac:dyDescent="0.2">
      <c r="A29" s="58" t="s">
        <v>92</v>
      </c>
      <c r="B29" s="105">
        <v>15</v>
      </c>
      <c r="C29" s="61" t="str">
        <f t="shared" si="12"/>
        <v>x21F</v>
      </c>
      <c r="D29" s="114"/>
      <c r="E29" s="114"/>
      <c r="F29" s="114"/>
      <c r="G29" s="60" t="str">
        <f t="shared" si="13"/>
        <v>GbpLibor6M</v>
      </c>
      <c r="H29" s="108" t="str">
        <f t="shared" si="15"/>
        <v>GBP15x21F_Quote</v>
      </c>
      <c r="I29" s="114"/>
      <c r="J29" s="223" t="str">
        <f>IF(P27,_xll.qlFraRateHelper(,H29,B29&amp;"M",G29,PillarDate,,Permanent,Trigger,ObjectOverwrite),"--")</f>
        <v>--</v>
      </c>
      <c r="K29" s="48"/>
      <c r="L29" s="226" t="str">
        <f t="shared" si="16"/>
        <v>FRA</v>
      </c>
      <c r="M29" s="230" t="str">
        <f t="shared" si="10"/>
        <v>GBP17x23F_Quote</v>
      </c>
      <c r="N29" s="228" t="str">
        <f>IFERROR(_xll.qlQuoteValue(H31,Trigger),"--")</f>
        <v>--</v>
      </c>
      <c r="O29" s="229"/>
      <c r="P29" s="90" t="b">
        <v>0</v>
      </c>
      <c r="Q29" s="87">
        <v>20</v>
      </c>
      <c r="R29" s="87">
        <v>1</v>
      </c>
      <c r="S29" s="87" t="str">
        <f t="shared" si="11"/>
        <v>--</v>
      </c>
      <c r="T29" s="91" t="str">
        <f>IFERROR(_xll.qlRateHelperEarliestDate(S29,Trigger),"--")</f>
        <v>--</v>
      </c>
      <c r="U29" s="91" t="str">
        <f>IFERROR(_xll.qlRateHelperPillarDate(S29,Trigger),"--")</f>
        <v>--</v>
      </c>
      <c r="W29" s="3" t="str">
        <f t="shared" si="1"/>
        <v>Sw</v>
      </c>
      <c r="X29" s="3" t="str">
        <v>obj_0027d</v>
      </c>
      <c r="Y29" s="3" t="str">
        <f>IFERROR(_xll.qlRateHelperQuoteName(X29,Trigger),"")</f>
        <v>GBPSB6L20Y_Quote</v>
      </c>
      <c r="Z29" s="67">
        <f>IFERROR(_xll.qlRateHelperRate(X29,Trigger),"")</f>
        <v>1.081E-2</v>
      </c>
      <c r="AA29" s="95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42559</v>
      </c>
      <c r="AC29" s="4">
        <f>IFERROR(_xll.qlRateHelperPillarDate(X29,Trigger),"")</f>
        <v>49864</v>
      </c>
      <c r="AD29" s="206">
        <v>0.80377678168943389</v>
      </c>
    </row>
    <row r="30" spans="1:39" ht="11.25" customHeight="1" x14ac:dyDescent="0.2">
      <c r="A30" s="58" t="s">
        <v>92</v>
      </c>
      <c r="B30" s="105">
        <v>16</v>
      </c>
      <c r="C30" s="61" t="str">
        <f t="shared" si="12"/>
        <v>x22F</v>
      </c>
      <c r="D30" s="114"/>
      <c r="E30" s="114"/>
      <c r="F30" s="114"/>
      <c r="G30" s="60" t="str">
        <f t="shared" si="13"/>
        <v>GbpLibor6M</v>
      </c>
      <c r="H30" s="108" t="str">
        <f t="shared" si="15"/>
        <v>GBP16x22F_Quote</v>
      </c>
      <c r="I30" s="114"/>
      <c r="J30" s="223" t="str">
        <f>IF(P28,_xll.qlFraRateHelper(,H30,B30&amp;"M",G30,PillarDate,,Permanent,Trigger,ObjectOverwrite),"--")</f>
        <v>--</v>
      </c>
      <c r="K30" s="48"/>
      <c r="L30" s="231" t="str">
        <f>A32</f>
        <v>FRA</v>
      </c>
      <c r="M30" s="232" t="str">
        <f t="shared" si="10"/>
        <v>GBP18x24F_Quote</v>
      </c>
      <c r="N30" s="233" t="str">
        <f>IFERROR(_xll.qlQuoteValue(H32,Trigger),"--")</f>
        <v>--</v>
      </c>
      <c r="O30" s="234"/>
      <c r="P30" s="92" t="b">
        <v>0</v>
      </c>
      <c r="Q30" s="88">
        <v>20</v>
      </c>
      <c r="R30" s="88">
        <v>1</v>
      </c>
      <c r="S30" s="88" t="str">
        <f t="shared" si="11"/>
        <v>--</v>
      </c>
      <c r="T30" s="93" t="str">
        <f>IFERROR(_xll.qlRateHelperEarliestDate(S30,Trigger),"--")</f>
        <v>--</v>
      </c>
      <c r="U30" s="93" t="str">
        <f>IFERROR(_xll.qlRateHelperPillarDate(S30,Trigger),"--")</f>
        <v>--</v>
      </c>
      <c r="W30" s="3" t="str">
        <f t="shared" si="1"/>
        <v>Sw</v>
      </c>
      <c r="X30" s="3" t="str">
        <v>obj_00281</v>
      </c>
      <c r="Y30" s="3" t="str">
        <f>IFERROR(_xll.qlRateHelperQuoteName(X30,Trigger),"")</f>
        <v>GBPSB6L25Y_Quote</v>
      </c>
      <c r="Z30" s="67">
        <f>IFERROR(_xll.qlRateHelperRate(X30,Trigger),"")</f>
        <v>1.076E-2</v>
      </c>
      <c r="AA30" s="95">
        <f>IF(ISERROR(_xll.qlSwapRateHelperSpread($X30)),IF(ISERROR(_xll.qlFuturesRateHelperConvexityAdjustment($X30)),"",_xll.qlFuturesRateHelperConvexityAdjustment($X30)),_xll.qlSwapRateHelperSpread($X30))</f>
        <v>0</v>
      </c>
      <c r="AB30" s="4">
        <f>IFERROR(_xll.qlRateHelperEarliestDate(X30,Trigger),"")</f>
        <v>42559</v>
      </c>
      <c r="AC30" s="4">
        <f>IFERROR(_xll.qlRateHelperPillarDate(X30,Trigger),"")</f>
        <v>51690</v>
      </c>
      <c r="AD30" s="206">
        <v>0.7626509534837963</v>
      </c>
    </row>
    <row r="31" spans="1:39" ht="11.25" customHeight="1" x14ac:dyDescent="0.2">
      <c r="A31" s="58" t="s">
        <v>92</v>
      </c>
      <c r="B31" s="105">
        <v>17</v>
      </c>
      <c r="C31" s="61" t="str">
        <f t="shared" si="12"/>
        <v>x23F</v>
      </c>
      <c r="D31" s="114"/>
      <c r="E31" s="114"/>
      <c r="F31" s="114"/>
      <c r="G31" s="60" t="str">
        <f t="shared" si="13"/>
        <v>GbpLibor6M</v>
      </c>
      <c r="H31" s="108" t="str">
        <f t="shared" si="15"/>
        <v>GBP17x23F_Quote</v>
      </c>
      <c r="I31" s="114"/>
      <c r="J31" s="223" t="str">
        <f>IF(P29,_xll.qlFraRateHelper(,H31,B31&amp;"M",G31,PillarDate,,Permanent,Trigger,ObjectOverwrite),"--")</f>
        <v>--</v>
      </c>
      <c r="K31" s="48"/>
      <c r="L31" s="226" t="str">
        <f>A35</f>
        <v>Sw</v>
      </c>
      <c r="M31" s="246" t="str">
        <f>H35</f>
        <v>GBPSB6L1Y_Quote</v>
      </c>
      <c r="N31" s="228" t="str">
        <f>IFERROR(_xll.qlQuoteValue(H35,Trigger),"--")</f>
        <v>--</v>
      </c>
      <c r="O31" s="228">
        <f>I35</f>
        <v>0</v>
      </c>
      <c r="P31" s="90" t="b">
        <v>0</v>
      </c>
      <c r="Q31" s="87">
        <v>50</v>
      </c>
      <c r="R31" s="87">
        <v>1</v>
      </c>
      <c r="S31" s="87" t="str">
        <f>J35</f>
        <v>--</v>
      </c>
      <c r="T31" s="91" t="str">
        <f>IFERROR(_xll.qlRateHelperEarliestDate(S31,Trigger),"--")</f>
        <v>--</v>
      </c>
      <c r="U31" s="91" t="str">
        <f>IFERROR(_xll.qlRateHelperPillarDate(S31,Trigger),"--")</f>
        <v>--</v>
      </c>
      <c r="W31" s="3" t="str">
        <f t="shared" si="1"/>
        <v>Sw</v>
      </c>
      <c r="X31" s="3" t="str">
        <v>obj_002b6</v>
      </c>
      <c r="Y31" s="3" t="str">
        <f>IFERROR(_xll.qlRateHelperQuoteName(X31,Trigger),"")</f>
        <v>GBPSB6L30Y_Quote</v>
      </c>
      <c r="Z31" s="67">
        <f>IFERROR(_xll.qlRateHelperRate(X31,Trigger),"")</f>
        <v>1.0620000000000001E-2</v>
      </c>
      <c r="AA31" s="95">
        <f>IF(ISERROR(_xll.qlSwapRateHelperSpread($X31)),IF(ISERROR(_xll.qlFuturesRateHelperConvexityAdjustment($X31)),"",_xll.qlFuturesRateHelperConvexityAdjustment($X31)),_xll.qlSwapRateHelperSpread($X31))</f>
        <v>0</v>
      </c>
      <c r="AB31" s="4">
        <f>IFERROR(_xll.qlRateHelperEarliestDate(X31,Trigger),"")</f>
        <v>42559</v>
      </c>
      <c r="AC31" s="4">
        <f>IFERROR(_xll.qlRateHelperPillarDate(X31,Trigger),"")</f>
        <v>53517</v>
      </c>
      <c r="AD31" s="206">
        <v>0.72622975804881174</v>
      </c>
    </row>
    <row r="32" spans="1:39" ht="11.25" customHeight="1" x14ac:dyDescent="0.2">
      <c r="A32" s="1" t="s">
        <v>92</v>
      </c>
      <c r="B32" s="106">
        <v>18</v>
      </c>
      <c r="C32" s="8" t="str">
        <f t="shared" si="12"/>
        <v>x24F</v>
      </c>
      <c r="D32" s="115"/>
      <c r="E32" s="115"/>
      <c r="F32" s="115"/>
      <c r="G32" s="6" t="str">
        <f t="shared" si="13"/>
        <v>GbpLibor6M</v>
      </c>
      <c r="H32" s="109" t="str">
        <f t="shared" si="15"/>
        <v>GBP18x24F_Quote</v>
      </c>
      <c r="I32" s="115"/>
      <c r="J32" s="224" t="str">
        <f>IF(P30,_xll.qlFraRateHelper(,H32,B32&amp;"M",G32,PillarDate,,Permanent,Trigger,ObjectOverwrite),"--")</f>
        <v>--</v>
      </c>
      <c r="K32" s="48"/>
      <c r="L32" s="226" t="str">
        <f t="shared" ref="L32:L35" si="17">A36</f>
        <v>Sw</v>
      </c>
      <c r="M32" s="230" t="str">
        <f t="shared" ref="M32:M67" si="18">H36</f>
        <v>GBPSB6L15M_Quote</v>
      </c>
      <c r="N32" s="228" t="str">
        <f>IFERROR(_xll.qlQuoteValue(H36,Trigger),"--")</f>
        <v>--</v>
      </c>
      <c r="O32" s="228">
        <f t="shared" ref="O32:O67" si="19">I36</f>
        <v>0</v>
      </c>
      <c r="P32" s="90" t="b">
        <v>0</v>
      </c>
      <c r="Q32" s="87">
        <v>50</v>
      </c>
      <c r="R32" s="87">
        <v>1</v>
      </c>
      <c r="S32" s="87" t="str">
        <f t="shared" ref="S32:S67" si="20">J36</f>
        <v>--</v>
      </c>
      <c r="T32" s="91" t="str">
        <f>IFERROR(_xll.qlRateHelperEarliestDate(S32,Trigger),"--")</f>
        <v>--</v>
      </c>
      <c r="U32" s="91" t="str">
        <f>IFERROR(_xll.qlRateHelperPillarDate(S32,Trigger),"--")</f>
        <v>--</v>
      </c>
      <c r="W32" s="3" t="str">
        <f t="shared" ref="W32:W36" si="21">IFERROR(INDEX($L$3:$L$67,MATCH(Y32,$M$3:$M$67,0),1),"")</f>
        <v>Sw</v>
      </c>
      <c r="X32" s="3" t="str">
        <v>obj_002ab</v>
      </c>
      <c r="Y32" s="3" t="str">
        <f>IFERROR(_xll.qlRateHelperQuoteName(X32,Trigger),"")</f>
        <v>GBPSB6L40Y_Quote</v>
      </c>
      <c r="Z32" s="67">
        <f>IFERROR(_xll.qlRateHelperRate(X32,Trigger),"")</f>
        <v>9.9900000000000006E-3</v>
      </c>
      <c r="AA32" s="95">
        <f>IF(ISERROR(_xll.qlSwapRateHelperSpread($X32)),IF(ISERROR(_xll.qlFuturesRateHelperConvexityAdjustment($X32)),"",_xll.qlFuturesRateHelperConvexityAdjustment($X32)),_xll.qlSwapRateHelperSpread($X32))</f>
        <v>0</v>
      </c>
      <c r="AB32" s="4">
        <f>IFERROR(_xll.qlRateHelperEarliestDate(X32,Trigger),"")</f>
        <v>42559</v>
      </c>
      <c r="AC32" s="4">
        <f>IFERROR(_xll.qlRateHelperPillarDate(X32,Trigger),"")</f>
        <v>57171</v>
      </c>
      <c r="AD32" s="206">
        <v>0.67243971888850684</v>
      </c>
    </row>
    <row r="33" spans="1:30" ht="11.25" customHeight="1" x14ac:dyDescent="0.2">
      <c r="B33" s="46"/>
      <c r="C33" s="46"/>
      <c r="D33" s="46"/>
      <c r="E33" s="46"/>
      <c r="F33" s="46"/>
      <c r="G33" s="46" t="s">
        <v>142</v>
      </c>
      <c r="H33" s="46" t="s">
        <v>143</v>
      </c>
      <c r="K33" s="48"/>
      <c r="L33" s="226" t="str">
        <f t="shared" si="17"/>
        <v>Sw</v>
      </c>
      <c r="M33" s="230" t="str">
        <f t="shared" si="18"/>
        <v>GBPSB6L18M_Quote</v>
      </c>
      <c r="N33" s="228">
        <f>IFERROR(_xll.qlQuoteValue(H37,Trigger),"--")</f>
        <v>5.1500000000000001E-3</v>
      </c>
      <c r="O33" s="228">
        <f t="shared" si="19"/>
        <v>0</v>
      </c>
      <c r="P33" s="90" t="b">
        <v>0</v>
      </c>
      <c r="Q33" s="87">
        <v>50</v>
      </c>
      <c r="R33" s="87">
        <v>1</v>
      </c>
      <c r="S33" s="87" t="str">
        <f t="shared" si="20"/>
        <v>--</v>
      </c>
      <c r="T33" s="91" t="str">
        <f>IFERROR(_xll.qlRateHelperEarliestDate(S33,Trigger),"--")</f>
        <v>--</v>
      </c>
      <c r="U33" s="91" t="str">
        <f>IFERROR(_xll.qlRateHelperPillarDate(S33,Trigger),"--")</f>
        <v>--</v>
      </c>
      <c r="W33" s="3" t="str">
        <f t="shared" si="21"/>
        <v>Sw</v>
      </c>
      <c r="X33" s="3" t="str">
        <v>obj_00272</v>
      </c>
      <c r="Y33" s="3" t="str">
        <f>IFERROR(_xll.qlRateHelperQuoteName(X33,Trigger),"")</f>
        <v>GBPSB6L50Y_Quote</v>
      </c>
      <c r="Z33" s="67">
        <f>IFERROR(_xll.qlRateHelperRate(X33,Trigger),"")</f>
        <v>9.5700000000000004E-3</v>
      </c>
      <c r="AA33" s="95">
        <f>IF(ISERROR(_xll.qlSwapRateHelperSpread($X33)),IF(ISERROR(_xll.qlFuturesRateHelperConvexityAdjustment($X33)),"",_xll.qlFuturesRateHelperConvexityAdjustment($X33)),_xll.qlSwapRateHelperSpread($X33))</f>
        <v>0</v>
      </c>
      <c r="AB33" s="4">
        <f>IFERROR(_xll.qlRateHelperEarliestDate(X33,Trigger),"")</f>
        <v>42559</v>
      </c>
      <c r="AC33" s="4">
        <f>IFERROR(_xll.qlRateHelperPillarDate(X33,Trigger),"")</f>
        <v>60821</v>
      </c>
      <c r="AD33" s="206">
        <v>0.62387710846085731</v>
      </c>
    </row>
    <row r="34" spans="1:30" ht="11.25" customHeight="1" x14ac:dyDescent="0.2">
      <c r="A34" s="63" t="s">
        <v>9</v>
      </c>
      <c r="B34" s="63" t="s">
        <v>30</v>
      </c>
      <c r="C34" s="63" t="s">
        <v>127</v>
      </c>
      <c r="D34" s="63" t="s">
        <v>5</v>
      </c>
      <c r="E34" s="63" t="s">
        <v>34</v>
      </c>
      <c r="F34" s="63" t="s">
        <v>113</v>
      </c>
      <c r="G34" s="63" t="s">
        <v>4</v>
      </c>
      <c r="H34" s="63" t="s">
        <v>1</v>
      </c>
      <c r="I34" s="63" t="s">
        <v>112</v>
      </c>
      <c r="J34" s="63" t="s">
        <v>25</v>
      </c>
      <c r="K34" s="48"/>
      <c r="L34" s="226" t="str">
        <f t="shared" si="17"/>
        <v>Sw</v>
      </c>
      <c r="M34" s="230" t="str">
        <f t="shared" si="18"/>
        <v>GBPSB6L21M_Quote</v>
      </c>
      <c r="N34" s="228" t="str">
        <f>IFERROR(_xll.qlQuoteValue(H38,Trigger),"--")</f>
        <v>--</v>
      </c>
      <c r="O34" s="228">
        <f t="shared" si="19"/>
        <v>0</v>
      </c>
      <c r="P34" s="90" t="b">
        <v>0</v>
      </c>
      <c r="Q34" s="87">
        <v>50</v>
      </c>
      <c r="R34" s="87">
        <v>1</v>
      </c>
      <c r="S34" s="87" t="str">
        <f t="shared" si="20"/>
        <v>--</v>
      </c>
      <c r="T34" s="91" t="str">
        <f>IFERROR(_xll.qlRateHelperEarliestDate(S34,Trigger),"--")</f>
        <v>--</v>
      </c>
      <c r="U34" s="91" t="str">
        <f>IFERROR(_xll.qlRateHelperPillarDate(S34,Trigger),"--")</f>
        <v>--</v>
      </c>
      <c r="W34" s="3" t="str">
        <f t="shared" si="21"/>
        <v>Sw</v>
      </c>
      <c r="X34" s="3" t="str">
        <v>obj_002bf</v>
      </c>
      <c r="Y34" s="3" t="str">
        <f>IFERROR(_xll.qlRateHelperQuoteName(X34,Trigger),"")</f>
        <v>GBPSB6L60Y_Quote</v>
      </c>
      <c r="Z34" s="67">
        <f>IFERROR(_xll.qlRateHelperRate(X34,Trigger),"")</f>
        <v>9.5100000000000011E-3</v>
      </c>
      <c r="AA34" s="95">
        <f>IF(ISERROR(_xll.qlSwapRateHelperSpread($X34)),IF(ISERROR(_xll.qlFuturesRateHelperConvexityAdjustment($X34)),"",_xll.qlFuturesRateHelperConvexityAdjustment($X34)),_xll.qlSwapRateHelperSpread($X34))</f>
        <v>0</v>
      </c>
      <c r="AB34" s="4">
        <f>IFERROR(_xll.qlRateHelperEarliestDate(X34,Trigger),"")</f>
        <v>42559</v>
      </c>
      <c r="AC34" s="4">
        <f>IFERROR(_xll.qlRateHelperPillarDate(X34,Trigger),"")</f>
        <v>64474</v>
      </c>
      <c r="AD34" s="206">
        <v>0.56948360331588288</v>
      </c>
    </row>
    <row r="35" spans="1:30" ht="11.25" customHeight="1" x14ac:dyDescent="0.2">
      <c r="A35" s="53" t="s">
        <v>26</v>
      </c>
      <c r="B35" s="54" t="s">
        <v>29</v>
      </c>
      <c r="C35" s="55" t="s">
        <v>6</v>
      </c>
      <c r="D35" s="55" t="s">
        <v>140</v>
      </c>
      <c r="E35" s="55" t="s">
        <v>7</v>
      </c>
      <c r="F35" s="55" t="s">
        <v>141</v>
      </c>
      <c r="G35" s="55" t="str">
        <f t="shared" ref="G35:G71" si="22">PROPER(Currency)&amp;FamilyName&amp;Tenor</f>
        <v>GbpLibor6M</v>
      </c>
      <c r="H35" s="53" t="str">
        <f t="shared" ref="H35:H71" si="23">Currency&amp;$G$33&amp;$H$33&amp;B35&amp;QuoteSuffix</f>
        <v>GBPSB6L1Y_Quote</v>
      </c>
      <c r="I35" s="117">
        <v>0</v>
      </c>
      <c r="J35" s="223" t="str">
        <f>IF(P31,_xll.qlSwapRateHelper2(,H35,0,B35,Calendar,D35,E35,F35,G35,I35,C35,Discounting,PillarDate,,Permanent,Trigger,ObjectOverwrite),"--")</f>
        <v>--</v>
      </c>
      <c r="K35" s="48"/>
      <c r="L35" s="226" t="str">
        <f t="shared" si="17"/>
        <v>Sw</v>
      </c>
      <c r="M35" s="230" t="str">
        <f t="shared" si="18"/>
        <v>GBPSB6L2Y_Quote</v>
      </c>
      <c r="N35" s="228">
        <f>IFERROR(_xll.qlQuoteValue(H39,Trigger),"--")</f>
        <v>5.0600000000000003E-3</v>
      </c>
      <c r="O35" s="228">
        <f t="shared" si="19"/>
        <v>0</v>
      </c>
      <c r="P35" s="90" t="b">
        <v>1</v>
      </c>
      <c r="Q35" s="87">
        <v>50</v>
      </c>
      <c r="R35" s="87">
        <v>1</v>
      </c>
      <c r="S35" s="87" t="str">
        <f t="shared" si="20"/>
        <v>obj_002a4#0001</v>
      </c>
      <c r="T35" s="91">
        <f>IFERROR(_xll.qlRateHelperEarliestDate(S35,Trigger),"--")</f>
        <v>42559</v>
      </c>
      <c r="U35" s="91">
        <f>IFERROR(_xll.qlRateHelperPillarDate(S35,Trigger),"--")</f>
        <v>43290</v>
      </c>
      <c r="W35" s="3" t="str">
        <f t="shared" si="21"/>
        <v/>
      </c>
      <c r="X35" s="3" t="e">
        <v>#N/A</v>
      </c>
      <c r="Y35" s="3" t="str">
        <f>IFERROR(_xll.qlRateHelperQuoteName(X35,Trigger),"")</f>
        <v/>
      </c>
      <c r="Z35" s="67" t="str">
        <f>IFERROR(_xll.qlRateHelperRate(X35,Trigger),"")</f>
        <v/>
      </c>
      <c r="AA35" s="95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206" t="e">
        <v>#N/A</v>
      </c>
    </row>
    <row r="36" spans="1:30" ht="11.25" customHeight="1" x14ac:dyDescent="0.2">
      <c r="A36" s="58" t="s">
        <v>26</v>
      </c>
      <c r="B36" s="59" t="s">
        <v>49</v>
      </c>
      <c r="C36" s="60" t="s">
        <v>6</v>
      </c>
      <c r="D36" s="60" t="s">
        <v>140</v>
      </c>
      <c r="E36" s="60" t="s">
        <v>7</v>
      </c>
      <c r="F36" s="60" t="s">
        <v>141</v>
      </c>
      <c r="G36" s="60" t="str">
        <f t="shared" si="22"/>
        <v>GbpLibor6M</v>
      </c>
      <c r="H36" s="58" t="str">
        <f t="shared" si="23"/>
        <v>GBPSB6L15M_Quote</v>
      </c>
      <c r="I36" s="118">
        <v>0</v>
      </c>
      <c r="J36" s="223" t="str">
        <f>IF(P32,_xll.qlSwapRateHelper2(,H36,0,B36,Calendar,D36,E36,F36,G36,I36,C36,Discounting,PillarDate,,Permanent,Trigger,ObjectOverwrite),"--")</f>
        <v>--</v>
      </c>
      <c r="K36" s="48"/>
      <c r="L36" s="226" t="str">
        <f t="shared" ref="L36:L67" si="24">A40</f>
        <v>Sw</v>
      </c>
      <c r="M36" s="230" t="str">
        <f t="shared" si="18"/>
        <v>GBPSB6L3Y_Quote</v>
      </c>
      <c r="N36" s="228">
        <f>IFERROR(_xll.qlQuoteValue(H40,Trigger),"--")</f>
        <v>5.0499999999999998E-3</v>
      </c>
      <c r="O36" s="228">
        <f t="shared" si="19"/>
        <v>0</v>
      </c>
      <c r="P36" s="90" t="b">
        <v>1</v>
      </c>
      <c r="Q36" s="87">
        <v>50</v>
      </c>
      <c r="R36" s="87">
        <v>1</v>
      </c>
      <c r="S36" s="87" t="str">
        <f t="shared" si="20"/>
        <v>obj_00271#0001</v>
      </c>
      <c r="T36" s="91">
        <f>IFERROR(_xll.qlRateHelperEarliestDate(S36,Trigger),"--")</f>
        <v>42559</v>
      </c>
      <c r="U36" s="91">
        <f>IFERROR(_xll.qlRateHelperPillarDate(S36,Trigger),"--")</f>
        <v>43654</v>
      </c>
      <c r="W36" s="3" t="str">
        <f t="shared" si="21"/>
        <v/>
      </c>
      <c r="X36" s="3" t="e">
        <v>#N/A</v>
      </c>
      <c r="Y36" s="3" t="str">
        <f>IFERROR(_xll.qlRateHelperQuoteName(X36,Trigger),"")</f>
        <v/>
      </c>
      <c r="Z36" s="67" t="str">
        <f>IFERROR(_xll.qlRateHelperRate(X36,Trigger),"")</f>
        <v/>
      </c>
      <c r="AA36" s="95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206" t="e">
        <v>#N/A</v>
      </c>
    </row>
    <row r="37" spans="1:30" ht="11.25" customHeight="1" x14ac:dyDescent="0.2">
      <c r="A37" s="58" t="s">
        <v>26</v>
      </c>
      <c r="B37" s="59" t="s">
        <v>50</v>
      </c>
      <c r="C37" s="60" t="s">
        <v>6</v>
      </c>
      <c r="D37" s="60" t="s">
        <v>140</v>
      </c>
      <c r="E37" s="60" t="s">
        <v>7</v>
      </c>
      <c r="F37" s="60" t="s">
        <v>141</v>
      </c>
      <c r="G37" s="60" t="str">
        <f t="shared" si="22"/>
        <v>GbpLibor6M</v>
      </c>
      <c r="H37" s="58" t="str">
        <f t="shared" si="23"/>
        <v>GBPSB6L18M_Quote</v>
      </c>
      <c r="I37" s="118">
        <v>0</v>
      </c>
      <c r="J37" s="223" t="str">
        <f>IF(P33,_xll.qlSwapRateHelper2(,H37,0,B37,Calendar,D37,E37,F37,G37,I37,C37,Discounting,PillarDate,,Permanent,Trigger,ObjectOverwrite),"--")</f>
        <v>--</v>
      </c>
      <c r="K37" s="48"/>
      <c r="L37" s="226" t="str">
        <f t="shared" si="24"/>
        <v>Sw</v>
      </c>
      <c r="M37" s="230" t="str">
        <f t="shared" si="18"/>
        <v>GBPSB6L4Y_Quote</v>
      </c>
      <c r="N37" s="228">
        <f>IFERROR(_xll.qlQuoteValue(H41,Trigger),"--")</f>
        <v>5.2700000000000004E-3</v>
      </c>
      <c r="O37" s="228">
        <f t="shared" si="19"/>
        <v>0</v>
      </c>
      <c r="P37" s="90" t="b">
        <v>1</v>
      </c>
      <c r="Q37" s="87">
        <v>50</v>
      </c>
      <c r="R37" s="87">
        <v>1</v>
      </c>
      <c r="S37" s="87" t="str">
        <f t="shared" si="20"/>
        <v>obj_00278#0001</v>
      </c>
      <c r="T37" s="91">
        <f>IFERROR(_xll.qlRateHelperEarliestDate(S37,Trigger),"--")</f>
        <v>42559</v>
      </c>
      <c r="U37" s="91">
        <f>IFERROR(_xll.qlRateHelperPillarDate(S37,Trigger),"--")</f>
        <v>44020</v>
      </c>
      <c r="W37" s="3" t="str">
        <f t="shared" ref="W37:W67" si="25">IFERROR(INDEX($L$3:$L$67,MATCH(Y37,$M$3:$M$67,0),1),"")</f>
        <v/>
      </c>
      <c r="X37" s="3" t="e">
        <v>#N/A</v>
      </c>
      <c r="Y37" s="3" t="str">
        <f>IFERROR(_xll.qlRateHelperQuoteName(X37,Trigger),"")</f>
        <v/>
      </c>
      <c r="Z37" s="67" t="str">
        <f>IFERROR(_xll.qlRateHelperRate(X37,Trigger),"")</f>
        <v/>
      </c>
      <c r="AA37" s="95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206" t="e">
        <v>#N/A</v>
      </c>
    </row>
    <row r="38" spans="1:30" ht="11.25" customHeight="1" x14ac:dyDescent="0.2">
      <c r="A38" s="58" t="s">
        <v>26</v>
      </c>
      <c r="B38" s="59" t="s">
        <v>51</v>
      </c>
      <c r="C38" s="60" t="s">
        <v>6</v>
      </c>
      <c r="D38" s="60" t="s">
        <v>140</v>
      </c>
      <c r="E38" s="60" t="s">
        <v>7</v>
      </c>
      <c r="F38" s="60" t="s">
        <v>141</v>
      </c>
      <c r="G38" s="60" t="str">
        <f t="shared" si="22"/>
        <v>GbpLibor6M</v>
      </c>
      <c r="H38" s="58" t="str">
        <f t="shared" si="23"/>
        <v>GBPSB6L21M_Quote</v>
      </c>
      <c r="I38" s="118">
        <v>0</v>
      </c>
      <c r="J38" s="223" t="str">
        <f>IF(P34,_xll.qlSwapRateHelper2(,H38,0,B38,Calendar,D38,E38,F38,G38,I38,C38,Discounting,PillarDate,,Permanent,Trigger,ObjectOverwrite),"--")</f>
        <v>--</v>
      </c>
      <c r="K38" s="48"/>
      <c r="L38" s="226" t="str">
        <f t="shared" si="24"/>
        <v>Sw</v>
      </c>
      <c r="M38" s="230" t="str">
        <f t="shared" si="18"/>
        <v>GBPSB6L5Y_Quote</v>
      </c>
      <c r="N38" s="228">
        <f>IFERROR(_xll.qlQuoteValue(H42,Trigger),"--")</f>
        <v>5.6100000000000004E-3</v>
      </c>
      <c r="O38" s="228">
        <f t="shared" si="19"/>
        <v>0</v>
      </c>
      <c r="P38" s="90" t="b">
        <v>1</v>
      </c>
      <c r="Q38" s="87">
        <v>50</v>
      </c>
      <c r="R38" s="87">
        <v>1</v>
      </c>
      <c r="S38" s="87" t="str">
        <f t="shared" si="20"/>
        <v>obj_002ac#0001</v>
      </c>
      <c r="T38" s="91">
        <f>IFERROR(_xll.qlRateHelperEarliestDate(S38,Trigger),"--")</f>
        <v>42559</v>
      </c>
      <c r="U38" s="91">
        <f>IFERROR(_xll.qlRateHelperPillarDate(S38,Trigger),"--")</f>
        <v>44385</v>
      </c>
      <c r="W38" s="3" t="str">
        <f t="shared" si="25"/>
        <v/>
      </c>
      <c r="X38" s="3" t="e">
        <v>#N/A</v>
      </c>
      <c r="Y38" s="3" t="str">
        <f>IFERROR(_xll.qlRateHelperQuoteName(X38,Trigger),"")</f>
        <v/>
      </c>
      <c r="Z38" s="67" t="str">
        <f>IFERROR(_xll.qlRateHelperRate(X38,Trigger),"")</f>
        <v/>
      </c>
      <c r="AA38" s="95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206" t="e">
        <v>#N/A</v>
      </c>
    </row>
    <row r="39" spans="1:30" ht="11.25" customHeight="1" x14ac:dyDescent="0.2">
      <c r="A39" s="58" t="s">
        <v>26</v>
      </c>
      <c r="B39" s="59" t="s">
        <v>52</v>
      </c>
      <c r="C39" s="60" t="s">
        <v>6</v>
      </c>
      <c r="D39" s="60" t="s">
        <v>140</v>
      </c>
      <c r="E39" s="60" t="s">
        <v>7</v>
      </c>
      <c r="F39" s="60" t="s">
        <v>141</v>
      </c>
      <c r="G39" s="60" t="str">
        <f t="shared" si="22"/>
        <v>GbpLibor6M</v>
      </c>
      <c r="H39" s="58" t="str">
        <f t="shared" si="23"/>
        <v>GBPSB6L2Y_Quote</v>
      </c>
      <c r="I39" s="118">
        <v>0</v>
      </c>
      <c r="J39" s="223" t="str">
        <f>IF(P35,_xll.qlSwapRateHelper2(,H39,0,B39,Calendar,D39,E39,F39,G39,I39,C39,Discounting,PillarDate,,Permanent,Trigger,ObjectOverwrite),"--")</f>
        <v>obj_002a4#0001</v>
      </c>
      <c r="K39" s="48"/>
      <c r="L39" s="226" t="str">
        <f t="shared" si="24"/>
        <v>Sw</v>
      </c>
      <c r="M39" s="230" t="str">
        <f t="shared" si="18"/>
        <v>GBPSB6L6Y_Quote</v>
      </c>
      <c r="N39" s="228">
        <f>IFERROR(_xll.qlQuoteValue(H43,Trigger),"--")</f>
        <v>6.1200000000000013E-3</v>
      </c>
      <c r="O39" s="228">
        <f t="shared" si="19"/>
        <v>0</v>
      </c>
      <c r="P39" s="90" t="b">
        <v>1</v>
      </c>
      <c r="Q39" s="87">
        <v>50</v>
      </c>
      <c r="R39" s="87">
        <v>1</v>
      </c>
      <c r="S39" s="87" t="str">
        <f t="shared" si="20"/>
        <v>obj_002b8#0001</v>
      </c>
      <c r="T39" s="91">
        <f>IFERROR(_xll.qlRateHelperEarliestDate(S39,Trigger),"--")</f>
        <v>42559</v>
      </c>
      <c r="U39" s="91">
        <f>IFERROR(_xll.qlRateHelperPillarDate(S39,Trigger),"--")</f>
        <v>44750</v>
      </c>
      <c r="W39" s="3" t="str">
        <f t="shared" si="25"/>
        <v/>
      </c>
      <c r="X39" s="3" t="e">
        <v>#N/A</v>
      </c>
      <c r="Y39" s="3" t="str">
        <f>IFERROR(_xll.qlRateHelperQuoteName(X39,Trigger),"")</f>
        <v/>
      </c>
      <c r="Z39" s="67" t="str">
        <f>IFERROR(_xll.qlRateHelperRate(X39,Trigger),"")</f>
        <v/>
      </c>
      <c r="AA39" s="95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206" t="e">
        <v>#N/A</v>
      </c>
    </row>
    <row r="40" spans="1:30" ht="11.25" customHeight="1" x14ac:dyDescent="0.2">
      <c r="A40" s="58" t="s">
        <v>26</v>
      </c>
      <c r="B40" s="59" t="s">
        <v>53</v>
      </c>
      <c r="C40" s="60" t="s">
        <v>6</v>
      </c>
      <c r="D40" s="60" t="s">
        <v>140</v>
      </c>
      <c r="E40" s="60" t="s">
        <v>7</v>
      </c>
      <c r="F40" s="60" t="s">
        <v>141</v>
      </c>
      <c r="G40" s="60" t="str">
        <f t="shared" si="22"/>
        <v>GbpLibor6M</v>
      </c>
      <c r="H40" s="58" t="str">
        <f t="shared" si="23"/>
        <v>GBPSB6L3Y_Quote</v>
      </c>
      <c r="I40" s="118">
        <v>0</v>
      </c>
      <c r="J40" s="223" t="str">
        <f>IF(P36,_xll.qlSwapRateHelper2(,H40,0,B40,Calendar,D40,E40,F40,G40,I40,C40,Discounting,PillarDate,,Permanent,Trigger,ObjectOverwrite),"--")</f>
        <v>obj_00271#0001</v>
      </c>
      <c r="K40" s="48"/>
      <c r="L40" s="226" t="str">
        <f t="shared" si="24"/>
        <v>Sw</v>
      </c>
      <c r="M40" s="230" t="str">
        <f t="shared" si="18"/>
        <v>GBPSB6L7Y_Quote</v>
      </c>
      <c r="N40" s="228">
        <f>IFERROR(_xll.qlQuoteValue(H44,Trigger),"--")</f>
        <v>6.7100000000000007E-3</v>
      </c>
      <c r="O40" s="228">
        <f t="shared" si="19"/>
        <v>0</v>
      </c>
      <c r="P40" s="90" t="b">
        <v>1</v>
      </c>
      <c r="Q40" s="87">
        <v>50</v>
      </c>
      <c r="R40" s="87">
        <v>1</v>
      </c>
      <c r="S40" s="87" t="str">
        <f t="shared" si="20"/>
        <v>obj_002c2#0001</v>
      </c>
      <c r="T40" s="91">
        <f>IFERROR(_xll.qlRateHelperEarliestDate(S40,Trigger),"--")</f>
        <v>42559</v>
      </c>
      <c r="U40" s="91">
        <f>IFERROR(_xll.qlRateHelperPillarDate(S40,Trigger),"--")</f>
        <v>45117</v>
      </c>
      <c r="W40" s="3" t="str">
        <f t="shared" si="25"/>
        <v/>
      </c>
      <c r="X40" s="3" t="e">
        <v>#N/A</v>
      </c>
      <c r="Y40" s="3" t="str">
        <f>IFERROR(_xll.qlRateHelperQuoteName(X40,Trigger),"")</f>
        <v/>
      </c>
      <c r="Z40" s="67" t="str">
        <f>IFERROR(_xll.qlRateHelperRate(X40,Trigger),"")</f>
        <v/>
      </c>
      <c r="AA40" s="95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206" t="e">
        <v>#N/A</v>
      </c>
    </row>
    <row r="41" spans="1:30" ht="11.25" customHeight="1" x14ac:dyDescent="0.2">
      <c r="A41" s="58" t="s">
        <v>26</v>
      </c>
      <c r="B41" s="59" t="s">
        <v>54</v>
      </c>
      <c r="C41" s="60" t="s">
        <v>6</v>
      </c>
      <c r="D41" s="60" t="s">
        <v>140</v>
      </c>
      <c r="E41" s="60" t="s">
        <v>7</v>
      </c>
      <c r="F41" s="60" t="s">
        <v>141</v>
      </c>
      <c r="G41" s="60" t="str">
        <f t="shared" si="22"/>
        <v>GbpLibor6M</v>
      </c>
      <c r="H41" s="58" t="str">
        <f t="shared" si="23"/>
        <v>GBPSB6L4Y_Quote</v>
      </c>
      <c r="I41" s="118">
        <v>0</v>
      </c>
      <c r="J41" s="223" t="str">
        <f>IF(P37,_xll.qlSwapRateHelper2(,H41,0,B41,Calendar,D41,E41,F41,G41,I41,C41,Discounting,PillarDate,,Permanent,Trigger,ObjectOverwrite),"--")</f>
        <v>obj_00278#0001</v>
      </c>
      <c r="L41" s="226" t="str">
        <f t="shared" si="24"/>
        <v>Sw</v>
      </c>
      <c r="M41" s="230" t="str">
        <f t="shared" si="18"/>
        <v>GBPSB6L8Y_Quote</v>
      </c>
      <c r="N41" s="228">
        <f>IFERROR(_xll.qlQuoteValue(H45,Trigger),"--")</f>
        <v>7.3500000000000006E-3</v>
      </c>
      <c r="O41" s="228">
        <f t="shared" si="19"/>
        <v>0</v>
      </c>
      <c r="P41" s="90" t="b">
        <v>1</v>
      </c>
      <c r="Q41" s="87">
        <v>50</v>
      </c>
      <c r="R41" s="87">
        <v>1</v>
      </c>
      <c r="S41" s="87" t="str">
        <f t="shared" si="20"/>
        <v>obj_002c1#0001</v>
      </c>
      <c r="T41" s="91">
        <f>IFERROR(_xll.qlRateHelperEarliestDate(S41,Trigger),"--")</f>
        <v>42559</v>
      </c>
      <c r="U41" s="91">
        <f>IFERROR(_xll.qlRateHelperPillarDate(S41,Trigger),"--")</f>
        <v>45481</v>
      </c>
      <c r="W41" s="3" t="str">
        <f t="shared" si="25"/>
        <v/>
      </c>
      <c r="X41" s="3" t="e">
        <v>#N/A</v>
      </c>
      <c r="Y41" s="3" t="str">
        <f>IFERROR(_xll.qlRateHelperQuoteName(X41,Trigger),"")</f>
        <v/>
      </c>
      <c r="Z41" s="67" t="str">
        <f>IFERROR(_xll.qlRateHelperRate(X41,Trigger),"")</f>
        <v/>
      </c>
      <c r="AA41" s="95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206" t="e">
        <v>#N/A</v>
      </c>
    </row>
    <row r="42" spans="1:30" ht="11.25" customHeight="1" x14ac:dyDescent="0.2">
      <c r="A42" s="58" t="s">
        <v>26</v>
      </c>
      <c r="B42" s="59" t="s">
        <v>55</v>
      </c>
      <c r="C42" s="60" t="s">
        <v>6</v>
      </c>
      <c r="D42" s="60" t="s">
        <v>140</v>
      </c>
      <c r="E42" s="60" t="s">
        <v>7</v>
      </c>
      <c r="F42" s="60" t="s">
        <v>141</v>
      </c>
      <c r="G42" s="60" t="str">
        <f t="shared" si="22"/>
        <v>GbpLibor6M</v>
      </c>
      <c r="H42" s="58" t="str">
        <f t="shared" si="23"/>
        <v>GBPSB6L5Y_Quote</v>
      </c>
      <c r="I42" s="118">
        <v>0</v>
      </c>
      <c r="J42" s="223" t="str">
        <f>IF(P38,_xll.qlSwapRateHelper2(,H42,0,B42,Calendar,D42,E42,F42,G42,I42,C42,Discounting,PillarDate,,Permanent,Trigger,ObjectOverwrite),"--")</f>
        <v>obj_002ac#0001</v>
      </c>
      <c r="L42" s="226" t="str">
        <f t="shared" si="24"/>
        <v>Sw</v>
      </c>
      <c r="M42" s="230" t="str">
        <f t="shared" si="18"/>
        <v>GBPSB6L9Y_Quote</v>
      </c>
      <c r="N42" s="228">
        <f>IFERROR(_xll.qlQuoteValue(H46,Trigger),"--")</f>
        <v>7.9600000000000001E-3</v>
      </c>
      <c r="O42" s="228">
        <f t="shared" si="19"/>
        <v>0</v>
      </c>
      <c r="P42" s="90" t="b">
        <v>1</v>
      </c>
      <c r="Q42" s="87">
        <v>50</v>
      </c>
      <c r="R42" s="87">
        <v>1</v>
      </c>
      <c r="S42" s="87" t="str">
        <f t="shared" si="20"/>
        <v>obj_00273#0001</v>
      </c>
      <c r="T42" s="91">
        <f>IFERROR(_xll.qlRateHelperEarliestDate(S42,Trigger),"--")</f>
        <v>42559</v>
      </c>
      <c r="U42" s="91">
        <f>IFERROR(_xll.qlRateHelperPillarDate(S42,Trigger),"--")</f>
        <v>45846</v>
      </c>
      <c r="W42" s="3" t="str">
        <f t="shared" si="25"/>
        <v/>
      </c>
      <c r="X42" s="3" t="e">
        <v>#N/A</v>
      </c>
      <c r="Y42" s="3" t="str">
        <f>IFERROR(_xll.qlRateHelperQuoteName(X42,Trigger),"")</f>
        <v/>
      </c>
      <c r="Z42" s="67" t="str">
        <f>IFERROR(_xll.qlRateHelperRate(X42,Trigger),"")</f>
        <v/>
      </c>
      <c r="AA42" s="95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206" t="e">
        <v>#N/A</v>
      </c>
    </row>
    <row r="43" spans="1:30" ht="11.25" customHeight="1" x14ac:dyDescent="0.2">
      <c r="A43" s="58" t="s">
        <v>26</v>
      </c>
      <c r="B43" s="59" t="s">
        <v>56</v>
      </c>
      <c r="C43" s="60" t="s">
        <v>6</v>
      </c>
      <c r="D43" s="60" t="s">
        <v>140</v>
      </c>
      <c r="E43" s="60" t="s">
        <v>7</v>
      </c>
      <c r="F43" s="60" t="s">
        <v>141</v>
      </c>
      <c r="G43" s="60" t="str">
        <f t="shared" si="22"/>
        <v>GbpLibor6M</v>
      </c>
      <c r="H43" s="58" t="str">
        <f t="shared" si="23"/>
        <v>GBPSB6L6Y_Quote</v>
      </c>
      <c r="I43" s="118">
        <v>0</v>
      </c>
      <c r="J43" s="223" t="str">
        <f>IF(P39,_xll.qlSwapRateHelper2(,H43,0,B43,Calendar,D43,E43,F43,G43,I43,C43,Discounting,PillarDate,,Permanent,Trigger,ObjectOverwrite),"--")</f>
        <v>obj_002b8#0001</v>
      </c>
      <c r="L43" s="226" t="str">
        <f t="shared" si="24"/>
        <v>Sw</v>
      </c>
      <c r="M43" s="230" t="str">
        <f t="shared" si="18"/>
        <v>GBPSB6L10Y_Quote</v>
      </c>
      <c r="N43" s="228">
        <f>IFERROR(_xll.qlQuoteValue(H47,Trigger),"--")</f>
        <v>8.5100000000000002E-3</v>
      </c>
      <c r="O43" s="228">
        <f t="shared" si="19"/>
        <v>0</v>
      </c>
      <c r="P43" s="90" t="b">
        <v>1</v>
      </c>
      <c r="Q43" s="87">
        <v>50</v>
      </c>
      <c r="R43" s="87">
        <v>1</v>
      </c>
      <c r="S43" s="87" t="str">
        <f t="shared" si="20"/>
        <v>obj_00277#0001</v>
      </c>
      <c r="T43" s="91">
        <f>IFERROR(_xll.qlRateHelperEarliestDate(S43,Trigger),"--")</f>
        <v>42559</v>
      </c>
      <c r="U43" s="91">
        <f>IFERROR(_xll.qlRateHelperPillarDate(S43,Trigger),"--")</f>
        <v>46211</v>
      </c>
      <c r="W43" s="3" t="str">
        <f t="shared" si="25"/>
        <v/>
      </c>
      <c r="X43" s="3" t="e">
        <v>#N/A</v>
      </c>
      <c r="Y43" s="3" t="str">
        <f>IFERROR(_xll.qlRateHelperQuoteName(X43,Trigger),"")</f>
        <v/>
      </c>
      <c r="Z43" s="67" t="str">
        <f>IFERROR(_xll.qlRateHelperRate(X43,Trigger),"")</f>
        <v/>
      </c>
      <c r="AA43" s="95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206" t="e">
        <v>#N/A</v>
      </c>
    </row>
    <row r="44" spans="1:30" ht="11.25" customHeight="1" x14ac:dyDescent="0.2">
      <c r="A44" s="58" t="s">
        <v>26</v>
      </c>
      <c r="B44" s="59" t="s">
        <v>57</v>
      </c>
      <c r="C44" s="60" t="s">
        <v>6</v>
      </c>
      <c r="D44" s="60" t="s">
        <v>140</v>
      </c>
      <c r="E44" s="60" t="s">
        <v>7</v>
      </c>
      <c r="F44" s="60" t="s">
        <v>141</v>
      </c>
      <c r="G44" s="60" t="str">
        <f t="shared" si="22"/>
        <v>GbpLibor6M</v>
      </c>
      <c r="H44" s="58" t="str">
        <f t="shared" si="23"/>
        <v>GBPSB6L7Y_Quote</v>
      </c>
      <c r="I44" s="118">
        <v>0</v>
      </c>
      <c r="J44" s="223" t="str">
        <f>IF(P40,_xll.qlSwapRateHelper2(,H44,0,B44,Calendar,D44,E44,F44,G44,I44,C44,Discounting,PillarDate,,Permanent,Trigger,ObjectOverwrite),"--")</f>
        <v>obj_002c2#0001</v>
      </c>
      <c r="L44" s="226" t="str">
        <f t="shared" si="24"/>
        <v>Sw</v>
      </c>
      <c r="M44" s="230" t="str">
        <f t="shared" si="18"/>
        <v>GBPSB6L11Y_Quote</v>
      </c>
      <c r="N44" s="228">
        <f>IFERROR(_xll.qlQuoteValue(H48,Trigger),"--")</f>
        <v>9.0299999999999998E-3</v>
      </c>
      <c r="O44" s="228">
        <f t="shared" si="19"/>
        <v>0</v>
      </c>
      <c r="P44" s="90" t="b">
        <v>1</v>
      </c>
      <c r="Q44" s="87">
        <v>50</v>
      </c>
      <c r="R44" s="87">
        <v>1</v>
      </c>
      <c r="S44" s="87" t="str">
        <f t="shared" si="20"/>
        <v>obj_0027e#0001</v>
      </c>
      <c r="T44" s="91">
        <f>IFERROR(_xll.qlRateHelperEarliestDate(S44,Trigger),"--")</f>
        <v>42559</v>
      </c>
      <c r="U44" s="91">
        <f>IFERROR(_xll.qlRateHelperPillarDate(S44,Trigger),"--")</f>
        <v>46576</v>
      </c>
      <c r="W44" s="3" t="str">
        <f t="shared" si="25"/>
        <v/>
      </c>
      <c r="X44" s="3" t="e">
        <v>#N/A</v>
      </c>
      <c r="Y44" s="3" t="str">
        <f>IFERROR(_xll.qlRateHelperQuoteName(X44,Trigger),"")</f>
        <v/>
      </c>
      <c r="Z44" s="67" t="str">
        <f>IFERROR(_xll.qlRateHelperRate(X44,Trigger),"")</f>
        <v/>
      </c>
      <c r="AA44" s="95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206" t="e">
        <v>#N/A</v>
      </c>
    </row>
    <row r="45" spans="1:30" ht="11.25" customHeight="1" x14ac:dyDescent="0.2">
      <c r="A45" s="58" t="s">
        <v>26</v>
      </c>
      <c r="B45" s="59" t="s">
        <v>58</v>
      </c>
      <c r="C45" s="60" t="s">
        <v>6</v>
      </c>
      <c r="D45" s="60" t="s">
        <v>140</v>
      </c>
      <c r="E45" s="60" t="s">
        <v>7</v>
      </c>
      <c r="F45" s="60" t="s">
        <v>141</v>
      </c>
      <c r="G45" s="60" t="str">
        <f t="shared" si="22"/>
        <v>GbpLibor6M</v>
      </c>
      <c r="H45" s="58" t="str">
        <f t="shared" si="23"/>
        <v>GBPSB6L8Y_Quote</v>
      </c>
      <c r="I45" s="118">
        <v>0</v>
      </c>
      <c r="J45" s="223" t="str">
        <f>IF(P41,_xll.qlSwapRateHelper2(,H45,0,B45,Calendar,D45,E45,F45,G45,I45,C45,Discounting,PillarDate,,Permanent,Trigger,ObjectOverwrite),"--")</f>
        <v>obj_002c1#0001</v>
      </c>
      <c r="L45" s="226" t="str">
        <f t="shared" si="24"/>
        <v>Sw</v>
      </c>
      <c r="M45" s="230" t="str">
        <f t="shared" si="18"/>
        <v>GBPSB6L12Y_Quote</v>
      </c>
      <c r="N45" s="228">
        <f>IFERROR(_xll.qlQuoteValue(H49,Trigger),"--")</f>
        <v>9.470000000000001E-3</v>
      </c>
      <c r="O45" s="228">
        <f t="shared" si="19"/>
        <v>0</v>
      </c>
      <c r="P45" s="90" t="b">
        <v>1</v>
      </c>
      <c r="Q45" s="87">
        <v>50</v>
      </c>
      <c r="R45" s="87">
        <v>1</v>
      </c>
      <c r="S45" s="87" t="str">
        <f t="shared" si="20"/>
        <v>obj_00270#0001</v>
      </c>
      <c r="T45" s="91">
        <f>IFERROR(_xll.qlRateHelperEarliestDate(S45,Trigger),"--")</f>
        <v>42559</v>
      </c>
      <c r="U45" s="91">
        <f>IFERROR(_xll.qlRateHelperPillarDate(S45,Trigger),"--")</f>
        <v>46944</v>
      </c>
      <c r="W45" s="3" t="str">
        <f t="shared" si="25"/>
        <v/>
      </c>
      <c r="X45" s="3" t="e">
        <v>#N/A</v>
      </c>
      <c r="Y45" s="3" t="str">
        <f>IFERROR(_xll.qlRateHelperQuoteName(X45,Trigger),"")</f>
        <v/>
      </c>
      <c r="Z45" s="67" t="str">
        <f>IFERROR(_xll.qlRateHelperRate(X45,Trigger),"")</f>
        <v/>
      </c>
      <c r="AA45" s="95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206" t="e">
        <v>#N/A</v>
      </c>
    </row>
    <row r="46" spans="1:30" ht="11.25" customHeight="1" x14ac:dyDescent="0.2">
      <c r="A46" s="58" t="s">
        <v>26</v>
      </c>
      <c r="B46" s="59" t="s">
        <v>59</v>
      </c>
      <c r="C46" s="60" t="s">
        <v>6</v>
      </c>
      <c r="D46" s="60" t="s">
        <v>140</v>
      </c>
      <c r="E46" s="60" t="s">
        <v>7</v>
      </c>
      <c r="F46" s="60" t="s">
        <v>141</v>
      </c>
      <c r="G46" s="60" t="str">
        <f t="shared" si="22"/>
        <v>GbpLibor6M</v>
      </c>
      <c r="H46" s="58" t="str">
        <f t="shared" si="23"/>
        <v>GBPSB6L9Y_Quote</v>
      </c>
      <c r="I46" s="118">
        <v>0</v>
      </c>
      <c r="J46" s="223" t="str">
        <f>IF(P42,_xll.qlSwapRateHelper2(,H46,0,B46,Calendar,D46,E46,F46,G46,I46,C46,Discounting,PillarDate,,Permanent,Trigger,ObjectOverwrite),"--")</f>
        <v>obj_00273#0001</v>
      </c>
      <c r="L46" s="226" t="str">
        <f t="shared" si="24"/>
        <v>Sw</v>
      </c>
      <c r="M46" s="230" t="str">
        <f t="shared" si="18"/>
        <v>GBPSB6L13Y_Quote</v>
      </c>
      <c r="N46" s="228" t="str">
        <f>IFERROR(_xll.qlQuoteValue(H50,Trigger),"--")</f>
        <v>--</v>
      </c>
      <c r="O46" s="228">
        <f t="shared" si="19"/>
        <v>0</v>
      </c>
      <c r="P46" s="90" t="b">
        <v>0</v>
      </c>
      <c r="Q46" s="87">
        <v>50</v>
      </c>
      <c r="R46" s="87">
        <v>1</v>
      </c>
      <c r="S46" s="87" t="str">
        <f t="shared" si="20"/>
        <v>--</v>
      </c>
      <c r="T46" s="91" t="str">
        <f>IFERROR(_xll.qlRateHelperEarliestDate(S46,Trigger),"--")</f>
        <v>--</v>
      </c>
      <c r="U46" s="91" t="str">
        <f>IFERROR(_xll.qlRateHelperPillarDate(S46,Trigger),"--")</f>
        <v>--</v>
      </c>
      <c r="W46" s="3" t="str">
        <f t="shared" si="25"/>
        <v/>
      </c>
      <c r="X46" s="3" t="e">
        <v>#N/A</v>
      </c>
      <c r="Y46" s="3" t="str">
        <f>IFERROR(_xll.qlRateHelperQuoteName(X46,Trigger),"")</f>
        <v/>
      </c>
      <c r="Z46" s="67" t="str">
        <f>IFERROR(_xll.qlRateHelperRate(X46,Trigger),"")</f>
        <v/>
      </c>
      <c r="AA46" s="95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206" t="e">
        <v>#N/A</v>
      </c>
    </row>
    <row r="47" spans="1:30" ht="11.25" customHeight="1" x14ac:dyDescent="0.2">
      <c r="A47" s="58" t="s">
        <v>26</v>
      </c>
      <c r="B47" s="59" t="s">
        <v>60</v>
      </c>
      <c r="C47" s="60" t="s">
        <v>6</v>
      </c>
      <c r="D47" s="60" t="s">
        <v>140</v>
      </c>
      <c r="E47" s="60" t="s">
        <v>7</v>
      </c>
      <c r="F47" s="60" t="s">
        <v>141</v>
      </c>
      <c r="G47" s="60" t="str">
        <f t="shared" si="22"/>
        <v>GbpLibor6M</v>
      </c>
      <c r="H47" s="58" t="str">
        <f t="shared" si="23"/>
        <v>GBPSB6L10Y_Quote</v>
      </c>
      <c r="I47" s="118">
        <v>0</v>
      </c>
      <c r="J47" s="223" t="str">
        <f>IF(P43,_xll.qlSwapRateHelper2(,H47,0,B47,Calendar,D47,E47,F47,G47,I47,C47,Discounting,PillarDate,,Permanent,Trigger,ObjectOverwrite),"--")</f>
        <v>obj_00277#0001</v>
      </c>
      <c r="L47" s="226" t="str">
        <f t="shared" si="24"/>
        <v>Sw</v>
      </c>
      <c r="M47" s="230" t="str">
        <f t="shared" si="18"/>
        <v>GBPSB6L14Y_Quote</v>
      </c>
      <c r="N47" s="228" t="str">
        <f>IFERROR(_xll.qlQuoteValue(H51,Trigger),"--")</f>
        <v>--</v>
      </c>
      <c r="O47" s="228">
        <f t="shared" si="19"/>
        <v>0</v>
      </c>
      <c r="P47" s="90" t="b">
        <v>0</v>
      </c>
      <c r="Q47" s="87">
        <v>50</v>
      </c>
      <c r="R47" s="87">
        <v>1</v>
      </c>
      <c r="S47" s="87" t="str">
        <f t="shared" si="20"/>
        <v>--</v>
      </c>
      <c r="T47" s="91" t="str">
        <f>IFERROR(_xll.qlRateHelperEarliestDate(S47,Trigger),"--")</f>
        <v>--</v>
      </c>
      <c r="U47" s="91" t="str">
        <f>IFERROR(_xll.qlRateHelperPillarDate(S47,Trigger),"--")</f>
        <v>--</v>
      </c>
      <c r="W47" s="3" t="str">
        <f t="shared" si="25"/>
        <v/>
      </c>
      <c r="X47" s="3" t="e">
        <v>#N/A</v>
      </c>
      <c r="Y47" s="3" t="str">
        <f>IFERROR(_xll.qlRateHelperQuoteName(X47,Trigger),"")</f>
        <v/>
      </c>
      <c r="Z47" s="67" t="str">
        <f>IFERROR(_xll.qlRateHelperRate(X47,Trigger),"")</f>
        <v/>
      </c>
      <c r="AA47" s="95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206" t="e">
        <v>#N/A</v>
      </c>
    </row>
    <row r="48" spans="1:30" ht="11.25" customHeight="1" x14ac:dyDescent="0.2">
      <c r="A48" s="58" t="s">
        <v>26</v>
      </c>
      <c r="B48" s="59" t="s">
        <v>97</v>
      </c>
      <c r="C48" s="60" t="s">
        <v>6</v>
      </c>
      <c r="D48" s="60" t="s">
        <v>140</v>
      </c>
      <c r="E48" s="60" t="s">
        <v>7</v>
      </c>
      <c r="F48" s="60" t="s">
        <v>141</v>
      </c>
      <c r="G48" s="60" t="str">
        <f t="shared" si="22"/>
        <v>GbpLibor6M</v>
      </c>
      <c r="H48" s="58" t="str">
        <f t="shared" si="23"/>
        <v>GBPSB6L11Y_Quote</v>
      </c>
      <c r="I48" s="118">
        <v>0</v>
      </c>
      <c r="J48" s="223" t="str">
        <f>IF(P44,_xll.qlSwapRateHelper2(,H48,0,B48,Calendar,D48,E48,F48,G48,I48,C48,Discounting,PillarDate,,Permanent,Trigger,ObjectOverwrite),"--")</f>
        <v>obj_0027e#0001</v>
      </c>
      <c r="L48" s="226" t="str">
        <f t="shared" si="24"/>
        <v>Sw</v>
      </c>
      <c r="M48" s="230" t="str">
        <f t="shared" si="18"/>
        <v>GBPSB6L15Y_Quote</v>
      </c>
      <c r="N48" s="228">
        <f>IFERROR(_xll.qlQuoteValue(H52,Trigger),"--")</f>
        <v>1.0360000000000001E-2</v>
      </c>
      <c r="O48" s="228">
        <f t="shared" si="19"/>
        <v>0</v>
      </c>
      <c r="P48" s="90" t="b">
        <v>1</v>
      </c>
      <c r="Q48" s="87">
        <v>50</v>
      </c>
      <c r="R48" s="87">
        <v>1</v>
      </c>
      <c r="S48" s="87" t="str">
        <f t="shared" si="20"/>
        <v>obj_00293#0001</v>
      </c>
      <c r="T48" s="91">
        <f>IFERROR(_xll.qlRateHelperEarliestDate(S48,Trigger),"--")</f>
        <v>42559</v>
      </c>
      <c r="U48" s="91">
        <f>IFERROR(_xll.qlRateHelperPillarDate(S48,Trigger),"--")</f>
        <v>48037</v>
      </c>
      <c r="W48" s="3" t="str">
        <f t="shared" si="25"/>
        <v/>
      </c>
      <c r="X48" s="3" t="e">
        <v>#N/A</v>
      </c>
      <c r="Y48" s="3" t="str">
        <f>IFERROR(_xll.qlRateHelperQuoteName(X48,Trigger),"")</f>
        <v/>
      </c>
      <c r="Z48" s="67" t="str">
        <f>IFERROR(_xll.qlRateHelperRate(X48,Trigger),"")</f>
        <v/>
      </c>
      <c r="AA48" s="95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206" t="e">
        <v>#N/A</v>
      </c>
    </row>
    <row r="49" spans="1:30" ht="11.25" customHeight="1" x14ac:dyDescent="0.2">
      <c r="A49" s="58" t="s">
        <v>26</v>
      </c>
      <c r="B49" s="59" t="s">
        <v>61</v>
      </c>
      <c r="C49" s="60" t="s">
        <v>6</v>
      </c>
      <c r="D49" s="60" t="s">
        <v>140</v>
      </c>
      <c r="E49" s="60" t="s">
        <v>7</v>
      </c>
      <c r="F49" s="60" t="s">
        <v>141</v>
      </c>
      <c r="G49" s="60" t="str">
        <f t="shared" si="22"/>
        <v>GbpLibor6M</v>
      </c>
      <c r="H49" s="58" t="str">
        <f t="shared" si="23"/>
        <v>GBPSB6L12Y_Quote</v>
      </c>
      <c r="I49" s="118">
        <v>0</v>
      </c>
      <c r="J49" s="223" t="str">
        <f>IF(P45,_xll.qlSwapRateHelper2(,H49,0,B49,Calendar,D49,E49,F49,G49,I49,C49,Discounting,PillarDate,,Permanent,Trigger,ObjectOverwrite),"--")</f>
        <v>obj_00270#0001</v>
      </c>
      <c r="L49" s="226" t="str">
        <f t="shared" si="24"/>
        <v>Sw</v>
      </c>
      <c r="M49" s="230" t="str">
        <f t="shared" si="18"/>
        <v>GBPSB6L16Y_Quote</v>
      </c>
      <c r="N49" s="228" t="str">
        <f>IFERROR(_xll.qlQuoteValue(H53,Trigger),"--")</f>
        <v>--</v>
      </c>
      <c r="O49" s="228">
        <f t="shared" si="19"/>
        <v>0</v>
      </c>
      <c r="P49" s="90" t="b">
        <v>0</v>
      </c>
      <c r="Q49" s="87">
        <v>50</v>
      </c>
      <c r="R49" s="87">
        <v>1</v>
      </c>
      <c r="S49" s="87" t="str">
        <f t="shared" si="20"/>
        <v>--</v>
      </c>
      <c r="T49" s="91" t="str">
        <f>IFERROR(_xll.qlRateHelperEarliestDate(S49,Trigger),"--")</f>
        <v>--</v>
      </c>
      <c r="U49" s="91" t="str">
        <f>IFERROR(_xll.qlRateHelperPillarDate(S49,Trigger),"--")</f>
        <v>--</v>
      </c>
      <c r="W49" s="3" t="str">
        <f t="shared" si="25"/>
        <v/>
      </c>
      <c r="X49" s="3" t="e">
        <v>#N/A</v>
      </c>
      <c r="Y49" s="3" t="str">
        <f>IFERROR(_xll.qlRateHelperQuoteName(X49,Trigger),"")</f>
        <v/>
      </c>
      <c r="Z49" s="67" t="str">
        <f>IFERROR(_xll.qlRateHelperRate(X49,Trigger),"")</f>
        <v/>
      </c>
      <c r="AA49" s="95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206" t="e">
        <v>#N/A</v>
      </c>
    </row>
    <row r="50" spans="1:30" ht="11.25" customHeight="1" x14ac:dyDescent="0.2">
      <c r="A50" s="58" t="s">
        <v>26</v>
      </c>
      <c r="B50" s="59" t="s">
        <v>98</v>
      </c>
      <c r="C50" s="60" t="s">
        <v>6</v>
      </c>
      <c r="D50" s="60" t="s">
        <v>140</v>
      </c>
      <c r="E50" s="60" t="s">
        <v>7</v>
      </c>
      <c r="F50" s="60" t="s">
        <v>141</v>
      </c>
      <c r="G50" s="60" t="str">
        <f t="shared" si="22"/>
        <v>GbpLibor6M</v>
      </c>
      <c r="H50" s="58" t="str">
        <f t="shared" si="23"/>
        <v>GBPSB6L13Y_Quote</v>
      </c>
      <c r="I50" s="118">
        <v>0</v>
      </c>
      <c r="J50" s="223" t="str">
        <f>IF(P46,_xll.qlSwapRateHelper2(,H50,0,B50,Calendar,D50,E50,F50,G50,I50,C50,Discounting,PillarDate,,Permanent,Trigger,ObjectOverwrite),"--")</f>
        <v>--</v>
      </c>
      <c r="L50" s="226" t="str">
        <f t="shared" si="24"/>
        <v>Sw</v>
      </c>
      <c r="M50" s="230" t="str">
        <f t="shared" si="18"/>
        <v>GBPSB6L17Y_Quote</v>
      </c>
      <c r="N50" s="228" t="str">
        <f>IFERROR(_xll.qlQuoteValue(H54,Trigger),"--")</f>
        <v>--</v>
      </c>
      <c r="O50" s="228">
        <f t="shared" si="19"/>
        <v>0</v>
      </c>
      <c r="P50" s="90" t="b">
        <v>0</v>
      </c>
      <c r="Q50" s="87">
        <v>50</v>
      </c>
      <c r="R50" s="87">
        <v>1</v>
      </c>
      <c r="S50" s="87" t="str">
        <f t="shared" si="20"/>
        <v>--</v>
      </c>
      <c r="T50" s="91" t="str">
        <f>IFERROR(_xll.qlRateHelperEarliestDate(S50,Trigger),"--")</f>
        <v>--</v>
      </c>
      <c r="U50" s="91" t="str">
        <f>IFERROR(_xll.qlRateHelperPillarDate(S50,Trigger),"--")</f>
        <v>--</v>
      </c>
      <c r="W50" s="3" t="str">
        <f t="shared" si="25"/>
        <v/>
      </c>
      <c r="X50" s="3" t="e">
        <v>#N/A</v>
      </c>
      <c r="Y50" s="3" t="str">
        <f>IFERROR(_xll.qlRateHelperQuoteName(X50,Trigger),"")</f>
        <v/>
      </c>
      <c r="Z50" s="67" t="str">
        <f>IFERROR(_xll.qlRateHelperRate(X50,Trigger),"")</f>
        <v/>
      </c>
      <c r="AA50" s="95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206" t="e">
        <v>#N/A</v>
      </c>
    </row>
    <row r="51" spans="1:30" ht="11.25" customHeight="1" x14ac:dyDescent="0.2">
      <c r="A51" s="58" t="s">
        <v>26</v>
      </c>
      <c r="B51" s="59" t="s">
        <v>99</v>
      </c>
      <c r="C51" s="60" t="s">
        <v>6</v>
      </c>
      <c r="D51" s="60" t="s">
        <v>140</v>
      </c>
      <c r="E51" s="60" t="s">
        <v>7</v>
      </c>
      <c r="F51" s="60" t="s">
        <v>141</v>
      </c>
      <c r="G51" s="60" t="str">
        <f t="shared" si="22"/>
        <v>GbpLibor6M</v>
      </c>
      <c r="H51" s="58" t="str">
        <f t="shared" si="23"/>
        <v>GBPSB6L14Y_Quote</v>
      </c>
      <c r="I51" s="118">
        <v>0</v>
      </c>
      <c r="J51" s="223" t="str">
        <f>IF(P47,_xll.qlSwapRateHelper2(,H51,0,B51,Calendar,D51,E51,F51,G51,I51,C51,Discounting,PillarDate,,Permanent,Trigger,ObjectOverwrite),"--")</f>
        <v>--</v>
      </c>
      <c r="L51" s="226" t="str">
        <f t="shared" si="24"/>
        <v>Sw</v>
      </c>
      <c r="M51" s="230" t="str">
        <f t="shared" si="18"/>
        <v>GBPSB6L18Y_Quote</v>
      </c>
      <c r="N51" s="228" t="str">
        <f>IFERROR(_xll.qlQuoteValue(H55,Trigger),"--")</f>
        <v>--</v>
      </c>
      <c r="O51" s="228">
        <f t="shared" si="19"/>
        <v>0</v>
      </c>
      <c r="P51" s="90" t="b">
        <v>0</v>
      </c>
      <c r="Q51" s="87">
        <v>50</v>
      </c>
      <c r="R51" s="87">
        <v>1</v>
      </c>
      <c r="S51" s="87" t="str">
        <f t="shared" si="20"/>
        <v>--</v>
      </c>
      <c r="T51" s="91" t="str">
        <f>IFERROR(_xll.qlRateHelperEarliestDate(S51,Trigger),"--")</f>
        <v>--</v>
      </c>
      <c r="U51" s="91" t="str">
        <f>IFERROR(_xll.qlRateHelperPillarDate(S51,Trigger),"--")</f>
        <v>--</v>
      </c>
      <c r="W51" s="3" t="str">
        <f t="shared" si="25"/>
        <v/>
      </c>
      <c r="X51" s="3" t="e">
        <v>#N/A</v>
      </c>
      <c r="Y51" s="3" t="str">
        <f>IFERROR(_xll.qlRateHelperQuoteName(X51,Trigger),"")</f>
        <v/>
      </c>
      <c r="Z51" s="67" t="str">
        <f>IFERROR(_xll.qlRateHelperRate(X51,Trigger),"")</f>
        <v/>
      </c>
      <c r="AA51" s="95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206" t="e">
        <v>#N/A</v>
      </c>
    </row>
    <row r="52" spans="1:30" ht="11.25" customHeight="1" x14ac:dyDescent="0.2">
      <c r="A52" s="58" t="s">
        <v>26</v>
      </c>
      <c r="B52" s="59" t="s">
        <v>62</v>
      </c>
      <c r="C52" s="60" t="s">
        <v>6</v>
      </c>
      <c r="D52" s="60" t="s">
        <v>140</v>
      </c>
      <c r="E52" s="60" t="s">
        <v>7</v>
      </c>
      <c r="F52" s="60" t="s">
        <v>141</v>
      </c>
      <c r="G52" s="60" t="str">
        <f t="shared" si="22"/>
        <v>GbpLibor6M</v>
      </c>
      <c r="H52" s="58" t="str">
        <f t="shared" si="23"/>
        <v>GBPSB6L15Y_Quote</v>
      </c>
      <c r="I52" s="118">
        <v>0</v>
      </c>
      <c r="J52" s="223" t="str">
        <f>IF(P48,_xll.qlSwapRateHelper2(,H52,0,B52,Calendar,D52,E52,F52,G52,I52,C52,Discounting,PillarDate,,Permanent,Trigger,ObjectOverwrite),"--")</f>
        <v>obj_00293#0001</v>
      </c>
      <c r="L52" s="226" t="str">
        <f t="shared" si="24"/>
        <v>Sw</v>
      </c>
      <c r="M52" s="230" t="str">
        <f t="shared" si="18"/>
        <v>GBPSB6L19Y_Quote</v>
      </c>
      <c r="N52" s="228" t="str">
        <f>IFERROR(_xll.qlQuoteValue(H56,Trigger),"--")</f>
        <v>--</v>
      </c>
      <c r="O52" s="228">
        <f t="shared" si="19"/>
        <v>0</v>
      </c>
      <c r="P52" s="90" t="b">
        <v>0</v>
      </c>
      <c r="Q52" s="87">
        <v>50</v>
      </c>
      <c r="R52" s="87">
        <v>1</v>
      </c>
      <c r="S52" s="87" t="str">
        <f t="shared" si="20"/>
        <v>--</v>
      </c>
      <c r="T52" s="91" t="str">
        <f>IFERROR(_xll.qlRateHelperEarliestDate(S52,Trigger),"--")</f>
        <v>--</v>
      </c>
      <c r="U52" s="91" t="str">
        <f>IFERROR(_xll.qlRateHelperPillarDate(S52,Trigger),"--")</f>
        <v>--</v>
      </c>
      <c r="W52" s="3" t="str">
        <f t="shared" si="25"/>
        <v/>
      </c>
      <c r="X52" s="3" t="e">
        <v>#N/A</v>
      </c>
      <c r="Y52" s="3" t="str">
        <f>IFERROR(_xll.qlRateHelperQuoteName(X52,Trigger),"")</f>
        <v/>
      </c>
      <c r="Z52" s="67" t="str">
        <f>IFERROR(_xll.qlRateHelperRate(X52,Trigger),"")</f>
        <v/>
      </c>
      <c r="AA52" s="95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206" t="e">
        <v>#N/A</v>
      </c>
    </row>
    <row r="53" spans="1:30" ht="11.25" customHeight="1" x14ac:dyDescent="0.2">
      <c r="A53" s="58" t="s">
        <v>26</v>
      </c>
      <c r="B53" s="59" t="s">
        <v>100</v>
      </c>
      <c r="C53" s="60" t="s">
        <v>6</v>
      </c>
      <c r="D53" s="60" t="s">
        <v>140</v>
      </c>
      <c r="E53" s="60" t="s">
        <v>7</v>
      </c>
      <c r="F53" s="60" t="s">
        <v>141</v>
      </c>
      <c r="G53" s="60" t="str">
        <f t="shared" si="22"/>
        <v>GbpLibor6M</v>
      </c>
      <c r="H53" s="58" t="str">
        <f t="shared" si="23"/>
        <v>GBPSB6L16Y_Quote</v>
      </c>
      <c r="I53" s="118">
        <v>0</v>
      </c>
      <c r="J53" s="223" t="str">
        <f>IF(P49,_xll.qlSwapRateHelper2(,H53,0,B53,Calendar,D53,E53,F53,G53,I53,C53,Discounting,PillarDate,,Permanent,Trigger,ObjectOverwrite),"--")</f>
        <v>--</v>
      </c>
      <c r="L53" s="226" t="str">
        <f t="shared" si="24"/>
        <v>Sw</v>
      </c>
      <c r="M53" s="230" t="str">
        <f t="shared" si="18"/>
        <v>GBPSB6L20Y_Quote</v>
      </c>
      <c r="N53" s="228">
        <f>IFERROR(_xll.qlQuoteValue(H57,Trigger),"--")</f>
        <v>1.09E-2</v>
      </c>
      <c r="O53" s="228">
        <f t="shared" si="19"/>
        <v>0</v>
      </c>
      <c r="P53" s="90" t="b">
        <v>1</v>
      </c>
      <c r="Q53" s="87">
        <v>50</v>
      </c>
      <c r="R53" s="87">
        <v>1</v>
      </c>
      <c r="S53" s="87" t="str">
        <f t="shared" si="20"/>
        <v>obj_0027d#0001</v>
      </c>
      <c r="T53" s="91">
        <f>IFERROR(_xll.qlRateHelperEarliestDate(S53,Trigger),"--")</f>
        <v>42559</v>
      </c>
      <c r="U53" s="91">
        <f>IFERROR(_xll.qlRateHelperPillarDate(S53,Trigger),"--")</f>
        <v>49864</v>
      </c>
      <c r="W53" s="3" t="str">
        <f t="shared" si="25"/>
        <v/>
      </c>
      <c r="X53" s="3" t="e">
        <v>#N/A</v>
      </c>
      <c r="Y53" s="3" t="str">
        <f>IFERROR(_xll.qlRateHelperQuoteName(X53,Trigger),"")</f>
        <v/>
      </c>
      <c r="Z53" s="67" t="str">
        <f>IFERROR(_xll.qlRateHelperRate(X53,Trigger),"")</f>
        <v/>
      </c>
      <c r="AA53" s="95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206" t="e">
        <v>#N/A</v>
      </c>
    </row>
    <row r="54" spans="1:30" ht="11.25" customHeight="1" x14ac:dyDescent="0.2">
      <c r="A54" s="58" t="s">
        <v>26</v>
      </c>
      <c r="B54" s="59" t="s">
        <v>101</v>
      </c>
      <c r="C54" s="60" t="s">
        <v>6</v>
      </c>
      <c r="D54" s="60" t="s">
        <v>140</v>
      </c>
      <c r="E54" s="60" t="s">
        <v>7</v>
      </c>
      <c r="F54" s="60" t="s">
        <v>141</v>
      </c>
      <c r="G54" s="60" t="str">
        <f t="shared" si="22"/>
        <v>GbpLibor6M</v>
      </c>
      <c r="H54" s="58" t="str">
        <f t="shared" si="23"/>
        <v>GBPSB6L17Y_Quote</v>
      </c>
      <c r="I54" s="118">
        <v>0</v>
      </c>
      <c r="J54" s="223" t="str">
        <f>IF(P50,_xll.qlSwapRateHelper2(,H54,0,B54,Calendar,D54,E54,F54,G54,I54,C54,Discounting,PillarDate,,Permanent,Trigger,ObjectOverwrite),"--")</f>
        <v>--</v>
      </c>
      <c r="L54" s="226" t="str">
        <f t="shared" si="24"/>
        <v>Sw</v>
      </c>
      <c r="M54" s="230" t="str">
        <f t="shared" si="18"/>
        <v>GBPSB6L21Y_Quote</v>
      </c>
      <c r="N54" s="228" t="str">
        <f>IFERROR(_xll.qlQuoteValue(H58,Trigger),"--")</f>
        <v>--</v>
      </c>
      <c r="O54" s="228">
        <f t="shared" si="19"/>
        <v>0</v>
      </c>
      <c r="P54" s="90" t="b">
        <v>0</v>
      </c>
      <c r="Q54" s="87">
        <v>50</v>
      </c>
      <c r="R54" s="87">
        <v>1</v>
      </c>
      <c r="S54" s="87" t="str">
        <f t="shared" si="20"/>
        <v>--</v>
      </c>
      <c r="T54" s="91" t="str">
        <f>IFERROR(_xll.qlRateHelperEarliestDate(S54,Trigger),"--")</f>
        <v>--</v>
      </c>
      <c r="U54" s="91" t="str">
        <f>IFERROR(_xll.qlRateHelperPillarDate(S54,Trigger),"--")</f>
        <v>--</v>
      </c>
      <c r="W54" s="3" t="str">
        <f t="shared" si="25"/>
        <v/>
      </c>
      <c r="X54" s="3" t="e">
        <v>#N/A</v>
      </c>
      <c r="Y54" s="3" t="str">
        <f>IFERROR(_xll.qlRateHelperQuoteName(X54,Trigger),"")</f>
        <v/>
      </c>
      <c r="Z54" s="67" t="str">
        <f>IFERROR(_xll.qlRateHelperRate(X54,Trigger),"")</f>
        <v/>
      </c>
      <c r="AA54" s="95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206" t="e">
        <v>#N/A</v>
      </c>
    </row>
    <row r="55" spans="1:30" ht="11.25" customHeight="1" x14ac:dyDescent="0.2">
      <c r="A55" s="58" t="s">
        <v>26</v>
      </c>
      <c r="B55" s="59" t="s">
        <v>102</v>
      </c>
      <c r="C55" s="60" t="s">
        <v>6</v>
      </c>
      <c r="D55" s="60" t="s">
        <v>140</v>
      </c>
      <c r="E55" s="60" t="s">
        <v>7</v>
      </c>
      <c r="F55" s="60" t="s">
        <v>141</v>
      </c>
      <c r="G55" s="60" t="str">
        <f t="shared" si="22"/>
        <v>GbpLibor6M</v>
      </c>
      <c r="H55" s="58" t="str">
        <f t="shared" si="23"/>
        <v>GBPSB6L18Y_Quote</v>
      </c>
      <c r="I55" s="118">
        <v>0</v>
      </c>
      <c r="J55" s="223" t="str">
        <f>IF(P51,_xll.qlSwapRateHelper2(,H55,0,B55,Calendar,D55,E55,F55,G55,I55,C55,Discounting,PillarDate,,Permanent,Trigger,ObjectOverwrite),"--")</f>
        <v>--</v>
      </c>
      <c r="L55" s="226" t="str">
        <f t="shared" si="24"/>
        <v>Sw</v>
      </c>
      <c r="M55" s="230" t="str">
        <f t="shared" si="18"/>
        <v>GBPSB6L22Y_Quote</v>
      </c>
      <c r="N55" s="228" t="str">
        <f>IFERROR(_xll.qlQuoteValue(H59,Trigger),"--")</f>
        <v>--</v>
      </c>
      <c r="O55" s="228">
        <f t="shared" si="19"/>
        <v>0</v>
      </c>
      <c r="P55" s="90" t="b">
        <v>0</v>
      </c>
      <c r="Q55" s="87">
        <v>50</v>
      </c>
      <c r="R55" s="87">
        <v>1</v>
      </c>
      <c r="S55" s="87" t="str">
        <f t="shared" si="20"/>
        <v>--</v>
      </c>
      <c r="T55" s="91" t="str">
        <f>IFERROR(_xll.qlRateHelperEarliestDate(S55,Trigger),"--")</f>
        <v>--</v>
      </c>
      <c r="U55" s="91" t="str">
        <f>IFERROR(_xll.qlRateHelperPillarDate(S55,Trigger),"--")</f>
        <v>--</v>
      </c>
      <c r="W55" s="3" t="str">
        <f t="shared" si="25"/>
        <v/>
      </c>
      <c r="X55" s="3" t="e">
        <v>#N/A</v>
      </c>
      <c r="Y55" s="3" t="str">
        <f>IFERROR(_xll.qlRateHelperQuoteName(X55,Trigger),"")</f>
        <v/>
      </c>
      <c r="Z55" s="67" t="str">
        <f>IFERROR(_xll.qlRateHelperRate(X55,Trigger),"")</f>
        <v/>
      </c>
      <c r="AA55" s="95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206" t="e">
        <v>#N/A</v>
      </c>
    </row>
    <row r="56" spans="1:30" ht="11.25" customHeight="1" x14ac:dyDescent="0.2">
      <c r="A56" s="58" t="s">
        <v>26</v>
      </c>
      <c r="B56" s="59" t="s">
        <v>103</v>
      </c>
      <c r="C56" s="60" t="s">
        <v>6</v>
      </c>
      <c r="D56" s="60" t="s">
        <v>140</v>
      </c>
      <c r="E56" s="60" t="s">
        <v>7</v>
      </c>
      <c r="F56" s="60" t="s">
        <v>141</v>
      </c>
      <c r="G56" s="60" t="str">
        <f t="shared" si="22"/>
        <v>GbpLibor6M</v>
      </c>
      <c r="H56" s="58" t="str">
        <f t="shared" si="23"/>
        <v>GBPSB6L19Y_Quote</v>
      </c>
      <c r="I56" s="118">
        <v>0</v>
      </c>
      <c r="J56" s="223" t="str">
        <f>IF(P52,_xll.qlSwapRateHelper2(,H56,0,B56,Calendar,D56,E56,F56,G56,I56,C56,Discounting,PillarDate,,Permanent,Trigger,ObjectOverwrite),"--")</f>
        <v>--</v>
      </c>
      <c r="L56" s="226" t="str">
        <f t="shared" si="24"/>
        <v>Sw</v>
      </c>
      <c r="M56" s="230" t="str">
        <f t="shared" si="18"/>
        <v>GBPSB6L23Y_Quote</v>
      </c>
      <c r="N56" s="228" t="str">
        <f>IFERROR(_xll.qlQuoteValue(H60,Trigger),"--")</f>
        <v>--</v>
      </c>
      <c r="O56" s="228">
        <f t="shared" si="19"/>
        <v>0</v>
      </c>
      <c r="P56" s="90" t="b">
        <v>0</v>
      </c>
      <c r="Q56" s="87">
        <v>50</v>
      </c>
      <c r="R56" s="87">
        <v>1</v>
      </c>
      <c r="S56" s="87" t="str">
        <f t="shared" si="20"/>
        <v>--</v>
      </c>
      <c r="T56" s="91" t="str">
        <f>IFERROR(_xll.qlRateHelperEarliestDate(S56,Trigger),"--")</f>
        <v>--</v>
      </c>
      <c r="U56" s="91" t="str">
        <f>IFERROR(_xll.qlRateHelperPillarDate(S56,Trigger),"--")</f>
        <v>--</v>
      </c>
      <c r="W56" s="3" t="str">
        <f t="shared" si="25"/>
        <v/>
      </c>
      <c r="X56" s="3" t="e">
        <v>#N/A</v>
      </c>
      <c r="Y56" s="3" t="str">
        <f>IFERROR(_xll.qlRateHelperQuoteName(X56,Trigger),"")</f>
        <v/>
      </c>
      <c r="Z56" s="67" t="str">
        <f>IFERROR(_xll.qlRateHelperRate(X56,Trigger),"")</f>
        <v/>
      </c>
      <c r="AA56" s="95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206" t="e">
        <v>#N/A</v>
      </c>
    </row>
    <row r="57" spans="1:30" ht="11.25" customHeight="1" x14ac:dyDescent="0.2">
      <c r="A57" s="58" t="s">
        <v>26</v>
      </c>
      <c r="B57" s="59" t="s">
        <v>63</v>
      </c>
      <c r="C57" s="60" t="s">
        <v>6</v>
      </c>
      <c r="D57" s="60" t="s">
        <v>140</v>
      </c>
      <c r="E57" s="60" t="s">
        <v>7</v>
      </c>
      <c r="F57" s="60" t="s">
        <v>141</v>
      </c>
      <c r="G57" s="60" t="str">
        <f t="shared" si="22"/>
        <v>GbpLibor6M</v>
      </c>
      <c r="H57" s="58" t="str">
        <f t="shared" si="23"/>
        <v>GBPSB6L20Y_Quote</v>
      </c>
      <c r="I57" s="118">
        <v>0</v>
      </c>
      <c r="J57" s="223" t="str">
        <f>IF(P53,_xll.qlSwapRateHelper2(,H57,0,B57,Calendar,D57,E57,F57,G57,I57,C57,Discounting,PillarDate,,Permanent,Trigger,ObjectOverwrite),"--")</f>
        <v>obj_0027d#0001</v>
      </c>
      <c r="L57" s="226" t="str">
        <f t="shared" si="24"/>
        <v>Sw</v>
      </c>
      <c r="M57" s="230" t="str">
        <f t="shared" si="18"/>
        <v>GBPSB6L24Y_Quote</v>
      </c>
      <c r="N57" s="228" t="str">
        <f>IFERROR(_xll.qlQuoteValue(H61,Trigger),"--")</f>
        <v>--</v>
      </c>
      <c r="O57" s="228">
        <f t="shared" si="19"/>
        <v>0</v>
      </c>
      <c r="P57" s="90" t="b">
        <v>0</v>
      </c>
      <c r="Q57" s="87">
        <v>50</v>
      </c>
      <c r="R57" s="87">
        <v>1</v>
      </c>
      <c r="S57" s="87" t="str">
        <f t="shared" si="20"/>
        <v>--</v>
      </c>
      <c r="T57" s="91" t="str">
        <f>IFERROR(_xll.qlRateHelperEarliestDate(S57,Trigger),"--")</f>
        <v>--</v>
      </c>
      <c r="U57" s="91" t="str">
        <f>IFERROR(_xll.qlRateHelperPillarDate(S57,Trigger),"--")</f>
        <v>--</v>
      </c>
      <c r="W57" s="3" t="str">
        <f t="shared" si="25"/>
        <v/>
      </c>
      <c r="X57" s="3" t="e">
        <v>#N/A</v>
      </c>
      <c r="Y57" s="3" t="str">
        <f>IFERROR(_xll.qlRateHelperQuoteName(X57,Trigger),"")</f>
        <v/>
      </c>
      <c r="Z57" s="67" t="str">
        <f>IFERROR(_xll.qlRateHelperRate(X57,Trigger),"")</f>
        <v/>
      </c>
      <c r="AA57" s="95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206" t="e">
        <v>#N/A</v>
      </c>
    </row>
    <row r="58" spans="1:30" ht="11.25" customHeight="1" x14ac:dyDescent="0.2">
      <c r="A58" s="58" t="s">
        <v>26</v>
      </c>
      <c r="B58" s="59" t="s">
        <v>104</v>
      </c>
      <c r="C58" s="60" t="s">
        <v>6</v>
      </c>
      <c r="D58" s="60" t="s">
        <v>140</v>
      </c>
      <c r="E58" s="60" t="s">
        <v>7</v>
      </c>
      <c r="F58" s="60" t="s">
        <v>141</v>
      </c>
      <c r="G58" s="60" t="str">
        <f t="shared" si="22"/>
        <v>GbpLibor6M</v>
      </c>
      <c r="H58" s="58" t="str">
        <f t="shared" si="23"/>
        <v>GBPSB6L21Y_Quote</v>
      </c>
      <c r="I58" s="118">
        <v>0</v>
      </c>
      <c r="J58" s="223" t="str">
        <f>IF(P54,_xll.qlSwapRateHelper2(,H58,0,B58,Calendar,D58,E58,F58,G58,I58,C58,Discounting,PillarDate,,Permanent,Trigger,ObjectOverwrite),"--")</f>
        <v>--</v>
      </c>
      <c r="L58" s="226" t="str">
        <f t="shared" si="24"/>
        <v>Sw</v>
      </c>
      <c r="M58" s="230" t="str">
        <f t="shared" si="18"/>
        <v>GBPSB6L25Y_Quote</v>
      </c>
      <c r="N58" s="228">
        <f>IFERROR(_xll.qlQuoteValue(H62,Trigger),"--")</f>
        <v>1.085E-2</v>
      </c>
      <c r="O58" s="228">
        <f t="shared" si="19"/>
        <v>0</v>
      </c>
      <c r="P58" s="90" t="b">
        <v>1</v>
      </c>
      <c r="Q58" s="87">
        <v>50</v>
      </c>
      <c r="R58" s="87">
        <v>1</v>
      </c>
      <c r="S58" s="87" t="str">
        <f t="shared" si="20"/>
        <v>obj_00281#0001</v>
      </c>
      <c r="T58" s="91">
        <f>IFERROR(_xll.qlRateHelperEarliestDate(S58,Trigger),"--")</f>
        <v>42559</v>
      </c>
      <c r="U58" s="91">
        <f>IFERROR(_xll.qlRateHelperPillarDate(S58,Trigger),"--")</f>
        <v>51690</v>
      </c>
      <c r="W58" s="3" t="str">
        <f t="shared" si="25"/>
        <v/>
      </c>
      <c r="X58" s="3" t="e">
        <v>#N/A</v>
      </c>
      <c r="Y58" s="3" t="str">
        <f>IFERROR(_xll.qlRateHelperQuoteName(X58,Trigger),"")</f>
        <v/>
      </c>
      <c r="Z58" s="67" t="str">
        <f>IFERROR(_xll.qlRateHelperRate(X58,Trigger),"")</f>
        <v/>
      </c>
      <c r="AA58" s="95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206" t="e">
        <v>#N/A</v>
      </c>
    </row>
    <row r="59" spans="1:30" ht="11.25" customHeight="1" x14ac:dyDescent="0.2">
      <c r="A59" s="58" t="s">
        <v>26</v>
      </c>
      <c r="B59" s="59" t="s">
        <v>105</v>
      </c>
      <c r="C59" s="60" t="s">
        <v>6</v>
      </c>
      <c r="D59" s="60" t="s">
        <v>140</v>
      </c>
      <c r="E59" s="60" t="s">
        <v>7</v>
      </c>
      <c r="F59" s="60" t="s">
        <v>141</v>
      </c>
      <c r="G59" s="60" t="str">
        <f t="shared" si="22"/>
        <v>GbpLibor6M</v>
      </c>
      <c r="H59" s="58" t="str">
        <f t="shared" si="23"/>
        <v>GBPSB6L22Y_Quote</v>
      </c>
      <c r="I59" s="118">
        <v>0</v>
      </c>
      <c r="J59" s="223" t="str">
        <f>IF(P55,_xll.qlSwapRateHelper2(,H59,0,B59,Calendar,D59,E59,F59,G59,I59,C59,Discounting,PillarDate,,Permanent,Trigger,ObjectOverwrite),"--")</f>
        <v>--</v>
      </c>
      <c r="L59" s="226" t="str">
        <f t="shared" si="24"/>
        <v>Sw</v>
      </c>
      <c r="M59" s="230" t="str">
        <f t="shared" si="18"/>
        <v>GBPSB6L26Y_Quote</v>
      </c>
      <c r="N59" s="228" t="str">
        <f>IFERROR(_xll.qlQuoteValue(H63,Trigger),"--")</f>
        <v>--</v>
      </c>
      <c r="O59" s="228">
        <f t="shared" si="19"/>
        <v>0</v>
      </c>
      <c r="P59" s="90" t="b">
        <v>0</v>
      </c>
      <c r="Q59" s="87">
        <v>50</v>
      </c>
      <c r="R59" s="87">
        <v>1</v>
      </c>
      <c r="S59" s="87" t="str">
        <f t="shared" si="20"/>
        <v>--</v>
      </c>
      <c r="T59" s="91" t="str">
        <f>IFERROR(_xll.qlRateHelperEarliestDate(S59,Trigger),"--")</f>
        <v>--</v>
      </c>
      <c r="U59" s="91" t="str">
        <f>IFERROR(_xll.qlRateHelperPillarDate(S59,Trigger),"--")</f>
        <v>--</v>
      </c>
      <c r="W59" s="3" t="str">
        <f t="shared" si="25"/>
        <v/>
      </c>
      <c r="X59" s="3" t="e">
        <v>#N/A</v>
      </c>
      <c r="Y59" s="3" t="str">
        <f>IFERROR(_xll.qlRateHelperQuoteName(X59,Trigger),"")</f>
        <v/>
      </c>
      <c r="Z59" s="67" t="str">
        <f>IFERROR(_xll.qlRateHelperRate(X59,Trigger),"")</f>
        <v/>
      </c>
      <c r="AA59" s="95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206" t="e">
        <v>#N/A</v>
      </c>
    </row>
    <row r="60" spans="1:30" ht="11.25" customHeight="1" x14ac:dyDescent="0.2">
      <c r="A60" s="58" t="s">
        <v>26</v>
      </c>
      <c r="B60" s="59" t="s">
        <v>106</v>
      </c>
      <c r="C60" s="60" t="s">
        <v>6</v>
      </c>
      <c r="D60" s="60" t="s">
        <v>140</v>
      </c>
      <c r="E60" s="60" t="s">
        <v>7</v>
      </c>
      <c r="F60" s="60" t="s">
        <v>141</v>
      </c>
      <c r="G60" s="60" t="str">
        <f t="shared" si="22"/>
        <v>GbpLibor6M</v>
      </c>
      <c r="H60" s="58" t="str">
        <f t="shared" si="23"/>
        <v>GBPSB6L23Y_Quote</v>
      </c>
      <c r="I60" s="118">
        <v>0</v>
      </c>
      <c r="J60" s="223" t="str">
        <f>IF(P56,_xll.qlSwapRateHelper2(,H60,0,B60,Calendar,D60,E60,F60,G60,I60,C60,Discounting,PillarDate,,Permanent,Trigger,ObjectOverwrite),"--")</f>
        <v>--</v>
      </c>
      <c r="L60" s="226" t="str">
        <f t="shared" si="24"/>
        <v>Sw</v>
      </c>
      <c r="M60" s="230" t="str">
        <f t="shared" si="18"/>
        <v>GBPSB6L27Y_Quote</v>
      </c>
      <c r="N60" s="228" t="str">
        <f>IFERROR(_xll.qlQuoteValue(H64,Trigger),"--")</f>
        <v>--</v>
      </c>
      <c r="O60" s="228">
        <f t="shared" si="19"/>
        <v>0</v>
      </c>
      <c r="P60" s="90" t="b">
        <v>0</v>
      </c>
      <c r="Q60" s="87">
        <v>50</v>
      </c>
      <c r="R60" s="87">
        <v>1</v>
      </c>
      <c r="S60" s="87" t="str">
        <f t="shared" si="20"/>
        <v>--</v>
      </c>
      <c r="T60" s="91" t="str">
        <f>IFERROR(_xll.qlRateHelperEarliestDate(S60,Trigger),"--")</f>
        <v>--</v>
      </c>
      <c r="U60" s="91" t="str">
        <f>IFERROR(_xll.qlRateHelperPillarDate(S60,Trigger),"--")</f>
        <v>--</v>
      </c>
      <c r="W60" s="3" t="str">
        <f t="shared" si="25"/>
        <v/>
      </c>
      <c r="X60" s="3" t="e">
        <v>#N/A</v>
      </c>
      <c r="Y60" s="3" t="str">
        <f>IFERROR(_xll.qlRateHelperQuoteName(X60,Trigger),"")</f>
        <v/>
      </c>
      <c r="Z60" s="67" t="str">
        <f>IFERROR(_xll.qlRateHelperRate(X60,Trigger),"")</f>
        <v/>
      </c>
      <c r="AA60" s="95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206" t="e">
        <v>#N/A</v>
      </c>
    </row>
    <row r="61" spans="1:30" ht="11.25" customHeight="1" x14ac:dyDescent="0.2">
      <c r="A61" s="58" t="s">
        <v>26</v>
      </c>
      <c r="B61" s="59" t="s">
        <v>107</v>
      </c>
      <c r="C61" s="60" t="s">
        <v>6</v>
      </c>
      <c r="D61" s="60" t="s">
        <v>140</v>
      </c>
      <c r="E61" s="60" t="s">
        <v>7</v>
      </c>
      <c r="F61" s="60" t="s">
        <v>141</v>
      </c>
      <c r="G61" s="60" t="str">
        <f t="shared" si="22"/>
        <v>GbpLibor6M</v>
      </c>
      <c r="H61" s="58" t="str">
        <f t="shared" si="23"/>
        <v>GBPSB6L24Y_Quote</v>
      </c>
      <c r="I61" s="118">
        <v>0</v>
      </c>
      <c r="J61" s="223" t="str">
        <f>IF(P57,_xll.qlSwapRateHelper2(,H61,0,B61,Calendar,D61,E61,F61,G61,I61,C61,Discounting,PillarDate,,Permanent,Trigger,ObjectOverwrite),"--")</f>
        <v>--</v>
      </c>
      <c r="L61" s="226" t="str">
        <f t="shared" si="24"/>
        <v>Sw</v>
      </c>
      <c r="M61" s="230" t="str">
        <f t="shared" si="18"/>
        <v>GBPSB6L28Y_Quote</v>
      </c>
      <c r="N61" s="228" t="str">
        <f>IFERROR(_xll.qlQuoteValue(H65,Trigger),"--")</f>
        <v>--</v>
      </c>
      <c r="O61" s="228">
        <f t="shared" si="19"/>
        <v>0</v>
      </c>
      <c r="P61" s="90" t="b">
        <v>0</v>
      </c>
      <c r="Q61" s="87">
        <v>50</v>
      </c>
      <c r="R61" s="87">
        <v>1</v>
      </c>
      <c r="S61" s="87" t="str">
        <f t="shared" si="20"/>
        <v>--</v>
      </c>
      <c r="T61" s="91" t="str">
        <f>IFERROR(_xll.qlRateHelperEarliestDate(S61,Trigger),"--")</f>
        <v>--</v>
      </c>
      <c r="U61" s="91" t="str">
        <f>IFERROR(_xll.qlRateHelperPillarDate(S61,Trigger),"--")</f>
        <v>--</v>
      </c>
      <c r="W61" s="3" t="str">
        <f t="shared" si="25"/>
        <v/>
      </c>
      <c r="X61" s="3" t="e">
        <v>#N/A</v>
      </c>
      <c r="Y61" s="3" t="str">
        <f>IFERROR(_xll.qlRateHelperQuoteName(X61,Trigger),"")</f>
        <v/>
      </c>
      <c r="Z61" s="67" t="str">
        <f>IFERROR(_xll.qlRateHelperRate(X61,Trigger),"")</f>
        <v/>
      </c>
      <c r="AA61" s="95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206" t="e">
        <v>#N/A</v>
      </c>
    </row>
    <row r="62" spans="1:30" ht="11.25" customHeight="1" x14ac:dyDescent="0.2">
      <c r="A62" s="58" t="s">
        <v>26</v>
      </c>
      <c r="B62" s="59" t="s">
        <v>64</v>
      </c>
      <c r="C62" s="60" t="s">
        <v>6</v>
      </c>
      <c r="D62" s="60" t="s">
        <v>140</v>
      </c>
      <c r="E62" s="60" t="s">
        <v>7</v>
      </c>
      <c r="F62" s="60" t="s">
        <v>141</v>
      </c>
      <c r="G62" s="60" t="str">
        <f t="shared" si="22"/>
        <v>GbpLibor6M</v>
      </c>
      <c r="H62" s="58" t="str">
        <f t="shared" si="23"/>
        <v>GBPSB6L25Y_Quote</v>
      </c>
      <c r="I62" s="118">
        <v>0</v>
      </c>
      <c r="J62" s="223" t="str">
        <f>IF(P58,_xll.qlSwapRateHelper2(,H62,0,B62,Calendar,D62,E62,F62,G62,I62,C62,Discounting,PillarDate,,Permanent,Trigger,ObjectOverwrite),"--")</f>
        <v>obj_00281#0001</v>
      </c>
      <c r="L62" s="226" t="str">
        <f t="shared" si="24"/>
        <v>Sw</v>
      </c>
      <c r="M62" s="230" t="str">
        <f t="shared" si="18"/>
        <v>GBPSB6L29Y_Quote</v>
      </c>
      <c r="N62" s="228" t="str">
        <f>IFERROR(_xll.qlQuoteValue(H66,Trigger),"--")</f>
        <v>--</v>
      </c>
      <c r="O62" s="228">
        <f t="shared" si="19"/>
        <v>0</v>
      </c>
      <c r="P62" s="90" t="b">
        <v>0</v>
      </c>
      <c r="Q62" s="87">
        <v>50</v>
      </c>
      <c r="R62" s="87">
        <v>1</v>
      </c>
      <c r="S62" s="87" t="str">
        <f t="shared" si="20"/>
        <v>--</v>
      </c>
      <c r="T62" s="91" t="str">
        <f>IFERROR(_xll.qlRateHelperEarliestDate(S62,Trigger),"--")</f>
        <v>--</v>
      </c>
      <c r="U62" s="91" t="str">
        <f>IFERROR(_xll.qlRateHelperPillarDate(S62,Trigger),"--")</f>
        <v>--</v>
      </c>
      <c r="W62" s="3" t="str">
        <f t="shared" si="25"/>
        <v/>
      </c>
      <c r="X62" s="3" t="e">
        <v>#N/A</v>
      </c>
      <c r="Y62" s="3" t="str">
        <f>IFERROR(_xll.qlRateHelperQuoteName(X62,Trigger),"")</f>
        <v/>
      </c>
      <c r="Z62" s="67" t="str">
        <f>IFERROR(_xll.qlRateHelperRate(X62,Trigger),"")</f>
        <v/>
      </c>
      <c r="AA62" s="95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206" t="e">
        <v>#N/A</v>
      </c>
    </row>
    <row r="63" spans="1:30" ht="11.25" customHeight="1" x14ac:dyDescent="0.2">
      <c r="A63" s="58" t="s">
        <v>26</v>
      </c>
      <c r="B63" s="59" t="s">
        <v>108</v>
      </c>
      <c r="C63" s="60" t="s">
        <v>6</v>
      </c>
      <c r="D63" s="60" t="s">
        <v>140</v>
      </c>
      <c r="E63" s="60" t="s">
        <v>7</v>
      </c>
      <c r="F63" s="60" t="s">
        <v>141</v>
      </c>
      <c r="G63" s="60" t="str">
        <f t="shared" si="22"/>
        <v>GbpLibor6M</v>
      </c>
      <c r="H63" s="58" t="str">
        <f t="shared" si="23"/>
        <v>GBPSB6L26Y_Quote</v>
      </c>
      <c r="I63" s="118">
        <v>0</v>
      </c>
      <c r="J63" s="223" t="str">
        <f>IF(P59,_xll.qlSwapRateHelper2(,H63,0,B63,Calendar,D63,E63,F63,G63,I63,C63,Discounting,PillarDate,,Permanent,Trigger,ObjectOverwrite),"--")</f>
        <v>--</v>
      </c>
      <c r="L63" s="226" t="str">
        <f t="shared" si="24"/>
        <v>Sw</v>
      </c>
      <c r="M63" s="230" t="str">
        <f t="shared" si="18"/>
        <v>GBPSB6L30Y_Quote</v>
      </c>
      <c r="N63" s="228">
        <f>IFERROR(_xll.qlQuoteValue(H67,Trigger),"--")</f>
        <v>1.0710000000000003E-2</v>
      </c>
      <c r="O63" s="228">
        <f t="shared" si="19"/>
        <v>0</v>
      </c>
      <c r="P63" s="90" t="b">
        <v>1</v>
      </c>
      <c r="Q63" s="87">
        <v>50</v>
      </c>
      <c r="R63" s="87">
        <v>1</v>
      </c>
      <c r="S63" s="87" t="str">
        <f t="shared" si="20"/>
        <v>obj_002b6#0001</v>
      </c>
      <c r="T63" s="91">
        <f>IFERROR(_xll.qlRateHelperEarliestDate(S63,Trigger),"--")</f>
        <v>42559</v>
      </c>
      <c r="U63" s="91">
        <f>IFERROR(_xll.qlRateHelperPillarDate(S63,Trigger),"--")</f>
        <v>53517</v>
      </c>
      <c r="W63" s="3" t="str">
        <f t="shared" si="25"/>
        <v/>
      </c>
      <c r="X63" s="3" t="e">
        <v>#N/A</v>
      </c>
      <c r="Y63" s="3" t="str">
        <f>IFERROR(_xll.qlRateHelperQuoteName(X63,Trigger),"")</f>
        <v/>
      </c>
      <c r="Z63" s="67" t="str">
        <f>IFERROR(_xll.qlRateHelperRate(X63,Trigger),"")</f>
        <v/>
      </c>
      <c r="AA63" s="95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206" t="e">
        <v>#N/A</v>
      </c>
    </row>
    <row r="64" spans="1:30" ht="11.25" customHeight="1" x14ac:dyDescent="0.2">
      <c r="A64" s="58" t="s">
        <v>26</v>
      </c>
      <c r="B64" s="59" t="s">
        <v>65</v>
      </c>
      <c r="C64" s="60" t="s">
        <v>6</v>
      </c>
      <c r="D64" s="60" t="s">
        <v>140</v>
      </c>
      <c r="E64" s="60" t="s">
        <v>7</v>
      </c>
      <c r="F64" s="60" t="s">
        <v>141</v>
      </c>
      <c r="G64" s="60" t="str">
        <f t="shared" si="22"/>
        <v>GbpLibor6M</v>
      </c>
      <c r="H64" s="58" t="str">
        <f t="shared" si="23"/>
        <v>GBPSB6L27Y_Quote</v>
      </c>
      <c r="I64" s="118">
        <v>0</v>
      </c>
      <c r="J64" s="223" t="str">
        <f>IF(P60,_xll.qlSwapRateHelper2(,H64,0,B64,Calendar,D64,E64,F64,G64,I64,C64,Discounting,PillarDate,,Permanent,Trigger,ObjectOverwrite),"--")</f>
        <v>--</v>
      </c>
      <c r="L64" s="226" t="str">
        <f t="shared" si="24"/>
        <v>Sw</v>
      </c>
      <c r="M64" s="230" t="str">
        <f t="shared" si="18"/>
        <v>GBPSB6L35Y_Quote</v>
      </c>
      <c r="N64" s="228" t="str">
        <f>IFERROR(_xll.qlQuoteValue(H68,Trigger),"--")</f>
        <v>--</v>
      </c>
      <c r="O64" s="228">
        <f t="shared" si="19"/>
        <v>0</v>
      </c>
      <c r="P64" s="90" t="b">
        <v>0</v>
      </c>
      <c r="Q64" s="87">
        <v>50</v>
      </c>
      <c r="R64" s="87">
        <v>1</v>
      </c>
      <c r="S64" s="87" t="str">
        <f t="shared" si="20"/>
        <v>--</v>
      </c>
      <c r="T64" s="91" t="str">
        <f>IFERROR(_xll.qlRateHelperEarliestDate(S64,Trigger),"--")</f>
        <v>--</v>
      </c>
      <c r="U64" s="91" t="str">
        <f>IFERROR(_xll.qlRateHelperPillarDate(S64,Trigger),"--")</f>
        <v>--</v>
      </c>
      <c r="W64" s="3" t="str">
        <f t="shared" si="25"/>
        <v/>
      </c>
      <c r="X64" s="3" t="e">
        <v>#N/A</v>
      </c>
      <c r="Y64" s="3" t="str">
        <f>IFERROR(_xll.qlRateHelperQuoteName(X64,Trigger),"")</f>
        <v/>
      </c>
      <c r="Z64" s="67" t="str">
        <f>IFERROR(_xll.qlRateHelperRate(X64,Trigger),"")</f>
        <v/>
      </c>
      <c r="AA64" s="95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206" t="e">
        <v>#N/A</v>
      </c>
    </row>
    <row r="65" spans="1:30" ht="11.25" customHeight="1" x14ac:dyDescent="0.2">
      <c r="A65" s="58" t="s">
        <v>26</v>
      </c>
      <c r="B65" s="59" t="s">
        <v>109</v>
      </c>
      <c r="C65" s="60" t="s">
        <v>6</v>
      </c>
      <c r="D65" s="60" t="s">
        <v>140</v>
      </c>
      <c r="E65" s="60" t="s">
        <v>7</v>
      </c>
      <c r="F65" s="60" t="s">
        <v>141</v>
      </c>
      <c r="G65" s="60" t="str">
        <f t="shared" si="22"/>
        <v>GbpLibor6M</v>
      </c>
      <c r="H65" s="58" t="str">
        <f t="shared" si="23"/>
        <v>GBPSB6L28Y_Quote</v>
      </c>
      <c r="I65" s="118">
        <v>0</v>
      </c>
      <c r="J65" s="223" t="str">
        <f>IF(P61,_xll.qlSwapRateHelper2(,H65,0,B65,Calendar,D65,E65,F65,G65,I65,C65,Discounting,PillarDate,,Permanent,Trigger,ObjectOverwrite),"--")</f>
        <v>--</v>
      </c>
      <c r="L65" s="226" t="str">
        <f t="shared" si="24"/>
        <v>Sw</v>
      </c>
      <c r="M65" s="230" t="str">
        <f t="shared" si="18"/>
        <v>GBPSB6L40Y_Quote</v>
      </c>
      <c r="N65" s="228">
        <f>IFERROR(_xll.qlQuoteValue(H69,Trigger),"--")</f>
        <v>1.008E-2</v>
      </c>
      <c r="O65" s="228">
        <f t="shared" si="19"/>
        <v>0</v>
      </c>
      <c r="P65" s="90" t="b">
        <v>1</v>
      </c>
      <c r="Q65" s="87">
        <v>50</v>
      </c>
      <c r="R65" s="87">
        <v>1</v>
      </c>
      <c r="S65" s="87" t="str">
        <f t="shared" si="20"/>
        <v>obj_002ab#0001</v>
      </c>
      <c r="T65" s="91">
        <f>IFERROR(_xll.qlRateHelperEarliestDate(S65,Trigger),"--")</f>
        <v>42559</v>
      </c>
      <c r="U65" s="91">
        <f>IFERROR(_xll.qlRateHelperPillarDate(S65,Trigger),"--")</f>
        <v>57171</v>
      </c>
      <c r="W65" s="3" t="str">
        <f t="shared" si="25"/>
        <v/>
      </c>
      <c r="X65" s="3" t="e">
        <v>#N/A</v>
      </c>
      <c r="Y65" s="3" t="str">
        <f>IFERROR(_xll.qlRateHelperQuoteName(X65,Trigger),"")</f>
        <v/>
      </c>
      <c r="Z65" s="67" t="str">
        <f>IFERROR(_xll.qlRateHelperRate(X65,Trigger),"")</f>
        <v/>
      </c>
      <c r="AA65" s="95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206" t="e">
        <v>#N/A</v>
      </c>
    </row>
    <row r="66" spans="1:30" ht="11.25" customHeight="1" x14ac:dyDescent="0.2">
      <c r="A66" s="58" t="s">
        <v>26</v>
      </c>
      <c r="B66" s="59" t="s">
        <v>110</v>
      </c>
      <c r="C66" s="60" t="s">
        <v>6</v>
      </c>
      <c r="D66" s="60" t="s">
        <v>140</v>
      </c>
      <c r="E66" s="60" t="s">
        <v>7</v>
      </c>
      <c r="F66" s="60" t="s">
        <v>141</v>
      </c>
      <c r="G66" s="60" t="str">
        <f t="shared" si="22"/>
        <v>GbpLibor6M</v>
      </c>
      <c r="H66" s="58" t="str">
        <f t="shared" si="23"/>
        <v>GBPSB6L29Y_Quote</v>
      </c>
      <c r="I66" s="118">
        <v>0</v>
      </c>
      <c r="J66" s="223" t="str">
        <f>IF(P62,_xll.qlSwapRateHelper2(,H66,0,B66,Calendar,D66,E66,F66,G66,I66,C66,Discounting,PillarDate,,Permanent,Trigger,ObjectOverwrite),"--")</f>
        <v>--</v>
      </c>
      <c r="L66" s="226" t="str">
        <f t="shared" si="24"/>
        <v>Sw</v>
      </c>
      <c r="M66" s="230" t="str">
        <f t="shared" si="18"/>
        <v>GBPSB6L50Y_Quote</v>
      </c>
      <c r="N66" s="228">
        <f>IFERROR(_xll.qlQuoteValue(H70,Trigger),"--")</f>
        <v>9.6600000000000019E-3</v>
      </c>
      <c r="O66" s="228">
        <f t="shared" si="19"/>
        <v>0</v>
      </c>
      <c r="P66" s="90" t="b">
        <v>1</v>
      </c>
      <c r="Q66" s="87">
        <v>50</v>
      </c>
      <c r="R66" s="87">
        <v>1</v>
      </c>
      <c r="S66" s="87" t="str">
        <f t="shared" si="20"/>
        <v>obj_00272#0001</v>
      </c>
      <c r="T66" s="91">
        <f>IFERROR(_xll.qlRateHelperEarliestDate(S66,Trigger),"--")</f>
        <v>42559</v>
      </c>
      <c r="U66" s="91">
        <f>IFERROR(_xll.qlRateHelperPillarDate(S66,Trigger),"--")</f>
        <v>60821</v>
      </c>
      <c r="W66" s="3" t="str">
        <f t="shared" si="25"/>
        <v/>
      </c>
      <c r="X66" s="3" t="e">
        <v>#N/A</v>
      </c>
      <c r="Y66" s="3" t="str">
        <f>IFERROR(_xll.qlRateHelperQuoteName(X66,Trigger),"")</f>
        <v/>
      </c>
      <c r="Z66" s="67" t="str">
        <f>IFERROR(_xll.qlRateHelperRate(X66,Trigger),"")</f>
        <v/>
      </c>
      <c r="AA66" s="95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206" t="e">
        <v>#N/A</v>
      </c>
    </row>
    <row r="67" spans="1:30" ht="11.25" customHeight="1" x14ac:dyDescent="0.2">
      <c r="A67" s="58" t="s">
        <v>26</v>
      </c>
      <c r="B67" s="59" t="s">
        <v>66</v>
      </c>
      <c r="C67" s="60" t="s">
        <v>6</v>
      </c>
      <c r="D67" s="60" t="s">
        <v>140</v>
      </c>
      <c r="E67" s="60" t="s">
        <v>7</v>
      </c>
      <c r="F67" s="60" t="s">
        <v>141</v>
      </c>
      <c r="G67" s="60" t="str">
        <f t="shared" si="22"/>
        <v>GbpLibor6M</v>
      </c>
      <c r="H67" s="58" t="str">
        <f t="shared" si="23"/>
        <v>GBPSB6L30Y_Quote</v>
      </c>
      <c r="I67" s="118">
        <v>0</v>
      </c>
      <c r="J67" s="223" t="str">
        <f>IF(P63,_xll.qlSwapRateHelper2(,H67,0,B67,Calendar,D67,E67,F67,G67,I67,C67,Discounting,PillarDate,,Permanent,Trigger,ObjectOverwrite),"--")</f>
        <v>obj_002b6#0001</v>
      </c>
      <c r="L67" s="231" t="str">
        <f t="shared" si="24"/>
        <v>Sw</v>
      </c>
      <c r="M67" s="232" t="str">
        <f t="shared" si="18"/>
        <v>GBPSB6L60Y_Quote</v>
      </c>
      <c r="N67" s="233">
        <f>IFERROR(_xll.qlQuoteValue(H71,Trigger),"--")</f>
        <v>9.6000000000000026E-3</v>
      </c>
      <c r="O67" s="233">
        <f t="shared" si="19"/>
        <v>0</v>
      </c>
      <c r="P67" s="92" t="b">
        <v>1</v>
      </c>
      <c r="Q67" s="88">
        <v>50</v>
      </c>
      <c r="R67" s="88">
        <v>1</v>
      </c>
      <c r="S67" s="88" t="str">
        <f t="shared" si="20"/>
        <v>obj_002bf#0001</v>
      </c>
      <c r="T67" s="93">
        <f>IFERROR(_xll.qlRateHelperEarliestDate(S67,Trigger),"--")</f>
        <v>42559</v>
      </c>
      <c r="U67" s="93">
        <f>IFERROR(_xll.qlRateHelperPillarDate(S67,Trigger),"--")</f>
        <v>64474</v>
      </c>
      <c r="W67" s="5" t="str">
        <f t="shared" si="25"/>
        <v/>
      </c>
      <c r="X67" s="5" t="e">
        <v>#N/A</v>
      </c>
      <c r="Y67" s="5" t="str">
        <f>IFERROR(_xll.qlRateHelperQuoteName(X67,Trigger),"")</f>
        <v/>
      </c>
      <c r="Z67" s="72" t="str">
        <f>IFERROR(_xll.qlRateHelperRate(X67,Trigger),"")</f>
        <v/>
      </c>
      <c r="AA67" s="96" t="str">
        <f>IF(ISERROR(_xll.qlSwapRateHelperSpread($X67)),IF(ISERROR(_xll.qlFuturesRateHelperConvexityAdjustment($X67)),"",_xll.qlFuturesRateHelperConvexityAdjustment($X67)),_xll.qlSwapRateHelperSpread($X67))</f>
        <v/>
      </c>
      <c r="AB67" s="9" t="str">
        <f>IFERROR(_xll.qlRateHelperEarliestDate(X67,Trigger),"")</f>
        <v/>
      </c>
      <c r="AC67" s="9" t="str">
        <f>IFERROR(_xll.qlRateHelperPillarDate(X67,Trigger),"")</f>
        <v/>
      </c>
      <c r="AD67" s="207" t="e">
        <v>#N/A</v>
      </c>
    </row>
    <row r="68" spans="1:30" ht="11.25" customHeight="1" x14ac:dyDescent="0.2">
      <c r="A68" s="58" t="s">
        <v>26</v>
      </c>
      <c r="B68" s="59" t="s">
        <v>67</v>
      </c>
      <c r="C68" s="60" t="s">
        <v>6</v>
      </c>
      <c r="D68" s="60" t="s">
        <v>140</v>
      </c>
      <c r="E68" s="60" t="s">
        <v>7</v>
      </c>
      <c r="F68" s="60" t="s">
        <v>141</v>
      </c>
      <c r="G68" s="60" t="str">
        <f t="shared" si="22"/>
        <v>GbpLibor6M</v>
      </c>
      <c r="H68" s="58" t="str">
        <f t="shared" si="23"/>
        <v>GBPSB6L35Y_Quote</v>
      </c>
      <c r="I68" s="118">
        <v>0</v>
      </c>
      <c r="J68" s="223" t="str">
        <f>IF(P64,_xll.qlSwapRateHelper2(,H68,0,B68,Calendar,D68,E68,F68,G68,I68,C68,Discounting,PillarDate,,Permanent,Trigger,ObjectOverwrite),"--")</f>
        <v>--</v>
      </c>
      <c r="Y68" s="255" t="str">
        <f>_xll.ohGroup(W1&amp;"_instruments",Y3:Y67,Permanent,Trigger,ObjectOverwrite)</f>
        <v>GBP6M_instruments#0002</v>
      </c>
    </row>
    <row r="69" spans="1:30" ht="11.25" customHeight="1" x14ac:dyDescent="0.2">
      <c r="A69" s="58" t="s">
        <v>26</v>
      </c>
      <c r="B69" s="59" t="s">
        <v>68</v>
      </c>
      <c r="C69" s="60" t="s">
        <v>6</v>
      </c>
      <c r="D69" s="60" t="s">
        <v>140</v>
      </c>
      <c r="E69" s="60" t="s">
        <v>7</v>
      </c>
      <c r="F69" s="60" t="s">
        <v>141</v>
      </c>
      <c r="G69" s="60" t="str">
        <f t="shared" si="22"/>
        <v>GbpLibor6M</v>
      </c>
      <c r="H69" s="58" t="str">
        <f t="shared" si="23"/>
        <v>GBPSB6L40Y_Quote</v>
      </c>
      <c r="I69" s="118">
        <v>0</v>
      </c>
      <c r="J69" s="223" t="str">
        <f>IF(P65,_xll.qlSwapRateHelper2(,H69,0,B69,Calendar,D69,E69,F69,G69,I69,C69,Discounting,PillarDate,,Permanent,Trigger,ObjectOverwrite),"--")</f>
        <v>obj_002ab#0001</v>
      </c>
    </row>
    <row r="70" spans="1:30" ht="11.25" customHeight="1" x14ac:dyDescent="0.2">
      <c r="A70" s="58" t="s">
        <v>26</v>
      </c>
      <c r="B70" s="59" t="s">
        <v>69</v>
      </c>
      <c r="C70" s="60" t="s">
        <v>6</v>
      </c>
      <c r="D70" s="60" t="s">
        <v>140</v>
      </c>
      <c r="E70" s="60" t="s">
        <v>7</v>
      </c>
      <c r="F70" s="60" t="s">
        <v>141</v>
      </c>
      <c r="G70" s="60" t="str">
        <f t="shared" si="22"/>
        <v>GbpLibor6M</v>
      </c>
      <c r="H70" s="58" t="str">
        <f t="shared" si="23"/>
        <v>GBPSB6L50Y_Quote</v>
      </c>
      <c r="I70" s="118">
        <v>0</v>
      </c>
      <c r="J70" s="223" t="str">
        <f>IF(P66,_xll.qlSwapRateHelper2(,H70,0,B70,Calendar,D70,E70,F70,G70,I70,C70,Discounting,PillarDate,,Permanent,Trigger,ObjectOverwrite),"--")</f>
        <v>obj_00272#0001</v>
      </c>
    </row>
    <row r="71" spans="1:30" ht="11.25" customHeight="1" x14ac:dyDescent="0.2">
      <c r="A71" s="1" t="s">
        <v>26</v>
      </c>
      <c r="B71" s="7" t="s">
        <v>111</v>
      </c>
      <c r="C71" s="6" t="s">
        <v>6</v>
      </c>
      <c r="D71" s="6" t="s">
        <v>140</v>
      </c>
      <c r="E71" s="6" t="s">
        <v>7</v>
      </c>
      <c r="F71" s="6" t="s">
        <v>141</v>
      </c>
      <c r="G71" s="6" t="str">
        <f t="shared" si="22"/>
        <v>GbpLibor6M</v>
      </c>
      <c r="H71" s="1" t="str">
        <f t="shared" si="23"/>
        <v>GBPSB6L60Y_Quote</v>
      </c>
      <c r="I71" s="119">
        <v>0</v>
      </c>
      <c r="J71" s="224" t="str">
        <f>IF(P67,_xll.qlSwapRateHelper2(,H71,0,B71,Calendar,D71,E71,F71,G71,I71,C71,Discounting,PillarDate,,Permanent,Trigger,ObjectOverwrite),"--")</f>
        <v>obj_002bf#0001</v>
      </c>
    </row>
    <row r="72" spans="1:30" ht="11.25" customHeight="1" x14ac:dyDescent="0.2"/>
    <row r="73" spans="1:30" ht="11.25" customHeight="1" x14ac:dyDescent="0.2"/>
    <row r="74" spans="1:30" ht="11.25" customHeight="1" x14ac:dyDescent="0.2"/>
    <row r="75" spans="1:30" ht="11.25" customHeight="1" x14ac:dyDescent="0.2"/>
    <row r="76" spans="1:30" ht="11.25" customHeight="1" x14ac:dyDescent="0.2"/>
    <row r="77" spans="1:30" ht="11.25" customHeight="1" x14ac:dyDescent="0.2"/>
    <row r="78" spans="1:30" ht="11.25" customHeight="1" x14ac:dyDescent="0.2"/>
    <row r="79" spans="1:30" ht="11.25" customHeight="1" x14ac:dyDescent="0.2"/>
    <row r="80" spans="1:30" ht="11.25" customHeight="1" x14ac:dyDescent="0.2"/>
    <row r="90" spans="11:11" x14ac:dyDescent="0.2">
      <c r="K90" s="46" t="s">
        <v>36</v>
      </c>
    </row>
  </sheetData>
  <dataValidations disablePrompts="1" count="5">
    <dataValidation type="list" allowBlank="1" showInputMessage="1" showErrorMessage="1" sqref="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1">
      <formula1>"Following,Modified Following,Preceding,Modified Preceding,Unadjusted,Half-Month Modified Following"</formula1>
    </dataValidation>
    <dataValidation type="list" allowBlank="1" showInputMessage="1" showErrorMessage="1" sqref="D35:D71">
      <formula1>"Annual,Semiannual,EveryFourthMonth,Quarterly,Bimonthly,Monthly,Biweekly,Weekly,Daily,Once,NoFrequency"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67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3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0" hidden="1" customWidth="1" outlineLevel="1"/>
    <col min="8" max="8" width="20.7109375" style="52" hidden="1" customWidth="1" outlineLevel="1"/>
    <col min="9" max="9" width="25.7109375" style="46" hidden="1" customWidth="1" outlineLevel="1"/>
    <col min="10" max="10" width="15.7109375" style="94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4" hidden="1" customWidth="1" outlineLevel="1"/>
    <col min="14" max="18" width="8.7109375" style="94" hidden="1" customWidth="1" outlineLevel="1"/>
    <col min="19" max="19" width="15.7109375" style="94" hidden="1" customWidth="1" outlineLevel="1"/>
    <col min="20" max="21" width="10.7109375" style="94" hidden="1" customWidth="1" outlineLevel="1"/>
    <col min="22" max="22" width="2.7109375" style="48" hidden="1" customWidth="1" outlineLevel="1"/>
    <col min="23" max="23" width="6" style="46" bestFit="1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1" width="2.7109375" style="46" customWidth="1"/>
    <col min="32" max="32" width="3" style="46" bestFit="1" customWidth="1"/>
    <col min="33" max="33" width="24.42578125" style="46" bestFit="1" customWidth="1"/>
    <col min="34" max="34" width="24.42578125" style="46" hidden="1" customWidth="1" outlineLevel="1"/>
    <col min="35" max="35" width="7" style="46" hidden="1" customWidth="1" outlineLevel="1"/>
    <col min="36" max="36" width="11" style="46" hidden="1" customWidth="1" outlineLevel="1"/>
    <col min="37" max="37" width="9" style="46" bestFit="1" customWidth="1" collapsed="1"/>
    <col min="38" max="38" width="10" style="46" bestFit="1" customWidth="1"/>
    <col min="39" max="39" width="24.42578125" style="46" bestFit="1" customWidth="1"/>
    <col min="40" max="16384" width="9.140625" style="46"/>
  </cols>
  <sheetData>
    <row r="1" spans="1:39" ht="18" customHeight="1" x14ac:dyDescent="0.2">
      <c r="G1" s="50" t="s">
        <v>2</v>
      </c>
      <c r="H1" s="50" t="str">
        <f>"_SYNTH"&amp;Tenor</f>
        <v>_SYNTH1M</v>
      </c>
      <c r="L1" s="65" t="s">
        <v>147</v>
      </c>
      <c r="M1" s="97"/>
      <c r="N1" s="97"/>
      <c r="O1" s="89"/>
      <c r="P1" s="97" t="s">
        <v>25</v>
      </c>
      <c r="Q1" s="97"/>
      <c r="R1" s="97"/>
      <c r="S1" s="97"/>
      <c r="T1" s="97"/>
      <c r="U1" s="89"/>
      <c r="V1" s="86"/>
      <c r="W1" s="70" t="str">
        <f>Currency&amp;$G$1</f>
        <v>GBP1M</v>
      </c>
      <c r="X1" s="64"/>
      <c r="Y1" s="64"/>
      <c r="Z1" s="66"/>
      <c r="AA1" s="66"/>
      <c r="AB1" s="64"/>
      <c r="AC1" s="64"/>
      <c r="AD1" s="68" t="s">
        <v>134</v>
      </c>
    </row>
    <row r="2" spans="1:39" ht="21.75" customHeight="1" x14ac:dyDescent="0.2">
      <c r="A2" s="63" t="s">
        <v>9</v>
      </c>
      <c r="B2" s="63" t="s">
        <v>30</v>
      </c>
      <c r="C2" s="63" t="s">
        <v>148</v>
      </c>
      <c r="D2" s="63" t="s">
        <v>126</v>
      </c>
      <c r="E2" s="63" t="s">
        <v>34</v>
      </c>
      <c r="F2" s="63" t="s">
        <v>113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77</v>
      </c>
      <c r="N2" s="69" t="s">
        <v>80</v>
      </c>
      <c r="O2" s="69" t="s">
        <v>82</v>
      </c>
      <c r="P2" s="69" t="s">
        <v>78</v>
      </c>
      <c r="Q2" s="69" t="s">
        <v>79</v>
      </c>
      <c r="R2" s="69" t="s">
        <v>81</v>
      </c>
      <c r="S2" s="69" t="s">
        <v>25</v>
      </c>
      <c r="T2" s="69" t="s">
        <v>23</v>
      </c>
      <c r="U2" s="69" t="s">
        <v>74</v>
      </c>
      <c r="V2" s="86"/>
      <c r="W2" s="69" t="s">
        <v>9</v>
      </c>
      <c r="X2" s="69" t="s">
        <v>25</v>
      </c>
      <c r="Y2" s="69" t="s">
        <v>77</v>
      </c>
      <c r="Z2" s="71" t="s">
        <v>24</v>
      </c>
      <c r="AA2" s="71" t="s">
        <v>82</v>
      </c>
      <c r="AB2" s="69" t="s">
        <v>23</v>
      </c>
      <c r="AC2" s="69" t="s">
        <v>74</v>
      </c>
      <c r="AD2" s="205">
        <f t="array" ref="AD2:AD55">_xll.qlPiecewiseYieldCurveData(YieldCurve_1M,Trigger)</f>
        <v>1</v>
      </c>
      <c r="AE2" s="73"/>
      <c r="AG2" s="192" t="s">
        <v>83</v>
      </c>
      <c r="AH2" s="193"/>
      <c r="AI2" s="193"/>
      <c r="AJ2" s="193"/>
      <c r="AK2" s="194"/>
    </row>
    <row r="3" spans="1:39" ht="11.25" customHeight="1" x14ac:dyDescent="0.2">
      <c r="A3" s="101" t="s">
        <v>27</v>
      </c>
      <c r="B3" s="102" t="s">
        <v>73</v>
      </c>
      <c r="C3" s="103" t="s">
        <v>37</v>
      </c>
      <c r="D3" s="120"/>
      <c r="E3" s="120"/>
      <c r="F3" s="120"/>
      <c r="G3" s="103" t="str">
        <f>_xll.qlLibor(,Currency,C3,,Permanent,Trigger,ObjectOverwrite)</f>
        <v>obj_002c8#0003</v>
      </c>
      <c r="H3" s="110" t="str">
        <f t="shared" ref="H3:H7" si="0">Currency&amp;$B3&amp;"D"&amp;$H$1&amp;QuoteSuffix</f>
        <v>GBPSND_SYNTH1M_Quote</v>
      </c>
      <c r="I3" s="113"/>
      <c r="J3" s="235" t="str">
        <f>IF(P3,_xll.qlDepositRateHelper(,H3,G3,Permanent,Trigger,ObjectOverwrite),"--")</f>
        <v>--</v>
      </c>
      <c r="K3" s="49"/>
      <c r="L3" s="238" t="str">
        <f>A3</f>
        <v>Dp</v>
      </c>
      <c r="M3" s="239" t="str">
        <f>H3</f>
        <v>GBPSND_SYNTH1M_Quote</v>
      </c>
      <c r="N3" s="240">
        <f>IFERROR(_xll.qlQuoteValue(H3,Trigger),"--")</f>
        <v>7.169E-3</v>
      </c>
      <c r="O3" s="241"/>
      <c r="P3" s="123" t="b">
        <v>0</v>
      </c>
      <c r="Q3" s="122">
        <v>10</v>
      </c>
      <c r="R3" s="122">
        <v>1</v>
      </c>
      <c r="S3" s="122" t="str">
        <f>J3</f>
        <v>--</v>
      </c>
      <c r="T3" s="124" t="str">
        <f>IFERROR(_xll.qlRateHelperEarliestDate(S3,Trigger),"--")</f>
        <v>--</v>
      </c>
      <c r="U3" s="124" t="str">
        <f>IFERROR(_xll.qlRateHelperPillarDate(S3,Trigger),"--")</f>
        <v>--</v>
      </c>
      <c r="W3" s="140" t="str">
        <f t="shared" ref="W3:W34" si="1">IFERROR(INDEX($L$3:$L$55,MATCH(Y3,$M$3:$M$55,0),1),"")</f>
        <v>Dp</v>
      </c>
      <c r="X3" s="140" t="str">
        <f t="array" ref="X3:X55">_xll.qlRateHelperSelection(_xll.ohFilter(RateHelpers,IncludeFlag),_xll.ohFilter(Priority,IncludeFlag),$AK$3,$AK$4,$AK$5,$AK$6,_xll.ohFilter(MinDistance,IncludeFlag),Trigger)</f>
        <v>obj_00275</v>
      </c>
      <c r="Y3" s="140" t="str">
        <f>IFERROR(_xll.qlRateHelperQuoteName(X3,Trigger),"")</f>
        <v>GBP1MD_SYNTH1M_Quote</v>
      </c>
      <c r="Z3" s="170">
        <f>IFERROR(_xll.qlRateHelperRate(X3,Trigger),"")</f>
        <v>4.7660000000000003E-3</v>
      </c>
      <c r="AA3" s="171" t="str">
        <f>IF(ISERROR(_xll.qlSwapRateHelperSpread($X3)),IF(ISERROR(_xll.qlFuturesRateHelperConvexityAdjustment($X3)),"",_xll.qlFuturesRateHelperConvexityAdjustment($X3)),_xll.qlSwapRateHelperSpread($X3))</f>
        <v/>
      </c>
      <c r="AB3" s="141">
        <f>IFERROR(_xll.qlRateHelperEarliestDate(X3,Trigger),"")</f>
        <v>42559</v>
      </c>
      <c r="AC3" s="141">
        <f>IFERROR(_xll.qlRateHelperPillarDate(X3,Trigger),"")</f>
        <v>42590</v>
      </c>
      <c r="AD3" s="220">
        <v>0.99959538022179106</v>
      </c>
      <c r="AE3" s="73"/>
      <c r="AG3" s="190" t="s">
        <v>84</v>
      </c>
      <c r="AK3" s="191">
        <v>0</v>
      </c>
    </row>
    <row r="4" spans="1:39" ht="11.25" customHeight="1" x14ac:dyDescent="0.2">
      <c r="A4" s="53" t="s">
        <v>27</v>
      </c>
      <c r="B4" s="54" t="s">
        <v>89</v>
      </c>
      <c r="C4" s="120"/>
      <c r="D4" s="120"/>
      <c r="E4" s="120"/>
      <c r="F4" s="120"/>
      <c r="G4" s="55" t="str">
        <f>PROPER(Currency)&amp;FamilyName&amp;B4</f>
        <v>GbpLiborSW</v>
      </c>
      <c r="H4" s="136" t="str">
        <f t="shared" si="0"/>
        <v>GBPSWD_SYNTH1M_Quote</v>
      </c>
      <c r="I4" s="120"/>
      <c r="J4" s="225" t="str">
        <f>IF(P4,_xll.qlDepositRateHelper(,H4,G4,Permanent,Trigger,ObjectOverwrite),"--")</f>
        <v>--</v>
      </c>
      <c r="K4" s="48"/>
      <c r="L4" s="226" t="str">
        <f t="shared" ref="L4:L7" si="2">A4</f>
        <v>Dp</v>
      </c>
      <c r="M4" s="230" t="str">
        <f t="shared" ref="M4:M7" si="3">H4</f>
        <v>GBPSWD_SYNTH1M_Quote</v>
      </c>
      <c r="N4" s="228">
        <f>IFERROR(_xll.qlQuoteValue(H4,Trigger),"--")</f>
        <v>6.8799999999999998E-3</v>
      </c>
      <c r="O4" s="229"/>
      <c r="P4" s="90" t="b">
        <v>0</v>
      </c>
      <c r="Q4" s="87">
        <v>10</v>
      </c>
      <c r="R4" s="87">
        <v>1</v>
      </c>
      <c r="S4" s="87" t="str">
        <f t="shared" ref="S4:S7" si="4">J4</f>
        <v>--</v>
      </c>
      <c r="T4" s="91" t="str">
        <f>IFERROR(_xll.qlRateHelperEarliestDate(S4,Trigger),"--")</f>
        <v>--</v>
      </c>
      <c r="U4" s="91" t="str">
        <f>IFERROR(_xll.qlRateHelperPillarDate(S4,Trigger),"--")</f>
        <v>--</v>
      </c>
      <c r="W4" s="140" t="str">
        <f t="shared" si="1"/>
        <v>Sw</v>
      </c>
      <c r="X4" s="140" t="str">
        <v>obj_0028a</v>
      </c>
      <c r="Y4" s="140" t="str">
        <f>IFERROR(_xll.qlRateHelperQuoteName(X4,Trigger),"")</f>
        <v>GBP2X1S_Quote</v>
      </c>
      <c r="Z4" s="170">
        <f>IFERROR(_xll.qlRateHelperRate(X4,Trigger),"")</f>
        <v>3.6600000000000001E-3</v>
      </c>
      <c r="AA4" s="171">
        <f>IF(ISERROR(_xll.qlSwapRateHelperSpread($X4)),IF(ISERROR(_xll.qlFuturesRateHelperConvexityAdjustment($X4)),"",_xll.qlFuturesRateHelperConvexityAdjustment($X4)),_xll.qlSwapRateHelperSpread($X4))</f>
        <v>0</v>
      </c>
      <c r="AB4" s="141">
        <f>IFERROR(_xll.qlRateHelperEarliestDate(X4,Trigger),"")</f>
        <v>42559</v>
      </c>
      <c r="AC4" s="141">
        <f>IFERROR(_xll.qlRateHelperPillarDate(X4,Trigger),"")</f>
        <v>42621</v>
      </c>
      <c r="AD4" s="220">
        <v>0.99937868412973052</v>
      </c>
      <c r="AE4" s="73"/>
      <c r="AG4" s="98" t="s">
        <v>85</v>
      </c>
      <c r="AK4" s="99">
        <v>0</v>
      </c>
    </row>
    <row r="5" spans="1:39" ht="11.25" customHeight="1" x14ac:dyDescent="0.2">
      <c r="A5" s="153" t="s">
        <v>27</v>
      </c>
      <c r="B5" s="154" t="s">
        <v>39</v>
      </c>
      <c r="C5" s="155"/>
      <c r="D5" s="155"/>
      <c r="E5" s="155"/>
      <c r="F5" s="155"/>
      <c r="G5" s="156" t="str">
        <f>_xll.qlLibor(,Currency,B5,,Permanent,Trigger,ObjectOverwrite)</f>
        <v>obj_00292#0001</v>
      </c>
      <c r="H5" s="157" t="str">
        <f t="shared" si="0"/>
        <v>GBP2WD_SYNTH1M_Quote</v>
      </c>
      <c r="I5" s="155"/>
      <c r="J5" s="247" t="str">
        <f>IF(P5,_xll.qlDepositRateHelper(,H5,G5,Permanent,Trigger,ObjectOverwrite),"--")</f>
        <v>--</v>
      </c>
      <c r="K5" s="48"/>
      <c r="L5" s="226" t="str">
        <f t="shared" si="2"/>
        <v>Dp</v>
      </c>
      <c r="M5" s="230" t="str">
        <f t="shared" si="3"/>
        <v>GBP2WD_SYNTH1M_Quote</v>
      </c>
      <c r="N5" s="228">
        <f>IFERROR(_xll.qlQuoteValue(H5,Trigger),"--")</f>
        <v>5.7819999999999998E-3</v>
      </c>
      <c r="O5" s="229"/>
      <c r="P5" s="90" t="b">
        <v>0</v>
      </c>
      <c r="Q5" s="87">
        <v>10</v>
      </c>
      <c r="R5" s="87">
        <v>1</v>
      </c>
      <c r="S5" s="87" t="str">
        <f t="shared" si="4"/>
        <v>--</v>
      </c>
      <c r="T5" s="91" t="str">
        <f>IFERROR(_xll.qlRateHelperEarliestDate(S5,Trigger),"--")</f>
        <v>--</v>
      </c>
      <c r="U5" s="91" t="str">
        <f>IFERROR(_xll.qlRateHelperPillarDate(S5,Trigger),"--")</f>
        <v>--</v>
      </c>
      <c r="W5" s="140" t="str">
        <f t="shared" si="1"/>
        <v>Sw</v>
      </c>
      <c r="X5" s="140" t="str">
        <v>obj_0029b</v>
      </c>
      <c r="Y5" s="140" t="str">
        <f>IFERROR(_xll.qlRateHelperQuoteName(X5,Trigger),"")</f>
        <v>GBP3X1S_Quote</v>
      </c>
      <c r="Z5" s="170">
        <f>IFERROR(_xll.qlRateHelperRate(X5,Trigger),"")</f>
        <v>3.1800000000000005E-3</v>
      </c>
      <c r="AA5" s="171">
        <f>IF(ISERROR(_xll.qlSwapRateHelperSpread($X5)),IF(ISERROR(_xll.qlFuturesRateHelperConvexityAdjustment($X5)),"",_xll.qlFuturesRateHelperConvexityAdjustment($X5)),_xll.qlSwapRateHelperSpread($X5))</f>
        <v>0</v>
      </c>
      <c r="AB5" s="141">
        <f>IFERROR(_xll.qlRateHelperEarliestDate(X5,Trigger),"")</f>
        <v>42559</v>
      </c>
      <c r="AC5" s="141">
        <f>IFERROR(_xll.qlRateHelperPillarDate(X5,Trigger),"")</f>
        <v>42653</v>
      </c>
      <c r="AD5" s="220">
        <v>0.99918166897939709</v>
      </c>
      <c r="AE5" s="73"/>
      <c r="AF5" s="73"/>
      <c r="AG5" s="98" t="s">
        <v>86</v>
      </c>
      <c r="AK5" s="99">
        <v>0</v>
      </c>
    </row>
    <row r="6" spans="1:39" ht="11.25" customHeight="1" x14ac:dyDescent="0.2">
      <c r="A6" s="158" t="s">
        <v>27</v>
      </c>
      <c r="B6" s="159" t="s">
        <v>40</v>
      </c>
      <c r="C6" s="160"/>
      <c r="D6" s="160"/>
      <c r="E6" s="160"/>
      <c r="F6" s="160"/>
      <c r="G6" s="161" t="str">
        <f>_xll.qlLibor(,Currency,B6,,Permanent,Trigger,ObjectOverwrite)</f>
        <v>obj_002c9#0001</v>
      </c>
      <c r="H6" s="162" t="str">
        <f t="shared" si="0"/>
        <v>GBP3WD_SYNTH1M_Quote</v>
      </c>
      <c r="I6" s="160"/>
      <c r="J6" s="248" t="str">
        <f>IF(P6,_xll.qlDepositRateHelper(,H6,G6,Permanent,Trigger,ObjectOverwrite),"--")</f>
        <v>--</v>
      </c>
      <c r="K6" s="48"/>
      <c r="L6" s="226" t="str">
        <f t="shared" si="2"/>
        <v>Dp</v>
      </c>
      <c r="M6" s="230" t="str">
        <f t="shared" si="3"/>
        <v>GBP3WD_SYNTH1M_Quote</v>
      </c>
      <c r="N6" s="228">
        <f>IFERROR(_xll.qlQuoteValue(H6,Trigger),"--")</f>
        <v>5.2209999999999999E-3</v>
      </c>
      <c r="O6" s="229"/>
      <c r="P6" s="90" t="b">
        <v>0</v>
      </c>
      <c r="Q6" s="87">
        <v>10</v>
      </c>
      <c r="R6" s="87">
        <v>1</v>
      </c>
      <c r="S6" s="87" t="str">
        <f t="shared" si="4"/>
        <v>--</v>
      </c>
      <c r="T6" s="91" t="str">
        <f>IFERROR(_xll.qlRateHelperEarliestDate(S6,Trigger),"--")</f>
        <v>--</v>
      </c>
      <c r="U6" s="91" t="str">
        <f>IFERROR(_xll.qlRateHelperPillarDate(S6,Trigger),"--")</f>
        <v>--</v>
      </c>
      <c r="W6" s="140" t="str">
        <f t="shared" si="1"/>
        <v>Sw</v>
      </c>
      <c r="X6" s="140" t="str">
        <v>obj_002b0</v>
      </c>
      <c r="Y6" s="140" t="str">
        <f>IFERROR(_xll.qlRateHelperQuoteName(X6,Trigger),"")</f>
        <v>GBP4X1S_Quote</v>
      </c>
      <c r="Z6" s="170">
        <f>IFERROR(_xll.qlRateHelperRate(X6,Trigger),"")</f>
        <v>2.9400000000000003E-3</v>
      </c>
      <c r="AA6" s="171">
        <f>IF(ISERROR(_xll.qlSwapRateHelperSpread($X6)),IF(ISERROR(_xll.qlFuturesRateHelperConvexityAdjustment($X6)),"",_xll.qlFuturesRateHelperConvexityAdjustment($X6)),_xll.qlSwapRateHelperSpread($X6))</f>
        <v>0</v>
      </c>
      <c r="AB6" s="141">
        <f>IFERROR(_xll.qlRateHelperEarliestDate(X6,Trigger),"")</f>
        <v>42559</v>
      </c>
      <c r="AC6" s="141">
        <f>IFERROR(_xll.qlRateHelperPillarDate(X6,Trigger),"")</f>
        <v>42682</v>
      </c>
      <c r="AD6" s="220">
        <v>0.99901015475092725</v>
      </c>
      <c r="AE6" s="73"/>
      <c r="AG6" s="98" t="s">
        <v>87</v>
      </c>
      <c r="AK6" s="100" t="s">
        <v>88</v>
      </c>
    </row>
    <row r="7" spans="1:39" ht="11.25" customHeight="1" x14ac:dyDescent="0.2">
      <c r="A7" s="1" t="s">
        <v>27</v>
      </c>
      <c r="B7" s="7" t="s">
        <v>2</v>
      </c>
      <c r="C7" s="115"/>
      <c r="D7" s="115"/>
      <c r="E7" s="115"/>
      <c r="F7" s="115"/>
      <c r="G7" s="6" t="str">
        <f>PROPER(Currency)&amp;FamilyName&amp;B7</f>
        <v>GbpLibor1M</v>
      </c>
      <c r="H7" s="112" t="str">
        <f t="shared" si="0"/>
        <v>GBP1MD_SYNTH1M_Quote</v>
      </c>
      <c r="I7" s="115"/>
      <c r="J7" s="224" t="str">
        <f>IF(P7,_xll.qlDepositRateHelper(,H7,G7,Permanent,Trigger,ObjectOverwrite),"--")</f>
        <v>obj_00275#0001</v>
      </c>
      <c r="K7" s="48"/>
      <c r="L7" s="226" t="str">
        <f t="shared" si="2"/>
        <v>Dp</v>
      </c>
      <c r="M7" s="230" t="str">
        <f t="shared" si="3"/>
        <v>GBP1MD_SYNTH1M_Quote</v>
      </c>
      <c r="N7" s="228">
        <f>IFERROR(_xll.qlQuoteValue(H7,Trigger),"--")</f>
        <v>4.7660000000000003E-3</v>
      </c>
      <c r="O7" s="229"/>
      <c r="P7" s="90" t="b">
        <v>1</v>
      </c>
      <c r="Q7" s="87">
        <v>10</v>
      </c>
      <c r="R7" s="87">
        <v>1</v>
      </c>
      <c r="S7" s="87" t="str">
        <f t="shared" si="4"/>
        <v>obj_00275#0001</v>
      </c>
      <c r="T7" s="91">
        <f>IFERROR(_xll.qlRateHelperEarliestDate(S7,Trigger),"--")</f>
        <v>42559</v>
      </c>
      <c r="U7" s="91">
        <f>IFERROR(_xll.qlRateHelperPillarDate(S7,Trigger),"--")</f>
        <v>42590</v>
      </c>
      <c r="W7" s="140" t="str">
        <f t="shared" si="1"/>
        <v>Sw</v>
      </c>
      <c r="X7" s="140" t="str">
        <v>obj_002b4</v>
      </c>
      <c r="Y7" s="140" t="str">
        <f>IFERROR(_xll.qlRateHelperQuoteName(X7,Trigger),"")</f>
        <v>GBP5X1S_Quote</v>
      </c>
      <c r="Z7" s="170">
        <f>IFERROR(_xll.qlRateHelperRate(X7,Trigger),"")</f>
        <v>2.7600000000000003E-3</v>
      </c>
      <c r="AA7" s="171">
        <f>IF(ISERROR(_xll.qlSwapRateHelperSpread($X7)),IF(ISERROR(_xll.qlFuturesRateHelperConvexityAdjustment($X7)),"",_xll.qlFuturesRateHelperConvexityAdjustment($X7)),_xll.qlSwapRateHelperSpread($X7))</f>
        <v>0</v>
      </c>
      <c r="AB7" s="141">
        <f>IFERROR(_xll.qlRateHelperEarliestDate(X7,Trigger),"")</f>
        <v>42559</v>
      </c>
      <c r="AC7" s="141">
        <f>IFERROR(_xll.qlRateHelperPillarDate(X7,Trigger),"")</f>
        <v>42712</v>
      </c>
      <c r="AD7" s="220">
        <v>0.99884424226463964</v>
      </c>
      <c r="AE7" s="73"/>
    </row>
    <row r="8" spans="1:39" ht="11.25" customHeight="1" x14ac:dyDescent="0.2">
      <c r="B8" s="46"/>
      <c r="C8" s="46"/>
      <c r="D8" s="46"/>
      <c r="E8" s="46"/>
      <c r="G8" s="46" t="s">
        <v>128</v>
      </c>
      <c r="H8" s="46" t="str">
        <f>G8&amp;SUBSTITUTE(Tenor,"M","S")</f>
        <v>X1S</v>
      </c>
      <c r="K8" s="48"/>
      <c r="L8" s="238" t="str">
        <f>A10</f>
        <v>Sw</v>
      </c>
      <c r="M8" s="245" t="str">
        <f>H10</f>
        <v>GBP2X1S_Quote</v>
      </c>
      <c r="N8" s="240">
        <f>IFERROR(_xll.qlQuoteValue(H10,Trigger),"--")</f>
        <v>3.6600000000000001E-3</v>
      </c>
      <c r="O8" s="240">
        <f>I10</f>
        <v>0</v>
      </c>
      <c r="P8" s="126" t="b">
        <v>1</v>
      </c>
      <c r="Q8" s="122">
        <v>40</v>
      </c>
      <c r="R8" s="122">
        <v>1</v>
      </c>
      <c r="S8" s="122" t="str">
        <f>J10</f>
        <v>obj_0028a#0001</v>
      </c>
      <c r="T8" s="124">
        <f>IFERROR(_xll.qlRateHelperEarliestDate(S8,Trigger),"--")</f>
        <v>42559</v>
      </c>
      <c r="U8" s="124">
        <f>IFERROR(_xll.qlRateHelperPillarDate(S8,Trigger),"--")</f>
        <v>42621</v>
      </c>
      <c r="W8" s="140" t="str">
        <f t="shared" si="1"/>
        <v>Sw</v>
      </c>
      <c r="X8" s="140" t="str">
        <v>obj_0027a</v>
      </c>
      <c r="Y8" s="140" t="str">
        <f>IFERROR(_xll.qlRateHelperQuoteName(X8,Trigger),"")</f>
        <v>GBP6X1S_Quote</v>
      </c>
      <c r="Z8" s="170">
        <f>IFERROR(_xll.qlRateHelperRate(X8,Trigger),"")</f>
        <v>2.6199999999999999E-3</v>
      </c>
      <c r="AA8" s="171">
        <f>IF(ISERROR(_xll.qlSwapRateHelperSpread($X8)),IF(ISERROR(_xll.qlFuturesRateHelperConvexityAdjustment($X8)),"",_xll.qlFuturesRateHelperConvexityAdjustment($X8)),_xll.qlSwapRateHelperSpread($X8))</f>
        <v>0</v>
      </c>
      <c r="AB8" s="141">
        <f>IFERROR(_xll.qlRateHelperEarliestDate(X8,Trigger),"")</f>
        <v>42559</v>
      </c>
      <c r="AC8" s="141">
        <f>IFERROR(_xll.qlRateHelperPillarDate(X8,Trigger),"")</f>
        <v>42744</v>
      </c>
      <c r="AD8" s="220">
        <v>0.99867354679033316</v>
      </c>
      <c r="AE8" s="73"/>
    </row>
    <row r="9" spans="1:39" ht="11.25" customHeight="1" x14ac:dyDescent="0.2">
      <c r="A9" s="63" t="s">
        <v>9</v>
      </c>
      <c r="B9" s="63" t="s">
        <v>30</v>
      </c>
      <c r="C9" s="63" t="s">
        <v>127</v>
      </c>
      <c r="D9" s="63" t="s">
        <v>5</v>
      </c>
      <c r="E9" s="63" t="s">
        <v>34</v>
      </c>
      <c r="F9" s="63" t="s">
        <v>113</v>
      </c>
      <c r="G9" s="63" t="s">
        <v>4</v>
      </c>
      <c r="H9" s="63" t="s">
        <v>1</v>
      </c>
      <c r="I9" s="63" t="s">
        <v>112</v>
      </c>
      <c r="J9" s="63" t="s">
        <v>25</v>
      </c>
      <c r="K9" s="48"/>
      <c r="L9" s="226" t="str">
        <f t="shared" ref="L9:L18" si="5">A11</f>
        <v>Sw</v>
      </c>
      <c r="M9" s="230" t="str">
        <f t="shared" ref="M9:M18" si="6">H11</f>
        <v>GBP3X1S_Quote</v>
      </c>
      <c r="N9" s="228">
        <f>IFERROR(_xll.qlQuoteValue(H11,Trigger),"--")</f>
        <v>3.1800000000000005E-3</v>
      </c>
      <c r="O9" s="228">
        <f t="shared" ref="O9:O18" si="7">I11</f>
        <v>0</v>
      </c>
      <c r="P9" s="129" t="b">
        <v>1</v>
      </c>
      <c r="Q9" s="87">
        <v>40</v>
      </c>
      <c r="R9" s="87">
        <v>1</v>
      </c>
      <c r="S9" s="87" t="str">
        <f t="shared" ref="S9:S18" si="8">J11</f>
        <v>obj_0029b#0001</v>
      </c>
      <c r="T9" s="91">
        <f>IFERROR(_xll.qlRateHelperEarliestDate(S9,Trigger),"--")</f>
        <v>42559</v>
      </c>
      <c r="U9" s="91">
        <f>IFERROR(_xll.qlRateHelperPillarDate(S9,Trigger),"--")</f>
        <v>42653</v>
      </c>
      <c r="W9" s="140" t="str">
        <f t="shared" si="1"/>
        <v>Sw</v>
      </c>
      <c r="X9" s="140" t="str">
        <v>obj_00285</v>
      </c>
      <c r="Y9" s="140" t="str">
        <f>IFERROR(_xll.qlRateHelperQuoteName(X9,Trigger),"")</f>
        <v>GBP7X1S_Quote</v>
      </c>
      <c r="Z9" s="170">
        <f>IFERROR(_xll.qlRateHelperRate(X9,Trigger),"")</f>
        <v>2.5200000000000001E-3</v>
      </c>
      <c r="AA9" s="171">
        <f>IF(ISERROR(_xll.qlSwapRateHelperSpread($X9)),IF(ISERROR(_xll.qlFuturesRateHelperConvexityAdjustment($X9)),"",_xll.qlFuturesRateHelperConvexityAdjustment($X9)),_xll.qlSwapRateHelperSpread($X9))</f>
        <v>0</v>
      </c>
      <c r="AB9" s="141">
        <f>IFERROR(_xll.qlRateHelperEarliestDate(X9,Trigger),"")</f>
        <v>42559</v>
      </c>
      <c r="AC9" s="141">
        <f>IFERROR(_xll.qlRateHelperPillarDate(X9,Trigger),"")</f>
        <v>42774</v>
      </c>
      <c r="AD9" s="220">
        <v>0.99851743873205656</v>
      </c>
      <c r="AE9" s="73"/>
      <c r="AH9" s="46" t="s">
        <v>123</v>
      </c>
    </row>
    <row r="10" spans="1:39" ht="11.25" customHeight="1" x14ac:dyDescent="0.2">
      <c r="A10" s="53" t="s">
        <v>26</v>
      </c>
      <c r="B10" s="54" t="s">
        <v>41</v>
      </c>
      <c r="C10" s="55" t="s">
        <v>6</v>
      </c>
      <c r="D10" s="55" t="s">
        <v>8</v>
      </c>
      <c r="E10" s="55" t="s">
        <v>7</v>
      </c>
      <c r="F10" s="55" t="s">
        <v>141</v>
      </c>
      <c r="G10" s="55" t="str">
        <f t="shared" ref="G10:G20" si="9">PROPER(Currency)&amp;FamilyName&amp;Tenor</f>
        <v>GbpLibor1M</v>
      </c>
      <c r="H10" s="53" t="str">
        <f t="shared" ref="H10:H20" si="10">Currency&amp;SUBSTITUTE(B10,"M",$H$8)&amp;QuoteSuffix</f>
        <v>GBP2X1S_Quote</v>
      </c>
      <c r="I10" s="117">
        <v>0</v>
      </c>
      <c r="J10" s="223" t="str">
        <f>IF(P8,_xll.qlSwapRateHelper2(,H10,0,B10,Calendar,D10,E10,F10,G10,I10,C10,Discounting,PillarDate,,Permanent,Trigger,ObjectOverwrite),"--")</f>
        <v>obj_0028a#0001</v>
      </c>
      <c r="K10" s="48"/>
      <c r="L10" s="226" t="str">
        <f t="shared" si="5"/>
        <v>Sw</v>
      </c>
      <c r="M10" s="230" t="str">
        <f t="shared" si="6"/>
        <v>GBP4X1S_Quote</v>
      </c>
      <c r="N10" s="228">
        <f>IFERROR(_xll.qlQuoteValue(H12,Trigger),"--")</f>
        <v>2.9500000000000004E-3</v>
      </c>
      <c r="O10" s="228">
        <f t="shared" si="7"/>
        <v>0</v>
      </c>
      <c r="P10" s="129" t="b">
        <v>1</v>
      </c>
      <c r="Q10" s="87">
        <v>40</v>
      </c>
      <c r="R10" s="87">
        <v>1</v>
      </c>
      <c r="S10" s="87" t="str">
        <f t="shared" si="8"/>
        <v>obj_002b0#0001</v>
      </c>
      <c r="T10" s="91">
        <f>IFERROR(_xll.qlRateHelperEarliestDate(S10,Trigger),"--")</f>
        <v>42559</v>
      </c>
      <c r="U10" s="91">
        <f>IFERROR(_xll.qlRateHelperPillarDate(S10,Trigger),"--")</f>
        <v>42682</v>
      </c>
      <c r="W10" s="140" t="str">
        <f t="shared" si="1"/>
        <v>Sw</v>
      </c>
      <c r="X10" s="140" t="str">
        <v>obj_002bc</v>
      </c>
      <c r="Y10" s="140" t="str">
        <f>IFERROR(_xll.qlRateHelperQuoteName(X10,Trigger),"")</f>
        <v>GBP8X1S_Quote</v>
      </c>
      <c r="Z10" s="170">
        <f>IFERROR(_xll.qlRateHelperRate(X10,Trigger),"")</f>
        <v>2.4500000000000004E-3</v>
      </c>
      <c r="AA10" s="171">
        <f>IF(ISERROR(_xll.qlSwapRateHelperSpread($X10)),IF(ISERROR(_xll.qlFuturesRateHelperConvexityAdjustment($X10)),"",_xll.qlFuturesRateHelperConvexityAdjustment($X10)),_xll.qlSwapRateHelperSpread($X10))</f>
        <v>0</v>
      </c>
      <c r="AB10" s="141">
        <f>IFERROR(_xll.qlRateHelperEarliestDate(X10,Trigger),"")</f>
        <v>42559</v>
      </c>
      <c r="AC10" s="141">
        <f>IFERROR(_xll.qlRateHelperPillarDate(X10,Trigger),"")</f>
        <v>42802</v>
      </c>
      <c r="AD10" s="220">
        <v>0.99837106903233974</v>
      </c>
      <c r="AE10" s="73"/>
      <c r="AF10" s="69" t="s">
        <v>117</v>
      </c>
      <c r="AG10" s="69" t="s">
        <v>118</v>
      </c>
      <c r="AH10" s="69" t="s">
        <v>119</v>
      </c>
      <c r="AI10" s="69" t="s">
        <v>129</v>
      </c>
      <c r="AJ10" s="69" t="s">
        <v>120</v>
      </c>
      <c r="AK10" s="69" t="s">
        <v>130</v>
      </c>
      <c r="AL10" s="69" t="s">
        <v>121</v>
      </c>
      <c r="AM10" s="69" t="s">
        <v>122</v>
      </c>
    </row>
    <row r="11" spans="1:39" ht="11.25" customHeight="1" x14ac:dyDescent="0.2">
      <c r="A11" s="58" t="s">
        <v>26</v>
      </c>
      <c r="B11" s="59" t="s">
        <v>0</v>
      </c>
      <c r="C11" s="60" t="s">
        <v>6</v>
      </c>
      <c r="D11" s="60" t="s">
        <v>8</v>
      </c>
      <c r="E11" s="60" t="s">
        <v>7</v>
      </c>
      <c r="F11" s="60" t="s">
        <v>141</v>
      </c>
      <c r="G11" s="60" t="str">
        <f t="shared" si="9"/>
        <v>GbpLibor1M</v>
      </c>
      <c r="H11" s="58" t="str">
        <f t="shared" si="10"/>
        <v>GBP3X1S_Quote</v>
      </c>
      <c r="I11" s="118">
        <v>0</v>
      </c>
      <c r="J11" s="223" t="str">
        <f>IF(P9,_xll.qlSwapRateHelper2(,H11,0,B11,Calendar,D11,E11,F11,G11,I11,C11,Discounting,PillarDate,,Permanent,Trigger,ObjectOverwrite),"--")</f>
        <v>obj_0029b#0001</v>
      </c>
      <c r="K11" s="48"/>
      <c r="L11" s="226" t="str">
        <f t="shared" si="5"/>
        <v>Sw</v>
      </c>
      <c r="M11" s="230" t="str">
        <f t="shared" si="6"/>
        <v>GBP5X1S_Quote</v>
      </c>
      <c r="N11" s="228">
        <f>IFERROR(_xll.qlQuoteValue(H13,Trigger),"--")</f>
        <v>2.7600000000000003E-3</v>
      </c>
      <c r="O11" s="228">
        <f t="shared" si="7"/>
        <v>0</v>
      </c>
      <c r="P11" s="129" t="b">
        <v>1</v>
      </c>
      <c r="Q11" s="87">
        <v>40</v>
      </c>
      <c r="R11" s="87">
        <v>1</v>
      </c>
      <c r="S11" s="87" t="str">
        <f t="shared" si="8"/>
        <v>obj_002b4#0001</v>
      </c>
      <c r="T11" s="91">
        <f>IFERROR(_xll.qlRateHelperEarliestDate(S11,Trigger),"--")</f>
        <v>42559</v>
      </c>
      <c r="U11" s="91">
        <f>IFERROR(_xll.qlRateHelperPillarDate(S11,Trigger),"--")</f>
        <v>42712</v>
      </c>
      <c r="W11" s="140" t="str">
        <f t="shared" si="1"/>
        <v>Sw</v>
      </c>
      <c r="X11" s="140" t="str">
        <v>obj_002b2</v>
      </c>
      <c r="Y11" s="140" t="str">
        <f>IFERROR(_xll.qlRateHelperQuoteName(X11,Trigger),"")</f>
        <v>GBP9X1S_Quote</v>
      </c>
      <c r="Z11" s="170">
        <f>IFERROR(_xll.qlRateHelperRate(X11,Trigger),"")</f>
        <v>2.3900000000000006E-3</v>
      </c>
      <c r="AA11" s="171">
        <f>IF(ISERROR(_xll.qlSwapRateHelperSpread($X11)),IF(ISERROR(_xll.qlFuturesRateHelperConvexityAdjustment($X11)),"",_xll.qlFuturesRateHelperConvexityAdjustment($X11)),_xll.qlSwapRateHelperSpread($X11))</f>
        <v>0</v>
      </c>
      <c r="AB11" s="141">
        <f>IFERROR(_xll.qlRateHelperEarliestDate(X11,Trigger),"")</f>
        <v>42559</v>
      </c>
      <c r="AC11" s="141">
        <f>IFERROR(_xll.qlRateHelperPillarDate(X11,Trigger),"")</f>
        <v>42835</v>
      </c>
      <c r="AD11" s="220">
        <v>0.99819538934514984</v>
      </c>
      <c r="AE11" s="73"/>
      <c r="AF11" s="137">
        <v>1</v>
      </c>
      <c r="AG11" s="138">
        <f>_xll.qlCalendarEndOfMonth(Calendar,Settlementdate,Trigger)</f>
        <v>42580</v>
      </c>
      <c r="AH11" s="137" t="str">
        <f t="shared" ref="AH11:AH23" si="11">Currency&amp;$AH$9&amp;AF11&amp;JumpSuffix&amp;QuoteSuffix</f>
        <v>GBPJump1_SYNTHON_Quote</v>
      </c>
      <c r="AI11" s="177">
        <f>_xll.qlDayCounterYearFraction("actual/360",AG11,_xll.qlCalendarAdvance(Calendar,AG11,"1D",,,Trigger))</f>
        <v>8.3333333333333332E-3</v>
      </c>
      <c r="AJ11" s="139" t="e">
        <f>IF(_xll.qlQuoteIsValid(AH11,Trigger),_xll.qlQuoteValue(AH11,Trigger),1)</f>
        <v>#NUM!</v>
      </c>
      <c r="AK11" s="180" t="e">
        <f>-LN(AJ11)/AI11</f>
        <v>#NUM!</v>
      </c>
      <c r="AL11" s="183">
        <v>0</v>
      </c>
      <c r="AM11" s="139">
        <f>IF(ISBLANK(AL11),AH11,EXP(-AL11*AI11))</f>
        <v>1</v>
      </c>
    </row>
    <row r="12" spans="1:39" ht="11.25" customHeight="1" x14ac:dyDescent="0.2">
      <c r="A12" s="58" t="s">
        <v>26</v>
      </c>
      <c r="B12" s="59" t="s">
        <v>42</v>
      </c>
      <c r="C12" s="60" t="s">
        <v>6</v>
      </c>
      <c r="D12" s="60" t="s">
        <v>8</v>
      </c>
      <c r="E12" s="60" t="s">
        <v>7</v>
      </c>
      <c r="F12" s="60" t="s">
        <v>141</v>
      </c>
      <c r="G12" s="60" t="str">
        <f t="shared" si="9"/>
        <v>GbpLibor1M</v>
      </c>
      <c r="H12" s="58" t="str">
        <f t="shared" si="10"/>
        <v>GBP4X1S_Quote</v>
      </c>
      <c r="I12" s="118">
        <v>0</v>
      </c>
      <c r="J12" s="223" t="str">
        <f>IF(P10,_xll.qlSwapRateHelper2(,H12,0,B12,Calendar,D12,E12,F12,G12,I12,C12,Discounting,PillarDate,,Permanent,Trigger,ObjectOverwrite),"--")</f>
        <v>obj_002b0#0001</v>
      </c>
      <c r="K12" s="48" t="s">
        <v>36</v>
      </c>
      <c r="L12" s="226" t="str">
        <f t="shared" si="5"/>
        <v>Sw</v>
      </c>
      <c r="M12" s="230" t="str">
        <f t="shared" si="6"/>
        <v>GBP6X1S_Quote</v>
      </c>
      <c r="N12" s="228">
        <f>IFERROR(_xll.qlQuoteValue(H14,Trigger),"--")</f>
        <v>2.63E-3</v>
      </c>
      <c r="O12" s="228">
        <f t="shared" si="7"/>
        <v>0</v>
      </c>
      <c r="P12" s="129" t="b">
        <v>1</v>
      </c>
      <c r="Q12" s="87">
        <v>40</v>
      </c>
      <c r="R12" s="87">
        <v>1</v>
      </c>
      <c r="S12" s="87" t="str">
        <f t="shared" si="8"/>
        <v>obj_0027a#0001</v>
      </c>
      <c r="T12" s="91">
        <f>IFERROR(_xll.qlRateHelperEarliestDate(S12,Trigger),"--")</f>
        <v>42559</v>
      </c>
      <c r="U12" s="91">
        <f>IFERROR(_xll.qlRateHelperPillarDate(S12,Trigger),"--")</f>
        <v>42744</v>
      </c>
      <c r="W12" s="140" t="str">
        <f t="shared" si="1"/>
        <v>Sw</v>
      </c>
      <c r="X12" s="140" t="str">
        <v>obj_002a1</v>
      </c>
      <c r="Y12" s="140" t="str">
        <f>IFERROR(_xll.qlRateHelperQuoteName(X12,Trigger),"")</f>
        <v>GBP10X1S_Quote</v>
      </c>
      <c r="Z12" s="170">
        <f>IFERROR(_xll.qlRateHelperRate(X12,Trigger),"")</f>
        <v>2.3500000000000005E-3</v>
      </c>
      <c r="AA12" s="171">
        <f>IF(ISERROR(_xll.qlSwapRateHelperSpread($X12)),IF(ISERROR(_xll.qlFuturesRateHelperConvexityAdjustment($X12)),"",_xll.qlFuturesRateHelperConvexityAdjustment($X12)),_xll.qlSwapRateHelperSpread($X12))</f>
        <v>0</v>
      </c>
      <c r="AB12" s="141">
        <f>IFERROR(_xll.qlRateHelperEarliestDate(X12,Trigger),"")</f>
        <v>42559</v>
      </c>
      <c r="AC12" s="141">
        <f>IFERROR(_xll.qlRateHelperPillarDate(X12,Trigger),"")</f>
        <v>42863</v>
      </c>
      <c r="AD12" s="220">
        <v>0.99804577222838875</v>
      </c>
      <c r="AE12" s="73"/>
      <c r="AF12" s="140">
        <v>2</v>
      </c>
      <c r="AG12" s="141">
        <f>_xll.qlCalendarEndOfMonth(Calendar,_xll.qlCalendarAdvance(Calendar,AG11,"1m","mf",TRUE),Trigger)</f>
        <v>42613</v>
      </c>
      <c r="AH12" s="140" t="str">
        <f t="shared" si="11"/>
        <v>GBPJump2_SYNTHON_Quote</v>
      </c>
      <c r="AI12" s="178">
        <f>_xll.qlDayCounterYearFraction("actual/360",AG12,_xll.qlCalendarAdvance(Calendar,AG12,"1D",,,Trigger))</f>
        <v>2.7777777777777779E-3</v>
      </c>
      <c r="AJ12" s="142" t="e">
        <f>IF(_xll.qlQuoteIsValid(AH12,Trigger),_xll.qlQuoteValue(AH12,Trigger),1)</f>
        <v>#NUM!</v>
      </c>
      <c r="AK12" s="181" t="e">
        <f t="shared" ref="AK12:AK23" si="12">-LN(AJ12)/AI12</f>
        <v>#NUM!</v>
      </c>
      <c r="AL12" s="184">
        <v>0</v>
      </c>
      <c r="AM12" s="142">
        <f t="shared" ref="AM12:AM23" si="13">IF(ISBLANK(AL12),AH12,EXP(-AL12*AI12))</f>
        <v>1</v>
      </c>
    </row>
    <row r="13" spans="1:39" ht="11.25" customHeight="1" x14ac:dyDescent="0.2">
      <c r="A13" s="58" t="s">
        <v>26</v>
      </c>
      <c r="B13" s="59" t="s">
        <v>43</v>
      </c>
      <c r="C13" s="60" t="s">
        <v>6</v>
      </c>
      <c r="D13" s="60" t="s">
        <v>8</v>
      </c>
      <c r="E13" s="60" t="s">
        <v>7</v>
      </c>
      <c r="F13" s="60" t="s">
        <v>141</v>
      </c>
      <c r="G13" s="60" t="str">
        <f t="shared" si="9"/>
        <v>GbpLibor1M</v>
      </c>
      <c r="H13" s="58" t="str">
        <f t="shared" si="10"/>
        <v>GBP5X1S_Quote</v>
      </c>
      <c r="I13" s="118">
        <v>0</v>
      </c>
      <c r="J13" s="223" t="str">
        <f>IF(P11,_xll.qlSwapRateHelper2(,H13,0,B13,Calendar,D13,E13,F13,G13,I13,C13,Discounting,PillarDate,,Permanent,Trigger,ObjectOverwrite),"--")</f>
        <v>obj_002b4#0001</v>
      </c>
      <c r="K13" s="48"/>
      <c r="L13" s="226" t="str">
        <f t="shared" si="5"/>
        <v>Sw</v>
      </c>
      <c r="M13" s="230" t="str">
        <f t="shared" si="6"/>
        <v>GBP7X1S_Quote</v>
      </c>
      <c r="N13" s="228">
        <f>IFERROR(_xll.qlQuoteValue(H15,Trigger),"--")</f>
        <v>2.5300000000000001E-3</v>
      </c>
      <c r="O13" s="228">
        <f t="shared" si="7"/>
        <v>0</v>
      </c>
      <c r="P13" s="129" t="b">
        <v>1</v>
      </c>
      <c r="Q13" s="87">
        <v>40</v>
      </c>
      <c r="R13" s="87">
        <v>1</v>
      </c>
      <c r="S13" s="87" t="str">
        <f t="shared" si="8"/>
        <v>obj_00285#0001</v>
      </c>
      <c r="T13" s="91">
        <f>IFERROR(_xll.qlRateHelperEarliestDate(S13,Trigger),"--")</f>
        <v>42559</v>
      </c>
      <c r="U13" s="91">
        <f>IFERROR(_xll.qlRateHelperPillarDate(S13,Trigger),"--")</f>
        <v>42774</v>
      </c>
      <c r="W13" s="140" t="str">
        <f t="shared" si="1"/>
        <v>Sw</v>
      </c>
      <c r="X13" s="140" t="str">
        <v>obj_00291</v>
      </c>
      <c r="Y13" s="140" t="str">
        <f>IFERROR(_xll.qlRateHelperQuoteName(X13,Trigger),"")</f>
        <v>GBP11X1S_Quote</v>
      </c>
      <c r="Z13" s="170">
        <f>IFERROR(_xll.qlRateHelperRate(X13,Trigger),"")</f>
        <v>2.3100000000000004E-3</v>
      </c>
      <c r="AA13" s="171">
        <f>IF(ISERROR(_xll.qlSwapRateHelperSpread($X13)),IF(ISERROR(_xll.qlFuturesRateHelperConvexityAdjustment($X13)),"",_xll.qlFuturesRateHelperConvexityAdjustment($X13)),_xll.qlSwapRateHelperSpread($X13))</f>
        <v>0</v>
      </c>
      <c r="AB13" s="141">
        <f>IFERROR(_xll.qlRateHelperEarliestDate(X13,Trigger),"")</f>
        <v>42559</v>
      </c>
      <c r="AC13" s="141">
        <f>IFERROR(_xll.qlRateHelperPillarDate(X13,Trigger),"")</f>
        <v>42894</v>
      </c>
      <c r="AD13" s="220">
        <v>0.9978834085748739</v>
      </c>
      <c r="AE13" s="73"/>
      <c r="AF13" s="140">
        <v>3</v>
      </c>
      <c r="AG13" s="141">
        <f>_xll.qlCalendarEndOfMonth(Calendar,_xll.qlCalendarAdvance(Calendar,AG12,"1m","mf",TRUE),Trigger)</f>
        <v>42643</v>
      </c>
      <c r="AH13" s="140" t="str">
        <f t="shared" si="11"/>
        <v>GBPJump3_SYNTHON_Quote</v>
      </c>
      <c r="AI13" s="178">
        <f>_xll.qlDayCounterYearFraction("actual/360",AG13,_xll.qlCalendarAdvance(Calendar,AG13,"1D",,,Trigger))</f>
        <v>8.3333333333333332E-3</v>
      </c>
      <c r="AJ13" s="142" t="e">
        <f>IF(_xll.qlQuoteIsValid(AH13,Trigger),_xll.qlQuoteValue(AH13,Trigger),1)</f>
        <v>#NUM!</v>
      </c>
      <c r="AK13" s="181" t="e">
        <f t="shared" si="12"/>
        <v>#NUM!</v>
      </c>
      <c r="AL13" s="184">
        <v>0</v>
      </c>
      <c r="AM13" s="142">
        <f t="shared" si="13"/>
        <v>1</v>
      </c>
    </row>
    <row r="14" spans="1:39" ht="11.25" customHeight="1" x14ac:dyDescent="0.2">
      <c r="A14" s="58" t="s">
        <v>26</v>
      </c>
      <c r="B14" s="59" t="s">
        <v>3</v>
      </c>
      <c r="C14" s="60" t="s">
        <v>6</v>
      </c>
      <c r="D14" s="60" t="s">
        <v>8</v>
      </c>
      <c r="E14" s="60" t="s">
        <v>7</v>
      </c>
      <c r="F14" s="60" t="s">
        <v>141</v>
      </c>
      <c r="G14" s="60" t="str">
        <f t="shared" si="9"/>
        <v>GbpLibor1M</v>
      </c>
      <c r="H14" s="58" t="str">
        <f t="shared" si="10"/>
        <v>GBP6X1S_Quote</v>
      </c>
      <c r="I14" s="118">
        <v>0</v>
      </c>
      <c r="J14" s="223" t="str">
        <f>IF(P12,_xll.qlSwapRateHelper2(,H14,0,B14,Calendar,D14,E14,F14,G14,I14,C14,Discounting,PillarDate,,Permanent,Trigger,ObjectOverwrite),"--")</f>
        <v>obj_0027a#0001</v>
      </c>
      <c r="K14" s="48"/>
      <c r="L14" s="226" t="str">
        <f t="shared" si="5"/>
        <v>Sw</v>
      </c>
      <c r="M14" s="230" t="str">
        <f t="shared" si="6"/>
        <v>GBP8X1S_Quote</v>
      </c>
      <c r="N14" s="228">
        <f>IFERROR(_xll.qlQuoteValue(H16,Trigger),"--")</f>
        <v>2.4600000000000004E-3</v>
      </c>
      <c r="O14" s="228">
        <f t="shared" si="7"/>
        <v>0</v>
      </c>
      <c r="P14" s="129" t="b">
        <v>1</v>
      </c>
      <c r="Q14" s="87">
        <v>40</v>
      </c>
      <c r="R14" s="87">
        <v>1</v>
      </c>
      <c r="S14" s="87" t="str">
        <f t="shared" si="8"/>
        <v>obj_002bc#0001</v>
      </c>
      <c r="T14" s="91">
        <f>IFERROR(_xll.qlRateHelperEarliestDate(S14,Trigger),"--")</f>
        <v>42559</v>
      </c>
      <c r="U14" s="91">
        <f>IFERROR(_xll.qlRateHelperPillarDate(S14,Trigger),"--")</f>
        <v>42802</v>
      </c>
      <c r="W14" s="140" t="str">
        <f t="shared" si="1"/>
        <v>Sw</v>
      </c>
      <c r="X14" s="140" t="str">
        <v>obj_00289</v>
      </c>
      <c r="Y14" s="140" t="str">
        <f>IFERROR(_xll.qlRateHelperQuoteName(X14,Trigger),"")</f>
        <v>GBP12X1S_Quote</v>
      </c>
      <c r="Z14" s="170">
        <f>IFERROR(_xll.qlRateHelperRate(X14,Trigger),"")</f>
        <v>2.2700000000000003E-3</v>
      </c>
      <c r="AA14" s="171">
        <f>IF(ISERROR(_xll.qlSwapRateHelperSpread($X14)),IF(ISERROR(_xll.qlFuturesRateHelperConvexityAdjustment($X14)),"",_xll.qlFuturesRateHelperConvexityAdjustment($X14)),_xll.qlSwapRateHelperSpread($X14))</f>
        <v>0</v>
      </c>
      <c r="AB14" s="141">
        <f>IFERROR(_xll.qlRateHelperEarliestDate(X14,Trigger),"")</f>
        <v>42559</v>
      </c>
      <c r="AC14" s="141">
        <f>IFERROR(_xll.qlRateHelperPillarDate(X14,Trigger),"")</f>
        <v>42926</v>
      </c>
      <c r="AD14" s="220">
        <v>0.99772165590285211</v>
      </c>
      <c r="AE14" s="73"/>
      <c r="AF14" s="140">
        <v>4</v>
      </c>
      <c r="AG14" s="141">
        <f>_xll.qlCalendarEndOfMonth(Calendar,_xll.qlCalendarAdvance(Calendar,AG13,"1m","mf",TRUE),Trigger)</f>
        <v>42674</v>
      </c>
      <c r="AH14" s="140" t="str">
        <f t="shared" si="11"/>
        <v>GBPJump4_SYNTHON_Quote</v>
      </c>
      <c r="AI14" s="178">
        <f>_xll.qlDayCounterYearFraction("actual/360",AG14,_xll.qlCalendarAdvance(Calendar,AG14,"1D",,,Trigger))</f>
        <v>2.7777777777777779E-3</v>
      </c>
      <c r="AJ14" s="142" t="e">
        <f>IF(_xll.qlQuoteIsValid(AH14,Trigger),_xll.qlQuoteValue(AH14,Trigger),1)</f>
        <v>#NUM!</v>
      </c>
      <c r="AK14" s="181" t="e">
        <f t="shared" si="12"/>
        <v>#NUM!</v>
      </c>
      <c r="AL14" s="184">
        <v>0</v>
      </c>
      <c r="AM14" s="142">
        <f t="shared" si="13"/>
        <v>1</v>
      </c>
    </row>
    <row r="15" spans="1:39" ht="11.25" customHeight="1" x14ac:dyDescent="0.2">
      <c r="A15" s="58" t="s">
        <v>26</v>
      </c>
      <c r="B15" s="59" t="s">
        <v>44</v>
      </c>
      <c r="C15" s="60" t="s">
        <v>6</v>
      </c>
      <c r="D15" s="60" t="s">
        <v>8</v>
      </c>
      <c r="E15" s="60" t="s">
        <v>7</v>
      </c>
      <c r="F15" s="60" t="s">
        <v>141</v>
      </c>
      <c r="G15" s="60" t="str">
        <f t="shared" si="9"/>
        <v>GbpLibor1M</v>
      </c>
      <c r="H15" s="58" t="str">
        <f t="shared" si="10"/>
        <v>GBP7X1S_Quote</v>
      </c>
      <c r="I15" s="118">
        <v>0</v>
      </c>
      <c r="J15" s="223" t="str">
        <f>IF(P13,_xll.qlSwapRateHelper2(,H15,0,B15,Calendar,D15,E15,F15,G15,I15,C15,Discounting,PillarDate,,Permanent,Trigger,ObjectOverwrite),"--")</f>
        <v>obj_00285#0001</v>
      </c>
      <c r="K15" s="48"/>
      <c r="L15" s="226" t="str">
        <f t="shared" si="5"/>
        <v>Sw</v>
      </c>
      <c r="M15" s="230" t="str">
        <f t="shared" si="6"/>
        <v>GBP9X1S_Quote</v>
      </c>
      <c r="N15" s="228">
        <f>IFERROR(_xll.qlQuoteValue(H17,Trigger),"--")</f>
        <v>2.4000000000000002E-3</v>
      </c>
      <c r="O15" s="228">
        <f t="shared" si="7"/>
        <v>0</v>
      </c>
      <c r="P15" s="129" t="b">
        <v>1</v>
      </c>
      <c r="Q15" s="87">
        <v>40</v>
      </c>
      <c r="R15" s="87">
        <v>1</v>
      </c>
      <c r="S15" s="87" t="str">
        <f t="shared" si="8"/>
        <v>obj_002b2#0001</v>
      </c>
      <c r="T15" s="91">
        <f>IFERROR(_xll.qlRateHelperEarliestDate(S15,Trigger),"--")</f>
        <v>42559</v>
      </c>
      <c r="U15" s="91">
        <f>IFERROR(_xll.qlRateHelperPillarDate(S15,Trigger),"--")</f>
        <v>42835</v>
      </c>
      <c r="W15" s="140" t="str">
        <f t="shared" si="1"/>
        <v>BasSw</v>
      </c>
      <c r="X15" s="140" t="str">
        <v>obj_0028d</v>
      </c>
      <c r="Y15" s="140" t="str">
        <f>IFERROR(_xll.qlRateHelperQuoteName(X15,Trigger),"")</f>
        <v>GBPSB6L2Y_Quote</v>
      </c>
      <c r="Z15" s="170">
        <f>IFERROR(_xll.qlRateHelperRate(X15,Trigger),"")</f>
        <v>5.0400000000000002E-3</v>
      </c>
      <c r="AA15" s="171">
        <f>IF(ISERROR(_xll.qlSwapRateHelperSpread($X15)),IF(ISERROR(_xll.qlFuturesRateHelperConvexityAdjustment($X15)),"",_xll.qlFuturesRateHelperConvexityAdjustment($X15)),_xll.qlSwapRateHelperSpread($X15))</f>
        <v>2.82E-3</v>
      </c>
      <c r="AB15" s="141">
        <f>IFERROR(_xll.qlRateHelperEarliestDate(X15,Trigger),"")</f>
        <v>42559</v>
      </c>
      <c r="AC15" s="141">
        <f>IFERROR(_xll.qlRateHelperPillarDate(X15,Trigger),"")</f>
        <v>43290</v>
      </c>
      <c r="AD15" s="220">
        <v>0.99556666781050862</v>
      </c>
      <c r="AE15" s="73"/>
      <c r="AF15" s="140">
        <v>5</v>
      </c>
      <c r="AG15" s="141">
        <f>_xll.qlCalendarEndOfMonth(Calendar,_xll.qlCalendarAdvance(Calendar,AG14,"1m","mf",TRUE),Trigger)</f>
        <v>42704</v>
      </c>
      <c r="AH15" s="140" t="str">
        <f t="shared" si="11"/>
        <v>GBPJump5_SYNTHON_Quote</v>
      </c>
      <c r="AI15" s="178">
        <f>_xll.qlDayCounterYearFraction("actual/360",AG15,_xll.qlCalendarAdvance(Calendar,AG15,"1D",,,Trigger))</f>
        <v>2.7777777777777779E-3</v>
      </c>
      <c r="AJ15" s="142" t="e">
        <f>IF(_xll.qlQuoteIsValid(AH15,Trigger),_xll.qlQuoteValue(AH15,Trigger),1)</f>
        <v>#NUM!</v>
      </c>
      <c r="AK15" s="181" t="e">
        <f t="shared" si="12"/>
        <v>#NUM!</v>
      </c>
      <c r="AL15" s="184">
        <v>0</v>
      </c>
      <c r="AM15" s="142">
        <f t="shared" si="13"/>
        <v>1</v>
      </c>
    </row>
    <row r="16" spans="1:39" ht="11.25" customHeight="1" x14ac:dyDescent="0.2">
      <c r="A16" s="58" t="s">
        <v>26</v>
      </c>
      <c r="B16" s="59" t="s">
        <v>45</v>
      </c>
      <c r="C16" s="60" t="s">
        <v>6</v>
      </c>
      <c r="D16" s="60" t="s">
        <v>8</v>
      </c>
      <c r="E16" s="60" t="s">
        <v>7</v>
      </c>
      <c r="F16" s="60" t="s">
        <v>141</v>
      </c>
      <c r="G16" s="60" t="str">
        <f t="shared" si="9"/>
        <v>GbpLibor1M</v>
      </c>
      <c r="H16" s="58" t="str">
        <f t="shared" si="10"/>
        <v>GBP8X1S_Quote</v>
      </c>
      <c r="I16" s="118">
        <v>0</v>
      </c>
      <c r="J16" s="223" t="str">
        <f>IF(P14,_xll.qlSwapRateHelper2(,H16,0,B16,Calendar,D16,E16,F16,G16,I16,C16,Discounting,PillarDate,,Permanent,Trigger,ObjectOverwrite),"--")</f>
        <v>obj_002bc#0001</v>
      </c>
      <c r="K16" s="48"/>
      <c r="L16" s="226" t="str">
        <f t="shared" si="5"/>
        <v>Sw</v>
      </c>
      <c r="M16" s="230" t="str">
        <f t="shared" si="6"/>
        <v>GBP10X1S_Quote</v>
      </c>
      <c r="N16" s="228">
        <f>IFERROR(_xll.qlQuoteValue(H18,Trigger),"--")</f>
        <v>2.3600000000000006E-3</v>
      </c>
      <c r="O16" s="228">
        <f t="shared" si="7"/>
        <v>0</v>
      </c>
      <c r="P16" s="129" t="b">
        <v>1</v>
      </c>
      <c r="Q16" s="87">
        <v>40</v>
      </c>
      <c r="R16" s="87">
        <v>1</v>
      </c>
      <c r="S16" s="87" t="str">
        <f t="shared" si="8"/>
        <v>obj_002a1#0001</v>
      </c>
      <c r="T16" s="91">
        <f>IFERROR(_xll.qlRateHelperEarliestDate(S16,Trigger),"--")</f>
        <v>42559</v>
      </c>
      <c r="U16" s="91">
        <f>IFERROR(_xll.qlRateHelperPillarDate(S16,Trigger),"--")</f>
        <v>42863</v>
      </c>
      <c r="W16" s="140" t="str">
        <f t="shared" si="1"/>
        <v>BasSw</v>
      </c>
      <c r="X16" s="140" t="str">
        <v>obj_002c4</v>
      </c>
      <c r="Y16" s="140" t="str">
        <f>IFERROR(_xll.qlRateHelperQuoteName(X16,Trigger),"")</f>
        <v>GBPSB6L3Y_Quote</v>
      </c>
      <c r="Z16" s="170">
        <f>IFERROR(_xll.qlRateHelperRate(X16,Trigger),"")</f>
        <v>5.0400000000000002E-3</v>
      </c>
      <c r="AA16" s="171">
        <f>IF(ISERROR(_xll.qlSwapRateHelperSpread($X16)),IF(ISERROR(_xll.qlFuturesRateHelperConvexityAdjustment($X16)),"",_xll.qlFuturesRateHelperConvexityAdjustment($X16)),_xll.qlSwapRateHelperSpread($X16))</f>
        <v>2.6800000000000001E-3</v>
      </c>
      <c r="AB16" s="141">
        <f>IFERROR(_xll.qlRateHelperEarliestDate(X16,Trigger),"")</f>
        <v>42559</v>
      </c>
      <c r="AC16" s="141">
        <f>IFERROR(_xll.qlRateHelperPillarDate(X16,Trigger),"")</f>
        <v>43654</v>
      </c>
      <c r="AD16" s="220">
        <v>0.99294916431493963</v>
      </c>
      <c r="AE16" s="73"/>
      <c r="AF16" s="140">
        <v>6</v>
      </c>
      <c r="AG16" s="141">
        <f>_xll.qlCalendarEndOfMonth(Calendar,_xll.qlCalendarAdvance(Calendar,AG15,"1m","mf",TRUE),Trigger)</f>
        <v>42734</v>
      </c>
      <c r="AH16" s="140" t="str">
        <f t="shared" si="11"/>
        <v>GBPJump6_SYNTHON_Quote</v>
      </c>
      <c r="AI16" s="178">
        <f>_xll.qlDayCounterYearFraction("actual/360",AG16,_xll.qlCalendarAdvance(Calendar,AG16,"1D",,,Trigger))</f>
        <v>1.1111111111111112E-2</v>
      </c>
      <c r="AJ16" s="142" t="e">
        <f>IF(_xll.qlQuoteIsValid(AH16,Trigger),_xll.qlQuoteValue(AH16,Trigger),1)</f>
        <v>#NUM!</v>
      </c>
      <c r="AK16" s="181" t="e">
        <f t="shared" si="12"/>
        <v>#NUM!</v>
      </c>
      <c r="AL16" s="184">
        <v>0</v>
      </c>
      <c r="AM16" s="142">
        <f t="shared" si="13"/>
        <v>1</v>
      </c>
    </row>
    <row r="17" spans="1:39" ht="11.25" customHeight="1" x14ac:dyDescent="0.2">
      <c r="A17" s="58" t="s">
        <v>26</v>
      </c>
      <c r="B17" s="59" t="s">
        <v>46</v>
      </c>
      <c r="C17" s="60" t="s">
        <v>6</v>
      </c>
      <c r="D17" s="60" t="s">
        <v>8</v>
      </c>
      <c r="E17" s="60" t="s">
        <v>7</v>
      </c>
      <c r="F17" s="60" t="s">
        <v>141</v>
      </c>
      <c r="G17" s="60" t="str">
        <f t="shared" si="9"/>
        <v>GbpLibor1M</v>
      </c>
      <c r="H17" s="58" t="str">
        <f t="shared" si="10"/>
        <v>GBP9X1S_Quote</v>
      </c>
      <c r="I17" s="118">
        <v>0</v>
      </c>
      <c r="J17" s="223" t="str">
        <f>IF(P15,_xll.qlSwapRateHelper2(,H17,0,B17,Calendar,D17,E17,F17,G17,I17,C17,Discounting,PillarDate,,Permanent,Trigger,ObjectOverwrite),"--")</f>
        <v>obj_002b2#0001</v>
      </c>
      <c r="K17" s="48"/>
      <c r="L17" s="226" t="str">
        <f t="shared" si="5"/>
        <v>Sw</v>
      </c>
      <c r="M17" s="230" t="str">
        <f t="shared" si="6"/>
        <v>GBP11X1S_Quote</v>
      </c>
      <c r="N17" s="228">
        <f>IFERROR(_xll.qlQuoteValue(H19,Trigger),"--")</f>
        <v>2.3200000000000004E-3</v>
      </c>
      <c r="O17" s="228">
        <f t="shared" si="7"/>
        <v>0</v>
      </c>
      <c r="P17" s="129" t="b">
        <v>1</v>
      </c>
      <c r="Q17" s="87">
        <v>40</v>
      </c>
      <c r="R17" s="87">
        <v>1</v>
      </c>
      <c r="S17" s="87" t="str">
        <f t="shared" si="8"/>
        <v>obj_00291#0001</v>
      </c>
      <c r="T17" s="91">
        <f>IFERROR(_xll.qlRateHelperEarliestDate(S17,Trigger),"--")</f>
        <v>42559</v>
      </c>
      <c r="U17" s="91">
        <f>IFERROR(_xll.qlRateHelperPillarDate(S17,Trigger),"--")</f>
        <v>42894</v>
      </c>
      <c r="W17" s="140" t="str">
        <f t="shared" si="1"/>
        <v>BasSw</v>
      </c>
      <c r="X17" s="140" t="str">
        <v>obj_002a9</v>
      </c>
      <c r="Y17" s="140" t="str">
        <f>IFERROR(_xll.qlRateHelperQuoteName(X17,Trigger),"")</f>
        <v>GBPSB6L4Y_Quote</v>
      </c>
      <c r="Z17" s="170">
        <f>IFERROR(_xll.qlRateHelperRate(X17,Trigger),"")</f>
        <v>5.2300000000000003E-3</v>
      </c>
      <c r="AA17" s="171">
        <f>IF(ISERROR(_xll.qlSwapRateHelperSpread($X17)),IF(ISERROR(_xll.qlFuturesRateHelperConvexityAdjustment($X17)),"",_xll.qlFuturesRateHelperConvexityAdjustment($X17)),_xll.qlSwapRateHelperSpread($X17))</f>
        <v>2.5600000000000002E-3</v>
      </c>
      <c r="AB17" s="141">
        <f>IFERROR(_xll.qlRateHelperEarliestDate(X17,Trigger),"")</f>
        <v>42559</v>
      </c>
      <c r="AC17" s="141">
        <f>IFERROR(_xll.qlRateHelperPillarDate(X17,Trigger),"")</f>
        <v>44020</v>
      </c>
      <c r="AD17" s="220">
        <v>0.98937406275239848</v>
      </c>
      <c r="AE17" s="73"/>
      <c r="AF17" s="140">
        <v>7</v>
      </c>
      <c r="AG17" s="141">
        <f>_xll.qlCalendarEndOfMonth(Calendar,_xll.qlCalendarAdvance(Calendar,AG16,"1m","mf",TRUE),Trigger)</f>
        <v>42766</v>
      </c>
      <c r="AH17" s="140" t="str">
        <f t="shared" si="11"/>
        <v>GBPJump7_SYNTHON_Quote</v>
      </c>
      <c r="AI17" s="178">
        <f>_xll.qlDayCounterYearFraction("actual/360",AG17,_xll.qlCalendarAdvance(Calendar,AG17,"1D",,,Trigger))</f>
        <v>2.7777777777777779E-3</v>
      </c>
      <c r="AJ17" s="142" t="e">
        <f>IF(_xll.qlQuoteIsValid(AH17,Trigger),_xll.qlQuoteValue(AH17,Trigger),1)</f>
        <v>#NUM!</v>
      </c>
      <c r="AK17" s="181" t="e">
        <f t="shared" si="12"/>
        <v>#NUM!</v>
      </c>
      <c r="AL17" s="184">
        <v>0</v>
      </c>
      <c r="AM17" s="142">
        <f t="shared" si="13"/>
        <v>1</v>
      </c>
    </row>
    <row r="18" spans="1:39" ht="11.25" customHeight="1" x14ac:dyDescent="0.2">
      <c r="A18" s="58" t="s">
        <v>26</v>
      </c>
      <c r="B18" s="59" t="s">
        <v>47</v>
      </c>
      <c r="C18" s="60" t="s">
        <v>6</v>
      </c>
      <c r="D18" s="60" t="s">
        <v>8</v>
      </c>
      <c r="E18" s="60" t="s">
        <v>7</v>
      </c>
      <c r="F18" s="60" t="s">
        <v>141</v>
      </c>
      <c r="G18" s="60" t="str">
        <f t="shared" si="9"/>
        <v>GbpLibor1M</v>
      </c>
      <c r="H18" s="58" t="str">
        <f t="shared" si="10"/>
        <v>GBP10X1S_Quote</v>
      </c>
      <c r="I18" s="118">
        <v>0</v>
      </c>
      <c r="J18" s="223" t="str">
        <f>IF(P16,_xll.qlSwapRateHelper2(,H18,0,B18,Calendar,D18,E18,F18,G18,I18,C18,Discounting,PillarDate,,Permanent,Trigger,ObjectOverwrite),"--")</f>
        <v>obj_002a1#0001</v>
      </c>
      <c r="K18" s="48"/>
      <c r="L18" s="231" t="str">
        <f t="shared" si="5"/>
        <v>Sw</v>
      </c>
      <c r="M18" s="232" t="str">
        <f t="shared" si="6"/>
        <v>GBP12X1S_Quote</v>
      </c>
      <c r="N18" s="233">
        <f>IFERROR(_xll.qlQuoteValue(H20,Trigger),"--")</f>
        <v>2.2900000000000004E-3</v>
      </c>
      <c r="O18" s="233">
        <f t="shared" si="7"/>
        <v>0</v>
      </c>
      <c r="P18" s="131" t="b">
        <v>1</v>
      </c>
      <c r="Q18" s="88">
        <v>40</v>
      </c>
      <c r="R18" s="88">
        <v>1</v>
      </c>
      <c r="S18" s="88" t="str">
        <f t="shared" si="8"/>
        <v>obj_00289#0001</v>
      </c>
      <c r="T18" s="93">
        <f>IFERROR(_xll.qlRateHelperEarliestDate(S18,Trigger),"--")</f>
        <v>42559</v>
      </c>
      <c r="U18" s="93">
        <f>IFERROR(_xll.qlRateHelperPillarDate(S18,Trigger),"--")</f>
        <v>42926</v>
      </c>
      <c r="W18" s="140" t="str">
        <f t="shared" si="1"/>
        <v>BasSw</v>
      </c>
      <c r="X18" s="140" t="str">
        <v>obj_0028b</v>
      </c>
      <c r="Y18" s="140" t="str">
        <f>IFERROR(_xll.qlRateHelperQuoteName(X18,Trigger),"")</f>
        <v>GBPSB6L5Y_Quote</v>
      </c>
      <c r="Z18" s="170">
        <f>IFERROR(_xll.qlRateHelperRate(X18,Trigger),"")</f>
        <v>5.5500000000000002E-3</v>
      </c>
      <c r="AA18" s="171">
        <f>IF(ISERROR(_xll.qlSwapRateHelperSpread($X18)),IF(ISERROR(_xll.qlFuturesRateHelperConvexityAdjustment($X18)),"",_xll.qlFuturesRateHelperConvexityAdjustment($X18)),_xll.qlSwapRateHelperSpread($X18))</f>
        <v>2.48E-3</v>
      </c>
      <c r="AB18" s="141">
        <f>IFERROR(_xll.qlRateHelperEarliestDate(X18,Trigger),"")</f>
        <v>42559</v>
      </c>
      <c r="AC18" s="141">
        <f>IFERROR(_xll.qlRateHelperPillarDate(X18,Trigger),"")</f>
        <v>44385</v>
      </c>
      <c r="AD18" s="220">
        <v>0.984760056316898</v>
      </c>
      <c r="AE18" s="73"/>
      <c r="AF18" s="140">
        <v>8</v>
      </c>
      <c r="AG18" s="141">
        <f>_xll.qlCalendarEndOfMonth(Calendar,_xll.qlCalendarAdvance(Calendar,AG17,"1m","mf",TRUE),Trigger)</f>
        <v>42794</v>
      </c>
      <c r="AH18" s="140" t="str">
        <f t="shared" si="11"/>
        <v>GBPJump8_SYNTHON_Quote</v>
      </c>
      <c r="AI18" s="178">
        <f>_xll.qlDayCounterYearFraction("actual/360",AG18,_xll.qlCalendarAdvance(Calendar,AG18,"1D",,,Trigger))</f>
        <v>2.7777777777777779E-3</v>
      </c>
      <c r="AJ18" s="142" t="e">
        <f>IF(_xll.qlQuoteIsValid(AH18,Trigger),_xll.qlQuoteValue(AH18,Trigger),1)</f>
        <v>#NUM!</v>
      </c>
      <c r="AK18" s="181" t="e">
        <f t="shared" si="12"/>
        <v>#NUM!</v>
      </c>
      <c r="AL18" s="184">
        <v>0</v>
      </c>
      <c r="AM18" s="142">
        <f t="shared" si="13"/>
        <v>1</v>
      </c>
    </row>
    <row r="19" spans="1:39" ht="11.25" customHeight="1" x14ac:dyDescent="0.2">
      <c r="A19" s="58" t="s">
        <v>26</v>
      </c>
      <c r="B19" s="59" t="s">
        <v>48</v>
      </c>
      <c r="C19" s="60" t="s">
        <v>6</v>
      </c>
      <c r="D19" s="60" t="s">
        <v>8</v>
      </c>
      <c r="E19" s="60" t="s">
        <v>7</v>
      </c>
      <c r="F19" s="60" t="s">
        <v>141</v>
      </c>
      <c r="G19" s="60" t="str">
        <f t="shared" si="9"/>
        <v>GbpLibor1M</v>
      </c>
      <c r="H19" s="58" t="str">
        <f t="shared" si="10"/>
        <v>GBP11X1S_Quote</v>
      </c>
      <c r="I19" s="118">
        <v>0</v>
      </c>
      <c r="J19" s="223" t="str">
        <f>IF(P17,_xll.qlSwapRateHelper2(,H19,0,B19,Calendar,D19,E19,F19,G19,I19,C19,Discounting,PillarDate,,Permanent,Trigger,ObjectOverwrite),"--")</f>
        <v>obj_00291#0001</v>
      </c>
      <c r="K19" s="48"/>
      <c r="L19" s="249" t="str">
        <f t="shared" ref="L19:L55" si="14">A23</f>
        <v>BasSw</v>
      </c>
      <c r="M19" s="250" t="str">
        <f>H23</f>
        <v>GBPSB6L1Y_Quote</v>
      </c>
      <c r="N19" s="228" t="str">
        <f>IFERROR(_xll.qlQuoteValue(H23,Trigger),"--")</f>
        <v>--</v>
      </c>
      <c r="O19" s="228">
        <f>IFERROR(_xll.qlQuoteValue(I23,Trigger),"--")</f>
        <v>3.0899999999999999E-3</v>
      </c>
      <c r="P19" s="126" t="b">
        <v>0</v>
      </c>
      <c r="Q19" s="126">
        <v>40</v>
      </c>
      <c r="R19" s="126">
        <v>1</v>
      </c>
      <c r="S19" s="122" t="str">
        <f>J23</f>
        <v>--</v>
      </c>
      <c r="T19" s="124" t="str">
        <f>IFERROR(_xll.qlRateHelperEarliestDate(S19,Trigger),"--")</f>
        <v>--</v>
      </c>
      <c r="U19" s="124" t="str">
        <f>IFERROR(_xll.qlRateHelperPillarDate(S19,Trigger),"--")</f>
        <v>--</v>
      </c>
      <c r="W19" s="140" t="str">
        <f t="shared" si="1"/>
        <v>BasSw</v>
      </c>
      <c r="X19" s="140" t="str">
        <v>obj_002ae</v>
      </c>
      <c r="Y19" s="140" t="str">
        <f>IFERROR(_xll.qlRateHelperQuoteName(X19,Trigger),"")</f>
        <v>GBPSB6L6Y_Quote</v>
      </c>
      <c r="Z19" s="170">
        <f>IFERROR(_xll.qlRateHelperRate(X19,Trigger),"")</f>
        <v>6.0400000000000011E-3</v>
      </c>
      <c r="AA19" s="171">
        <f>IF(ISERROR(_xll.qlSwapRateHelperSpread($X19)),IF(ISERROR(_xll.qlFuturesRateHelperConvexityAdjustment($X19)),"",_xll.qlFuturesRateHelperConvexityAdjustment($X19)),_xll.qlSwapRateHelperSpread($X19))</f>
        <v>2.3999999999999998E-3</v>
      </c>
      <c r="AB19" s="141">
        <f>IFERROR(_xll.qlRateHelperEarliestDate(X19,Trigger),"")</f>
        <v>42559</v>
      </c>
      <c r="AC19" s="141">
        <f>IFERROR(_xll.qlRateHelperPillarDate(X19,Trigger),"")</f>
        <v>44750</v>
      </c>
      <c r="AD19" s="220">
        <v>0.97837315866138652</v>
      </c>
      <c r="AE19" s="73"/>
      <c r="AF19" s="140">
        <v>9</v>
      </c>
      <c r="AG19" s="141">
        <f>_xll.qlCalendarEndOfMonth(Calendar,_xll.qlCalendarAdvance(Calendar,AG18,"1m","mf",TRUE),Trigger)</f>
        <v>42825</v>
      </c>
      <c r="AH19" s="140" t="str">
        <f t="shared" si="11"/>
        <v>GBPJump9_SYNTHON_Quote</v>
      </c>
      <c r="AI19" s="178">
        <f>_xll.qlDayCounterYearFraction("actual/360",AG19,_xll.qlCalendarAdvance(Calendar,AG19,"1D",,,Trigger))</f>
        <v>8.3333333333333332E-3</v>
      </c>
      <c r="AJ19" s="142" t="e">
        <f>IF(_xll.qlQuoteIsValid(AH19,Trigger),_xll.qlQuoteValue(AH19,Trigger),1)</f>
        <v>#NUM!</v>
      </c>
      <c r="AK19" s="181" t="e">
        <f t="shared" si="12"/>
        <v>#NUM!</v>
      </c>
      <c r="AL19" s="184">
        <v>0</v>
      </c>
      <c r="AM19" s="142">
        <f t="shared" si="13"/>
        <v>1</v>
      </c>
    </row>
    <row r="20" spans="1:39" ht="11.25" customHeight="1" x14ac:dyDescent="0.2">
      <c r="A20" s="1" t="s">
        <v>26</v>
      </c>
      <c r="B20" s="7" t="s">
        <v>114</v>
      </c>
      <c r="C20" s="6" t="s">
        <v>6</v>
      </c>
      <c r="D20" s="6" t="s">
        <v>8</v>
      </c>
      <c r="E20" s="6" t="s">
        <v>7</v>
      </c>
      <c r="F20" s="6" t="s">
        <v>141</v>
      </c>
      <c r="G20" s="6" t="str">
        <f t="shared" si="9"/>
        <v>GbpLibor1M</v>
      </c>
      <c r="H20" s="1" t="str">
        <f t="shared" si="10"/>
        <v>GBP12X1S_Quote</v>
      </c>
      <c r="I20" s="121">
        <v>0</v>
      </c>
      <c r="J20" s="224" t="str">
        <f>IF(P18,_xll.qlSwapRateHelper2(,H20,0,B20,Calendar,D20,E20,F20,G20,I20,C20,Discounting,PillarDate,,Permanent,Trigger,ObjectOverwrite),"--")</f>
        <v>obj_00289#0001</v>
      </c>
      <c r="K20" s="48"/>
      <c r="L20" s="251" t="str">
        <f t="shared" si="14"/>
        <v>BasSw</v>
      </c>
      <c r="M20" s="252" t="str">
        <f t="shared" ref="M20:M55" si="15">H24</f>
        <v>GBPSB6L15M_Quote</v>
      </c>
      <c r="N20" s="228" t="str">
        <f>IFERROR(_xll.qlQuoteValue(H24,Trigger),"--")</f>
        <v>--</v>
      </c>
      <c r="O20" s="228" t="str">
        <f>IFERROR(_xll.qlQuoteValue(I24,Trigger),"--")</f>
        <v>--</v>
      </c>
      <c r="P20" s="129" t="b">
        <v>0</v>
      </c>
      <c r="Q20" s="129">
        <v>40</v>
      </c>
      <c r="R20" s="129">
        <v>1</v>
      </c>
      <c r="S20" s="129" t="str">
        <f t="shared" ref="S20:S55" si="16">J24</f>
        <v>--</v>
      </c>
      <c r="T20" s="91" t="str">
        <f>IFERROR(_xll.qlRateHelperEarliestDate(S20,Trigger),"--")</f>
        <v>--</v>
      </c>
      <c r="U20" s="91" t="str">
        <f>IFERROR(_xll.qlRateHelperPillarDate(S20,Trigger),"--")</f>
        <v>--</v>
      </c>
      <c r="W20" s="140" t="str">
        <f t="shared" si="1"/>
        <v>BasSw</v>
      </c>
      <c r="X20" s="140" t="str">
        <v>obj_00286</v>
      </c>
      <c r="Y20" s="140" t="str">
        <f>IFERROR(_xll.qlRateHelperQuoteName(X20,Trigger),"")</f>
        <v>GBPSB6L7Y_Quote</v>
      </c>
      <c r="Z20" s="170">
        <f>IFERROR(_xll.qlRateHelperRate(X20,Trigger),"")</f>
        <v>6.62E-3</v>
      </c>
      <c r="AA20" s="171">
        <f>IF(ISERROR(_xll.qlSwapRateHelperSpread($X20)),IF(ISERROR(_xll.qlFuturesRateHelperConvexityAdjustment($X20)),"",_xll.qlFuturesRateHelperConvexityAdjustment($X20)),_xll.qlSwapRateHelperSpread($X20))</f>
        <v>2.32E-3</v>
      </c>
      <c r="AB20" s="141">
        <f>IFERROR(_xll.qlRateHelperEarliestDate(X20,Trigger),"")</f>
        <v>42559</v>
      </c>
      <c r="AC20" s="141">
        <f>IFERROR(_xll.qlRateHelperPillarDate(X20,Trigger),"")</f>
        <v>45117</v>
      </c>
      <c r="AD20" s="220">
        <v>0.97026274938145274</v>
      </c>
      <c r="AE20" s="73"/>
      <c r="AF20" s="140">
        <v>10</v>
      </c>
      <c r="AG20" s="141">
        <f>_xll.qlCalendarEndOfMonth(Calendar,_xll.qlCalendarAdvance(Calendar,AG19,"1m","mf",TRUE),Trigger)</f>
        <v>42853</v>
      </c>
      <c r="AH20" s="140" t="str">
        <f t="shared" si="11"/>
        <v>GBPJump10_SYNTHON_Quote</v>
      </c>
      <c r="AI20" s="178">
        <f>_xll.qlDayCounterYearFraction("actual/360",AG20,_xll.qlCalendarAdvance(Calendar,AG20,"1D",,,Trigger))</f>
        <v>1.1111111111111112E-2</v>
      </c>
      <c r="AJ20" s="142" t="e">
        <f>IF(_xll.qlQuoteIsValid(AH20,Trigger),_xll.qlQuoteValue(AH20,Trigger),1)</f>
        <v>#NUM!</v>
      </c>
      <c r="AK20" s="181" t="e">
        <f t="shared" si="12"/>
        <v>#NUM!</v>
      </c>
      <c r="AL20" s="184">
        <v>0</v>
      </c>
      <c r="AM20" s="142">
        <f t="shared" si="13"/>
        <v>1</v>
      </c>
    </row>
    <row r="21" spans="1:39" ht="11.25" customHeight="1" x14ac:dyDescent="0.2">
      <c r="G21" s="50" t="s">
        <v>142</v>
      </c>
      <c r="H21" s="50" t="s">
        <v>143</v>
      </c>
      <c r="I21" s="46" t="s">
        <v>144</v>
      </c>
      <c r="K21" s="48"/>
      <c r="L21" s="251" t="str">
        <f t="shared" si="14"/>
        <v>BasSw</v>
      </c>
      <c r="M21" s="252" t="str">
        <f t="shared" si="15"/>
        <v>GBPSB6L18M_Quote</v>
      </c>
      <c r="N21" s="228">
        <f>IFERROR(_xll.qlQuoteValue(H25,Trigger),"--")</f>
        <v>5.1500000000000001E-3</v>
      </c>
      <c r="O21" s="228" t="str">
        <f>IFERROR(_xll.qlQuoteValue(I25,Trigger),"--")</f>
        <v>--</v>
      </c>
      <c r="P21" s="129" t="b">
        <v>0</v>
      </c>
      <c r="Q21" s="129">
        <v>40</v>
      </c>
      <c r="R21" s="129">
        <v>1</v>
      </c>
      <c r="S21" s="129" t="str">
        <f t="shared" si="16"/>
        <v>--</v>
      </c>
      <c r="T21" s="91" t="str">
        <f>IFERROR(_xll.qlRateHelperEarliestDate(S21,Trigger),"--")</f>
        <v>--</v>
      </c>
      <c r="U21" s="91" t="str">
        <f>IFERROR(_xll.qlRateHelperPillarDate(S21,Trigger),"--")</f>
        <v>--</v>
      </c>
      <c r="W21" s="140" t="str">
        <f t="shared" si="1"/>
        <v>BasSw</v>
      </c>
      <c r="X21" s="140" t="str">
        <v>obj_0029c</v>
      </c>
      <c r="Y21" s="140" t="str">
        <f>IFERROR(_xll.qlRateHelperQuoteName(X21,Trigger),"")</f>
        <v>GBPSB6L8Y_Quote</v>
      </c>
      <c r="Z21" s="170">
        <f>IFERROR(_xll.qlRateHelperRate(X21,Trigger),"")</f>
        <v>7.2600000000000008E-3</v>
      </c>
      <c r="AA21" s="171">
        <f>IF(ISERROR(_xll.qlSwapRateHelperSpread($X21)),IF(ISERROR(_xll.qlFuturesRateHelperConvexityAdjustment($X21)),"",_xll.qlFuturesRateHelperConvexityAdjustment($X21)),_xll.qlSwapRateHelperSpread($X21))</f>
        <v>2.2000000000000001E-3</v>
      </c>
      <c r="AB21" s="141">
        <f>IFERROR(_xll.qlRateHelperEarliestDate(X21,Trigger),"")</f>
        <v>42559</v>
      </c>
      <c r="AC21" s="141">
        <f>IFERROR(_xll.qlRateHelperPillarDate(X21,Trigger),"")</f>
        <v>45481</v>
      </c>
      <c r="AD21" s="220">
        <v>0.96016872253695174</v>
      </c>
      <c r="AE21" s="73"/>
      <c r="AF21" s="140">
        <v>11</v>
      </c>
      <c r="AG21" s="141">
        <f>_xll.qlCalendarEndOfMonth(Calendar,_xll.qlCalendarAdvance(Calendar,AG20,"1m","mf",TRUE),Trigger)</f>
        <v>42886</v>
      </c>
      <c r="AH21" s="140" t="str">
        <f t="shared" si="11"/>
        <v>GBPJump11_SYNTHON_Quote</v>
      </c>
      <c r="AI21" s="178">
        <f>_xll.qlDayCounterYearFraction("actual/360",AG21,_xll.qlCalendarAdvance(Calendar,AG21,"1D",,,Trigger))</f>
        <v>2.7777777777777779E-3</v>
      </c>
      <c r="AJ21" s="142" t="e">
        <f>IF(_xll.qlQuoteIsValid(AH21,Trigger),_xll.qlQuoteValue(AH21,Trigger),1)</f>
        <v>#NUM!</v>
      </c>
      <c r="AK21" s="181" t="e">
        <f t="shared" si="12"/>
        <v>#NUM!</v>
      </c>
      <c r="AL21" s="184">
        <v>0</v>
      </c>
      <c r="AM21" s="142">
        <f t="shared" si="13"/>
        <v>1</v>
      </c>
    </row>
    <row r="22" spans="1:39" ht="11.25" customHeight="1" x14ac:dyDescent="0.2">
      <c r="A22" s="63" t="s">
        <v>9</v>
      </c>
      <c r="B22" s="63" t="s">
        <v>30</v>
      </c>
      <c r="C22" s="63" t="s">
        <v>127</v>
      </c>
      <c r="D22" s="63" t="s">
        <v>5</v>
      </c>
      <c r="E22" s="63" t="s">
        <v>34</v>
      </c>
      <c r="F22" s="63" t="s">
        <v>113</v>
      </c>
      <c r="G22" s="63" t="s">
        <v>4</v>
      </c>
      <c r="H22" s="63" t="s">
        <v>1</v>
      </c>
      <c r="I22" s="63" t="s">
        <v>112</v>
      </c>
      <c r="J22" s="63" t="s">
        <v>25</v>
      </c>
      <c r="K22" s="48"/>
      <c r="L22" s="251" t="str">
        <f t="shared" si="14"/>
        <v>BasSw</v>
      </c>
      <c r="M22" s="252" t="str">
        <f t="shared" si="15"/>
        <v>GBPSB6L21M_Quote</v>
      </c>
      <c r="N22" s="228" t="str">
        <f>IFERROR(_xll.qlQuoteValue(H26,Trigger),"--")</f>
        <v>--</v>
      </c>
      <c r="O22" s="228" t="str">
        <f>IFERROR(_xll.qlQuoteValue(I26,Trigger),"--")</f>
        <v>--</v>
      </c>
      <c r="P22" s="129" t="b">
        <v>0</v>
      </c>
      <c r="Q22" s="129">
        <v>40</v>
      </c>
      <c r="R22" s="129">
        <v>1</v>
      </c>
      <c r="S22" s="129" t="str">
        <f t="shared" si="16"/>
        <v>--</v>
      </c>
      <c r="T22" s="91" t="str">
        <f>IFERROR(_xll.qlRateHelperEarliestDate(S22,Trigger),"--")</f>
        <v>--</v>
      </c>
      <c r="U22" s="91" t="str">
        <f>IFERROR(_xll.qlRateHelperPillarDate(S22,Trigger),"--")</f>
        <v>--</v>
      </c>
      <c r="W22" s="140" t="str">
        <f t="shared" si="1"/>
        <v>BasSw</v>
      </c>
      <c r="X22" s="140" t="str">
        <v>obj_00288</v>
      </c>
      <c r="Y22" s="140" t="str">
        <f>IFERROR(_xll.qlRateHelperQuoteName(X22,Trigger),"")</f>
        <v>GBPSB6L9Y_Quote</v>
      </c>
      <c r="Z22" s="170">
        <f>IFERROR(_xll.qlRateHelperRate(X22,Trigger),"")</f>
        <v>7.8600000000000007E-3</v>
      </c>
      <c r="AA22" s="171">
        <f>IF(ISERROR(_xll.qlSwapRateHelperSpread($X22)),IF(ISERROR(_xll.qlFuturesRateHelperConvexityAdjustment($X22)),"",_xll.qlFuturesRateHelperConvexityAdjustment($X22)),_xll.qlSwapRateHelperSpread($X22))</f>
        <v>2.1099999999999999E-3</v>
      </c>
      <c r="AB22" s="141">
        <f>IFERROR(_xll.qlRateHelperEarliestDate(X22,Trigger),"")</f>
        <v>42559</v>
      </c>
      <c r="AC22" s="141">
        <f>IFERROR(_xll.qlRateHelperPillarDate(X22,Trigger),"")</f>
        <v>45846</v>
      </c>
      <c r="AD22" s="220">
        <v>0.94928516114413197</v>
      </c>
      <c r="AE22" s="73"/>
      <c r="AF22" s="140">
        <v>12</v>
      </c>
      <c r="AG22" s="141">
        <f>_xll.qlCalendarEndOfMonth(Calendar,_xll.qlCalendarAdvance(Calendar,AG21,"1m","mf",TRUE),Trigger)</f>
        <v>42916</v>
      </c>
      <c r="AH22" s="140" t="str">
        <f t="shared" si="11"/>
        <v>GBPJump12_SYNTHON_Quote</v>
      </c>
      <c r="AI22" s="178">
        <f>_xll.qlDayCounterYearFraction("actual/360",AG22,_xll.qlCalendarAdvance(Calendar,AG22,"1D",,,Trigger))</f>
        <v>8.3333333333333332E-3</v>
      </c>
      <c r="AJ22" s="142" t="e">
        <f>IF(_xll.qlQuoteIsValid(AH22,Trigger),_xll.qlQuoteValue(AH22,Trigger),1)</f>
        <v>#NUM!</v>
      </c>
      <c r="AK22" s="181" t="e">
        <f t="shared" si="12"/>
        <v>#NUM!</v>
      </c>
      <c r="AL22" s="184">
        <v>0</v>
      </c>
      <c r="AM22" s="142">
        <f t="shared" si="13"/>
        <v>1</v>
      </c>
    </row>
    <row r="23" spans="1:39" ht="11.25" customHeight="1" x14ac:dyDescent="0.2">
      <c r="A23" s="137" t="s">
        <v>115</v>
      </c>
      <c r="B23" s="163" t="s">
        <v>29</v>
      </c>
      <c r="C23" s="125" t="s">
        <v>6</v>
      </c>
      <c r="D23" s="125" t="s">
        <v>140</v>
      </c>
      <c r="E23" s="125" t="s">
        <v>7</v>
      </c>
      <c r="F23" s="125" t="s">
        <v>141</v>
      </c>
      <c r="G23" s="125" t="str">
        <f t="shared" ref="G23:G59" si="17">PROPER(Currency)&amp;FamilyName&amp;Tenor</f>
        <v>GbpLibor1M</v>
      </c>
      <c r="H23" s="132" t="str">
        <f t="shared" ref="H23:H59" si="18">Currency&amp;$G$21&amp;$H$21&amp;B23&amp;QuoteSuffix</f>
        <v>GBPSB6L1Y_Quote</v>
      </c>
      <c r="I23" s="172" t="str">
        <f t="shared" ref="I23:I59" si="19">Currency&amp;$I$21&amp;$H$21&amp;B23&amp;QuoteSuffix</f>
        <v>GBP1L6L1Y_Quote</v>
      </c>
      <c r="J23" s="129" t="str">
        <f>IF(P19,_xll.qlSwapRateHelper2(,H23,0,B23,Calendar,D23,E23,F23,G23,I23,C23,Discounting,PillarDate,,Permanent,Trigger,ObjectOverwrite),"--")</f>
        <v>--</v>
      </c>
      <c r="K23" s="48"/>
      <c r="L23" s="251" t="str">
        <f t="shared" si="14"/>
        <v>BasSw</v>
      </c>
      <c r="M23" s="252" t="str">
        <f t="shared" si="15"/>
        <v>GBPSB6L2Y_Quote</v>
      </c>
      <c r="N23" s="228">
        <f>IFERROR(_xll.qlQuoteValue(H27,Trigger),"--")</f>
        <v>5.0600000000000003E-3</v>
      </c>
      <c r="O23" s="228">
        <f>IFERROR(_xll.qlQuoteValue(I27,Trigger),"--")</f>
        <v>2.81E-3</v>
      </c>
      <c r="P23" s="129" t="b">
        <v>1</v>
      </c>
      <c r="Q23" s="129">
        <v>40</v>
      </c>
      <c r="R23" s="129">
        <v>1</v>
      </c>
      <c r="S23" s="129" t="str">
        <f t="shared" si="16"/>
        <v>obj_0028d#0001</v>
      </c>
      <c r="T23" s="91">
        <f>IFERROR(_xll.qlRateHelperEarliestDate(S23,Trigger),"--")</f>
        <v>42559</v>
      </c>
      <c r="U23" s="91">
        <f>IFERROR(_xll.qlRateHelperPillarDate(S23,Trigger),"--")</f>
        <v>43290</v>
      </c>
      <c r="W23" s="140" t="str">
        <f t="shared" si="1"/>
        <v>BasSw</v>
      </c>
      <c r="X23" s="140" t="str">
        <v>obj_002a6</v>
      </c>
      <c r="Y23" s="140" t="str">
        <f>IFERROR(_xll.qlRateHelperQuoteName(X23,Trigger),"")</f>
        <v>GBPSB6L10Y_Quote</v>
      </c>
      <c r="Z23" s="170">
        <f>IFERROR(_xll.qlRateHelperRate(X23,Trigger),"")</f>
        <v>8.4100000000000008E-3</v>
      </c>
      <c r="AA23" s="171">
        <f>IF(ISERROR(_xll.qlSwapRateHelperSpread($X23)),IF(ISERROR(_xll.qlFuturesRateHelperConvexityAdjustment($X23)),"",_xll.qlFuturesRateHelperConvexityAdjustment($X23)),_xll.qlSwapRateHelperSpread($X23))</f>
        <v>2.0100000000000001E-3</v>
      </c>
      <c r="AB23" s="141">
        <f>IFERROR(_xll.qlRateHelperEarliestDate(X23,Trigger),"")</f>
        <v>42559</v>
      </c>
      <c r="AC23" s="141">
        <f>IFERROR(_xll.qlRateHelperPillarDate(X23,Trigger),"")</f>
        <v>46211</v>
      </c>
      <c r="AD23" s="220">
        <v>0.93755755884651404</v>
      </c>
      <c r="AE23" s="73"/>
      <c r="AF23" s="143">
        <v>13</v>
      </c>
      <c r="AG23" s="144">
        <f>_xll.qlCalendarAdjust(Calendar,DATE(YEAR(AG11)+1,12,31),"preceding",Trigger)</f>
        <v>43098</v>
      </c>
      <c r="AH23" s="143" t="str">
        <f t="shared" si="11"/>
        <v>GBPJump13_SYNTHON_Quote</v>
      </c>
      <c r="AI23" s="179">
        <f>_xll.qlDayCounterYearFraction("actual/360",AG23,_xll.qlCalendarAdvance(Calendar,AG23,"1D",,,Trigger))</f>
        <v>1.1111111111111112E-2</v>
      </c>
      <c r="AJ23" s="145" t="e">
        <f>IF(_xll.qlQuoteIsValid(AH23,Trigger),_xll.qlQuoteValue(AH23,Trigger),1)</f>
        <v>#NUM!</v>
      </c>
      <c r="AK23" s="182" t="e">
        <f t="shared" si="12"/>
        <v>#NUM!</v>
      </c>
      <c r="AL23" s="185">
        <v>0</v>
      </c>
      <c r="AM23" s="145">
        <f t="shared" si="13"/>
        <v>1</v>
      </c>
    </row>
    <row r="24" spans="1:39" ht="11.25" customHeight="1" x14ac:dyDescent="0.2">
      <c r="A24" s="140" t="s">
        <v>115</v>
      </c>
      <c r="B24" s="164" t="s">
        <v>49</v>
      </c>
      <c r="C24" s="128" t="s">
        <v>6</v>
      </c>
      <c r="D24" s="128" t="s">
        <v>140</v>
      </c>
      <c r="E24" s="128" t="s">
        <v>7</v>
      </c>
      <c r="F24" s="128" t="s">
        <v>141</v>
      </c>
      <c r="G24" s="128" t="str">
        <f t="shared" si="17"/>
        <v>GbpLibor1M</v>
      </c>
      <c r="H24" s="133" t="str">
        <f t="shared" si="18"/>
        <v>GBPSB6L15M_Quote</v>
      </c>
      <c r="I24" s="173" t="str">
        <f t="shared" si="19"/>
        <v>GBP1L6L15M_Quote</v>
      </c>
      <c r="J24" s="129" t="str">
        <f>IF(P20,_xll.qlSwapRateHelper2(,H24,0,B24,Calendar,D24,E24,F24,G24,I24,C24,Discounting,PillarDate,,Permanent,Trigger,ObjectOverwrite),"--")</f>
        <v>--</v>
      </c>
      <c r="K24" s="48"/>
      <c r="L24" s="251" t="str">
        <f t="shared" si="14"/>
        <v>BasSw</v>
      </c>
      <c r="M24" s="252" t="str">
        <f t="shared" si="15"/>
        <v>GBPSB6L3Y_Quote</v>
      </c>
      <c r="N24" s="228">
        <f>IFERROR(_xll.qlQuoteValue(H28,Trigger),"--")</f>
        <v>5.0499999999999998E-3</v>
      </c>
      <c r="O24" s="228">
        <f>IFERROR(_xll.qlQuoteValue(I28,Trigger),"--")</f>
        <v>2.6800000000000001E-3</v>
      </c>
      <c r="P24" s="129" t="b">
        <v>1</v>
      </c>
      <c r="Q24" s="129">
        <v>40</v>
      </c>
      <c r="R24" s="129">
        <v>1</v>
      </c>
      <c r="S24" s="129" t="str">
        <f t="shared" si="16"/>
        <v>obj_002c4#0001</v>
      </c>
      <c r="T24" s="91">
        <f>IFERROR(_xll.qlRateHelperEarliestDate(S24,Trigger),"--")</f>
        <v>42559</v>
      </c>
      <c r="U24" s="91">
        <f>IFERROR(_xll.qlRateHelperPillarDate(S24,Trigger),"--")</f>
        <v>43654</v>
      </c>
      <c r="W24" s="140" t="str">
        <f t="shared" si="1"/>
        <v>BasSw</v>
      </c>
      <c r="X24" s="140" t="str">
        <v>obj_0029a</v>
      </c>
      <c r="Y24" s="140" t="str">
        <f>IFERROR(_xll.qlRateHelperQuoteName(X24,Trigger),"")</f>
        <v>GBPSB6L12Y_Quote</v>
      </c>
      <c r="Z24" s="170">
        <f>IFERROR(_xll.qlRateHelperRate(X24,Trigger),"")</f>
        <v>9.3699999999999999E-3</v>
      </c>
      <c r="AA24" s="171">
        <f>IF(ISERROR(_xll.qlSwapRateHelperSpread($X24)),IF(ISERROR(_xll.qlFuturesRateHelperConvexityAdjustment($X24)),"",_xll.qlFuturesRateHelperConvexityAdjustment($X24)),_xll.qlSwapRateHelperSpread($X24))</f>
        <v>1.81E-3</v>
      </c>
      <c r="AB24" s="141">
        <f>IFERROR(_xll.qlRateHelperEarliestDate(X24,Trigger),"")</f>
        <v>42559</v>
      </c>
      <c r="AC24" s="141">
        <f>IFERROR(_xll.qlRateHelperPillarDate(X24,Trigger),"")</f>
        <v>46944</v>
      </c>
      <c r="AD24" s="220">
        <v>0.91229868014167059</v>
      </c>
      <c r="AE24" s="73"/>
    </row>
    <row r="25" spans="1:39" ht="11.25" customHeight="1" x14ac:dyDescent="0.2">
      <c r="A25" s="140" t="s">
        <v>115</v>
      </c>
      <c r="B25" s="164" t="s">
        <v>50</v>
      </c>
      <c r="C25" s="128" t="s">
        <v>6</v>
      </c>
      <c r="D25" s="128" t="s">
        <v>140</v>
      </c>
      <c r="E25" s="128" t="s">
        <v>7</v>
      </c>
      <c r="F25" s="128" t="s">
        <v>141</v>
      </c>
      <c r="G25" s="128" t="str">
        <f t="shared" si="17"/>
        <v>GbpLibor1M</v>
      </c>
      <c r="H25" s="133" t="str">
        <f t="shared" si="18"/>
        <v>GBPSB6L18M_Quote</v>
      </c>
      <c r="I25" s="173" t="str">
        <f t="shared" si="19"/>
        <v>GBP1L6L18M_Quote</v>
      </c>
      <c r="J25" s="129" t="str">
        <f>IF(P21,_xll.qlSwapRateHelper2(,H25,0,B25,Calendar,D25,E25,F25,G25,I25,C25,Discounting,PillarDate,,Permanent,Trigger,ObjectOverwrite),"--")</f>
        <v>--</v>
      </c>
      <c r="K25" s="48"/>
      <c r="L25" s="251" t="str">
        <f t="shared" si="14"/>
        <v>BasSw</v>
      </c>
      <c r="M25" s="252" t="str">
        <f t="shared" si="15"/>
        <v>GBPSB6L4Y_Quote</v>
      </c>
      <c r="N25" s="228">
        <f>IFERROR(_xll.qlQuoteValue(H29,Trigger),"--")</f>
        <v>5.2700000000000004E-3</v>
      </c>
      <c r="O25" s="228">
        <f>IFERROR(_xll.qlQuoteValue(I29,Trigger),"--")</f>
        <v>2.5600000000000002E-3</v>
      </c>
      <c r="P25" s="129" t="b">
        <v>1</v>
      </c>
      <c r="Q25" s="129">
        <v>40</v>
      </c>
      <c r="R25" s="129">
        <v>1</v>
      </c>
      <c r="S25" s="129" t="str">
        <f t="shared" si="16"/>
        <v>obj_002a9#0001</v>
      </c>
      <c r="T25" s="91">
        <f>IFERROR(_xll.qlRateHelperEarliestDate(S25,Trigger),"--")</f>
        <v>42559</v>
      </c>
      <c r="U25" s="91">
        <f>IFERROR(_xll.qlRateHelperPillarDate(S25,Trigger),"--")</f>
        <v>44020</v>
      </c>
      <c r="W25" s="140" t="str">
        <f t="shared" si="1"/>
        <v>BasSw</v>
      </c>
      <c r="X25" s="140" t="str">
        <v>obj_00290</v>
      </c>
      <c r="Y25" s="140" t="str">
        <f>IFERROR(_xll.qlRateHelperQuoteName(X25,Trigger),"")</f>
        <v>GBPSB6L15Y_Quote</v>
      </c>
      <c r="Z25" s="170">
        <f>IFERROR(_xll.qlRateHelperRate(X25,Trigger),"")</f>
        <v>1.0260000000000002E-2</v>
      </c>
      <c r="AA25" s="171">
        <f>IF(ISERROR(_xll.qlSwapRateHelperSpread($X25)),IF(ISERROR(_xll.qlFuturesRateHelperConvexityAdjustment($X25)),"",_xll.qlFuturesRateHelperConvexityAdjustment($X25)),_xll.qlSwapRateHelperSpread($X25))</f>
        <v>1.57E-3</v>
      </c>
      <c r="AB25" s="141">
        <f>IFERROR(_xll.qlRateHelperEarliestDate(X25,Trigger),"")</f>
        <v>42559</v>
      </c>
      <c r="AC25" s="141">
        <f>IFERROR(_xll.qlRateHelperPillarDate(X25,Trigger),"")</f>
        <v>48037</v>
      </c>
      <c r="AD25" s="220">
        <v>0.87607344345864113</v>
      </c>
      <c r="AE25" s="73"/>
    </row>
    <row r="26" spans="1:39" ht="11.25" customHeight="1" x14ac:dyDescent="0.2">
      <c r="A26" s="140" t="s">
        <v>115</v>
      </c>
      <c r="B26" s="164" t="s">
        <v>51</v>
      </c>
      <c r="C26" s="128" t="s">
        <v>6</v>
      </c>
      <c r="D26" s="128" t="s">
        <v>140</v>
      </c>
      <c r="E26" s="128" t="s">
        <v>7</v>
      </c>
      <c r="F26" s="128" t="s">
        <v>141</v>
      </c>
      <c r="G26" s="128" t="str">
        <f t="shared" si="17"/>
        <v>GbpLibor1M</v>
      </c>
      <c r="H26" s="133" t="str">
        <f t="shared" si="18"/>
        <v>GBPSB6L21M_Quote</v>
      </c>
      <c r="I26" s="173" t="str">
        <f t="shared" si="19"/>
        <v>GBP1L6L21M_Quote</v>
      </c>
      <c r="J26" s="129" t="str">
        <f>IF(P22,_xll.qlSwapRateHelper2(,H26,0,B26,Calendar,D26,E26,F26,G26,I26,C26,Discounting,PillarDate,,Permanent,Trigger,ObjectOverwrite),"--")</f>
        <v>--</v>
      </c>
      <c r="K26" s="48"/>
      <c r="L26" s="251" t="str">
        <f t="shared" si="14"/>
        <v>BasSw</v>
      </c>
      <c r="M26" s="252" t="str">
        <f t="shared" si="15"/>
        <v>GBPSB6L5Y_Quote</v>
      </c>
      <c r="N26" s="228">
        <f>IFERROR(_xll.qlQuoteValue(H30,Trigger),"--")</f>
        <v>5.6100000000000004E-3</v>
      </c>
      <c r="O26" s="228">
        <f>IFERROR(_xll.qlQuoteValue(I30,Trigger),"--")</f>
        <v>2.48E-3</v>
      </c>
      <c r="P26" s="129" t="b">
        <v>1</v>
      </c>
      <c r="Q26" s="129">
        <v>40</v>
      </c>
      <c r="R26" s="129">
        <v>1</v>
      </c>
      <c r="S26" s="129" t="str">
        <f t="shared" si="16"/>
        <v>obj_0028b#0001</v>
      </c>
      <c r="T26" s="91">
        <f>IFERROR(_xll.qlRateHelperEarliestDate(S26,Trigger),"--")</f>
        <v>42559</v>
      </c>
      <c r="U26" s="91">
        <f>IFERROR(_xll.qlRateHelperPillarDate(S26,Trigger),"--")</f>
        <v>44385</v>
      </c>
      <c r="W26" s="140" t="str">
        <f t="shared" si="1"/>
        <v>BasSw</v>
      </c>
      <c r="X26" s="140" t="str">
        <v>obj_002a8</v>
      </c>
      <c r="Y26" s="140" t="str">
        <f>IFERROR(_xll.qlRateHelperQuoteName(X26,Trigger),"")</f>
        <v>GBPSB6L20Y_Quote</v>
      </c>
      <c r="Z26" s="170">
        <f>IFERROR(_xll.qlRateHelperRate(X26,Trigger),"")</f>
        <v>1.081E-2</v>
      </c>
      <c r="AA26" s="171">
        <f>IF(ISERROR(_xll.qlSwapRateHelperSpread($X26)),IF(ISERROR(_xll.qlFuturesRateHelperConvexityAdjustment($X26)),"",_xll.qlFuturesRateHelperConvexityAdjustment($X26)),_xll.qlSwapRateHelperSpread($X26))</f>
        <v>1.31E-3</v>
      </c>
      <c r="AB26" s="141">
        <f>IFERROR(_xll.qlRateHelperEarliestDate(X26,Trigger),"")</f>
        <v>42559</v>
      </c>
      <c r="AC26" s="141">
        <f>IFERROR(_xll.qlRateHelperPillarDate(X26,Trigger),"")</f>
        <v>49864</v>
      </c>
      <c r="AD26" s="220">
        <v>0.82433375526783981</v>
      </c>
      <c r="AE26" s="73"/>
    </row>
    <row r="27" spans="1:39" ht="11.25" customHeight="1" x14ac:dyDescent="0.2">
      <c r="A27" s="140" t="s">
        <v>115</v>
      </c>
      <c r="B27" s="164" t="s">
        <v>52</v>
      </c>
      <c r="C27" s="128" t="s">
        <v>6</v>
      </c>
      <c r="D27" s="128" t="s">
        <v>140</v>
      </c>
      <c r="E27" s="128" t="s">
        <v>7</v>
      </c>
      <c r="F27" s="128" t="s">
        <v>141</v>
      </c>
      <c r="G27" s="128" t="str">
        <f t="shared" si="17"/>
        <v>GbpLibor1M</v>
      </c>
      <c r="H27" s="133" t="str">
        <f t="shared" si="18"/>
        <v>GBPSB6L2Y_Quote</v>
      </c>
      <c r="I27" s="173" t="str">
        <f t="shared" si="19"/>
        <v>GBP1L6L2Y_Quote</v>
      </c>
      <c r="J27" s="129" t="str">
        <f>IF(P23,_xll.qlSwapRateHelper2(,H27,0,B27,Calendar,D27,E27,F27,G27,I27,C27,Discounting,PillarDate,,Permanent,Trigger,ObjectOverwrite),"--")</f>
        <v>obj_0028d#0001</v>
      </c>
      <c r="K27" s="48"/>
      <c r="L27" s="251" t="str">
        <f t="shared" si="14"/>
        <v>BasSw</v>
      </c>
      <c r="M27" s="252" t="str">
        <f t="shared" si="15"/>
        <v>GBPSB6L6Y_Quote</v>
      </c>
      <c r="N27" s="228">
        <f>IFERROR(_xll.qlQuoteValue(H31,Trigger),"--")</f>
        <v>6.1200000000000013E-3</v>
      </c>
      <c r="O27" s="228">
        <f>IFERROR(_xll.qlQuoteValue(I31,Trigger),"--")</f>
        <v>2.3999999999999998E-3</v>
      </c>
      <c r="P27" s="129" t="b">
        <v>1</v>
      </c>
      <c r="Q27" s="129">
        <v>40</v>
      </c>
      <c r="R27" s="129">
        <v>1</v>
      </c>
      <c r="S27" s="129" t="str">
        <f t="shared" si="16"/>
        <v>obj_002ae#0001</v>
      </c>
      <c r="T27" s="91">
        <f>IFERROR(_xll.qlRateHelperEarliestDate(S27,Trigger),"--")</f>
        <v>42559</v>
      </c>
      <c r="U27" s="91">
        <f>IFERROR(_xll.qlRateHelperPillarDate(S27,Trigger),"--")</f>
        <v>44750</v>
      </c>
      <c r="W27" s="140" t="str">
        <f t="shared" si="1"/>
        <v>BasSw</v>
      </c>
      <c r="X27" s="140" t="str">
        <v>obj_00297</v>
      </c>
      <c r="Y27" s="140" t="str">
        <f>IFERROR(_xll.qlRateHelperQuoteName(X27,Trigger),"")</f>
        <v>GBPSB6L25Y_Quote</v>
      </c>
      <c r="Z27" s="170">
        <f>IFERROR(_xll.qlRateHelperRate(X27,Trigger),"")</f>
        <v>1.076E-2</v>
      </c>
      <c r="AA27" s="171">
        <f>IF(ISERROR(_xll.qlSwapRateHelperSpread($X27)),IF(ISERROR(_xll.qlFuturesRateHelperConvexityAdjustment($X27)),"",_xll.qlFuturesRateHelperConvexityAdjustment($X27)),_xll.qlSwapRateHelperSpread($X27))</f>
        <v>1.1299999999999999E-3</v>
      </c>
      <c r="AB27" s="141">
        <f>IFERROR(_xll.qlRateHelperEarliestDate(X27,Trigger),"")</f>
        <v>42559</v>
      </c>
      <c r="AC27" s="141">
        <f>IFERROR(_xll.qlRateHelperPillarDate(X27,Trigger),"")</f>
        <v>51690</v>
      </c>
      <c r="AD27" s="220">
        <v>0.78334457325411044</v>
      </c>
      <c r="AE27" s="73"/>
    </row>
    <row r="28" spans="1:39" ht="11.25" customHeight="1" x14ac:dyDescent="0.2">
      <c r="A28" s="140" t="s">
        <v>115</v>
      </c>
      <c r="B28" s="164" t="s">
        <v>53</v>
      </c>
      <c r="C28" s="128" t="s">
        <v>6</v>
      </c>
      <c r="D28" s="128" t="s">
        <v>140</v>
      </c>
      <c r="E28" s="128" t="s">
        <v>7</v>
      </c>
      <c r="F28" s="128" t="s">
        <v>141</v>
      </c>
      <c r="G28" s="128" t="str">
        <f t="shared" si="17"/>
        <v>GbpLibor1M</v>
      </c>
      <c r="H28" s="133" t="str">
        <f t="shared" si="18"/>
        <v>GBPSB6L3Y_Quote</v>
      </c>
      <c r="I28" s="173" t="str">
        <f t="shared" si="19"/>
        <v>GBP1L6L3Y_Quote</v>
      </c>
      <c r="J28" s="129" t="str">
        <f>IF(P24,_xll.qlSwapRateHelper2(,H28,0,B28,Calendar,D28,E28,F28,G28,I28,C28,Discounting,PillarDate,,Permanent,Trigger,ObjectOverwrite),"--")</f>
        <v>obj_002c4#0001</v>
      </c>
      <c r="K28" s="48"/>
      <c r="L28" s="251" t="str">
        <f t="shared" si="14"/>
        <v>BasSw</v>
      </c>
      <c r="M28" s="252" t="str">
        <f t="shared" si="15"/>
        <v>GBPSB6L7Y_Quote</v>
      </c>
      <c r="N28" s="228">
        <f>IFERROR(_xll.qlQuoteValue(H32,Trigger),"--")</f>
        <v>6.7100000000000007E-3</v>
      </c>
      <c r="O28" s="228">
        <f>IFERROR(_xll.qlQuoteValue(I32,Trigger),"--")</f>
        <v>2.31E-3</v>
      </c>
      <c r="P28" s="129" t="b">
        <v>1</v>
      </c>
      <c r="Q28" s="129">
        <v>40</v>
      </c>
      <c r="R28" s="129">
        <v>1</v>
      </c>
      <c r="S28" s="129" t="str">
        <f t="shared" si="16"/>
        <v>obj_00286#0001</v>
      </c>
      <c r="T28" s="91">
        <f>IFERROR(_xll.qlRateHelperEarliestDate(S28,Trigger),"--")</f>
        <v>42559</v>
      </c>
      <c r="U28" s="91">
        <f>IFERROR(_xll.qlRateHelperPillarDate(S28,Trigger),"--")</f>
        <v>45117</v>
      </c>
      <c r="W28" s="140" t="str">
        <f t="shared" si="1"/>
        <v>BasSw</v>
      </c>
      <c r="X28" s="140" t="str">
        <v>obj_0027c</v>
      </c>
      <c r="Y28" s="140" t="str">
        <f>IFERROR(_xll.qlRateHelperQuoteName(X28,Trigger),"")</f>
        <v>GBPSB6L30Y_Quote</v>
      </c>
      <c r="Z28" s="170">
        <f>IFERROR(_xll.qlRateHelperRate(X28,Trigger),"")</f>
        <v>1.0620000000000001E-2</v>
      </c>
      <c r="AA28" s="171">
        <f>IF(ISERROR(_xll.qlSwapRateHelperSpread($X28)),IF(ISERROR(_xll.qlFuturesRateHelperConvexityAdjustment($X28)),"",_xll.qlFuturesRateHelperConvexityAdjustment($X28)),_xll.qlSwapRateHelperSpread($X28))</f>
        <v>1E-3</v>
      </c>
      <c r="AB28" s="141">
        <f>IFERROR(_xll.qlRateHelperEarliestDate(X28,Trigger),"")</f>
        <v>42559</v>
      </c>
      <c r="AC28" s="141">
        <f>IFERROR(_xll.qlRateHelperPillarDate(X28,Trigger),"")</f>
        <v>53517</v>
      </c>
      <c r="AD28" s="220">
        <v>0.74683041194734867</v>
      </c>
      <c r="AE28" s="73"/>
    </row>
    <row r="29" spans="1:39" ht="11.25" customHeight="1" x14ac:dyDescent="0.2">
      <c r="A29" s="140" t="s">
        <v>115</v>
      </c>
      <c r="B29" s="164" t="s">
        <v>54</v>
      </c>
      <c r="C29" s="128" t="s">
        <v>6</v>
      </c>
      <c r="D29" s="128" t="s">
        <v>140</v>
      </c>
      <c r="E29" s="128" t="s">
        <v>7</v>
      </c>
      <c r="F29" s="128" t="s">
        <v>141</v>
      </c>
      <c r="G29" s="128" t="str">
        <f t="shared" si="17"/>
        <v>GbpLibor1M</v>
      </c>
      <c r="H29" s="133" t="str">
        <f t="shared" si="18"/>
        <v>GBPSB6L4Y_Quote</v>
      </c>
      <c r="I29" s="173" t="str">
        <f t="shared" si="19"/>
        <v>GBP1L6L4Y_Quote</v>
      </c>
      <c r="J29" s="129" t="str">
        <f>IF(P25,_xll.qlSwapRateHelper2(,H29,0,B29,Calendar,D29,E29,F29,G29,I29,C29,Discounting,PillarDate,,Permanent,Trigger,ObjectOverwrite),"--")</f>
        <v>obj_002a9#0001</v>
      </c>
      <c r="K29" s="48"/>
      <c r="L29" s="251" t="str">
        <f t="shared" si="14"/>
        <v>BasSw</v>
      </c>
      <c r="M29" s="252" t="str">
        <f t="shared" si="15"/>
        <v>GBPSB6L8Y_Quote</v>
      </c>
      <c r="N29" s="228">
        <f>IFERROR(_xll.qlQuoteValue(H33,Trigger),"--")</f>
        <v>7.3500000000000006E-3</v>
      </c>
      <c r="O29" s="228">
        <f>IFERROR(_xll.qlQuoteValue(I33,Trigger),"--")</f>
        <v>2.2000000000000001E-3</v>
      </c>
      <c r="P29" s="129" t="b">
        <v>1</v>
      </c>
      <c r="Q29" s="129">
        <v>40</v>
      </c>
      <c r="R29" s="129">
        <v>1</v>
      </c>
      <c r="S29" s="129" t="str">
        <f t="shared" si="16"/>
        <v>obj_0029c#0001</v>
      </c>
      <c r="T29" s="91">
        <f>IFERROR(_xll.qlRateHelperEarliestDate(S29,Trigger),"--")</f>
        <v>42559</v>
      </c>
      <c r="U29" s="91">
        <f>IFERROR(_xll.qlRateHelperPillarDate(S29,Trigger),"--")</f>
        <v>45481</v>
      </c>
      <c r="W29" s="140" t="str">
        <f t="shared" si="1"/>
        <v>BasSw</v>
      </c>
      <c r="X29" s="140" t="str">
        <v>obj_00299</v>
      </c>
      <c r="Y29" s="140" t="str">
        <f>IFERROR(_xll.qlRateHelperQuoteName(X29,Trigger),"")</f>
        <v>GBPSB6L40Y_Quote</v>
      </c>
      <c r="Z29" s="170">
        <f>IFERROR(_xll.qlRateHelperRate(X29,Trigger),"")</f>
        <v>9.9900000000000006E-3</v>
      </c>
      <c r="AA29" s="171">
        <f>IF(ISERROR(_xll.qlSwapRateHelperSpread($X29)),IF(ISERROR(_xll.qlFuturesRateHelperConvexityAdjustment($X29)),"",_xll.qlFuturesRateHelperConvexityAdjustment($X29)),_xll.qlSwapRateHelperSpread($X29))</f>
        <v>8.4000000000000003E-4</v>
      </c>
      <c r="AB29" s="141">
        <f>IFERROR(_xll.qlRateHelperEarliestDate(X29,Trigger),"")</f>
        <v>42559</v>
      </c>
      <c r="AC29" s="141">
        <f>IFERROR(_xll.qlRateHelperPillarDate(X29,Trigger),"")</f>
        <v>57171</v>
      </c>
      <c r="AD29" s="220">
        <v>0.69331746390814553</v>
      </c>
      <c r="AE29" s="73"/>
    </row>
    <row r="30" spans="1:39" ht="11.25" customHeight="1" x14ac:dyDescent="0.2">
      <c r="A30" s="140" t="s">
        <v>115</v>
      </c>
      <c r="B30" s="164" t="s">
        <v>55</v>
      </c>
      <c r="C30" s="128" t="s">
        <v>6</v>
      </c>
      <c r="D30" s="128" t="s">
        <v>140</v>
      </c>
      <c r="E30" s="128" t="s">
        <v>7</v>
      </c>
      <c r="F30" s="128" t="s">
        <v>141</v>
      </c>
      <c r="G30" s="128" t="str">
        <f t="shared" si="17"/>
        <v>GbpLibor1M</v>
      </c>
      <c r="H30" s="133" t="str">
        <f t="shared" si="18"/>
        <v>GBPSB6L5Y_Quote</v>
      </c>
      <c r="I30" s="173" t="str">
        <f t="shared" si="19"/>
        <v>GBP1L6L5Y_Quote</v>
      </c>
      <c r="J30" s="129" t="str">
        <f>IF(P26,_xll.qlSwapRateHelper2(,H30,0,B30,Calendar,D30,E30,F30,G30,I30,C30,Discounting,PillarDate,,Permanent,Trigger,ObjectOverwrite),"--")</f>
        <v>obj_0028b#0001</v>
      </c>
      <c r="K30" s="48"/>
      <c r="L30" s="251" t="str">
        <f t="shared" si="14"/>
        <v>BasSw</v>
      </c>
      <c r="M30" s="252" t="str">
        <f t="shared" si="15"/>
        <v>GBPSB6L9Y_Quote</v>
      </c>
      <c r="N30" s="228">
        <f>IFERROR(_xll.qlQuoteValue(H34,Trigger),"--")</f>
        <v>7.9600000000000001E-3</v>
      </c>
      <c r="O30" s="228">
        <f>IFERROR(_xll.qlQuoteValue(I34,Trigger),"--")</f>
        <v>2.1099999999999999E-3</v>
      </c>
      <c r="P30" s="129" t="b">
        <v>1</v>
      </c>
      <c r="Q30" s="129">
        <v>40</v>
      </c>
      <c r="R30" s="129">
        <v>1</v>
      </c>
      <c r="S30" s="129" t="str">
        <f t="shared" si="16"/>
        <v>obj_00288#0001</v>
      </c>
      <c r="T30" s="91">
        <f>IFERROR(_xll.qlRateHelperEarliestDate(S30,Trigger),"--")</f>
        <v>42559</v>
      </c>
      <c r="U30" s="91">
        <f>IFERROR(_xll.qlRateHelperPillarDate(S30,Trigger),"--")</f>
        <v>45846</v>
      </c>
      <c r="W30" s="140" t="str">
        <f t="shared" si="1"/>
        <v>BasSw</v>
      </c>
      <c r="X30" s="140" t="str">
        <v>obj_00295</v>
      </c>
      <c r="Y30" s="140" t="str">
        <f>IFERROR(_xll.qlRateHelperQuoteName(X30,Trigger),"")</f>
        <v>GBPSB6L50Y_Quote</v>
      </c>
      <c r="Z30" s="170">
        <f>IFERROR(_xll.qlRateHelperRate(X30,Trigger),"")</f>
        <v>9.5700000000000004E-3</v>
      </c>
      <c r="AA30" s="171">
        <f>IF(ISERROR(_xll.qlSwapRateHelperSpread($X30)),IF(ISERROR(_xll.qlFuturesRateHelperConvexityAdjustment($X30)),"",_xll.qlFuturesRateHelperConvexityAdjustment($X30)),_xll.qlSwapRateHelperSpread($X30))</f>
        <v>7.3999999999999999E-4</v>
      </c>
      <c r="AB30" s="141">
        <f>IFERROR(_xll.qlRateHelperEarliestDate(X30,Trigger),"")</f>
        <v>42559</v>
      </c>
      <c r="AC30" s="141">
        <f>IFERROR(_xll.qlRateHelperPillarDate(X30,Trigger),"")</f>
        <v>60821</v>
      </c>
      <c r="AD30" s="220">
        <v>0.64482892289120175</v>
      </c>
      <c r="AE30" s="73"/>
    </row>
    <row r="31" spans="1:39" ht="11.25" customHeight="1" x14ac:dyDescent="0.2">
      <c r="A31" s="140" t="s">
        <v>115</v>
      </c>
      <c r="B31" s="164" t="s">
        <v>56</v>
      </c>
      <c r="C31" s="128" t="s">
        <v>6</v>
      </c>
      <c r="D31" s="128" t="s">
        <v>140</v>
      </c>
      <c r="E31" s="128" t="s">
        <v>7</v>
      </c>
      <c r="F31" s="128" t="s">
        <v>141</v>
      </c>
      <c r="G31" s="128" t="str">
        <f t="shared" si="17"/>
        <v>GbpLibor1M</v>
      </c>
      <c r="H31" s="133" t="str">
        <f t="shared" si="18"/>
        <v>GBPSB6L6Y_Quote</v>
      </c>
      <c r="I31" s="173" t="str">
        <f t="shared" si="19"/>
        <v>GBP1L6L6Y_Quote</v>
      </c>
      <c r="J31" s="129" t="str">
        <f>IF(P27,_xll.qlSwapRateHelper2(,H31,0,B31,Calendar,D31,E31,F31,G31,I31,C31,Discounting,PillarDate,,Permanent,Trigger,ObjectOverwrite),"--")</f>
        <v>obj_002ae#0001</v>
      </c>
      <c r="K31" s="48"/>
      <c r="L31" s="251" t="str">
        <f t="shared" si="14"/>
        <v>BasSw</v>
      </c>
      <c r="M31" s="252" t="str">
        <f t="shared" si="15"/>
        <v>GBPSB6L10Y_Quote</v>
      </c>
      <c r="N31" s="228">
        <f>IFERROR(_xll.qlQuoteValue(H35,Trigger),"--")</f>
        <v>8.5100000000000002E-3</v>
      </c>
      <c r="O31" s="228">
        <f>IFERROR(_xll.qlQuoteValue(I35,Trigger),"--")</f>
        <v>2.0100000000000001E-3</v>
      </c>
      <c r="P31" s="129" t="b">
        <v>1</v>
      </c>
      <c r="Q31" s="129">
        <v>40</v>
      </c>
      <c r="R31" s="129">
        <v>1</v>
      </c>
      <c r="S31" s="129" t="str">
        <f t="shared" si="16"/>
        <v>obj_002a6#0001</v>
      </c>
      <c r="T31" s="91">
        <f>IFERROR(_xll.qlRateHelperEarliestDate(S31,Trigger),"--")</f>
        <v>42559</v>
      </c>
      <c r="U31" s="91">
        <f>IFERROR(_xll.qlRateHelperPillarDate(S31,Trigger),"--")</f>
        <v>46211</v>
      </c>
      <c r="W31" s="140" t="str">
        <f t="shared" si="1"/>
        <v>BasSw</v>
      </c>
      <c r="X31" s="140" t="str">
        <v>obj_0026e</v>
      </c>
      <c r="Y31" s="140" t="str">
        <f>IFERROR(_xll.qlRateHelperQuoteName(X31,Trigger),"")</f>
        <v>GBPSB6L60Y_Quote</v>
      </c>
      <c r="Z31" s="170">
        <f>IFERROR(_xll.qlRateHelperRate(X31,Trigger),"")</f>
        <v>9.5100000000000011E-3</v>
      </c>
      <c r="AA31" s="171">
        <f>IF(ISERROR(_xll.qlSwapRateHelperSpread($X31)),IF(ISERROR(_xll.qlFuturesRateHelperConvexityAdjustment($X31)),"",_xll.qlFuturesRateHelperConvexityAdjustment($X31)),_xll.qlSwapRateHelperSpread($X31))</f>
        <v>6.6E-4</v>
      </c>
      <c r="AB31" s="141">
        <f>IFERROR(_xll.qlRateHelperEarliestDate(X31,Trigger),"")</f>
        <v>42559</v>
      </c>
      <c r="AC31" s="141">
        <f>IFERROR(_xll.qlRateHelperPillarDate(X31,Trigger),"")</f>
        <v>64474</v>
      </c>
      <c r="AD31" s="220">
        <v>0.58948028179114531</v>
      </c>
      <c r="AE31" s="73"/>
    </row>
    <row r="32" spans="1:39" ht="11.25" customHeight="1" x14ac:dyDescent="0.2">
      <c r="A32" s="140" t="s">
        <v>115</v>
      </c>
      <c r="B32" s="164" t="s">
        <v>57</v>
      </c>
      <c r="C32" s="128" t="s">
        <v>6</v>
      </c>
      <c r="D32" s="128" t="s">
        <v>140</v>
      </c>
      <c r="E32" s="128" t="s">
        <v>7</v>
      </c>
      <c r="F32" s="128" t="s">
        <v>141</v>
      </c>
      <c r="G32" s="128" t="str">
        <f t="shared" si="17"/>
        <v>GbpLibor1M</v>
      </c>
      <c r="H32" s="133" t="str">
        <f t="shared" si="18"/>
        <v>GBPSB6L7Y_Quote</v>
      </c>
      <c r="I32" s="173" t="str">
        <f t="shared" si="19"/>
        <v>GBP1L6L7Y_Quote</v>
      </c>
      <c r="J32" s="129" t="str">
        <f>IF(P28,_xll.qlSwapRateHelper2(,H32,0,B32,Calendar,D32,E32,F32,G32,I32,C32,Discounting,PillarDate,,Permanent,Trigger,ObjectOverwrite),"--")</f>
        <v>obj_00286#0001</v>
      </c>
      <c r="K32" s="48"/>
      <c r="L32" s="251" t="str">
        <f t="shared" si="14"/>
        <v>BasSw</v>
      </c>
      <c r="M32" s="252" t="str">
        <f t="shared" si="15"/>
        <v>GBPSB6L11Y_Quote</v>
      </c>
      <c r="N32" s="228">
        <f>IFERROR(_xll.qlQuoteValue(H36,Trigger),"--")</f>
        <v>9.0299999999999998E-3</v>
      </c>
      <c r="O32" s="228" t="str">
        <f>IFERROR(_xll.qlQuoteValue(I36,Trigger),"--")</f>
        <v>--</v>
      </c>
      <c r="P32" s="129" t="b">
        <v>0</v>
      </c>
      <c r="Q32" s="129">
        <v>40</v>
      </c>
      <c r="R32" s="129">
        <v>1</v>
      </c>
      <c r="S32" s="129" t="str">
        <f t="shared" si="16"/>
        <v>--</v>
      </c>
      <c r="T32" s="91" t="str">
        <f>IFERROR(_xll.qlRateHelperEarliestDate(S32,Trigger),"--")</f>
        <v>--</v>
      </c>
      <c r="U32" s="91" t="str">
        <f>IFERROR(_xll.qlRateHelperPillarDate(S32,Trigger),"--")</f>
        <v>--</v>
      </c>
      <c r="W32" s="140" t="str">
        <f t="shared" si="1"/>
        <v/>
      </c>
      <c r="X32" s="140" t="e">
        <v>#N/A</v>
      </c>
      <c r="Y32" s="140" t="str">
        <f>IFERROR(_xll.qlRateHelperQuoteName(X32,Trigger),"")</f>
        <v/>
      </c>
      <c r="Z32" s="170" t="str">
        <f>IFERROR(_xll.qlRateHelperRate(X32,Trigger),"")</f>
        <v/>
      </c>
      <c r="AA32" s="171" t="str">
        <f>IF(ISERROR(_xll.qlSwapRateHelperSpread($X32)),IF(ISERROR(_xll.qlFuturesRateHelperConvexityAdjustment($X32)),"",_xll.qlFuturesRateHelperConvexityAdjustment($X32)),_xll.qlSwapRateHelperSpread($X32))</f>
        <v/>
      </c>
      <c r="AB32" s="141" t="str">
        <f>IFERROR(_xll.qlRateHelperEarliestDate(X32,Trigger),"")</f>
        <v/>
      </c>
      <c r="AC32" s="141" t="str">
        <f>IFERROR(_xll.qlRateHelperPillarDate(X32,Trigger),"")</f>
        <v/>
      </c>
      <c r="AD32" s="220" t="e">
        <v>#N/A</v>
      </c>
      <c r="AE32" s="73"/>
    </row>
    <row r="33" spans="1:31" ht="11.25" customHeight="1" x14ac:dyDescent="0.2">
      <c r="A33" s="140" t="s">
        <v>115</v>
      </c>
      <c r="B33" s="164" t="s">
        <v>58</v>
      </c>
      <c r="C33" s="128" t="s">
        <v>6</v>
      </c>
      <c r="D33" s="128" t="s">
        <v>140</v>
      </c>
      <c r="E33" s="128" t="s">
        <v>7</v>
      </c>
      <c r="F33" s="128" t="s">
        <v>141</v>
      </c>
      <c r="G33" s="128" t="str">
        <f t="shared" si="17"/>
        <v>GbpLibor1M</v>
      </c>
      <c r="H33" s="133" t="str">
        <f t="shared" si="18"/>
        <v>GBPSB6L8Y_Quote</v>
      </c>
      <c r="I33" s="173" t="str">
        <f t="shared" si="19"/>
        <v>GBP1L6L8Y_Quote</v>
      </c>
      <c r="J33" s="129" t="str">
        <f>IF(P29,_xll.qlSwapRateHelper2(,H33,0,B33,Calendar,D33,E33,F33,G33,I33,C33,Discounting,PillarDate,,Permanent,Trigger,ObjectOverwrite),"--")</f>
        <v>obj_0029c#0001</v>
      </c>
      <c r="K33" s="48"/>
      <c r="L33" s="251" t="str">
        <f t="shared" si="14"/>
        <v>BasSw</v>
      </c>
      <c r="M33" s="252" t="str">
        <f t="shared" si="15"/>
        <v>GBPSB6L12Y_Quote</v>
      </c>
      <c r="N33" s="228">
        <f>IFERROR(_xll.qlQuoteValue(H37,Trigger),"--")</f>
        <v>9.470000000000001E-3</v>
      </c>
      <c r="O33" s="228">
        <f>IFERROR(_xll.qlQuoteValue(I37,Trigger),"--")</f>
        <v>1.81E-3</v>
      </c>
      <c r="P33" s="129" t="b">
        <v>1</v>
      </c>
      <c r="Q33" s="129">
        <v>40</v>
      </c>
      <c r="R33" s="129">
        <v>1</v>
      </c>
      <c r="S33" s="129" t="str">
        <f t="shared" si="16"/>
        <v>obj_0029a#0001</v>
      </c>
      <c r="T33" s="91">
        <f>IFERROR(_xll.qlRateHelperEarliestDate(S33,Trigger),"--")</f>
        <v>42559</v>
      </c>
      <c r="U33" s="91">
        <f>IFERROR(_xll.qlRateHelperPillarDate(S33,Trigger),"--")</f>
        <v>46944</v>
      </c>
      <c r="W33" s="140" t="str">
        <f t="shared" si="1"/>
        <v/>
      </c>
      <c r="X33" s="140" t="e">
        <v>#N/A</v>
      </c>
      <c r="Y33" s="140" t="str">
        <f>IFERROR(_xll.qlRateHelperQuoteName(X33,Trigger),"")</f>
        <v/>
      </c>
      <c r="Z33" s="170" t="str">
        <f>IFERROR(_xll.qlRateHelperRate(X33,Trigger),"")</f>
        <v/>
      </c>
      <c r="AA33" s="171" t="str">
        <f>IF(ISERROR(_xll.qlSwapRateHelperSpread($X33)),IF(ISERROR(_xll.qlFuturesRateHelperConvexityAdjustment($X33)),"",_xll.qlFuturesRateHelperConvexityAdjustment($X33)),_xll.qlSwapRateHelperSpread($X33))</f>
        <v/>
      </c>
      <c r="AB33" s="141" t="str">
        <f>IFERROR(_xll.qlRateHelperEarliestDate(X33,Trigger),"")</f>
        <v/>
      </c>
      <c r="AC33" s="141" t="str">
        <f>IFERROR(_xll.qlRateHelperPillarDate(X33,Trigger),"")</f>
        <v/>
      </c>
      <c r="AD33" s="220" t="e">
        <v>#N/A</v>
      </c>
      <c r="AE33" s="73"/>
    </row>
    <row r="34" spans="1:31" ht="11.25" customHeight="1" x14ac:dyDescent="0.2">
      <c r="A34" s="140" t="s">
        <v>115</v>
      </c>
      <c r="B34" s="164" t="s">
        <v>59</v>
      </c>
      <c r="C34" s="128" t="s">
        <v>6</v>
      </c>
      <c r="D34" s="128" t="s">
        <v>140</v>
      </c>
      <c r="E34" s="128" t="s">
        <v>7</v>
      </c>
      <c r="F34" s="128" t="s">
        <v>141</v>
      </c>
      <c r="G34" s="128" t="str">
        <f t="shared" si="17"/>
        <v>GbpLibor1M</v>
      </c>
      <c r="H34" s="133" t="str">
        <f t="shared" si="18"/>
        <v>GBPSB6L9Y_Quote</v>
      </c>
      <c r="I34" s="173" t="str">
        <f t="shared" si="19"/>
        <v>GBP1L6L9Y_Quote</v>
      </c>
      <c r="J34" s="129" t="str">
        <f>IF(P30,_xll.qlSwapRateHelper2(,H34,0,B34,Calendar,D34,E34,F34,G34,I34,C34,Discounting,PillarDate,,Permanent,Trigger,ObjectOverwrite),"--")</f>
        <v>obj_00288#0001</v>
      </c>
      <c r="K34" s="48"/>
      <c r="L34" s="251" t="str">
        <f t="shared" si="14"/>
        <v>BasSw</v>
      </c>
      <c r="M34" s="252" t="str">
        <f t="shared" si="15"/>
        <v>GBPSB6L13Y_Quote</v>
      </c>
      <c r="N34" s="228" t="str">
        <f>IFERROR(_xll.qlQuoteValue(H38,Trigger),"--")</f>
        <v>--</v>
      </c>
      <c r="O34" s="228" t="str">
        <f>IFERROR(_xll.qlQuoteValue(I38,Trigger),"--")</f>
        <v>--</v>
      </c>
      <c r="P34" s="129" t="b">
        <v>0</v>
      </c>
      <c r="Q34" s="129">
        <v>40</v>
      </c>
      <c r="R34" s="129">
        <v>1</v>
      </c>
      <c r="S34" s="129" t="str">
        <f t="shared" si="16"/>
        <v>--</v>
      </c>
      <c r="T34" s="91" t="str">
        <f>IFERROR(_xll.qlRateHelperEarliestDate(S34,Trigger),"--")</f>
        <v>--</v>
      </c>
      <c r="U34" s="91" t="str">
        <f>IFERROR(_xll.qlRateHelperPillarDate(S34,Trigger),"--")</f>
        <v>--</v>
      </c>
      <c r="W34" s="140" t="str">
        <f t="shared" si="1"/>
        <v/>
      </c>
      <c r="X34" s="140" t="e">
        <v>#N/A</v>
      </c>
      <c r="Y34" s="140" t="str">
        <f>IFERROR(_xll.qlRateHelperQuoteName(X34,Trigger),"")</f>
        <v/>
      </c>
      <c r="Z34" s="170" t="str">
        <f>IFERROR(_xll.qlRateHelperRate(X34,Trigger),"")</f>
        <v/>
      </c>
      <c r="AA34" s="171" t="str">
        <f>IF(ISERROR(_xll.qlSwapRateHelperSpread($X34)),IF(ISERROR(_xll.qlFuturesRateHelperConvexityAdjustment($X34)),"",_xll.qlFuturesRateHelperConvexityAdjustment($X34)),_xll.qlSwapRateHelperSpread($X34))</f>
        <v/>
      </c>
      <c r="AB34" s="141" t="str">
        <f>IFERROR(_xll.qlRateHelperEarliestDate(X34,Trigger),"")</f>
        <v/>
      </c>
      <c r="AC34" s="141" t="str">
        <f>IFERROR(_xll.qlRateHelperPillarDate(X34,Trigger),"")</f>
        <v/>
      </c>
      <c r="AD34" s="220" t="e">
        <v>#N/A</v>
      </c>
      <c r="AE34" s="73"/>
    </row>
    <row r="35" spans="1:31" ht="11.25" customHeight="1" x14ac:dyDescent="0.2">
      <c r="A35" s="140" t="s">
        <v>115</v>
      </c>
      <c r="B35" s="164" t="s">
        <v>60</v>
      </c>
      <c r="C35" s="128" t="s">
        <v>6</v>
      </c>
      <c r="D35" s="128" t="s">
        <v>140</v>
      </c>
      <c r="E35" s="128" t="s">
        <v>7</v>
      </c>
      <c r="F35" s="128" t="s">
        <v>141</v>
      </c>
      <c r="G35" s="128" t="str">
        <f t="shared" si="17"/>
        <v>GbpLibor1M</v>
      </c>
      <c r="H35" s="133" t="str">
        <f t="shared" si="18"/>
        <v>GBPSB6L10Y_Quote</v>
      </c>
      <c r="I35" s="173" t="str">
        <f t="shared" si="19"/>
        <v>GBP1L6L10Y_Quote</v>
      </c>
      <c r="J35" s="129" t="str">
        <f>IF(P31,_xll.qlSwapRateHelper2(,H35,0,B35,Calendar,D35,E35,F35,G35,I35,C35,Discounting,PillarDate,,Permanent,Trigger,ObjectOverwrite),"--")</f>
        <v>obj_002a6#0001</v>
      </c>
      <c r="K35" s="48"/>
      <c r="L35" s="251" t="str">
        <f t="shared" si="14"/>
        <v>BasSw</v>
      </c>
      <c r="M35" s="252" t="str">
        <f t="shared" si="15"/>
        <v>GBPSB6L14Y_Quote</v>
      </c>
      <c r="N35" s="228" t="str">
        <f>IFERROR(_xll.qlQuoteValue(H39,Trigger),"--")</f>
        <v>--</v>
      </c>
      <c r="O35" s="228" t="str">
        <f>IFERROR(_xll.qlQuoteValue(I39,Trigger),"--")</f>
        <v>--</v>
      </c>
      <c r="P35" s="129" t="b">
        <v>0</v>
      </c>
      <c r="Q35" s="129">
        <v>40</v>
      </c>
      <c r="R35" s="129">
        <v>1</v>
      </c>
      <c r="S35" s="129" t="str">
        <f t="shared" si="16"/>
        <v>--</v>
      </c>
      <c r="T35" s="91" t="str">
        <f>IFERROR(_xll.qlRateHelperEarliestDate(S35,Trigger),"--")</f>
        <v>--</v>
      </c>
      <c r="U35" s="91" t="str">
        <f>IFERROR(_xll.qlRateHelperPillarDate(S35,Trigger),"--")</f>
        <v>--</v>
      </c>
      <c r="W35" s="140" t="str">
        <f t="shared" ref="W35:W55" si="20">IFERROR(INDEX($L$3:$L$55,MATCH(Y35,$M$3:$M$55,0),1),"")</f>
        <v/>
      </c>
      <c r="X35" s="140" t="e">
        <v>#N/A</v>
      </c>
      <c r="Y35" s="140" t="str">
        <f>IFERROR(_xll.qlRateHelperQuoteName(X35,Trigger),"")</f>
        <v/>
      </c>
      <c r="Z35" s="170" t="str">
        <f>IFERROR(_xll.qlRateHelperRate(X35,Trigger),"")</f>
        <v/>
      </c>
      <c r="AA35" s="171" t="str">
        <f>IF(ISERROR(_xll.qlSwapRateHelperSpread($X35)),IF(ISERROR(_xll.qlFuturesRateHelperConvexityAdjustment($X35)),"",_xll.qlFuturesRateHelperConvexityAdjustment($X35)),_xll.qlSwapRateHelperSpread($X35))</f>
        <v/>
      </c>
      <c r="AB35" s="141" t="str">
        <f>IFERROR(_xll.qlRateHelperEarliestDate(X35,Trigger),"")</f>
        <v/>
      </c>
      <c r="AC35" s="141" t="str">
        <f>IFERROR(_xll.qlRateHelperPillarDate(X35,Trigger),"")</f>
        <v/>
      </c>
      <c r="AD35" s="220" t="e">
        <v>#N/A</v>
      </c>
    </row>
    <row r="36" spans="1:31" ht="11.25" customHeight="1" x14ac:dyDescent="0.2">
      <c r="A36" s="140" t="s">
        <v>115</v>
      </c>
      <c r="B36" s="164" t="s">
        <v>97</v>
      </c>
      <c r="C36" s="128" t="s">
        <v>6</v>
      </c>
      <c r="D36" s="128" t="s">
        <v>140</v>
      </c>
      <c r="E36" s="128" t="s">
        <v>7</v>
      </c>
      <c r="F36" s="128" t="s">
        <v>141</v>
      </c>
      <c r="G36" s="128" t="str">
        <f t="shared" si="17"/>
        <v>GbpLibor1M</v>
      </c>
      <c r="H36" s="133" t="str">
        <f t="shared" si="18"/>
        <v>GBPSB6L11Y_Quote</v>
      </c>
      <c r="I36" s="173" t="str">
        <f t="shared" si="19"/>
        <v>GBP1L6L11Y_Quote</v>
      </c>
      <c r="J36" s="129" t="str">
        <f>IF(P32,_xll.qlSwapRateHelper2(,H36,0,B36,Calendar,D36,E36,F36,G36,I36,C36,Discounting,PillarDate,,Permanent,Trigger,ObjectOverwrite),"--")</f>
        <v>--</v>
      </c>
      <c r="K36" s="48"/>
      <c r="L36" s="251" t="str">
        <f t="shared" si="14"/>
        <v>BasSw</v>
      </c>
      <c r="M36" s="252" t="str">
        <f t="shared" si="15"/>
        <v>GBPSB6L15Y_Quote</v>
      </c>
      <c r="N36" s="228">
        <f>IFERROR(_xll.qlQuoteValue(H40,Trigger),"--")</f>
        <v>1.0360000000000001E-2</v>
      </c>
      <c r="O36" s="228">
        <f>IFERROR(_xll.qlQuoteValue(I40,Trigger),"--")</f>
        <v>1.57E-3</v>
      </c>
      <c r="P36" s="129" t="b">
        <v>1</v>
      </c>
      <c r="Q36" s="129">
        <v>40</v>
      </c>
      <c r="R36" s="129">
        <v>1</v>
      </c>
      <c r="S36" s="129" t="str">
        <f t="shared" si="16"/>
        <v>obj_00290#0001</v>
      </c>
      <c r="T36" s="91">
        <f>IFERROR(_xll.qlRateHelperEarliestDate(S36,Trigger),"--")</f>
        <v>42559</v>
      </c>
      <c r="U36" s="91">
        <f>IFERROR(_xll.qlRateHelperPillarDate(S36,Trigger),"--")</f>
        <v>48037</v>
      </c>
      <c r="W36" s="140" t="str">
        <f t="shared" si="20"/>
        <v/>
      </c>
      <c r="X36" s="140" t="e">
        <v>#N/A</v>
      </c>
      <c r="Y36" s="140" t="str">
        <f>IFERROR(_xll.qlRateHelperQuoteName(X36,Trigger),"")</f>
        <v/>
      </c>
      <c r="Z36" s="170" t="str">
        <f>IFERROR(_xll.qlRateHelperRate(X36,Trigger),"")</f>
        <v/>
      </c>
      <c r="AA36" s="171" t="str">
        <f>IF(ISERROR(_xll.qlSwapRateHelperSpread($X36)),IF(ISERROR(_xll.qlFuturesRateHelperConvexityAdjustment($X36)),"",_xll.qlFuturesRateHelperConvexityAdjustment($X36)),_xll.qlSwapRateHelperSpread($X36))</f>
        <v/>
      </c>
      <c r="AB36" s="141" t="str">
        <f>IFERROR(_xll.qlRateHelperEarliestDate(X36,Trigger),"")</f>
        <v/>
      </c>
      <c r="AC36" s="141" t="str">
        <f>IFERROR(_xll.qlRateHelperPillarDate(X36,Trigger),"")</f>
        <v/>
      </c>
      <c r="AD36" s="220" t="e">
        <v>#N/A</v>
      </c>
    </row>
    <row r="37" spans="1:31" ht="11.25" customHeight="1" x14ac:dyDescent="0.2">
      <c r="A37" s="140" t="s">
        <v>115</v>
      </c>
      <c r="B37" s="164" t="s">
        <v>61</v>
      </c>
      <c r="C37" s="128" t="s">
        <v>6</v>
      </c>
      <c r="D37" s="128" t="s">
        <v>140</v>
      </c>
      <c r="E37" s="128" t="s">
        <v>7</v>
      </c>
      <c r="F37" s="128" t="s">
        <v>141</v>
      </c>
      <c r="G37" s="128" t="str">
        <f t="shared" si="17"/>
        <v>GbpLibor1M</v>
      </c>
      <c r="H37" s="133" t="str">
        <f t="shared" si="18"/>
        <v>GBPSB6L12Y_Quote</v>
      </c>
      <c r="I37" s="173" t="str">
        <f t="shared" si="19"/>
        <v>GBP1L6L12Y_Quote</v>
      </c>
      <c r="J37" s="129" t="str">
        <f>IF(P33,_xll.qlSwapRateHelper2(,H37,0,B37,Calendar,D37,E37,F37,G37,I37,C37,Discounting,PillarDate,,Permanent,Trigger,ObjectOverwrite),"--")</f>
        <v>obj_0029a#0001</v>
      </c>
      <c r="K37" s="48"/>
      <c r="L37" s="251" t="str">
        <f t="shared" si="14"/>
        <v>BasSw</v>
      </c>
      <c r="M37" s="252" t="str">
        <f t="shared" si="15"/>
        <v>GBPSB6L16Y_Quote</v>
      </c>
      <c r="N37" s="228" t="str">
        <f>IFERROR(_xll.qlQuoteValue(H41,Trigger),"--")</f>
        <v>--</v>
      </c>
      <c r="O37" s="228" t="str">
        <f>IFERROR(_xll.qlQuoteValue(I41,Trigger),"--")</f>
        <v>--</v>
      </c>
      <c r="P37" s="129" t="b">
        <v>0</v>
      </c>
      <c r="Q37" s="129">
        <v>40</v>
      </c>
      <c r="R37" s="129">
        <v>1</v>
      </c>
      <c r="S37" s="129" t="str">
        <f t="shared" si="16"/>
        <v>--</v>
      </c>
      <c r="T37" s="91" t="str">
        <f>IFERROR(_xll.qlRateHelperEarliestDate(S37,Trigger),"--")</f>
        <v>--</v>
      </c>
      <c r="U37" s="91" t="str">
        <f>IFERROR(_xll.qlRateHelperPillarDate(S37,Trigger),"--")</f>
        <v>--</v>
      </c>
      <c r="W37" s="140" t="str">
        <f t="shared" si="20"/>
        <v/>
      </c>
      <c r="X37" s="140" t="e">
        <v>#N/A</v>
      </c>
      <c r="Y37" s="140" t="str">
        <f>IFERROR(_xll.qlRateHelperQuoteName(X37,Trigger),"")</f>
        <v/>
      </c>
      <c r="Z37" s="170" t="str">
        <f>IFERROR(_xll.qlRateHelperRate(X37,Trigger),"")</f>
        <v/>
      </c>
      <c r="AA37" s="171" t="str">
        <f>IF(ISERROR(_xll.qlSwapRateHelperSpread($X37)),IF(ISERROR(_xll.qlFuturesRateHelperConvexityAdjustment($X37)),"",_xll.qlFuturesRateHelperConvexityAdjustment($X37)),_xll.qlSwapRateHelperSpread($X37))</f>
        <v/>
      </c>
      <c r="AB37" s="141" t="str">
        <f>IFERROR(_xll.qlRateHelperEarliestDate(X37,Trigger),"")</f>
        <v/>
      </c>
      <c r="AC37" s="141" t="str">
        <f>IFERROR(_xll.qlRateHelperPillarDate(X37,Trigger),"")</f>
        <v/>
      </c>
      <c r="AD37" s="220" t="e">
        <v>#N/A</v>
      </c>
    </row>
    <row r="38" spans="1:31" ht="11.25" customHeight="1" x14ac:dyDescent="0.2">
      <c r="A38" s="140" t="s">
        <v>115</v>
      </c>
      <c r="B38" s="164" t="s">
        <v>98</v>
      </c>
      <c r="C38" s="128" t="s">
        <v>6</v>
      </c>
      <c r="D38" s="128" t="s">
        <v>140</v>
      </c>
      <c r="E38" s="128" t="s">
        <v>7</v>
      </c>
      <c r="F38" s="128" t="s">
        <v>141</v>
      </c>
      <c r="G38" s="128" t="str">
        <f t="shared" si="17"/>
        <v>GbpLibor1M</v>
      </c>
      <c r="H38" s="133" t="str">
        <f t="shared" si="18"/>
        <v>GBPSB6L13Y_Quote</v>
      </c>
      <c r="I38" s="173" t="str">
        <f t="shared" si="19"/>
        <v>GBP1L6L13Y_Quote</v>
      </c>
      <c r="J38" s="129" t="str">
        <f>IF(P34,_xll.qlSwapRateHelper2(,H38,0,B38,Calendar,D38,E38,F38,G38,I38,C38,Discounting,PillarDate,,Permanent,Trigger,ObjectOverwrite),"--")</f>
        <v>--</v>
      </c>
      <c r="K38" s="48"/>
      <c r="L38" s="251" t="str">
        <f t="shared" si="14"/>
        <v>BasSw</v>
      </c>
      <c r="M38" s="252" t="str">
        <f t="shared" si="15"/>
        <v>GBPSB6L17Y_Quote</v>
      </c>
      <c r="N38" s="228" t="str">
        <f>IFERROR(_xll.qlQuoteValue(H42,Trigger),"--")</f>
        <v>--</v>
      </c>
      <c r="O38" s="228" t="str">
        <f>IFERROR(_xll.qlQuoteValue(I42,Trigger),"--")</f>
        <v>--</v>
      </c>
      <c r="P38" s="129" t="b">
        <v>0</v>
      </c>
      <c r="Q38" s="129">
        <v>40</v>
      </c>
      <c r="R38" s="129">
        <v>1</v>
      </c>
      <c r="S38" s="129" t="str">
        <f t="shared" si="16"/>
        <v>--</v>
      </c>
      <c r="T38" s="91" t="str">
        <f>IFERROR(_xll.qlRateHelperEarliestDate(S38,Trigger),"--")</f>
        <v>--</v>
      </c>
      <c r="U38" s="91" t="str">
        <f>IFERROR(_xll.qlRateHelperPillarDate(S38,Trigger),"--")</f>
        <v>--</v>
      </c>
      <c r="W38" s="140" t="str">
        <f t="shared" si="20"/>
        <v/>
      </c>
      <c r="X38" s="140" t="e">
        <v>#N/A</v>
      </c>
      <c r="Y38" s="140" t="str">
        <f>IFERROR(_xll.qlRateHelperQuoteName(X38,Trigger),"")</f>
        <v/>
      </c>
      <c r="Z38" s="170" t="str">
        <f>IFERROR(_xll.qlRateHelperRate(X38,Trigger),"")</f>
        <v/>
      </c>
      <c r="AA38" s="171" t="str">
        <f>IF(ISERROR(_xll.qlSwapRateHelperSpread($X38)),IF(ISERROR(_xll.qlFuturesRateHelperConvexityAdjustment($X38)),"",_xll.qlFuturesRateHelperConvexityAdjustment($X38)),_xll.qlSwapRateHelperSpread($X38))</f>
        <v/>
      </c>
      <c r="AB38" s="141" t="str">
        <f>IFERROR(_xll.qlRateHelperEarliestDate(X38,Trigger),"")</f>
        <v/>
      </c>
      <c r="AC38" s="141" t="str">
        <f>IFERROR(_xll.qlRateHelperPillarDate(X38,Trigger),"")</f>
        <v/>
      </c>
      <c r="AD38" s="220" t="e">
        <v>#N/A</v>
      </c>
    </row>
    <row r="39" spans="1:31" ht="11.25" customHeight="1" x14ac:dyDescent="0.2">
      <c r="A39" s="140" t="s">
        <v>115</v>
      </c>
      <c r="B39" s="164" t="s">
        <v>99</v>
      </c>
      <c r="C39" s="128" t="s">
        <v>6</v>
      </c>
      <c r="D39" s="128" t="s">
        <v>140</v>
      </c>
      <c r="E39" s="128" t="s">
        <v>7</v>
      </c>
      <c r="F39" s="128" t="s">
        <v>141</v>
      </c>
      <c r="G39" s="128" t="str">
        <f t="shared" si="17"/>
        <v>GbpLibor1M</v>
      </c>
      <c r="H39" s="133" t="str">
        <f t="shared" si="18"/>
        <v>GBPSB6L14Y_Quote</v>
      </c>
      <c r="I39" s="173" t="str">
        <f t="shared" si="19"/>
        <v>GBP1L6L14Y_Quote</v>
      </c>
      <c r="J39" s="129" t="str">
        <f>IF(P35,_xll.qlSwapRateHelper2(,H39,0,B39,Calendar,D39,E39,F39,G39,I39,C39,Discounting,PillarDate,,Permanent,Trigger,ObjectOverwrite),"--")</f>
        <v>--</v>
      </c>
      <c r="K39" s="48"/>
      <c r="L39" s="251" t="str">
        <f t="shared" si="14"/>
        <v>BasSw</v>
      </c>
      <c r="M39" s="252" t="str">
        <f t="shared" si="15"/>
        <v>GBPSB6L18Y_Quote</v>
      </c>
      <c r="N39" s="228" t="str">
        <f>IFERROR(_xll.qlQuoteValue(H43,Trigger),"--")</f>
        <v>--</v>
      </c>
      <c r="O39" s="228" t="str">
        <f>IFERROR(_xll.qlQuoteValue(I43,Trigger),"--")</f>
        <v>--</v>
      </c>
      <c r="P39" s="129" t="b">
        <v>0</v>
      </c>
      <c r="Q39" s="129">
        <v>40</v>
      </c>
      <c r="R39" s="129">
        <v>1</v>
      </c>
      <c r="S39" s="129" t="str">
        <f t="shared" si="16"/>
        <v>--</v>
      </c>
      <c r="T39" s="91" t="str">
        <f>IFERROR(_xll.qlRateHelperEarliestDate(S39,Trigger),"--")</f>
        <v>--</v>
      </c>
      <c r="U39" s="91" t="str">
        <f>IFERROR(_xll.qlRateHelperPillarDate(S39,Trigger),"--")</f>
        <v>--</v>
      </c>
      <c r="W39" s="140" t="str">
        <f t="shared" si="20"/>
        <v/>
      </c>
      <c r="X39" s="140" t="e">
        <v>#N/A</v>
      </c>
      <c r="Y39" s="140" t="str">
        <f>IFERROR(_xll.qlRateHelperQuoteName(X39,Trigger),"")</f>
        <v/>
      </c>
      <c r="Z39" s="170" t="str">
        <f>IFERROR(_xll.qlRateHelperRate(X39,Trigger),"")</f>
        <v/>
      </c>
      <c r="AA39" s="171" t="str">
        <f>IF(ISERROR(_xll.qlSwapRateHelperSpread($X39)),IF(ISERROR(_xll.qlFuturesRateHelperConvexityAdjustment($X39)),"",_xll.qlFuturesRateHelperConvexityAdjustment($X39)),_xll.qlSwapRateHelperSpread($X39))</f>
        <v/>
      </c>
      <c r="AB39" s="141" t="str">
        <f>IFERROR(_xll.qlRateHelperEarliestDate(X39,Trigger),"")</f>
        <v/>
      </c>
      <c r="AC39" s="141" t="str">
        <f>IFERROR(_xll.qlRateHelperPillarDate(X39,Trigger),"")</f>
        <v/>
      </c>
      <c r="AD39" s="220" t="e">
        <v>#N/A</v>
      </c>
    </row>
    <row r="40" spans="1:31" ht="11.25" customHeight="1" x14ac:dyDescent="0.2">
      <c r="A40" s="140" t="s">
        <v>115</v>
      </c>
      <c r="B40" s="164" t="s">
        <v>62</v>
      </c>
      <c r="C40" s="128" t="s">
        <v>6</v>
      </c>
      <c r="D40" s="128" t="s">
        <v>140</v>
      </c>
      <c r="E40" s="128" t="s">
        <v>7</v>
      </c>
      <c r="F40" s="128" t="s">
        <v>141</v>
      </c>
      <c r="G40" s="128" t="str">
        <f t="shared" si="17"/>
        <v>GbpLibor1M</v>
      </c>
      <c r="H40" s="133" t="str">
        <f t="shared" si="18"/>
        <v>GBPSB6L15Y_Quote</v>
      </c>
      <c r="I40" s="173" t="str">
        <f t="shared" si="19"/>
        <v>GBP1L6L15Y_Quote</v>
      </c>
      <c r="J40" s="129" t="str">
        <f>IF(P36,_xll.qlSwapRateHelper2(,H40,0,B40,Calendar,D40,E40,F40,G40,I40,C40,Discounting,PillarDate,,Permanent,Trigger,ObjectOverwrite),"--")</f>
        <v>obj_00290#0001</v>
      </c>
      <c r="K40" s="48"/>
      <c r="L40" s="251" t="str">
        <f t="shared" si="14"/>
        <v>BasSw</v>
      </c>
      <c r="M40" s="252" t="str">
        <f t="shared" si="15"/>
        <v>GBPSB6L19Y_Quote</v>
      </c>
      <c r="N40" s="228" t="str">
        <f>IFERROR(_xll.qlQuoteValue(H44,Trigger),"--")</f>
        <v>--</v>
      </c>
      <c r="O40" s="228" t="str">
        <f>IFERROR(_xll.qlQuoteValue(I44,Trigger),"--")</f>
        <v>--</v>
      </c>
      <c r="P40" s="129" t="b">
        <v>0</v>
      </c>
      <c r="Q40" s="129">
        <v>40</v>
      </c>
      <c r="R40" s="129">
        <v>1</v>
      </c>
      <c r="S40" s="129" t="str">
        <f t="shared" si="16"/>
        <v>--</v>
      </c>
      <c r="T40" s="91" t="str">
        <f>IFERROR(_xll.qlRateHelperEarliestDate(S40,Trigger),"--")</f>
        <v>--</v>
      </c>
      <c r="U40" s="91" t="str">
        <f>IFERROR(_xll.qlRateHelperPillarDate(S40,Trigger),"--")</f>
        <v>--</v>
      </c>
      <c r="W40" s="140" t="str">
        <f t="shared" si="20"/>
        <v/>
      </c>
      <c r="X40" s="140" t="e">
        <v>#N/A</v>
      </c>
      <c r="Y40" s="140" t="str">
        <f>IFERROR(_xll.qlRateHelperQuoteName(X40,Trigger),"")</f>
        <v/>
      </c>
      <c r="Z40" s="170" t="str">
        <f>IFERROR(_xll.qlRateHelperRate(X40,Trigger),"")</f>
        <v/>
      </c>
      <c r="AA40" s="171" t="str">
        <f>IF(ISERROR(_xll.qlSwapRateHelperSpread($X40)),IF(ISERROR(_xll.qlFuturesRateHelperConvexityAdjustment($X40)),"",_xll.qlFuturesRateHelperConvexityAdjustment($X40)),_xll.qlSwapRateHelperSpread($X40))</f>
        <v/>
      </c>
      <c r="AB40" s="141" t="str">
        <f>IFERROR(_xll.qlRateHelperEarliestDate(X40,Trigger),"")</f>
        <v/>
      </c>
      <c r="AC40" s="141" t="str">
        <f>IFERROR(_xll.qlRateHelperPillarDate(X40,Trigger),"")</f>
        <v/>
      </c>
      <c r="AD40" s="220" t="e">
        <v>#N/A</v>
      </c>
    </row>
    <row r="41" spans="1:31" ht="11.25" customHeight="1" x14ac:dyDescent="0.2">
      <c r="A41" s="140" t="s">
        <v>115</v>
      </c>
      <c r="B41" s="164" t="s">
        <v>100</v>
      </c>
      <c r="C41" s="128" t="s">
        <v>6</v>
      </c>
      <c r="D41" s="128" t="s">
        <v>140</v>
      </c>
      <c r="E41" s="128" t="s">
        <v>7</v>
      </c>
      <c r="F41" s="128" t="s">
        <v>141</v>
      </c>
      <c r="G41" s="128" t="str">
        <f t="shared" si="17"/>
        <v>GbpLibor1M</v>
      </c>
      <c r="H41" s="133" t="str">
        <f t="shared" si="18"/>
        <v>GBPSB6L16Y_Quote</v>
      </c>
      <c r="I41" s="173" t="str">
        <f t="shared" si="19"/>
        <v>GBP1L6L16Y_Quote</v>
      </c>
      <c r="J41" s="129" t="str">
        <f>IF(P37,_xll.qlSwapRateHelper2(,H41,0,B41,Calendar,D41,E41,F41,G41,I41,C41,Discounting,PillarDate,,Permanent,Trigger,ObjectOverwrite),"--")</f>
        <v>--</v>
      </c>
      <c r="L41" s="251" t="str">
        <f t="shared" si="14"/>
        <v>BasSw</v>
      </c>
      <c r="M41" s="252" t="str">
        <f t="shared" si="15"/>
        <v>GBPSB6L20Y_Quote</v>
      </c>
      <c r="N41" s="228">
        <f>IFERROR(_xll.qlQuoteValue(H45,Trigger),"--")</f>
        <v>1.09E-2</v>
      </c>
      <c r="O41" s="228">
        <f>IFERROR(_xll.qlQuoteValue(I45,Trigger),"--")</f>
        <v>1.31E-3</v>
      </c>
      <c r="P41" s="129" t="b">
        <v>1</v>
      </c>
      <c r="Q41" s="129">
        <v>40</v>
      </c>
      <c r="R41" s="129">
        <v>1</v>
      </c>
      <c r="S41" s="129" t="str">
        <f t="shared" si="16"/>
        <v>obj_002a8#0001</v>
      </c>
      <c r="T41" s="91">
        <f>IFERROR(_xll.qlRateHelperEarliestDate(S41,Trigger),"--")</f>
        <v>42559</v>
      </c>
      <c r="U41" s="91">
        <f>IFERROR(_xll.qlRateHelperPillarDate(S41,Trigger),"--")</f>
        <v>49864</v>
      </c>
      <c r="W41" s="140" t="str">
        <f t="shared" si="20"/>
        <v/>
      </c>
      <c r="X41" s="140" t="e">
        <v>#N/A</v>
      </c>
      <c r="Y41" s="140" t="str">
        <f>IFERROR(_xll.qlRateHelperQuoteName(X41,Trigger),"")</f>
        <v/>
      </c>
      <c r="Z41" s="170" t="str">
        <f>IFERROR(_xll.qlRateHelperRate(X41,Trigger),"")</f>
        <v/>
      </c>
      <c r="AA41" s="171" t="str">
        <f>IF(ISERROR(_xll.qlSwapRateHelperSpread($X41)),IF(ISERROR(_xll.qlFuturesRateHelperConvexityAdjustment($X41)),"",_xll.qlFuturesRateHelperConvexityAdjustment($X41)),_xll.qlSwapRateHelperSpread($X41))</f>
        <v/>
      </c>
      <c r="AB41" s="141" t="str">
        <f>IFERROR(_xll.qlRateHelperEarliestDate(X41,Trigger),"")</f>
        <v/>
      </c>
      <c r="AC41" s="141" t="str">
        <f>IFERROR(_xll.qlRateHelperPillarDate(X41,Trigger),"")</f>
        <v/>
      </c>
      <c r="AD41" s="220" t="e">
        <v>#N/A</v>
      </c>
    </row>
    <row r="42" spans="1:31" ht="11.25" customHeight="1" x14ac:dyDescent="0.2">
      <c r="A42" s="140" t="s">
        <v>115</v>
      </c>
      <c r="B42" s="164" t="s">
        <v>101</v>
      </c>
      <c r="C42" s="128" t="s">
        <v>6</v>
      </c>
      <c r="D42" s="128" t="s">
        <v>140</v>
      </c>
      <c r="E42" s="128" t="s">
        <v>7</v>
      </c>
      <c r="F42" s="128" t="s">
        <v>141</v>
      </c>
      <c r="G42" s="128" t="str">
        <f t="shared" si="17"/>
        <v>GbpLibor1M</v>
      </c>
      <c r="H42" s="133" t="str">
        <f t="shared" si="18"/>
        <v>GBPSB6L17Y_Quote</v>
      </c>
      <c r="I42" s="173" t="str">
        <f t="shared" si="19"/>
        <v>GBP1L6L17Y_Quote</v>
      </c>
      <c r="J42" s="129" t="str">
        <f>IF(P38,_xll.qlSwapRateHelper2(,H42,0,B42,Calendar,D42,E42,F42,G42,I42,C42,Discounting,PillarDate,,Permanent,Trigger,ObjectOverwrite),"--")</f>
        <v>--</v>
      </c>
      <c r="L42" s="251" t="str">
        <f t="shared" si="14"/>
        <v>BasSw</v>
      </c>
      <c r="M42" s="252" t="str">
        <f t="shared" si="15"/>
        <v>GBPSB6L21Y_Quote</v>
      </c>
      <c r="N42" s="228" t="str">
        <f>IFERROR(_xll.qlQuoteValue(H46,Trigger),"--")</f>
        <v>--</v>
      </c>
      <c r="O42" s="228" t="str">
        <f>IFERROR(_xll.qlQuoteValue(I46,Trigger),"--")</f>
        <v>--</v>
      </c>
      <c r="P42" s="129" t="b">
        <v>0</v>
      </c>
      <c r="Q42" s="129">
        <v>40</v>
      </c>
      <c r="R42" s="129">
        <v>1</v>
      </c>
      <c r="S42" s="129" t="str">
        <f t="shared" si="16"/>
        <v>--</v>
      </c>
      <c r="T42" s="91" t="str">
        <f>IFERROR(_xll.qlRateHelperEarliestDate(S42,Trigger),"--")</f>
        <v>--</v>
      </c>
      <c r="U42" s="91" t="str">
        <f>IFERROR(_xll.qlRateHelperPillarDate(S42,Trigger),"--")</f>
        <v>--</v>
      </c>
      <c r="W42" s="140" t="str">
        <f t="shared" si="20"/>
        <v/>
      </c>
      <c r="X42" s="140" t="e">
        <v>#N/A</v>
      </c>
      <c r="Y42" s="140" t="str">
        <f>IFERROR(_xll.qlRateHelperQuoteName(X42,Trigger),"")</f>
        <v/>
      </c>
      <c r="Z42" s="170" t="str">
        <f>IFERROR(_xll.qlRateHelperRate(X42,Trigger),"")</f>
        <v/>
      </c>
      <c r="AA42" s="171" t="str">
        <f>IF(ISERROR(_xll.qlSwapRateHelperSpread($X42)),IF(ISERROR(_xll.qlFuturesRateHelperConvexityAdjustment($X42)),"",_xll.qlFuturesRateHelperConvexityAdjustment($X42)),_xll.qlSwapRateHelperSpread($X42))</f>
        <v/>
      </c>
      <c r="AB42" s="141" t="str">
        <f>IFERROR(_xll.qlRateHelperEarliestDate(X42,Trigger),"")</f>
        <v/>
      </c>
      <c r="AC42" s="141" t="str">
        <f>IFERROR(_xll.qlRateHelperPillarDate(X42,Trigger),"")</f>
        <v/>
      </c>
      <c r="AD42" s="220" t="e">
        <v>#N/A</v>
      </c>
    </row>
    <row r="43" spans="1:31" ht="11.25" customHeight="1" x14ac:dyDescent="0.2">
      <c r="A43" s="140" t="s">
        <v>115</v>
      </c>
      <c r="B43" s="164" t="s">
        <v>102</v>
      </c>
      <c r="C43" s="128" t="s">
        <v>6</v>
      </c>
      <c r="D43" s="128" t="s">
        <v>140</v>
      </c>
      <c r="E43" s="128" t="s">
        <v>7</v>
      </c>
      <c r="F43" s="128" t="s">
        <v>141</v>
      </c>
      <c r="G43" s="128" t="str">
        <f t="shared" si="17"/>
        <v>GbpLibor1M</v>
      </c>
      <c r="H43" s="133" t="str">
        <f t="shared" si="18"/>
        <v>GBPSB6L18Y_Quote</v>
      </c>
      <c r="I43" s="173" t="str">
        <f t="shared" si="19"/>
        <v>GBP1L6L18Y_Quote</v>
      </c>
      <c r="J43" s="129" t="str">
        <f>IF(P39,_xll.qlSwapRateHelper2(,H43,0,B43,Calendar,D43,E43,F43,G43,I43,C43,Discounting,PillarDate,,Permanent,Trigger,ObjectOverwrite),"--")</f>
        <v>--</v>
      </c>
      <c r="L43" s="251" t="str">
        <f t="shared" si="14"/>
        <v>BasSw</v>
      </c>
      <c r="M43" s="252" t="str">
        <f t="shared" si="15"/>
        <v>GBPSB6L22Y_Quote</v>
      </c>
      <c r="N43" s="228" t="str">
        <f>IFERROR(_xll.qlQuoteValue(H47,Trigger),"--")</f>
        <v>--</v>
      </c>
      <c r="O43" s="228" t="str">
        <f>IFERROR(_xll.qlQuoteValue(I47,Trigger),"--")</f>
        <v>--</v>
      </c>
      <c r="P43" s="129" t="b">
        <v>0</v>
      </c>
      <c r="Q43" s="129">
        <v>40</v>
      </c>
      <c r="R43" s="129">
        <v>1</v>
      </c>
      <c r="S43" s="129" t="str">
        <f t="shared" si="16"/>
        <v>--</v>
      </c>
      <c r="T43" s="91" t="str">
        <f>IFERROR(_xll.qlRateHelperEarliestDate(S43,Trigger),"--")</f>
        <v>--</v>
      </c>
      <c r="U43" s="91" t="str">
        <f>IFERROR(_xll.qlRateHelperPillarDate(S43,Trigger),"--")</f>
        <v>--</v>
      </c>
      <c r="W43" s="140" t="str">
        <f t="shared" si="20"/>
        <v/>
      </c>
      <c r="X43" s="140" t="e">
        <v>#N/A</v>
      </c>
      <c r="Y43" s="140" t="str">
        <f>IFERROR(_xll.qlRateHelperQuoteName(X43,Trigger),"")</f>
        <v/>
      </c>
      <c r="Z43" s="170" t="str">
        <f>IFERROR(_xll.qlRateHelperRate(X43,Trigger),"")</f>
        <v/>
      </c>
      <c r="AA43" s="171" t="str">
        <f>IF(ISERROR(_xll.qlSwapRateHelperSpread($X43)),IF(ISERROR(_xll.qlFuturesRateHelperConvexityAdjustment($X43)),"",_xll.qlFuturesRateHelperConvexityAdjustment($X43)),_xll.qlSwapRateHelperSpread($X43))</f>
        <v/>
      </c>
      <c r="AB43" s="141" t="str">
        <f>IFERROR(_xll.qlRateHelperEarliestDate(X43,Trigger),"")</f>
        <v/>
      </c>
      <c r="AC43" s="141" t="str">
        <f>IFERROR(_xll.qlRateHelperPillarDate(X43,Trigger),"")</f>
        <v/>
      </c>
      <c r="AD43" s="220" t="e">
        <v>#N/A</v>
      </c>
    </row>
    <row r="44" spans="1:31" ht="11.25" customHeight="1" x14ac:dyDescent="0.2">
      <c r="A44" s="140" t="s">
        <v>115</v>
      </c>
      <c r="B44" s="164" t="s">
        <v>103</v>
      </c>
      <c r="C44" s="128" t="s">
        <v>6</v>
      </c>
      <c r="D44" s="128" t="s">
        <v>140</v>
      </c>
      <c r="E44" s="128" t="s">
        <v>7</v>
      </c>
      <c r="F44" s="128" t="s">
        <v>141</v>
      </c>
      <c r="G44" s="128" t="str">
        <f t="shared" si="17"/>
        <v>GbpLibor1M</v>
      </c>
      <c r="H44" s="133" t="str">
        <f t="shared" si="18"/>
        <v>GBPSB6L19Y_Quote</v>
      </c>
      <c r="I44" s="173" t="str">
        <f t="shared" si="19"/>
        <v>GBP1L6L19Y_Quote</v>
      </c>
      <c r="J44" s="129" t="str">
        <f>IF(P40,_xll.qlSwapRateHelper2(,H44,0,B44,Calendar,D44,E44,F44,G44,I44,C44,Discounting,PillarDate,,Permanent,Trigger,ObjectOverwrite),"--")</f>
        <v>--</v>
      </c>
      <c r="L44" s="251" t="str">
        <f t="shared" si="14"/>
        <v>BasSw</v>
      </c>
      <c r="M44" s="252" t="str">
        <f t="shared" si="15"/>
        <v>GBPSB6L23Y_Quote</v>
      </c>
      <c r="N44" s="228" t="str">
        <f>IFERROR(_xll.qlQuoteValue(H48,Trigger),"--")</f>
        <v>--</v>
      </c>
      <c r="O44" s="228" t="str">
        <f>IFERROR(_xll.qlQuoteValue(I48,Trigger),"--")</f>
        <v>--</v>
      </c>
      <c r="P44" s="129" t="b">
        <v>0</v>
      </c>
      <c r="Q44" s="129">
        <v>40</v>
      </c>
      <c r="R44" s="129">
        <v>1</v>
      </c>
      <c r="S44" s="129" t="str">
        <f t="shared" si="16"/>
        <v>--</v>
      </c>
      <c r="T44" s="91" t="str">
        <f>IFERROR(_xll.qlRateHelperEarliestDate(S44,Trigger),"--")</f>
        <v>--</v>
      </c>
      <c r="U44" s="91" t="str">
        <f>IFERROR(_xll.qlRateHelperPillarDate(S44,Trigger),"--")</f>
        <v>--</v>
      </c>
      <c r="W44" s="140" t="str">
        <f t="shared" si="20"/>
        <v/>
      </c>
      <c r="X44" s="140" t="e">
        <v>#N/A</v>
      </c>
      <c r="Y44" s="140" t="str">
        <f>IFERROR(_xll.qlRateHelperQuoteName(X44,Trigger),"")</f>
        <v/>
      </c>
      <c r="Z44" s="170" t="str">
        <f>IFERROR(_xll.qlRateHelperRate(X44,Trigger),"")</f>
        <v/>
      </c>
      <c r="AA44" s="171" t="str">
        <f>IF(ISERROR(_xll.qlSwapRateHelperSpread($X44)),IF(ISERROR(_xll.qlFuturesRateHelperConvexityAdjustment($X44)),"",_xll.qlFuturesRateHelperConvexityAdjustment($X44)),_xll.qlSwapRateHelperSpread($X44))</f>
        <v/>
      </c>
      <c r="AB44" s="141" t="str">
        <f>IFERROR(_xll.qlRateHelperEarliestDate(X44,Trigger),"")</f>
        <v/>
      </c>
      <c r="AC44" s="141" t="str">
        <f>IFERROR(_xll.qlRateHelperPillarDate(X44,Trigger),"")</f>
        <v/>
      </c>
      <c r="AD44" s="220" t="e">
        <v>#N/A</v>
      </c>
    </row>
    <row r="45" spans="1:31" ht="11.25" customHeight="1" x14ac:dyDescent="0.2">
      <c r="A45" s="140" t="s">
        <v>115</v>
      </c>
      <c r="B45" s="164" t="s">
        <v>63</v>
      </c>
      <c r="C45" s="128" t="s">
        <v>6</v>
      </c>
      <c r="D45" s="128" t="s">
        <v>140</v>
      </c>
      <c r="E45" s="128" t="s">
        <v>7</v>
      </c>
      <c r="F45" s="128" t="s">
        <v>141</v>
      </c>
      <c r="G45" s="128" t="str">
        <f t="shared" si="17"/>
        <v>GbpLibor1M</v>
      </c>
      <c r="H45" s="133" t="str">
        <f t="shared" si="18"/>
        <v>GBPSB6L20Y_Quote</v>
      </c>
      <c r="I45" s="173" t="str">
        <f t="shared" si="19"/>
        <v>GBP1L6L20Y_Quote</v>
      </c>
      <c r="J45" s="129" t="str">
        <f>IF(P41,_xll.qlSwapRateHelper2(,H45,0,B45,Calendar,D45,E45,F45,G45,I45,C45,Discounting,PillarDate,,Permanent,Trigger,ObjectOverwrite),"--")</f>
        <v>obj_002a8#0001</v>
      </c>
      <c r="L45" s="251" t="str">
        <f t="shared" si="14"/>
        <v>BasSw</v>
      </c>
      <c r="M45" s="252" t="str">
        <f t="shared" si="15"/>
        <v>GBPSB6L24Y_Quote</v>
      </c>
      <c r="N45" s="228" t="str">
        <f>IFERROR(_xll.qlQuoteValue(H49,Trigger),"--")</f>
        <v>--</v>
      </c>
      <c r="O45" s="228" t="str">
        <f>IFERROR(_xll.qlQuoteValue(I49,Trigger),"--")</f>
        <v>--</v>
      </c>
      <c r="P45" s="129" t="b">
        <v>0</v>
      </c>
      <c r="Q45" s="129">
        <v>40</v>
      </c>
      <c r="R45" s="129">
        <v>1</v>
      </c>
      <c r="S45" s="129" t="str">
        <f t="shared" si="16"/>
        <v>--</v>
      </c>
      <c r="T45" s="91" t="str">
        <f>IFERROR(_xll.qlRateHelperEarliestDate(S45,Trigger),"--")</f>
        <v>--</v>
      </c>
      <c r="U45" s="91" t="str">
        <f>IFERROR(_xll.qlRateHelperPillarDate(S45,Trigger),"--")</f>
        <v>--</v>
      </c>
      <c r="W45" s="140" t="str">
        <f t="shared" si="20"/>
        <v/>
      </c>
      <c r="X45" s="140" t="e">
        <v>#N/A</v>
      </c>
      <c r="Y45" s="140" t="str">
        <f>IFERROR(_xll.qlRateHelperQuoteName(X45,Trigger),"")</f>
        <v/>
      </c>
      <c r="Z45" s="170" t="str">
        <f>IFERROR(_xll.qlRateHelperRate(X45,Trigger),"")</f>
        <v/>
      </c>
      <c r="AA45" s="171" t="str">
        <f>IF(ISERROR(_xll.qlSwapRateHelperSpread($X45)),IF(ISERROR(_xll.qlFuturesRateHelperConvexityAdjustment($X45)),"",_xll.qlFuturesRateHelperConvexityAdjustment($X45)),_xll.qlSwapRateHelperSpread($X45))</f>
        <v/>
      </c>
      <c r="AB45" s="141" t="str">
        <f>IFERROR(_xll.qlRateHelperEarliestDate(X45,Trigger),"")</f>
        <v/>
      </c>
      <c r="AC45" s="141" t="str">
        <f>IFERROR(_xll.qlRateHelperPillarDate(X45,Trigger),"")</f>
        <v/>
      </c>
      <c r="AD45" s="220" t="e">
        <v>#N/A</v>
      </c>
    </row>
    <row r="46" spans="1:31" ht="11.25" customHeight="1" x14ac:dyDescent="0.2">
      <c r="A46" s="140" t="s">
        <v>115</v>
      </c>
      <c r="B46" s="164" t="s">
        <v>104</v>
      </c>
      <c r="C46" s="128" t="s">
        <v>6</v>
      </c>
      <c r="D46" s="128" t="s">
        <v>140</v>
      </c>
      <c r="E46" s="128" t="s">
        <v>7</v>
      </c>
      <c r="F46" s="128" t="s">
        <v>141</v>
      </c>
      <c r="G46" s="128" t="str">
        <f t="shared" si="17"/>
        <v>GbpLibor1M</v>
      </c>
      <c r="H46" s="133" t="str">
        <f t="shared" si="18"/>
        <v>GBPSB6L21Y_Quote</v>
      </c>
      <c r="I46" s="173" t="str">
        <f t="shared" si="19"/>
        <v>GBP1L6L21Y_Quote</v>
      </c>
      <c r="J46" s="129" t="str">
        <f>IF(P42,_xll.qlSwapRateHelper2(,H46,0,B46,Calendar,D46,E46,F46,G46,I46,C46,Discounting,PillarDate,,Permanent,Trigger,ObjectOverwrite),"--")</f>
        <v>--</v>
      </c>
      <c r="L46" s="251" t="str">
        <f t="shared" si="14"/>
        <v>BasSw</v>
      </c>
      <c r="M46" s="252" t="str">
        <f t="shared" si="15"/>
        <v>GBPSB6L25Y_Quote</v>
      </c>
      <c r="N46" s="228">
        <f>IFERROR(_xll.qlQuoteValue(H50,Trigger),"--")</f>
        <v>1.085E-2</v>
      </c>
      <c r="O46" s="228">
        <f>IFERROR(_xll.qlQuoteValue(I50,Trigger),"--")</f>
        <v>1.1299999999999999E-3</v>
      </c>
      <c r="P46" s="129" t="b">
        <v>1</v>
      </c>
      <c r="Q46" s="129">
        <v>40</v>
      </c>
      <c r="R46" s="129">
        <v>1</v>
      </c>
      <c r="S46" s="129" t="str">
        <f t="shared" si="16"/>
        <v>obj_00297#0001</v>
      </c>
      <c r="T46" s="91">
        <f>IFERROR(_xll.qlRateHelperEarliestDate(S46,Trigger),"--")</f>
        <v>42559</v>
      </c>
      <c r="U46" s="91">
        <f>IFERROR(_xll.qlRateHelperPillarDate(S46,Trigger),"--")</f>
        <v>51690</v>
      </c>
      <c r="W46" s="140" t="str">
        <f t="shared" si="20"/>
        <v/>
      </c>
      <c r="X46" s="140" t="e">
        <v>#N/A</v>
      </c>
      <c r="Y46" s="140" t="str">
        <f>IFERROR(_xll.qlRateHelperQuoteName(X46,Trigger),"")</f>
        <v/>
      </c>
      <c r="Z46" s="170" t="str">
        <f>IFERROR(_xll.qlRateHelperRate(X46,Trigger),"")</f>
        <v/>
      </c>
      <c r="AA46" s="171" t="str">
        <f>IF(ISERROR(_xll.qlSwapRateHelperSpread($X46)),IF(ISERROR(_xll.qlFuturesRateHelperConvexityAdjustment($X46)),"",_xll.qlFuturesRateHelperConvexityAdjustment($X46)),_xll.qlSwapRateHelperSpread($X46))</f>
        <v/>
      </c>
      <c r="AB46" s="141" t="str">
        <f>IFERROR(_xll.qlRateHelperEarliestDate(X46,Trigger),"")</f>
        <v/>
      </c>
      <c r="AC46" s="141" t="str">
        <f>IFERROR(_xll.qlRateHelperPillarDate(X46,Trigger),"")</f>
        <v/>
      </c>
      <c r="AD46" s="220" t="e">
        <v>#N/A</v>
      </c>
    </row>
    <row r="47" spans="1:31" ht="11.25" customHeight="1" x14ac:dyDescent="0.2">
      <c r="A47" s="140" t="s">
        <v>115</v>
      </c>
      <c r="B47" s="164" t="s">
        <v>105</v>
      </c>
      <c r="C47" s="128" t="s">
        <v>6</v>
      </c>
      <c r="D47" s="128" t="s">
        <v>140</v>
      </c>
      <c r="E47" s="128" t="s">
        <v>7</v>
      </c>
      <c r="F47" s="128" t="s">
        <v>141</v>
      </c>
      <c r="G47" s="128" t="str">
        <f t="shared" si="17"/>
        <v>GbpLibor1M</v>
      </c>
      <c r="H47" s="133" t="str">
        <f t="shared" si="18"/>
        <v>GBPSB6L22Y_Quote</v>
      </c>
      <c r="I47" s="173" t="str">
        <f t="shared" si="19"/>
        <v>GBP1L6L22Y_Quote</v>
      </c>
      <c r="J47" s="129" t="str">
        <f>IF(P43,_xll.qlSwapRateHelper2(,H47,0,B47,Calendar,D47,E47,F47,G47,I47,C47,Discounting,PillarDate,,Permanent,Trigger,ObjectOverwrite),"--")</f>
        <v>--</v>
      </c>
      <c r="L47" s="251" t="str">
        <f t="shared" si="14"/>
        <v>BasSw</v>
      </c>
      <c r="M47" s="252" t="str">
        <f t="shared" si="15"/>
        <v>GBPSB6L26Y_Quote</v>
      </c>
      <c r="N47" s="228" t="str">
        <f>IFERROR(_xll.qlQuoteValue(H51,Trigger),"--")</f>
        <v>--</v>
      </c>
      <c r="O47" s="228" t="str">
        <f>IFERROR(_xll.qlQuoteValue(I51,Trigger),"--")</f>
        <v>--</v>
      </c>
      <c r="P47" s="129" t="b">
        <v>0</v>
      </c>
      <c r="Q47" s="129">
        <v>40</v>
      </c>
      <c r="R47" s="129">
        <v>1</v>
      </c>
      <c r="S47" s="129" t="str">
        <f t="shared" si="16"/>
        <v>--</v>
      </c>
      <c r="T47" s="91" t="str">
        <f>IFERROR(_xll.qlRateHelperEarliestDate(S47,Trigger),"--")</f>
        <v>--</v>
      </c>
      <c r="U47" s="91" t="str">
        <f>IFERROR(_xll.qlRateHelperPillarDate(S47,Trigger),"--")</f>
        <v>--</v>
      </c>
      <c r="W47" s="140" t="str">
        <f t="shared" si="20"/>
        <v/>
      </c>
      <c r="X47" s="140" t="e">
        <v>#N/A</v>
      </c>
      <c r="Y47" s="140" t="str">
        <f>IFERROR(_xll.qlRateHelperQuoteName(X47,Trigger),"")</f>
        <v/>
      </c>
      <c r="Z47" s="170" t="str">
        <f>IFERROR(_xll.qlRateHelperRate(X47,Trigger),"")</f>
        <v/>
      </c>
      <c r="AA47" s="171" t="str">
        <f>IF(ISERROR(_xll.qlSwapRateHelperSpread($X47)),IF(ISERROR(_xll.qlFuturesRateHelperConvexityAdjustment($X47)),"",_xll.qlFuturesRateHelperConvexityAdjustment($X47)),_xll.qlSwapRateHelperSpread($X47))</f>
        <v/>
      </c>
      <c r="AB47" s="141" t="str">
        <f>IFERROR(_xll.qlRateHelperEarliestDate(X47,Trigger),"")</f>
        <v/>
      </c>
      <c r="AC47" s="141" t="str">
        <f>IFERROR(_xll.qlRateHelperPillarDate(X47,Trigger),"")</f>
        <v/>
      </c>
      <c r="AD47" s="220" t="e">
        <v>#N/A</v>
      </c>
    </row>
    <row r="48" spans="1:31" ht="11.25" customHeight="1" x14ac:dyDescent="0.2">
      <c r="A48" s="140" t="s">
        <v>115</v>
      </c>
      <c r="B48" s="164" t="s">
        <v>106</v>
      </c>
      <c r="C48" s="128" t="s">
        <v>6</v>
      </c>
      <c r="D48" s="128" t="s">
        <v>140</v>
      </c>
      <c r="E48" s="128" t="s">
        <v>7</v>
      </c>
      <c r="F48" s="128" t="s">
        <v>141</v>
      </c>
      <c r="G48" s="128" t="str">
        <f t="shared" si="17"/>
        <v>GbpLibor1M</v>
      </c>
      <c r="H48" s="133" t="str">
        <f t="shared" si="18"/>
        <v>GBPSB6L23Y_Quote</v>
      </c>
      <c r="I48" s="173" t="str">
        <f t="shared" si="19"/>
        <v>GBP1L6L23Y_Quote</v>
      </c>
      <c r="J48" s="129" t="str">
        <f>IF(P44,_xll.qlSwapRateHelper2(,H48,0,B48,Calendar,D48,E48,F48,G48,I48,C48,Discounting,PillarDate,,Permanent,Trigger,ObjectOverwrite),"--")</f>
        <v>--</v>
      </c>
      <c r="L48" s="251" t="str">
        <f t="shared" si="14"/>
        <v>BasSw</v>
      </c>
      <c r="M48" s="252" t="str">
        <f t="shared" si="15"/>
        <v>GBPSB6L27Y_Quote</v>
      </c>
      <c r="N48" s="228" t="str">
        <f>IFERROR(_xll.qlQuoteValue(H52,Trigger),"--")</f>
        <v>--</v>
      </c>
      <c r="O48" s="228" t="str">
        <f>IFERROR(_xll.qlQuoteValue(I52,Trigger),"--")</f>
        <v>--</v>
      </c>
      <c r="P48" s="129" t="b">
        <v>0</v>
      </c>
      <c r="Q48" s="129">
        <v>40</v>
      </c>
      <c r="R48" s="129">
        <v>1</v>
      </c>
      <c r="S48" s="129" t="str">
        <f t="shared" si="16"/>
        <v>--</v>
      </c>
      <c r="T48" s="91" t="str">
        <f>IFERROR(_xll.qlRateHelperEarliestDate(S48,Trigger),"--")</f>
        <v>--</v>
      </c>
      <c r="U48" s="91" t="str">
        <f>IFERROR(_xll.qlRateHelperPillarDate(S48,Trigger),"--")</f>
        <v>--</v>
      </c>
      <c r="W48" s="140" t="str">
        <f t="shared" si="20"/>
        <v/>
      </c>
      <c r="X48" s="140" t="e">
        <v>#N/A</v>
      </c>
      <c r="Y48" s="140" t="str">
        <f>IFERROR(_xll.qlRateHelperQuoteName(X48,Trigger),"")</f>
        <v/>
      </c>
      <c r="Z48" s="170" t="str">
        <f>IFERROR(_xll.qlRateHelperRate(X48,Trigger),"")</f>
        <v/>
      </c>
      <c r="AA48" s="171" t="str">
        <f>IF(ISERROR(_xll.qlSwapRateHelperSpread($X48)),IF(ISERROR(_xll.qlFuturesRateHelperConvexityAdjustment($X48)),"",_xll.qlFuturesRateHelperConvexityAdjustment($X48)),_xll.qlSwapRateHelperSpread($X48))</f>
        <v/>
      </c>
      <c r="AB48" s="141" t="str">
        <f>IFERROR(_xll.qlRateHelperEarliestDate(X48,Trigger),"")</f>
        <v/>
      </c>
      <c r="AC48" s="141" t="str">
        <f>IFERROR(_xll.qlRateHelperPillarDate(X48,Trigger),"")</f>
        <v/>
      </c>
      <c r="AD48" s="220" t="e">
        <v>#N/A</v>
      </c>
    </row>
    <row r="49" spans="1:30" ht="11.25" customHeight="1" x14ac:dyDescent="0.2">
      <c r="A49" s="140" t="s">
        <v>115</v>
      </c>
      <c r="B49" s="164" t="s">
        <v>107</v>
      </c>
      <c r="C49" s="128" t="s">
        <v>6</v>
      </c>
      <c r="D49" s="128" t="s">
        <v>140</v>
      </c>
      <c r="E49" s="128" t="s">
        <v>7</v>
      </c>
      <c r="F49" s="128" t="s">
        <v>141</v>
      </c>
      <c r="G49" s="128" t="str">
        <f t="shared" si="17"/>
        <v>GbpLibor1M</v>
      </c>
      <c r="H49" s="133" t="str">
        <f t="shared" si="18"/>
        <v>GBPSB6L24Y_Quote</v>
      </c>
      <c r="I49" s="173" t="str">
        <f t="shared" si="19"/>
        <v>GBP1L6L24Y_Quote</v>
      </c>
      <c r="J49" s="129" t="str">
        <f>IF(P45,_xll.qlSwapRateHelper2(,H49,0,B49,Calendar,D49,E49,F49,G49,I49,C49,Discounting,PillarDate,,Permanent,Trigger,ObjectOverwrite),"--")</f>
        <v>--</v>
      </c>
      <c r="L49" s="251" t="str">
        <f t="shared" si="14"/>
        <v>BasSw</v>
      </c>
      <c r="M49" s="252" t="str">
        <f t="shared" si="15"/>
        <v>GBPSB6L28Y_Quote</v>
      </c>
      <c r="N49" s="228" t="str">
        <f>IFERROR(_xll.qlQuoteValue(H53,Trigger),"--")</f>
        <v>--</v>
      </c>
      <c r="O49" s="228" t="str">
        <f>IFERROR(_xll.qlQuoteValue(I53,Trigger),"--")</f>
        <v>--</v>
      </c>
      <c r="P49" s="129" t="b">
        <v>0</v>
      </c>
      <c r="Q49" s="129">
        <v>40</v>
      </c>
      <c r="R49" s="129">
        <v>1</v>
      </c>
      <c r="S49" s="129" t="str">
        <f t="shared" si="16"/>
        <v>--</v>
      </c>
      <c r="T49" s="91" t="str">
        <f>IFERROR(_xll.qlRateHelperEarliestDate(S49,Trigger),"--")</f>
        <v>--</v>
      </c>
      <c r="U49" s="91" t="str">
        <f>IFERROR(_xll.qlRateHelperPillarDate(S49,Trigger),"--")</f>
        <v>--</v>
      </c>
      <c r="W49" s="140" t="str">
        <f t="shared" si="20"/>
        <v/>
      </c>
      <c r="X49" s="140" t="e">
        <v>#N/A</v>
      </c>
      <c r="Y49" s="140" t="str">
        <f>IFERROR(_xll.qlRateHelperQuoteName(X49,Trigger),"")</f>
        <v/>
      </c>
      <c r="Z49" s="170" t="str">
        <f>IFERROR(_xll.qlRateHelperRate(X49,Trigger),"")</f>
        <v/>
      </c>
      <c r="AA49" s="171" t="str">
        <f>IF(ISERROR(_xll.qlSwapRateHelperSpread($X49)),IF(ISERROR(_xll.qlFuturesRateHelperConvexityAdjustment($X49)),"",_xll.qlFuturesRateHelperConvexityAdjustment($X49)),_xll.qlSwapRateHelperSpread($X49))</f>
        <v/>
      </c>
      <c r="AB49" s="141" t="str">
        <f>IFERROR(_xll.qlRateHelperEarliestDate(X49,Trigger),"")</f>
        <v/>
      </c>
      <c r="AC49" s="141" t="str">
        <f>IFERROR(_xll.qlRateHelperPillarDate(X49,Trigger),"")</f>
        <v/>
      </c>
      <c r="AD49" s="220" t="e">
        <v>#N/A</v>
      </c>
    </row>
    <row r="50" spans="1:30" ht="11.25" customHeight="1" x14ac:dyDescent="0.2">
      <c r="A50" s="140" t="s">
        <v>115</v>
      </c>
      <c r="B50" s="164" t="s">
        <v>64</v>
      </c>
      <c r="C50" s="128" t="s">
        <v>6</v>
      </c>
      <c r="D50" s="128" t="s">
        <v>140</v>
      </c>
      <c r="E50" s="128" t="s">
        <v>7</v>
      </c>
      <c r="F50" s="128" t="s">
        <v>141</v>
      </c>
      <c r="G50" s="128" t="str">
        <f t="shared" si="17"/>
        <v>GbpLibor1M</v>
      </c>
      <c r="H50" s="133" t="str">
        <f t="shared" si="18"/>
        <v>GBPSB6L25Y_Quote</v>
      </c>
      <c r="I50" s="173" t="str">
        <f t="shared" si="19"/>
        <v>GBP1L6L25Y_Quote</v>
      </c>
      <c r="J50" s="129" t="str">
        <f>IF(P46,_xll.qlSwapRateHelper2(,H50,0,B50,Calendar,D50,E50,F50,G50,I50,C50,Discounting,PillarDate,,Permanent,Trigger,ObjectOverwrite),"--")</f>
        <v>obj_00297#0001</v>
      </c>
      <c r="L50" s="251" t="str">
        <f t="shared" si="14"/>
        <v>BasSw</v>
      </c>
      <c r="M50" s="252" t="str">
        <f t="shared" si="15"/>
        <v>GBPSB6L29Y_Quote</v>
      </c>
      <c r="N50" s="228" t="str">
        <f>IFERROR(_xll.qlQuoteValue(H54,Trigger),"--")</f>
        <v>--</v>
      </c>
      <c r="O50" s="228" t="str">
        <f>IFERROR(_xll.qlQuoteValue(I54,Trigger),"--")</f>
        <v>--</v>
      </c>
      <c r="P50" s="129" t="b">
        <v>0</v>
      </c>
      <c r="Q50" s="129">
        <v>40</v>
      </c>
      <c r="R50" s="129">
        <v>1</v>
      </c>
      <c r="S50" s="129" t="str">
        <f t="shared" si="16"/>
        <v>--</v>
      </c>
      <c r="T50" s="91" t="str">
        <f>IFERROR(_xll.qlRateHelperEarliestDate(S50,Trigger),"--")</f>
        <v>--</v>
      </c>
      <c r="U50" s="91" t="str">
        <f>IFERROR(_xll.qlRateHelperPillarDate(S50,Trigger),"--")</f>
        <v>--</v>
      </c>
      <c r="W50" s="140" t="str">
        <f t="shared" si="20"/>
        <v/>
      </c>
      <c r="X50" s="140" t="e">
        <v>#N/A</v>
      </c>
      <c r="Y50" s="140" t="str">
        <f>IFERROR(_xll.qlRateHelperQuoteName(X50,Trigger),"")</f>
        <v/>
      </c>
      <c r="Z50" s="170" t="str">
        <f>IFERROR(_xll.qlRateHelperRate(X50,Trigger),"")</f>
        <v/>
      </c>
      <c r="AA50" s="171" t="str">
        <f>IF(ISERROR(_xll.qlSwapRateHelperSpread($X50)),IF(ISERROR(_xll.qlFuturesRateHelperConvexityAdjustment($X50)),"",_xll.qlFuturesRateHelperConvexityAdjustment($X50)),_xll.qlSwapRateHelperSpread($X50))</f>
        <v/>
      </c>
      <c r="AB50" s="141" t="str">
        <f>IFERROR(_xll.qlRateHelperEarliestDate(X50,Trigger),"")</f>
        <v/>
      </c>
      <c r="AC50" s="141" t="str">
        <f>IFERROR(_xll.qlRateHelperPillarDate(X50,Trigger),"")</f>
        <v/>
      </c>
      <c r="AD50" s="220" t="e">
        <v>#N/A</v>
      </c>
    </row>
    <row r="51" spans="1:30" ht="11.25" customHeight="1" x14ac:dyDescent="0.2">
      <c r="A51" s="140" t="s">
        <v>115</v>
      </c>
      <c r="B51" s="164" t="s">
        <v>108</v>
      </c>
      <c r="C51" s="128" t="s">
        <v>6</v>
      </c>
      <c r="D51" s="128" t="s">
        <v>140</v>
      </c>
      <c r="E51" s="128" t="s">
        <v>7</v>
      </c>
      <c r="F51" s="128" t="s">
        <v>141</v>
      </c>
      <c r="G51" s="128" t="str">
        <f t="shared" si="17"/>
        <v>GbpLibor1M</v>
      </c>
      <c r="H51" s="133" t="str">
        <f t="shared" si="18"/>
        <v>GBPSB6L26Y_Quote</v>
      </c>
      <c r="I51" s="173" t="str">
        <f t="shared" si="19"/>
        <v>GBP1L6L26Y_Quote</v>
      </c>
      <c r="J51" s="129" t="str">
        <f>IF(P47,_xll.qlSwapRateHelper2(,H51,0,B51,Calendar,D51,E51,F51,G51,I51,C51,Discounting,PillarDate,,Permanent,Trigger,ObjectOverwrite),"--")</f>
        <v>--</v>
      </c>
      <c r="L51" s="251" t="str">
        <f t="shared" si="14"/>
        <v>BasSw</v>
      </c>
      <c r="M51" s="252" t="str">
        <f t="shared" si="15"/>
        <v>GBPSB6L30Y_Quote</v>
      </c>
      <c r="N51" s="228">
        <f>IFERROR(_xll.qlQuoteValue(H55,Trigger),"--")</f>
        <v>1.0710000000000003E-2</v>
      </c>
      <c r="O51" s="228">
        <f>IFERROR(_xll.qlQuoteValue(I55,Trigger),"--")</f>
        <v>1E-3</v>
      </c>
      <c r="P51" s="129" t="b">
        <v>1</v>
      </c>
      <c r="Q51" s="129">
        <v>40</v>
      </c>
      <c r="R51" s="129">
        <v>1</v>
      </c>
      <c r="S51" s="129" t="str">
        <f t="shared" si="16"/>
        <v>obj_0027c#0001</v>
      </c>
      <c r="T51" s="91">
        <f>IFERROR(_xll.qlRateHelperEarliestDate(S51,Trigger),"--")</f>
        <v>42559</v>
      </c>
      <c r="U51" s="91">
        <f>IFERROR(_xll.qlRateHelperPillarDate(S51,Trigger),"--")</f>
        <v>53517</v>
      </c>
      <c r="W51" s="140" t="str">
        <f t="shared" si="20"/>
        <v/>
      </c>
      <c r="X51" s="140" t="e">
        <v>#N/A</v>
      </c>
      <c r="Y51" s="140" t="str">
        <f>IFERROR(_xll.qlRateHelperQuoteName(X51,Trigger),"")</f>
        <v/>
      </c>
      <c r="Z51" s="170" t="str">
        <f>IFERROR(_xll.qlRateHelperRate(X51,Trigger),"")</f>
        <v/>
      </c>
      <c r="AA51" s="171" t="str">
        <f>IF(ISERROR(_xll.qlSwapRateHelperSpread($X51)),IF(ISERROR(_xll.qlFuturesRateHelperConvexityAdjustment($X51)),"",_xll.qlFuturesRateHelperConvexityAdjustment($X51)),_xll.qlSwapRateHelperSpread($X51))</f>
        <v/>
      </c>
      <c r="AB51" s="141" t="str">
        <f>IFERROR(_xll.qlRateHelperEarliestDate(X51,Trigger),"")</f>
        <v/>
      </c>
      <c r="AC51" s="141" t="str">
        <f>IFERROR(_xll.qlRateHelperPillarDate(X51,Trigger),"")</f>
        <v/>
      </c>
      <c r="AD51" s="220" t="e">
        <v>#N/A</v>
      </c>
    </row>
    <row r="52" spans="1:30" ht="11.25" customHeight="1" x14ac:dyDescent="0.2">
      <c r="A52" s="140" t="s">
        <v>115</v>
      </c>
      <c r="B52" s="164" t="s">
        <v>65</v>
      </c>
      <c r="C52" s="128" t="s">
        <v>6</v>
      </c>
      <c r="D52" s="128" t="s">
        <v>140</v>
      </c>
      <c r="E52" s="128" t="s">
        <v>7</v>
      </c>
      <c r="F52" s="128" t="s">
        <v>141</v>
      </c>
      <c r="G52" s="128" t="str">
        <f t="shared" si="17"/>
        <v>GbpLibor1M</v>
      </c>
      <c r="H52" s="133" t="str">
        <f t="shared" si="18"/>
        <v>GBPSB6L27Y_Quote</v>
      </c>
      <c r="I52" s="173" t="str">
        <f t="shared" si="19"/>
        <v>GBP1L6L27Y_Quote</v>
      </c>
      <c r="J52" s="129" t="str">
        <f>IF(P48,_xll.qlSwapRateHelper2(,H52,0,B52,Calendar,D52,E52,F52,G52,I52,C52,Discounting,PillarDate,,Permanent,Trigger,ObjectOverwrite),"--")</f>
        <v>--</v>
      </c>
      <c r="L52" s="251" t="str">
        <f t="shared" si="14"/>
        <v>BasSw</v>
      </c>
      <c r="M52" s="252" t="str">
        <f t="shared" si="15"/>
        <v>GBPSB6L35Y_Quote</v>
      </c>
      <c r="N52" s="228" t="str">
        <f>IFERROR(_xll.qlQuoteValue(H56,Trigger),"--")</f>
        <v>--</v>
      </c>
      <c r="O52" s="228" t="str">
        <f>IFERROR(_xll.qlQuoteValue(I56,Trigger),"--")</f>
        <v>--</v>
      </c>
      <c r="P52" s="129" t="b">
        <v>0</v>
      </c>
      <c r="Q52" s="129">
        <v>40</v>
      </c>
      <c r="R52" s="129">
        <v>1</v>
      </c>
      <c r="S52" s="129" t="str">
        <f t="shared" si="16"/>
        <v>--</v>
      </c>
      <c r="T52" s="91" t="str">
        <f>IFERROR(_xll.qlRateHelperEarliestDate(S52,Trigger),"--")</f>
        <v>--</v>
      </c>
      <c r="U52" s="91" t="str">
        <f>IFERROR(_xll.qlRateHelperPillarDate(S52,Trigger),"--")</f>
        <v>--</v>
      </c>
      <c r="W52" s="140" t="str">
        <f t="shared" si="20"/>
        <v/>
      </c>
      <c r="X52" s="140" t="e">
        <v>#N/A</v>
      </c>
      <c r="Y52" s="140" t="str">
        <f>IFERROR(_xll.qlRateHelperQuoteName(X52,Trigger),"")</f>
        <v/>
      </c>
      <c r="Z52" s="170" t="str">
        <f>IFERROR(_xll.qlRateHelperRate(X52,Trigger),"")</f>
        <v/>
      </c>
      <c r="AA52" s="171" t="str">
        <f>IF(ISERROR(_xll.qlSwapRateHelperSpread($X52)),IF(ISERROR(_xll.qlFuturesRateHelperConvexityAdjustment($X52)),"",_xll.qlFuturesRateHelperConvexityAdjustment($X52)),_xll.qlSwapRateHelperSpread($X52))</f>
        <v/>
      </c>
      <c r="AB52" s="141" t="str">
        <f>IFERROR(_xll.qlRateHelperEarliestDate(X52,Trigger),"")</f>
        <v/>
      </c>
      <c r="AC52" s="141" t="str">
        <f>IFERROR(_xll.qlRateHelperPillarDate(X52,Trigger),"")</f>
        <v/>
      </c>
      <c r="AD52" s="220" t="e">
        <v>#N/A</v>
      </c>
    </row>
    <row r="53" spans="1:30" ht="11.25" customHeight="1" x14ac:dyDescent="0.2">
      <c r="A53" s="140" t="s">
        <v>115</v>
      </c>
      <c r="B53" s="164" t="s">
        <v>109</v>
      </c>
      <c r="C53" s="128" t="s">
        <v>6</v>
      </c>
      <c r="D53" s="128" t="s">
        <v>140</v>
      </c>
      <c r="E53" s="128" t="s">
        <v>7</v>
      </c>
      <c r="F53" s="128" t="s">
        <v>141</v>
      </c>
      <c r="G53" s="128" t="str">
        <f t="shared" si="17"/>
        <v>GbpLibor1M</v>
      </c>
      <c r="H53" s="133" t="str">
        <f t="shared" si="18"/>
        <v>GBPSB6L28Y_Quote</v>
      </c>
      <c r="I53" s="173" t="str">
        <f t="shared" si="19"/>
        <v>GBP1L6L28Y_Quote</v>
      </c>
      <c r="J53" s="129" t="str">
        <f>IF(P49,_xll.qlSwapRateHelper2(,H53,0,B53,Calendar,D53,E53,F53,G53,I53,C53,Discounting,PillarDate,,Permanent,Trigger,ObjectOverwrite),"--")</f>
        <v>--</v>
      </c>
      <c r="L53" s="251" t="str">
        <f t="shared" si="14"/>
        <v>BasSw</v>
      </c>
      <c r="M53" s="252" t="str">
        <f t="shared" si="15"/>
        <v>GBPSB6L40Y_Quote</v>
      </c>
      <c r="N53" s="228">
        <f>IFERROR(_xll.qlQuoteValue(H57,Trigger),"--")</f>
        <v>1.008E-2</v>
      </c>
      <c r="O53" s="228">
        <f>IFERROR(_xll.qlQuoteValue(I57,Trigger),"--")</f>
        <v>8.4000000000000003E-4</v>
      </c>
      <c r="P53" s="129" t="b">
        <v>1</v>
      </c>
      <c r="Q53" s="129">
        <v>40</v>
      </c>
      <c r="R53" s="129">
        <v>1</v>
      </c>
      <c r="S53" s="129" t="str">
        <f t="shared" si="16"/>
        <v>obj_00299#0001</v>
      </c>
      <c r="T53" s="91">
        <f>IFERROR(_xll.qlRateHelperEarliestDate(S53,Trigger),"--")</f>
        <v>42559</v>
      </c>
      <c r="U53" s="91">
        <f>IFERROR(_xll.qlRateHelperPillarDate(S53,Trigger),"--")</f>
        <v>57171</v>
      </c>
      <c r="W53" s="140" t="str">
        <f t="shared" si="20"/>
        <v/>
      </c>
      <c r="X53" s="140" t="e">
        <v>#N/A</v>
      </c>
      <c r="Y53" s="140" t="str">
        <f>IFERROR(_xll.qlRateHelperQuoteName(X53,Trigger),"")</f>
        <v/>
      </c>
      <c r="Z53" s="170" t="str">
        <f>IFERROR(_xll.qlRateHelperRate(X53,Trigger),"")</f>
        <v/>
      </c>
      <c r="AA53" s="171" t="str">
        <f>IF(ISERROR(_xll.qlSwapRateHelperSpread($X53)),IF(ISERROR(_xll.qlFuturesRateHelperConvexityAdjustment($X53)),"",_xll.qlFuturesRateHelperConvexityAdjustment($X53)),_xll.qlSwapRateHelperSpread($X53))</f>
        <v/>
      </c>
      <c r="AB53" s="141" t="str">
        <f>IFERROR(_xll.qlRateHelperEarliestDate(X53,Trigger),"")</f>
        <v/>
      </c>
      <c r="AC53" s="141" t="str">
        <f>IFERROR(_xll.qlRateHelperPillarDate(X53,Trigger),"")</f>
        <v/>
      </c>
      <c r="AD53" s="220" t="e">
        <v>#N/A</v>
      </c>
    </row>
    <row r="54" spans="1:30" ht="11.25" customHeight="1" x14ac:dyDescent="0.2">
      <c r="A54" s="140" t="s">
        <v>115</v>
      </c>
      <c r="B54" s="164" t="s">
        <v>110</v>
      </c>
      <c r="C54" s="128" t="s">
        <v>6</v>
      </c>
      <c r="D54" s="128" t="s">
        <v>140</v>
      </c>
      <c r="E54" s="128" t="s">
        <v>7</v>
      </c>
      <c r="F54" s="128" t="s">
        <v>141</v>
      </c>
      <c r="G54" s="128" t="str">
        <f t="shared" si="17"/>
        <v>GbpLibor1M</v>
      </c>
      <c r="H54" s="133" t="str">
        <f t="shared" si="18"/>
        <v>GBPSB6L29Y_Quote</v>
      </c>
      <c r="I54" s="173" t="str">
        <f t="shared" si="19"/>
        <v>GBP1L6L29Y_Quote</v>
      </c>
      <c r="J54" s="129" t="str">
        <f>IF(P50,_xll.qlSwapRateHelper2(,H54,0,B54,Calendar,D54,E54,F54,G54,I54,C54,Discounting,PillarDate,,Permanent,Trigger,ObjectOverwrite),"--")</f>
        <v>--</v>
      </c>
      <c r="L54" s="251" t="str">
        <f t="shared" si="14"/>
        <v>BasSw</v>
      </c>
      <c r="M54" s="252" t="str">
        <f t="shared" si="15"/>
        <v>GBPSB6L50Y_Quote</v>
      </c>
      <c r="N54" s="228">
        <f>IFERROR(_xll.qlQuoteValue(H58,Trigger),"--")</f>
        <v>9.6600000000000019E-3</v>
      </c>
      <c r="O54" s="228">
        <f>IFERROR(_xll.qlQuoteValue(I58,Trigger),"--")</f>
        <v>7.3999999999999999E-4</v>
      </c>
      <c r="P54" s="129" t="b">
        <v>1</v>
      </c>
      <c r="Q54" s="129">
        <v>40</v>
      </c>
      <c r="R54" s="129">
        <v>1</v>
      </c>
      <c r="S54" s="129" t="str">
        <f t="shared" si="16"/>
        <v>obj_00295#0001</v>
      </c>
      <c r="T54" s="91">
        <f>IFERROR(_xll.qlRateHelperEarliestDate(S54,Trigger),"--")</f>
        <v>42559</v>
      </c>
      <c r="U54" s="91">
        <f>IFERROR(_xll.qlRateHelperPillarDate(S54,Trigger),"--")</f>
        <v>60821</v>
      </c>
      <c r="W54" s="140" t="str">
        <f t="shared" si="20"/>
        <v/>
      </c>
      <c r="X54" s="140" t="e">
        <v>#N/A</v>
      </c>
      <c r="Y54" s="140" t="str">
        <f>IFERROR(_xll.qlRateHelperQuoteName(X54,Trigger),"")</f>
        <v/>
      </c>
      <c r="Z54" s="170" t="str">
        <f>IFERROR(_xll.qlRateHelperRate(X54,Trigger),"")</f>
        <v/>
      </c>
      <c r="AA54" s="171" t="str">
        <f>IF(ISERROR(_xll.qlSwapRateHelperSpread($X54)),IF(ISERROR(_xll.qlFuturesRateHelperConvexityAdjustment($X54)),"",_xll.qlFuturesRateHelperConvexityAdjustment($X54)),_xll.qlSwapRateHelperSpread($X54))</f>
        <v/>
      </c>
      <c r="AB54" s="141" t="str">
        <f>IFERROR(_xll.qlRateHelperEarliestDate(X54,Trigger),"")</f>
        <v/>
      </c>
      <c r="AC54" s="141" t="str">
        <f>IFERROR(_xll.qlRateHelperPillarDate(X54,Trigger),"")</f>
        <v/>
      </c>
      <c r="AD54" s="220" t="e">
        <v>#N/A</v>
      </c>
    </row>
    <row r="55" spans="1:30" ht="11.25" customHeight="1" x14ac:dyDescent="0.2">
      <c r="A55" s="140" t="s">
        <v>115</v>
      </c>
      <c r="B55" s="164" t="s">
        <v>66</v>
      </c>
      <c r="C55" s="128" t="s">
        <v>6</v>
      </c>
      <c r="D55" s="128" t="s">
        <v>140</v>
      </c>
      <c r="E55" s="128" t="s">
        <v>7</v>
      </c>
      <c r="F55" s="128" t="s">
        <v>141</v>
      </c>
      <c r="G55" s="128" t="str">
        <f t="shared" si="17"/>
        <v>GbpLibor1M</v>
      </c>
      <c r="H55" s="133" t="str">
        <f t="shared" si="18"/>
        <v>GBPSB6L30Y_Quote</v>
      </c>
      <c r="I55" s="173" t="str">
        <f t="shared" si="19"/>
        <v>GBP1L6L30Y_Quote</v>
      </c>
      <c r="J55" s="129" t="str">
        <f>IF(P51,_xll.qlSwapRateHelper2(,H55,0,B55,Calendar,D55,E55,F55,G55,I55,C55,Discounting,PillarDate,,Permanent,Trigger,ObjectOverwrite),"--")</f>
        <v>obj_0027c#0001</v>
      </c>
      <c r="L55" s="253" t="str">
        <f t="shared" si="14"/>
        <v>BasSw</v>
      </c>
      <c r="M55" s="254" t="str">
        <f t="shared" si="15"/>
        <v>GBPSB6L60Y_Quote</v>
      </c>
      <c r="N55" s="233">
        <f>IFERROR(_xll.qlQuoteValue(H59,Trigger),"--")</f>
        <v>9.6000000000000026E-3</v>
      </c>
      <c r="O55" s="233">
        <f>IFERROR(_xll.qlQuoteValue(I59,Trigger),"--")</f>
        <v>6.6E-4</v>
      </c>
      <c r="P55" s="131" t="b">
        <v>1</v>
      </c>
      <c r="Q55" s="131">
        <v>40</v>
      </c>
      <c r="R55" s="131">
        <v>1</v>
      </c>
      <c r="S55" s="131" t="str">
        <f t="shared" si="16"/>
        <v>obj_0026e#0001</v>
      </c>
      <c r="T55" s="93">
        <f>IFERROR(_xll.qlRateHelperEarliestDate(S55,Trigger),"--")</f>
        <v>42559</v>
      </c>
      <c r="U55" s="93">
        <f>IFERROR(_xll.qlRateHelperPillarDate(S55,Trigger),"--")</f>
        <v>64474</v>
      </c>
      <c r="W55" s="140" t="str">
        <f t="shared" si="20"/>
        <v/>
      </c>
      <c r="X55" s="140" t="e">
        <v>#N/A</v>
      </c>
      <c r="Y55" s="140" t="str">
        <f>IFERROR(_xll.qlRateHelperQuoteName(X55,Trigger),"")</f>
        <v/>
      </c>
      <c r="Z55" s="170" t="str">
        <f>IFERROR(_xll.qlRateHelperRate(X55,Trigger),"")</f>
        <v/>
      </c>
      <c r="AA55" s="171" t="str">
        <f>IF(ISERROR(_xll.qlSwapRateHelperSpread($X55)),IF(ISERROR(_xll.qlFuturesRateHelperConvexityAdjustment($X55)),"",_xll.qlFuturesRateHelperConvexityAdjustment($X55)),_xll.qlSwapRateHelperSpread($X55))</f>
        <v/>
      </c>
      <c r="AB55" s="141" t="str">
        <f>IFERROR(_xll.qlRateHelperEarliestDate(X55,Trigger),"")</f>
        <v/>
      </c>
      <c r="AC55" s="141" t="str">
        <f>IFERROR(_xll.qlRateHelperPillarDate(X55,Trigger),"")</f>
        <v/>
      </c>
      <c r="AD55" s="220" t="e">
        <v>#N/A</v>
      </c>
    </row>
    <row r="56" spans="1:30" ht="11.25" customHeight="1" x14ac:dyDescent="0.2">
      <c r="A56" s="140" t="s">
        <v>115</v>
      </c>
      <c r="B56" s="164" t="s">
        <v>67</v>
      </c>
      <c r="C56" s="128" t="s">
        <v>6</v>
      </c>
      <c r="D56" s="128" t="s">
        <v>140</v>
      </c>
      <c r="E56" s="128" t="s">
        <v>7</v>
      </c>
      <c r="F56" s="128" t="s">
        <v>141</v>
      </c>
      <c r="G56" s="128" t="str">
        <f t="shared" si="17"/>
        <v>GbpLibor1M</v>
      </c>
      <c r="H56" s="133" t="str">
        <f t="shared" si="18"/>
        <v>GBPSB6L35Y_Quote</v>
      </c>
      <c r="I56" s="173" t="str">
        <f t="shared" si="19"/>
        <v>GBP1L6L35Y_Quote</v>
      </c>
      <c r="J56" s="129" t="str">
        <f>IF(P52,_xll.qlSwapRateHelper2(,H56,0,B56,Calendar,D56,E56,F56,G56,I56,C56,Discounting,PillarDate,,Permanent,Trigger,ObjectOverwrite),"--")</f>
        <v>--</v>
      </c>
      <c r="W56" s="219"/>
      <c r="X56" s="219"/>
      <c r="Y56" s="255" t="str">
        <f>_xll.ohGroup(W1&amp;"_instruments",Y3:Y55,Permanent,Trigger,ObjectOverwrite)</f>
        <v>GBP1M_instruments#0002</v>
      </c>
      <c r="Z56" s="219"/>
      <c r="AA56" s="219"/>
      <c r="AB56" s="219"/>
      <c r="AC56" s="219"/>
      <c r="AD56" s="219"/>
    </row>
    <row r="57" spans="1:30" ht="11.25" customHeight="1" x14ac:dyDescent="0.2">
      <c r="A57" s="140" t="s">
        <v>115</v>
      </c>
      <c r="B57" s="164" t="s">
        <v>68</v>
      </c>
      <c r="C57" s="128" t="s">
        <v>6</v>
      </c>
      <c r="D57" s="128" t="s">
        <v>140</v>
      </c>
      <c r="E57" s="128" t="s">
        <v>7</v>
      </c>
      <c r="F57" s="128" t="s">
        <v>141</v>
      </c>
      <c r="G57" s="128" t="str">
        <f t="shared" si="17"/>
        <v>GbpLibor1M</v>
      </c>
      <c r="H57" s="133" t="str">
        <f t="shared" si="18"/>
        <v>GBPSB6L40Y_Quote</v>
      </c>
      <c r="I57" s="173" t="str">
        <f t="shared" si="19"/>
        <v>GBP1L6L40Y_Quote</v>
      </c>
      <c r="J57" s="129" t="str">
        <f>IF(P53,_xll.qlSwapRateHelper2(,H57,0,B57,Calendar,D57,E57,F57,G57,I57,C57,Discounting,PillarDate,,Permanent,Trigger,ObjectOverwrite),"--")</f>
        <v>obj_00299#0001</v>
      </c>
      <c r="W57" s="48"/>
      <c r="X57" s="48"/>
      <c r="Y57" s="48"/>
      <c r="Z57" s="48"/>
      <c r="AA57" s="48"/>
      <c r="AB57" s="48"/>
      <c r="AC57" s="48"/>
      <c r="AD57" s="48"/>
    </row>
    <row r="58" spans="1:30" ht="11.25" customHeight="1" x14ac:dyDescent="0.2">
      <c r="A58" s="140" t="s">
        <v>115</v>
      </c>
      <c r="B58" s="164" t="s">
        <v>69</v>
      </c>
      <c r="C58" s="128" t="s">
        <v>6</v>
      </c>
      <c r="D58" s="128" t="s">
        <v>140</v>
      </c>
      <c r="E58" s="128" t="s">
        <v>7</v>
      </c>
      <c r="F58" s="128" t="s">
        <v>141</v>
      </c>
      <c r="G58" s="128" t="str">
        <f t="shared" si="17"/>
        <v>GbpLibor1M</v>
      </c>
      <c r="H58" s="133" t="str">
        <f t="shared" si="18"/>
        <v>GBPSB6L50Y_Quote</v>
      </c>
      <c r="I58" s="173" t="str">
        <f t="shared" si="19"/>
        <v>GBP1L6L50Y_Quote</v>
      </c>
      <c r="J58" s="129" t="str">
        <f>IF(P54,_xll.qlSwapRateHelper2(,H58,0,B58,Calendar,D58,E58,F58,G58,I58,C58,Discounting,PillarDate,,Permanent,Trigger,ObjectOverwrite),"--")</f>
        <v>obj_00295#0001</v>
      </c>
      <c r="W58" s="48"/>
      <c r="X58" s="48"/>
      <c r="Y58" s="48"/>
      <c r="Z58" s="48"/>
      <c r="AA58" s="48"/>
      <c r="AB58" s="48"/>
      <c r="AC58" s="48"/>
      <c r="AD58" s="48"/>
    </row>
    <row r="59" spans="1:30" ht="11.25" customHeight="1" x14ac:dyDescent="0.2">
      <c r="A59" s="143" t="s">
        <v>115</v>
      </c>
      <c r="B59" s="165" t="s">
        <v>111</v>
      </c>
      <c r="C59" s="166" t="s">
        <v>6</v>
      </c>
      <c r="D59" s="166" t="s">
        <v>140</v>
      </c>
      <c r="E59" s="166" t="s">
        <v>7</v>
      </c>
      <c r="F59" s="166" t="s">
        <v>141</v>
      </c>
      <c r="G59" s="166" t="str">
        <f t="shared" si="17"/>
        <v>GbpLibor1M</v>
      </c>
      <c r="H59" s="135" t="str">
        <f t="shared" si="18"/>
        <v>GBPSB6L60Y_Quote</v>
      </c>
      <c r="I59" s="167" t="str">
        <f t="shared" si="19"/>
        <v>GBP1L6L60Y_Quote</v>
      </c>
      <c r="J59" s="131" t="str">
        <f>IF(P55,_xll.qlSwapRateHelper2(,H59,0,B59,Calendar,D59,E59,F59,G59,I59,C59,Discounting,PillarDate,,Permanent,Trigger,ObjectOverwrite),"--")</f>
        <v>obj_0026e#0001</v>
      </c>
      <c r="W59" s="48"/>
      <c r="X59" s="48"/>
      <c r="Y59" s="48"/>
      <c r="Z59" s="48"/>
      <c r="AA59" s="48"/>
      <c r="AB59" s="48"/>
      <c r="AC59" s="48"/>
      <c r="AD59" s="48"/>
    </row>
    <row r="60" spans="1:30" ht="11.25" customHeight="1" x14ac:dyDescent="0.2">
      <c r="W60" s="48"/>
      <c r="X60" s="48"/>
      <c r="Y60" s="48"/>
      <c r="Z60" s="48"/>
      <c r="AA60" s="48"/>
      <c r="AB60" s="48"/>
      <c r="AC60" s="48"/>
      <c r="AD60" s="48"/>
    </row>
    <row r="61" spans="1:30" ht="11.25" customHeight="1" x14ac:dyDescent="0.2">
      <c r="W61" s="48"/>
      <c r="X61" s="48"/>
      <c r="Y61" s="48"/>
      <c r="Z61" s="48"/>
      <c r="AA61" s="48"/>
      <c r="AB61" s="48"/>
      <c r="AC61" s="48"/>
      <c r="AD61" s="48"/>
    </row>
    <row r="62" spans="1:30" ht="11.25" customHeight="1" x14ac:dyDescent="0.2">
      <c r="K62" s="46" t="s">
        <v>36</v>
      </c>
      <c r="W62" s="48"/>
      <c r="X62" s="48"/>
      <c r="Y62" s="48"/>
      <c r="Z62" s="48"/>
      <c r="AA62" s="48"/>
      <c r="AB62" s="48"/>
      <c r="AC62" s="48"/>
      <c r="AD62" s="48"/>
    </row>
    <row r="63" spans="1:30" ht="11.25" customHeight="1" x14ac:dyDescent="0.2">
      <c r="W63" s="48"/>
      <c r="X63" s="48"/>
      <c r="Y63" s="48"/>
      <c r="Z63" s="48"/>
      <c r="AA63" s="48"/>
      <c r="AB63" s="48"/>
      <c r="AC63" s="48"/>
      <c r="AD63" s="48"/>
    </row>
    <row r="64" spans="1:30" ht="11.25" customHeight="1" x14ac:dyDescent="0.2">
      <c r="W64" s="48"/>
      <c r="X64" s="48"/>
      <c r="Y64" s="48"/>
      <c r="Z64" s="48"/>
      <c r="AA64" s="48"/>
      <c r="AB64" s="48"/>
      <c r="AC64" s="48"/>
      <c r="AD64" s="48"/>
    </row>
    <row r="65" spans="23:30" ht="11.25" customHeight="1" x14ac:dyDescent="0.2">
      <c r="W65" s="48"/>
      <c r="X65" s="48"/>
      <c r="Y65" s="48"/>
      <c r="Z65" s="48"/>
      <c r="AA65" s="48"/>
      <c r="AB65" s="48"/>
      <c r="AC65" s="48"/>
      <c r="AD65" s="48"/>
    </row>
    <row r="66" spans="23:30" ht="11.25" customHeight="1" x14ac:dyDescent="0.2">
      <c r="W66" s="48"/>
      <c r="X66" s="48"/>
      <c r="Y66" s="48"/>
      <c r="Z66" s="48"/>
      <c r="AA66" s="48"/>
      <c r="AB66" s="48"/>
      <c r="AC66" s="48"/>
      <c r="AD66" s="48"/>
    </row>
    <row r="67" spans="23:30" ht="11.25" customHeight="1" x14ac:dyDescent="0.2">
      <c r="W67" s="48"/>
      <c r="X67" s="48"/>
      <c r="Y67" s="48"/>
      <c r="Z67" s="48"/>
      <c r="AA67" s="48"/>
      <c r="AB67" s="48"/>
      <c r="AC67" s="48"/>
      <c r="AD67" s="48"/>
    </row>
    <row r="68" spans="23:30" ht="11.25" customHeight="1" x14ac:dyDescent="0.2">
      <c r="W68" s="48"/>
      <c r="X68" s="48"/>
      <c r="Y68" s="48"/>
      <c r="Z68" s="48"/>
      <c r="AA68" s="48"/>
      <c r="AB68" s="48"/>
      <c r="AC68" s="48"/>
      <c r="AD68" s="48"/>
    </row>
    <row r="69" spans="23:30" ht="11.25" customHeight="1" x14ac:dyDescent="0.2">
      <c r="W69" s="48"/>
      <c r="X69" s="48"/>
      <c r="Y69" s="48"/>
      <c r="Z69" s="48"/>
      <c r="AA69" s="48"/>
      <c r="AB69" s="48"/>
      <c r="AC69" s="48"/>
      <c r="AD69" s="48"/>
    </row>
    <row r="70" spans="23:30" ht="11.25" customHeight="1" x14ac:dyDescent="0.2">
      <c r="W70" s="48"/>
      <c r="X70" s="48"/>
      <c r="Y70" s="48"/>
      <c r="Z70" s="48"/>
      <c r="AA70" s="48"/>
      <c r="AB70" s="48"/>
      <c r="AC70" s="48"/>
      <c r="AD70" s="48"/>
    </row>
    <row r="71" spans="23:30" ht="11.25" customHeight="1" x14ac:dyDescent="0.2">
      <c r="W71" s="48"/>
      <c r="X71" s="48"/>
      <c r="Y71" s="48"/>
      <c r="Z71" s="48"/>
      <c r="AA71" s="48"/>
      <c r="AB71" s="48"/>
      <c r="AC71" s="48"/>
      <c r="AD71" s="48"/>
    </row>
    <row r="72" spans="23:30" ht="11.25" customHeight="1" x14ac:dyDescent="0.2">
      <c r="W72" s="48"/>
      <c r="X72" s="48"/>
      <c r="Y72" s="48"/>
      <c r="Z72" s="48"/>
      <c r="AA72" s="48"/>
      <c r="AB72" s="48"/>
      <c r="AC72" s="48"/>
      <c r="AD72" s="48"/>
    </row>
    <row r="73" spans="23:30" ht="11.25" customHeight="1" x14ac:dyDescent="0.2">
      <c r="W73" s="48"/>
      <c r="X73" s="48"/>
      <c r="Y73" s="48"/>
      <c r="Z73" s="48"/>
      <c r="AA73" s="48"/>
      <c r="AB73" s="48"/>
      <c r="AC73" s="48"/>
      <c r="AD73" s="48"/>
    </row>
    <row r="74" spans="23:30" ht="11.25" customHeight="1" x14ac:dyDescent="0.2">
      <c r="W74" s="48"/>
      <c r="X74" s="48"/>
      <c r="Y74" s="48"/>
      <c r="Z74" s="48"/>
      <c r="AA74" s="48"/>
      <c r="AB74" s="48"/>
      <c r="AC74" s="48"/>
      <c r="AD74" s="48"/>
    </row>
    <row r="75" spans="23:30" ht="11.25" customHeight="1" x14ac:dyDescent="0.2">
      <c r="W75" s="48"/>
      <c r="X75" s="48"/>
      <c r="Y75" s="48"/>
      <c r="Z75" s="48"/>
      <c r="AA75" s="48"/>
      <c r="AB75" s="48"/>
      <c r="AC75" s="48"/>
      <c r="AD75" s="48"/>
    </row>
    <row r="76" spans="23:30" ht="11.25" customHeight="1" x14ac:dyDescent="0.2">
      <c r="W76" s="48"/>
      <c r="X76" s="48"/>
      <c r="Y76" s="48"/>
      <c r="Z76" s="48"/>
      <c r="AA76" s="48"/>
      <c r="AB76" s="48"/>
      <c r="AC76" s="48"/>
      <c r="AD76" s="48"/>
    </row>
    <row r="77" spans="23:30" ht="11.25" customHeight="1" x14ac:dyDescent="0.2">
      <c r="W77" s="48"/>
      <c r="X77" s="48"/>
      <c r="Y77" s="48"/>
      <c r="Z77" s="48"/>
      <c r="AA77" s="48"/>
      <c r="AB77" s="48"/>
      <c r="AC77" s="48"/>
      <c r="AD77" s="48"/>
    </row>
    <row r="78" spans="23:30" ht="11.25" customHeight="1" x14ac:dyDescent="0.2">
      <c r="W78" s="48"/>
      <c r="X78" s="48"/>
      <c r="Y78" s="48"/>
      <c r="Z78" s="48"/>
      <c r="AA78" s="48"/>
      <c r="AB78" s="48"/>
      <c r="AC78" s="48"/>
      <c r="AD78" s="48"/>
    </row>
    <row r="79" spans="23:30" ht="11.25" customHeight="1" x14ac:dyDescent="0.2">
      <c r="W79" s="48"/>
      <c r="X79" s="48"/>
      <c r="Y79" s="48"/>
      <c r="Z79" s="48"/>
      <c r="AA79" s="48"/>
      <c r="AB79" s="48"/>
      <c r="AC79" s="48"/>
      <c r="AD79" s="48"/>
    </row>
    <row r="80" spans="23:30" ht="11.25" customHeight="1" x14ac:dyDescent="0.2">
      <c r="W80" s="48"/>
      <c r="X80" s="48"/>
      <c r="Y80" s="48"/>
      <c r="Z80" s="48"/>
      <c r="AA80" s="48"/>
      <c r="AB80" s="48"/>
      <c r="AC80" s="48"/>
      <c r="AD80" s="48"/>
    </row>
    <row r="81" spans="11:30" x14ac:dyDescent="0.2">
      <c r="W81" s="48"/>
      <c r="X81" s="48"/>
      <c r="Y81" s="48"/>
      <c r="Z81" s="48"/>
      <c r="AA81" s="48"/>
      <c r="AB81" s="48"/>
      <c r="AC81" s="48"/>
      <c r="AD81" s="48"/>
    </row>
    <row r="82" spans="11:30" x14ac:dyDescent="0.2">
      <c r="W82" s="48"/>
      <c r="X82" s="48"/>
      <c r="Y82" s="48"/>
      <c r="Z82" s="48"/>
      <c r="AA82" s="48"/>
      <c r="AB82" s="48"/>
      <c r="AC82" s="48"/>
      <c r="AD82" s="48"/>
    </row>
    <row r="83" spans="11:30" x14ac:dyDescent="0.2">
      <c r="W83" s="48"/>
      <c r="X83" s="48"/>
      <c r="Y83" s="48"/>
      <c r="Z83" s="48"/>
      <c r="AA83" s="48"/>
      <c r="AB83" s="48"/>
      <c r="AC83" s="48"/>
      <c r="AD83" s="48"/>
    </row>
    <row r="84" spans="11:30" x14ac:dyDescent="0.2">
      <c r="W84" s="48"/>
      <c r="X84" s="48"/>
      <c r="Y84" s="48"/>
      <c r="Z84" s="48"/>
      <c r="AA84" s="48"/>
      <c r="AB84" s="48"/>
      <c r="AC84" s="48"/>
      <c r="AD84" s="48"/>
    </row>
    <row r="85" spans="11:30" x14ac:dyDescent="0.2">
      <c r="W85" s="48"/>
      <c r="X85" s="48"/>
      <c r="Y85" s="48"/>
      <c r="Z85" s="48"/>
      <c r="AA85" s="48"/>
      <c r="AB85" s="48"/>
      <c r="AC85" s="48"/>
      <c r="AD85" s="48"/>
    </row>
    <row r="86" spans="11:30" x14ac:dyDescent="0.2">
      <c r="W86" s="48"/>
      <c r="X86" s="48"/>
      <c r="Y86" s="48"/>
      <c r="Z86" s="48"/>
      <c r="AA86" s="48"/>
      <c r="AB86" s="48"/>
      <c r="AC86" s="48"/>
      <c r="AD86" s="48"/>
    </row>
    <row r="87" spans="11:30" x14ac:dyDescent="0.2">
      <c r="W87" s="48"/>
      <c r="X87" s="48"/>
      <c r="Y87" s="48"/>
      <c r="Z87" s="48"/>
      <c r="AA87" s="48"/>
      <c r="AB87" s="48"/>
      <c r="AC87" s="48"/>
      <c r="AD87" s="48"/>
    </row>
    <row r="88" spans="11:30" x14ac:dyDescent="0.2">
      <c r="W88" s="48"/>
      <c r="X88" s="48"/>
      <c r="Y88" s="48"/>
      <c r="Z88" s="48"/>
      <c r="AA88" s="48"/>
      <c r="AB88" s="48"/>
      <c r="AC88" s="48"/>
      <c r="AD88" s="48"/>
    </row>
    <row r="89" spans="11:30" x14ac:dyDescent="0.2">
      <c r="W89" s="48"/>
      <c r="X89" s="48"/>
      <c r="Y89" s="48"/>
      <c r="Z89" s="48"/>
      <c r="AA89" s="48"/>
      <c r="AB89" s="48"/>
      <c r="AC89" s="48"/>
      <c r="AD89" s="48"/>
    </row>
    <row r="90" spans="11:30" x14ac:dyDescent="0.2">
      <c r="K90" s="46" t="s">
        <v>36</v>
      </c>
      <c r="W90" s="48"/>
      <c r="X90" s="48"/>
      <c r="Y90" s="48"/>
      <c r="Z90" s="48"/>
      <c r="AA90" s="48"/>
      <c r="AB90" s="48"/>
      <c r="AC90" s="48"/>
      <c r="AD90" s="48"/>
    </row>
    <row r="91" spans="11:30" x14ac:dyDescent="0.2">
      <c r="W91" s="48"/>
      <c r="X91" s="48"/>
      <c r="Y91" s="48"/>
      <c r="Z91" s="48"/>
      <c r="AA91" s="48"/>
      <c r="AB91" s="48"/>
      <c r="AC91" s="48"/>
      <c r="AD91" s="48"/>
    </row>
    <row r="92" spans="11:30" x14ac:dyDescent="0.2">
      <c r="W92" s="48"/>
      <c r="X92" s="48"/>
      <c r="Y92" s="48"/>
      <c r="Z92" s="48"/>
      <c r="AA92" s="48"/>
      <c r="AB92" s="48"/>
      <c r="AC92" s="48"/>
      <c r="AD92" s="48"/>
    </row>
    <row r="93" spans="11:30" x14ac:dyDescent="0.2">
      <c r="W93" s="48"/>
      <c r="X93" s="48"/>
      <c r="Y93" s="48"/>
      <c r="Z93" s="48"/>
      <c r="AA93" s="48"/>
      <c r="AB93" s="48"/>
      <c r="AC93" s="48"/>
      <c r="AD93" s="48"/>
    </row>
  </sheetData>
  <dataValidations count="5"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23:F59 F10:F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 AK6">
      <formula1>"AllDepos,DeposBeforeFirstFuturesStartDate,DeposBeforeFirstFuturesStartDatePlusOne,DeposBeforeFirstFuturesExpiryDate"</formula1>
    </dataValidation>
    <dataValidation type="list" allowBlank="1" showInputMessage="1" showErrorMessage="1" sqref="P3:P55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6" hidden="1" customWidth="1" outlineLevel="1"/>
    <col min="2" max="2" width="5.7109375" style="51" hidden="1" customWidth="1" outlineLevel="1"/>
    <col min="3" max="3" width="5.7109375" style="50" hidden="1" customWidth="1" outlineLevel="1"/>
    <col min="4" max="4" width="10.7109375" style="50" hidden="1" customWidth="1" outlineLevel="1"/>
    <col min="5" max="6" width="20.7109375" style="50" hidden="1" customWidth="1" outlineLevel="1"/>
    <col min="7" max="7" width="15.7109375" style="50" hidden="1" customWidth="1" outlineLevel="1"/>
    <col min="8" max="8" width="20.7109375" style="52" hidden="1" customWidth="1" outlineLevel="1"/>
    <col min="9" max="9" width="25.7109375" style="46" hidden="1" customWidth="1" outlineLevel="1"/>
    <col min="10" max="10" width="15.7109375" style="94" hidden="1" customWidth="1" outlineLevel="1"/>
    <col min="11" max="11" width="2.7109375" style="46" customWidth="1" collapsed="1"/>
    <col min="12" max="12" width="5.7109375" style="46" hidden="1" customWidth="1" outlineLevel="1"/>
    <col min="13" max="13" width="20.7109375" style="94" hidden="1" customWidth="1" outlineLevel="1"/>
    <col min="14" max="18" width="8.7109375" style="94" hidden="1" customWidth="1" outlineLevel="1"/>
    <col min="19" max="19" width="15.7109375" style="94" hidden="1" customWidth="1" outlineLevel="1"/>
    <col min="20" max="21" width="10.7109375" style="94" hidden="1" customWidth="1" outlineLevel="1"/>
    <col min="22" max="22" width="2.7109375" style="48" hidden="1" customWidth="1" outlineLevel="1"/>
    <col min="23" max="23" width="6" style="46" bestFit="1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2" style="46" bestFit="1" customWidth="1"/>
    <col min="31" max="31" width="2.7109375" style="46" customWidth="1"/>
    <col min="32" max="32" width="3" style="46" customWidth="1"/>
    <col min="33" max="33" width="24.42578125" style="46" bestFit="1" customWidth="1"/>
    <col min="34" max="34" width="9" style="46" bestFit="1" customWidth="1"/>
    <col min="35" max="16384" width="9.140625" style="46"/>
  </cols>
  <sheetData>
    <row r="1" spans="1:34" ht="18" customHeight="1" x14ac:dyDescent="0.2">
      <c r="G1" s="50" t="s">
        <v>29</v>
      </c>
      <c r="H1" s="50" t="str">
        <f>"_SYNTH"&amp;Tenor</f>
        <v>_SYNTH1Y</v>
      </c>
      <c r="L1" s="65" t="s">
        <v>147</v>
      </c>
      <c r="M1" s="97"/>
      <c r="N1" s="97"/>
      <c r="O1" s="89"/>
      <c r="P1" s="97" t="s">
        <v>25</v>
      </c>
      <c r="Q1" s="97"/>
      <c r="R1" s="97"/>
      <c r="S1" s="97"/>
      <c r="T1" s="97"/>
      <c r="U1" s="89"/>
      <c r="V1" s="86"/>
      <c r="W1" s="70" t="str">
        <f>Currency&amp;$G$1</f>
        <v>GBP1Y</v>
      </c>
      <c r="X1" s="64"/>
      <c r="Y1" s="64"/>
      <c r="Z1" s="66"/>
      <c r="AA1" s="66"/>
      <c r="AB1" s="64"/>
      <c r="AC1" s="64"/>
      <c r="AD1" s="68" t="s">
        <v>134</v>
      </c>
    </row>
    <row r="2" spans="1:34" ht="21.75" customHeight="1" x14ac:dyDescent="0.2">
      <c r="A2" s="63" t="s">
        <v>9</v>
      </c>
      <c r="B2" s="63" t="s">
        <v>30</v>
      </c>
      <c r="C2" s="63" t="s">
        <v>148</v>
      </c>
      <c r="D2" s="63" t="s">
        <v>126</v>
      </c>
      <c r="E2" s="63" t="s">
        <v>34</v>
      </c>
      <c r="F2" s="63" t="s">
        <v>113</v>
      </c>
      <c r="G2" s="63" t="s">
        <v>4</v>
      </c>
      <c r="H2" s="63" t="s">
        <v>1</v>
      </c>
      <c r="I2" s="63"/>
      <c r="J2" s="63" t="s">
        <v>25</v>
      </c>
      <c r="L2" s="69" t="s">
        <v>9</v>
      </c>
      <c r="M2" s="69" t="s">
        <v>77</v>
      </c>
      <c r="N2" s="69" t="s">
        <v>80</v>
      </c>
      <c r="O2" s="69" t="s">
        <v>82</v>
      </c>
      <c r="P2" s="69" t="s">
        <v>78</v>
      </c>
      <c r="Q2" s="69" t="s">
        <v>79</v>
      </c>
      <c r="R2" s="69" t="s">
        <v>81</v>
      </c>
      <c r="S2" s="69" t="s">
        <v>25</v>
      </c>
      <c r="T2" s="69" t="s">
        <v>23</v>
      </c>
      <c r="U2" s="69" t="s">
        <v>74</v>
      </c>
      <c r="V2" s="86"/>
      <c r="W2" s="69" t="s">
        <v>9</v>
      </c>
      <c r="X2" s="69" t="s">
        <v>25</v>
      </c>
      <c r="Y2" s="69" t="s">
        <v>77</v>
      </c>
      <c r="Z2" s="71" t="s">
        <v>24</v>
      </c>
      <c r="AA2" s="71" t="s">
        <v>82</v>
      </c>
      <c r="AB2" s="69" t="s">
        <v>23</v>
      </c>
      <c r="AC2" s="69" t="s">
        <v>74</v>
      </c>
      <c r="AD2" s="221">
        <f t="array" ref="AD2:AD79">_xll.qlPiecewiseYieldCurveData(YieldCurve_1Y,Trigger)</f>
        <v>1</v>
      </c>
      <c r="AG2" s="267" t="s">
        <v>83</v>
      </c>
      <c r="AH2" s="268"/>
    </row>
    <row r="3" spans="1:34" ht="11.25" customHeight="1" x14ac:dyDescent="0.2">
      <c r="A3" s="101" t="s">
        <v>27</v>
      </c>
      <c r="B3" s="102" t="s">
        <v>73</v>
      </c>
      <c r="C3" s="103" t="s">
        <v>37</v>
      </c>
      <c r="D3" s="120"/>
      <c r="E3" s="120"/>
      <c r="F3" s="120"/>
      <c r="G3" s="103" t="str">
        <f>_xll.qlLibor(,Currency,C3,,Permanent,Trigger,ObjectOverwrite)</f>
        <v>obj_002bd#0003</v>
      </c>
      <c r="H3" s="110" t="str">
        <f t="shared" ref="H3" si="0">Currency&amp;$B3&amp;"D"&amp;$H$1&amp;QuoteSuffix</f>
        <v>GBPSND_SYNTH1Y_Quote</v>
      </c>
      <c r="I3" s="113"/>
      <c r="J3" s="235" t="str">
        <f>IF(P3,_xll.qlDepositRateHelper(,H3,G3,Permanent,Trigger,ObjectOverwrite),"--")</f>
        <v>--</v>
      </c>
      <c r="K3" s="49"/>
      <c r="L3" s="238" t="str">
        <f>A3</f>
        <v>Dp</v>
      </c>
      <c r="M3" s="239" t="str">
        <f>H3</f>
        <v>GBPSND_SYNTH1Y_Quote</v>
      </c>
      <c r="N3" s="240">
        <f>IFERROR(_xll.qlQuoteValue(H3,Trigger),"--")</f>
        <v>1.4135999999999999E-2</v>
      </c>
      <c r="O3" s="241"/>
      <c r="P3" s="123" t="b">
        <v>0</v>
      </c>
      <c r="Q3" s="122">
        <v>10</v>
      </c>
      <c r="R3" s="122">
        <v>1</v>
      </c>
      <c r="S3" s="122" t="str">
        <f>J3</f>
        <v>--</v>
      </c>
      <c r="T3" s="124" t="str">
        <f>IFERROR(_xll.qlRateHelperEarliestDate(S3,Trigger),"--")</f>
        <v>--</v>
      </c>
      <c r="U3" s="124" t="str">
        <f>IFERROR(_xll.qlRateHelperPillarDate(S3,Trigger),"--")</f>
        <v>--</v>
      </c>
      <c r="W3" s="137" t="str">
        <f t="shared" ref="W3:W34" si="1">IFERROR(INDEX($L$3:$L$79,MATCH(Y3,$M$3:$M$79,0),1),"")</f>
        <v>Dp</v>
      </c>
      <c r="X3" s="137" t="str">
        <f t="array" ref="X3:X79">_xll.qlRateHelperSelection(_xll.ohFilter(RateHelpers,IncludeFlag),_xll.ohFilter(Priority,IncludeFlag),$AH$3,$AH$4,$AH$5,$AH$6,_xll.ohFilter(MinDistance,IncludeFlag),Trigger)</f>
        <v>obj_002a0</v>
      </c>
      <c r="Y3" s="137" t="str">
        <f>IFERROR(_xll.qlRateHelperQuoteName(X3,Trigger),"")</f>
        <v>GBP1MD_SYNTH1Y_Quote</v>
      </c>
      <c r="Z3" s="175">
        <f>IFERROR(_xll.qlRateHelperRate(X3,Trigger),"")</f>
        <v>1.2226000000000001E-2</v>
      </c>
      <c r="AA3" s="176" t="str">
        <f>IF(ISERROR(_xll.qlSwapRateHelperSpread($X3)),IF(ISERROR(_xll.qlFuturesRateHelperConvexityAdjustment($X3)),"",_xll.qlFuturesRateHelperConvexityAdjustment($X3)),_xll.qlSwapRateHelperSpread($X3))</f>
        <v/>
      </c>
      <c r="AB3" s="138">
        <f>IFERROR(_xll.qlRateHelperEarliestDate(X3,Trigger),"")</f>
        <v>42559</v>
      </c>
      <c r="AC3" s="138">
        <f>IFERROR(_xll.qlRateHelperPillarDate(X3,Trigger),"")</f>
        <v>42590</v>
      </c>
      <c r="AD3" s="220">
        <v>0.99896270449649205</v>
      </c>
      <c r="AG3" s="98" t="s">
        <v>84</v>
      </c>
      <c r="AH3" s="99">
        <v>0</v>
      </c>
    </row>
    <row r="4" spans="1:34" ht="11.25" customHeight="1" x14ac:dyDescent="0.2">
      <c r="A4" s="53" t="s">
        <v>27</v>
      </c>
      <c r="B4" s="54" t="s">
        <v>89</v>
      </c>
      <c r="C4" s="120"/>
      <c r="D4" s="120"/>
      <c r="E4" s="120"/>
      <c r="F4" s="120"/>
      <c r="G4" s="55" t="str">
        <f>PROPER(Currency)&amp;FamilyName&amp;B4</f>
        <v>GbpLiborSW</v>
      </c>
      <c r="H4" s="136" t="str">
        <f t="shared" ref="H4:H18" si="2">Currency&amp;$B4&amp;"D"&amp;$H$1&amp;QuoteSuffix</f>
        <v>GBPSWD_SYNTH1Y_Quote</v>
      </c>
      <c r="I4" s="120"/>
      <c r="J4" s="225" t="str">
        <f>IF(P4,_xll.qlDepositRateHelper(,H4,G4,Permanent,Trigger,ObjectOverwrite),"--")</f>
        <v>--</v>
      </c>
      <c r="K4" s="48"/>
      <c r="L4" s="226" t="str">
        <f t="shared" ref="L4:L18" si="3">A4</f>
        <v>Dp</v>
      </c>
      <c r="M4" s="230" t="str">
        <f t="shared" ref="M4:M18" si="4">H4</f>
        <v>GBPSWD_SYNTH1Y_Quote</v>
      </c>
      <c r="N4" s="228">
        <f>IFERROR(_xll.qlQuoteValue(H4,Trigger),"--")</f>
        <v>1.3925E-2</v>
      </c>
      <c r="O4" s="229"/>
      <c r="P4" s="90" t="b">
        <v>0</v>
      </c>
      <c r="Q4" s="87">
        <v>10</v>
      </c>
      <c r="R4" s="87">
        <v>1</v>
      </c>
      <c r="S4" s="87" t="str">
        <f t="shared" ref="S4:S18" si="5">J4</f>
        <v>--</v>
      </c>
      <c r="T4" s="91" t="str">
        <f>IFERROR(_xll.qlRateHelperEarliestDate(S4,Trigger),"--")</f>
        <v>--</v>
      </c>
      <c r="U4" s="91" t="str">
        <f>IFERROR(_xll.qlRateHelperPillarDate(S4,Trigger),"--")</f>
        <v>--</v>
      </c>
      <c r="W4" s="140" t="str">
        <f t="shared" si="1"/>
        <v>Dp</v>
      </c>
      <c r="X4" s="140" t="str">
        <v>obj_002b7</v>
      </c>
      <c r="Y4" s="140" t="str">
        <f>IFERROR(_xll.qlRateHelperQuoteName(X4,Trigger),"")</f>
        <v>GBP2MD_SYNTH1Y_Quote</v>
      </c>
      <c r="Z4" s="170">
        <f>IFERROR(_xll.qlRateHelperRate(X4,Trigger),"")</f>
        <v>1.1390000000000001E-2</v>
      </c>
      <c r="AA4" s="171" t="str">
        <f>IF(ISERROR(_xll.qlSwapRateHelperSpread($X4)),IF(ISERROR(_xll.qlFuturesRateHelperConvexityAdjustment($X4)),"",_xll.qlFuturesRateHelperConvexityAdjustment($X4)),_xll.qlSwapRateHelperSpread($X4))</f>
        <v/>
      </c>
      <c r="AB4" s="141">
        <f>IFERROR(_xll.qlRateHelperEarliestDate(X4,Trigger),"")</f>
        <v>42559</v>
      </c>
      <c r="AC4" s="141">
        <f>IFERROR(_xll.qlRateHelperPillarDate(X4,Trigger),"")</f>
        <v>42621</v>
      </c>
      <c r="AD4" s="220">
        <v>0.99806899626361245</v>
      </c>
      <c r="AG4" s="98" t="s">
        <v>85</v>
      </c>
      <c r="AH4" s="99">
        <v>0</v>
      </c>
    </row>
    <row r="5" spans="1:34" ht="11.25" customHeight="1" x14ac:dyDescent="0.2">
      <c r="A5" s="153" t="s">
        <v>27</v>
      </c>
      <c r="B5" s="154" t="s">
        <v>39</v>
      </c>
      <c r="C5" s="155"/>
      <c r="D5" s="155"/>
      <c r="E5" s="155"/>
      <c r="F5" s="155"/>
      <c r="G5" s="156" t="str">
        <f>_xll.qlLibor(,Currency,B5,,Permanent,Trigger,ObjectOverwrite)</f>
        <v>obj_0029d#0001</v>
      </c>
      <c r="H5" s="157" t="str">
        <f t="shared" si="2"/>
        <v>GBP2WD_SYNTH1Y_Quote</v>
      </c>
      <c r="I5" s="155"/>
      <c r="J5" s="247" t="str">
        <f>IF(P5,_xll.qlDepositRateHelper(,H5,G5,Permanent,Trigger,ObjectOverwrite),"--")</f>
        <v>--</v>
      </c>
      <c r="K5" s="48"/>
      <c r="L5" s="226" t="str">
        <f t="shared" si="3"/>
        <v>Dp</v>
      </c>
      <c r="M5" s="230" t="str">
        <f t="shared" si="4"/>
        <v>GBP2WD_SYNTH1Y_Quote</v>
      </c>
      <c r="N5" s="228">
        <f>IFERROR(_xll.qlQuoteValue(H5,Trigger),"--")</f>
        <v>1.2952999999999999E-2</v>
      </c>
      <c r="O5" s="229"/>
      <c r="P5" s="90" t="b">
        <v>0</v>
      </c>
      <c r="Q5" s="87">
        <v>10</v>
      </c>
      <c r="R5" s="87">
        <v>1</v>
      </c>
      <c r="S5" s="87" t="str">
        <f t="shared" si="5"/>
        <v>--</v>
      </c>
      <c r="T5" s="91" t="str">
        <f>IFERROR(_xll.qlRateHelperEarliestDate(S5,Trigger),"--")</f>
        <v>--</v>
      </c>
      <c r="U5" s="91" t="str">
        <f>IFERROR(_xll.qlRateHelperPillarDate(S5,Trigger),"--")</f>
        <v>--</v>
      </c>
      <c r="W5" s="140" t="str">
        <f t="shared" si="1"/>
        <v>Dp</v>
      </c>
      <c r="X5" s="140" t="str">
        <v>obj_0028c</v>
      </c>
      <c r="Y5" s="140" t="str">
        <f>IFERROR(_xll.qlRateHelperQuoteName(X5,Trigger),"")</f>
        <v>GBP3MD_SYNTH1Y_Quote</v>
      </c>
      <c r="Z5" s="170">
        <f>IFERROR(_xll.qlRateHelperRate(X5,Trigger),"")</f>
        <v>1.0917E-2</v>
      </c>
      <c r="AA5" s="171" t="str">
        <f>IF(ISERROR(_xll.qlSwapRateHelperSpread($X5)),IF(ISERROR(_xll.qlFuturesRateHelperConvexityAdjustment($X5)),"",_xll.qlFuturesRateHelperConvexityAdjustment($X5)),_xll.qlSwapRateHelperSpread($X5))</f>
        <v/>
      </c>
      <c r="AB5" s="141">
        <f>IFERROR(_xll.qlRateHelperEarliestDate(X5,Trigger),"")</f>
        <v>42559</v>
      </c>
      <c r="AC5" s="141">
        <f>IFERROR(_xll.qlRateHelperPillarDate(X5,Trigger),"")</f>
        <v>42653</v>
      </c>
      <c r="AD5" s="220">
        <v>0.99719638100877128</v>
      </c>
      <c r="AE5" s="73"/>
      <c r="AF5" s="73"/>
      <c r="AG5" s="98" t="s">
        <v>86</v>
      </c>
      <c r="AH5" s="99">
        <v>0</v>
      </c>
    </row>
    <row r="6" spans="1:34" ht="11.25" customHeight="1" x14ac:dyDescent="0.2">
      <c r="A6" s="158" t="s">
        <v>27</v>
      </c>
      <c r="B6" s="159" t="s">
        <v>40</v>
      </c>
      <c r="C6" s="160"/>
      <c r="D6" s="160"/>
      <c r="E6" s="160"/>
      <c r="F6" s="160"/>
      <c r="G6" s="161" t="str">
        <f>_xll.qlLibor(,Currency,B6,,Permanent,Trigger,ObjectOverwrite)</f>
        <v>obj_0026f#0001</v>
      </c>
      <c r="H6" s="162" t="str">
        <f t="shared" si="2"/>
        <v>GBP3WD_SYNTH1Y_Quote</v>
      </c>
      <c r="I6" s="160"/>
      <c r="J6" s="248" t="str">
        <f>IF(P6,_xll.qlDepositRateHelper(,H6,G6,Permanent,Trigger,ObjectOverwrite),"--")</f>
        <v>--</v>
      </c>
      <c r="K6" s="48"/>
      <c r="L6" s="226" t="str">
        <f t="shared" si="3"/>
        <v>Dp</v>
      </c>
      <c r="M6" s="230" t="str">
        <f t="shared" si="4"/>
        <v>GBP3WD_SYNTH1Y_Quote</v>
      </c>
      <c r="N6" s="228">
        <f>IFERROR(_xll.qlQuoteValue(H6,Trigger),"--")</f>
        <v>1.2506E-2</v>
      </c>
      <c r="O6" s="229"/>
      <c r="P6" s="90" t="b">
        <v>0</v>
      </c>
      <c r="Q6" s="87">
        <v>10</v>
      </c>
      <c r="R6" s="87">
        <v>1</v>
      </c>
      <c r="S6" s="87" t="str">
        <f t="shared" si="5"/>
        <v>--</v>
      </c>
      <c r="T6" s="91" t="str">
        <f>IFERROR(_xll.qlRateHelperEarliestDate(S6,Trigger),"--")</f>
        <v>--</v>
      </c>
      <c r="U6" s="91" t="str">
        <f>IFERROR(_xll.qlRateHelperPillarDate(S6,Trigger),"--")</f>
        <v>--</v>
      </c>
      <c r="W6" s="140" t="str">
        <f t="shared" si="1"/>
        <v>Dp</v>
      </c>
      <c r="X6" s="140" t="str">
        <v>obj_002c5</v>
      </c>
      <c r="Y6" s="140" t="str">
        <f>IFERROR(_xll.qlRateHelperQuoteName(X6,Trigger),"")</f>
        <v>GBP4MD_SYNTH1Y_Quote</v>
      </c>
      <c r="Z6" s="170">
        <f>IFERROR(_xll.qlRateHelperRate(X6,Trigger),"")</f>
        <v>1.0602E-2</v>
      </c>
      <c r="AA6" s="171" t="str">
        <f>IF(ISERROR(_xll.qlSwapRateHelperSpread($X6)),IF(ISERROR(_xll.qlFuturesRateHelperConvexityAdjustment($X6)),"",_xll.qlFuturesRateHelperConvexityAdjustment($X6)),_xll.qlSwapRateHelperSpread($X6))</f>
        <v/>
      </c>
      <c r="AB6" s="141">
        <f>IFERROR(_xll.qlRateHelperEarliestDate(X6,Trigger),"")</f>
        <v>42559</v>
      </c>
      <c r="AC6" s="141">
        <f>IFERROR(_xll.qlRateHelperPillarDate(X6,Trigger),"")</f>
        <v>42682</v>
      </c>
      <c r="AD6" s="220">
        <v>0.9964399901823634</v>
      </c>
      <c r="AG6" s="98" t="s">
        <v>87</v>
      </c>
      <c r="AH6" s="100" t="s">
        <v>88</v>
      </c>
    </row>
    <row r="7" spans="1:34" ht="11.25" customHeight="1" x14ac:dyDescent="0.2">
      <c r="A7" s="58" t="s">
        <v>27</v>
      </c>
      <c r="B7" s="59" t="s">
        <v>2</v>
      </c>
      <c r="C7" s="114"/>
      <c r="D7" s="114"/>
      <c r="E7" s="114"/>
      <c r="F7" s="114"/>
      <c r="G7" s="60" t="str">
        <f>PROPER(Currency)&amp;FamilyName&amp;B7</f>
        <v>GbpLibor1M</v>
      </c>
      <c r="H7" s="111" t="str">
        <f t="shared" si="2"/>
        <v>GBP1MD_SYNTH1Y_Quote</v>
      </c>
      <c r="I7" s="114"/>
      <c r="J7" s="223" t="str">
        <f>IF(P7,_xll.qlDepositRateHelper(,H7,G7,Permanent,Trigger,ObjectOverwrite),"--")</f>
        <v>obj_002a0#0001</v>
      </c>
      <c r="K7" s="48"/>
      <c r="L7" s="226" t="str">
        <f t="shared" si="3"/>
        <v>Dp</v>
      </c>
      <c r="M7" s="230" t="str">
        <f t="shared" si="4"/>
        <v>GBP1MD_SYNTH1Y_Quote</v>
      </c>
      <c r="N7" s="228">
        <f>IFERROR(_xll.qlQuoteValue(H7,Trigger),"--")</f>
        <v>1.2192E-2</v>
      </c>
      <c r="O7" s="229"/>
      <c r="P7" s="90" t="b">
        <v>1</v>
      </c>
      <c r="Q7" s="87">
        <v>10</v>
      </c>
      <c r="R7" s="87">
        <v>1</v>
      </c>
      <c r="S7" s="87" t="str">
        <f t="shared" si="5"/>
        <v>obj_002a0#0001</v>
      </c>
      <c r="T7" s="91">
        <f>IFERROR(_xll.qlRateHelperEarliestDate(S7,Trigger),"--")</f>
        <v>42559</v>
      </c>
      <c r="U7" s="91">
        <f>IFERROR(_xll.qlRateHelperPillarDate(S7,Trigger),"--")</f>
        <v>42590</v>
      </c>
      <c r="W7" s="140" t="str">
        <f t="shared" si="1"/>
        <v>Dp</v>
      </c>
      <c r="X7" s="140" t="str">
        <v>obj_002cd</v>
      </c>
      <c r="Y7" s="140" t="str">
        <f>IFERROR(_xll.qlRateHelperQuoteName(X7,Trigger),"")</f>
        <v>GBP5MD_SYNTH1Y_Quote</v>
      </c>
      <c r="Z7" s="170">
        <f>IFERROR(_xll.qlRateHelperRate(X7,Trigger),"")</f>
        <v>1.025E-2</v>
      </c>
      <c r="AA7" s="171" t="str">
        <f>IF(ISERROR(_xll.qlSwapRateHelperSpread($X7)),IF(ISERROR(_xll.qlFuturesRateHelperConvexityAdjustment($X7)),"",_xll.qlFuturesRateHelperConvexityAdjustment($X7)),_xll.qlSwapRateHelperSpread($X7))</f>
        <v/>
      </c>
      <c r="AB7" s="141">
        <f>IFERROR(_xll.qlRateHelperEarliestDate(X7,Trigger),"")</f>
        <v>42559</v>
      </c>
      <c r="AC7" s="141">
        <f>IFERROR(_xll.qlRateHelperPillarDate(X7,Trigger),"")</f>
        <v>42712</v>
      </c>
      <c r="AD7" s="220">
        <v>0.99572180623935647</v>
      </c>
    </row>
    <row r="8" spans="1:34" ht="11.25" customHeight="1" x14ac:dyDescent="0.2">
      <c r="A8" s="58" t="s">
        <v>27</v>
      </c>
      <c r="B8" s="59" t="s">
        <v>41</v>
      </c>
      <c r="C8" s="114"/>
      <c r="D8" s="114"/>
      <c r="E8" s="114"/>
      <c r="F8" s="114"/>
      <c r="G8" s="60" t="str">
        <f>PROPER(Currency)&amp;FamilyName&amp;B8</f>
        <v>GbpLibor2M</v>
      </c>
      <c r="H8" s="111" t="str">
        <f t="shared" si="2"/>
        <v>GBP2MD_SYNTH1Y_Quote</v>
      </c>
      <c r="I8" s="114"/>
      <c r="J8" s="223" t="str">
        <f>IF(P8,_xll.qlDepositRateHelper(,H8,G8,Permanent,Trigger,ObjectOverwrite),"--")</f>
        <v>obj_002b7#0001</v>
      </c>
      <c r="K8" s="48"/>
      <c r="L8" s="226" t="str">
        <f t="shared" si="3"/>
        <v>Dp</v>
      </c>
      <c r="M8" s="230" t="str">
        <f t="shared" si="4"/>
        <v>GBP2MD_SYNTH1Y_Quote</v>
      </c>
      <c r="N8" s="228">
        <f>IFERROR(_xll.qlQuoteValue(H8,Trigger),"--")</f>
        <v>1.1357000000000001E-2</v>
      </c>
      <c r="O8" s="229"/>
      <c r="P8" s="90" t="b">
        <v>1</v>
      </c>
      <c r="Q8" s="87">
        <v>10</v>
      </c>
      <c r="R8" s="87">
        <v>1</v>
      </c>
      <c r="S8" s="87" t="str">
        <f t="shared" si="5"/>
        <v>obj_002b7#0001</v>
      </c>
      <c r="T8" s="91">
        <f>IFERROR(_xll.qlRateHelperEarliestDate(S8,Trigger),"--")</f>
        <v>42559</v>
      </c>
      <c r="U8" s="91">
        <f>IFERROR(_xll.qlRateHelperPillarDate(S8,Trigger),"--")</f>
        <v>42621</v>
      </c>
      <c r="W8" s="140" t="str">
        <f t="shared" si="1"/>
        <v>Dp</v>
      </c>
      <c r="X8" s="140" t="str">
        <v>obj_00279</v>
      </c>
      <c r="Y8" s="140" t="str">
        <f>IFERROR(_xll.qlRateHelperQuoteName(X8,Trigger),"")</f>
        <v>GBP6MD_SYNTH1Y_Quote</v>
      </c>
      <c r="Z8" s="170">
        <f>IFERROR(_xll.qlRateHelperRate(X8,Trigger),"")</f>
        <v>9.9059999999999999E-3</v>
      </c>
      <c r="AA8" s="171" t="str">
        <f>IF(ISERROR(_xll.qlSwapRateHelperSpread($X8)),IF(ISERROR(_xll.qlFuturesRateHelperConvexityAdjustment($X8)),"",_xll.qlFuturesRateHelperConvexityAdjustment($X8)),_xll.qlSwapRateHelperSpread($X8))</f>
        <v/>
      </c>
      <c r="AB8" s="141">
        <f>IFERROR(_xll.qlRateHelperEarliestDate(X8,Trigger),"")</f>
        <v>42559</v>
      </c>
      <c r="AC8" s="141">
        <f>IFERROR(_xll.qlRateHelperPillarDate(X8,Trigger),"")</f>
        <v>42744</v>
      </c>
      <c r="AD8" s="220">
        <v>0.99500423367486324</v>
      </c>
    </row>
    <row r="9" spans="1:34" ht="11.25" customHeight="1" x14ac:dyDescent="0.2">
      <c r="A9" s="58" t="s">
        <v>27</v>
      </c>
      <c r="B9" s="59" t="s">
        <v>0</v>
      </c>
      <c r="C9" s="114"/>
      <c r="D9" s="114"/>
      <c r="E9" s="114"/>
      <c r="F9" s="114"/>
      <c r="G9" s="60" t="str">
        <f>PROPER(Currency)&amp;FamilyName&amp;B9</f>
        <v>GbpLibor3M</v>
      </c>
      <c r="H9" s="111" t="str">
        <f t="shared" si="2"/>
        <v>GBP3MD_SYNTH1Y_Quote</v>
      </c>
      <c r="I9" s="114"/>
      <c r="J9" s="223" t="str">
        <f>IF(P9,_xll.qlDepositRateHelper(,H9,G9,Permanent,Trigger,ObjectOverwrite),"--")</f>
        <v>obj_0028c#0001</v>
      </c>
      <c r="K9" s="48"/>
      <c r="L9" s="226" t="str">
        <f t="shared" si="3"/>
        <v>Dp</v>
      </c>
      <c r="M9" s="230" t="str">
        <f t="shared" si="4"/>
        <v>GBP3MD_SYNTH1Y_Quote</v>
      </c>
      <c r="N9" s="228">
        <f>IFERROR(_xll.qlQuoteValue(H9,Trigger),"--")</f>
        <v>1.0895999999999999E-2</v>
      </c>
      <c r="O9" s="229"/>
      <c r="P9" s="90" t="b">
        <v>1</v>
      </c>
      <c r="Q9" s="87">
        <v>10</v>
      </c>
      <c r="R9" s="87">
        <v>1</v>
      </c>
      <c r="S9" s="87" t="str">
        <f t="shared" si="5"/>
        <v>obj_0028c#0001</v>
      </c>
      <c r="T9" s="91">
        <f>IFERROR(_xll.qlRateHelperEarliestDate(S9,Trigger),"--")</f>
        <v>42559</v>
      </c>
      <c r="U9" s="91">
        <f>IFERROR(_xll.qlRateHelperPillarDate(S9,Trigger),"--")</f>
        <v>42653</v>
      </c>
      <c r="W9" s="140" t="str">
        <f t="shared" si="1"/>
        <v>Dp</v>
      </c>
      <c r="X9" s="140" t="str">
        <v>obj_002ca</v>
      </c>
      <c r="Y9" s="140" t="str">
        <f>IFERROR(_xll.qlRateHelperQuoteName(X9,Trigger),"")</f>
        <v>GBP7MD_SYNTH1Y_Quote</v>
      </c>
      <c r="Z9" s="170">
        <f>IFERROR(_xll.qlRateHelperRate(X9,Trigger),"")</f>
        <v>9.6240000000000006E-3</v>
      </c>
      <c r="AA9" s="171" t="str">
        <f>IF(ISERROR(_xll.qlSwapRateHelperSpread($X9)),IF(ISERROR(_xll.qlFuturesRateHelperConvexityAdjustment($X9)),"",_xll.qlFuturesRateHelperConvexityAdjustment($X9)),_xll.qlSwapRateHelperSpread($X9))</f>
        <v/>
      </c>
      <c r="AB9" s="141">
        <f>IFERROR(_xll.qlRateHelperEarliestDate(X9,Trigger),"")</f>
        <v>42559</v>
      </c>
      <c r="AC9" s="141">
        <f>IFERROR(_xll.qlRateHelperPillarDate(X9,Trigger),"")</f>
        <v>42774</v>
      </c>
      <c r="AD9" s="220">
        <v>0.99436302412330146</v>
      </c>
    </row>
    <row r="10" spans="1:34" ht="11.25" customHeight="1" x14ac:dyDescent="0.2">
      <c r="A10" s="58" t="s">
        <v>27</v>
      </c>
      <c r="B10" s="59" t="s">
        <v>42</v>
      </c>
      <c r="C10" s="114"/>
      <c r="D10" s="114"/>
      <c r="E10" s="114"/>
      <c r="F10" s="114"/>
      <c r="G10" s="60" t="str">
        <f>_xll.qlLibor(,Currency,B10,,Permanent,Trigger,ObjectOverwrite)</f>
        <v>obj_002a3#0001</v>
      </c>
      <c r="H10" s="111" t="str">
        <f t="shared" si="2"/>
        <v>GBP4MD_SYNTH1Y_Quote</v>
      </c>
      <c r="I10" s="114"/>
      <c r="J10" s="223" t="str">
        <f>IF(P10,_xll.qlDepositRateHelper(,H10,G10,Permanent,Trigger,ObjectOverwrite),"--")</f>
        <v>obj_002c5#0001</v>
      </c>
      <c r="K10" s="48"/>
      <c r="L10" s="226" t="str">
        <f t="shared" si="3"/>
        <v>Dp</v>
      </c>
      <c r="M10" s="230" t="str">
        <f t="shared" si="4"/>
        <v>GBP4MD_SYNTH1Y_Quote</v>
      </c>
      <c r="N10" s="228">
        <f>IFERROR(_xll.qlQuoteValue(H10,Trigger),"--")</f>
        <v>1.0581999999999999E-2</v>
      </c>
      <c r="O10" s="229"/>
      <c r="P10" s="90" t="b">
        <v>1</v>
      </c>
      <c r="Q10" s="87">
        <v>10</v>
      </c>
      <c r="R10" s="87">
        <v>1</v>
      </c>
      <c r="S10" s="87" t="str">
        <f t="shared" si="5"/>
        <v>obj_002c5#0001</v>
      </c>
      <c r="T10" s="91">
        <f>IFERROR(_xll.qlRateHelperEarliestDate(S10,Trigger),"--")</f>
        <v>42559</v>
      </c>
      <c r="U10" s="91">
        <f>IFERROR(_xll.qlRateHelperPillarDate(S10,Trigger),"--")</f>
        <v>42682</v>
      </c>
      <c r="W10" s="140" t="str">
        <f t="shared" si="1"/>
        <v>Dp</v>
      </c>
      <c r="X10" s="140" t="str">
        <v>obj_002cb</v>
      </c>
      <c r="Y10" s="140" t="str">
        <f>IFERROR(_xll.qlRateHelperQuoteName(X10,Trigger),"")</f>
        <v>GBP8MD_SYNTH1Y_Quote</v>
      </c>
      <c r="Z10" s="170">
        <f>IFERROR(_xll.qlRateHelperRate(X10,Trigger),"")</f>
        <v>9.384E-3</v>
      </c>
      <c r="AA10" s="171" t="str">
        <f>IF(ISERROR(_xll.qlSwapRateHelperSpread($X10)),IF(ISERROR(_xll.qlFuturesRateHelperConvexityAdjustment($X10)),"",_xll.qlFuturesRateHelperConvexityAdjustment($X10)),_xll.qlSwapRateHelperSpread($X10))</f>
        <v/>
      </c>
      <c r="AB10" s="141">
        <f>IFERROR(_xll.qlRateHelperEarliestDate(X10,Trigger),"")</f>
        <v>42559</v>
      </c>
      <c r="AC10" s="141">
        <f>IFERROR(_xll.qlRateHelperPillarDate(X10,Trigger),"")</f>
        <v>42802</v>
      </c>
      <c r="AD10" s="220">
        <v>0.99379135792064999</v>
      </c>
    </row>
    <row r="11" spans="1:34" ht="11.25" customHeight="1" x14ac:dyDescent="0.2">
      <c r="A11" s="58" t="s">
        <v>27</v>
      </c>
      <c r="B11" s="59" t="s">
        <v>43</v>
      </c>
      <c r="C11" s="114"/>
      <c r="D11" s="114"/>
      <c r="E11" s="114"/>
      <c r="F11" s="114"/>
      <c r="G11" s="60" t="str">
        <f>_xll.qlLibor(,Currency,B11,,Permanent,Trigger,ObjectOverwrite)</f>
        <v>obj_002b5#0001</v>
      </c>
      <c r="H11" s="111" t="str">
        <f t="shared" si="2"/>
        <v>GBP5MD_SYNTH1Y_Quote</v>
      </c>
      <c r="I11" s="114"/>
      <c r="J11" s="223" t="str">
        <f>IF(P11,_xll.qlDepositRateHelper(,H11,G11,Permanent,Trigger,ObjectOverwrite),"--")</f>
        <v>obj_002cd#0001</v>
      </c>
      <c r="K11" s="48"/>
      <c r="L11" s="226" t="str">
        <f t="shared" si="3"/>
        <v>Dp</v>
      </c>
      <c r="M11" s="230" t="str">
        <f t="shared" si="4"/>
        <v>GBP5MD_SYNTH1Y_Quote</v>
      </c>
      <c r="N11" s="228">
        <f>IFERROR(_xll.qlQuoteValue(H11,Trigger),"--")</f>
        <v>1.0241999999999999E-2</v>
      </c>
      <c r="O11" s="229"/>
      <c r="P11" s="90" t="b">
        <v>1</v>
      </c>
      <c r="Q11" s="87">
        <v>10</v>
      </c>
      <c r="R11" s="87">
        <v>1</v>
      </c>
      <c r="S11" s="87" t="str">
        <f t="shared" si="5"/>
        <v>obj_002cd#0001</v>
      </c>
      <c r="T11" s="91">
        <f>IFERROR(_xll.qlRateHelperEarliestDate(S11,Trigger),"--")</f>
        <v>42559</v>
      </c>
      <c r="U11" s="91">
        <f>IFERROR(_xll.qlRateHelperPillarDate(S11,Trigger),"--")</f>
        <v>42712</v>
      </c>
      <c r="W11" s="140" t="str">
        <f t="shared" si="1"/>
        <v>Dp</v>
      </c>
      <c r="X11" s="140" t="str">
        <v>obj_002ce</v>
      </c>
      <c r="Y11" s="140" t="str">
        <f>IFERROR(_xll.qlRateHelperQuoteName(X11,Trigger),"")</f>
        <v>GBP9MD_SYNTH1Y_Quote</v>
      </c>
      <c r="Z11" s="170">
        <f>IFERROR(_xll.qlRateHelperRate(X11,Trigger),"")</f>
        <v>9.1229999999999992E-3</v>
      </c>
      <c r="AA11" s="171" t="str">
        <f>IF(ISERROR(_xll.qlSwapRateHelperSpread($X11)),IF(ISERROR(_xll.qlFuturesRateHelperConvexityAdjustment($X11)),"",_xll.qlFuturesRateHelperConvexityAdjustment($X11)),_xll.qlSwapRateHelperSpread($X11))</f>
        <v/>
      </c>
      <c r="AB11" s="141">
        <f>IFERROR(_xll.qlRateHelperEarliestDate(X11,Trigger),"")</f>
        <v>42559</v>
      </c>
      <c r="AC11" s="141">
        <f>IFERROR(_xll.qlRateHelperPillarDate(X11,Trigger),"")</f>
        <v>42835</v>
      </c>
      <c r="AD11" s="220">
        <v>0.99314877541708524</v>
      </c>
    </row>
    <row r="12" spans="1:34" ht="11.25" customHeight="1" x14ac:dyDescent="0.2">
      <c r="A12" s="58" t="s">
        <v>27</v>
      </c>
      <c r="B12" s="59" t="s">
        <v>3</v>
      </c>
      <c r="C12" s="114"/>
      <c r="D12" s="114"/>
      <c r="E12" s="114"/>
      <c r="F12" s="114"/>
      <c r="G12" s="60" t="str">
        <f>PROPER(Currency)&amp;FamilyName&amp;B12</f>
        <v>GbpLibor6M</v>
      </c>
      <c r="H12" s="111" t="str">
        <f t="shared" si="2"/>
        <v>GBP6MD_SYNTH1Y_Quote</v>
      </c>
      <c r="I12" s="114"/>
      <c r="J12" s="223" t="str">
        <f>IF(P12,_xll.qlDepositRateHelper(,H12,G12,Permanent,Trigger,ObjectOverwrite),"--")</f>
        <v>obj_00279#0001</v>
      </c>
      <c r="K12" s="48" t="s">
        <v>36</v>
      </c>
      <c r="L12" s="226" t="str">
        <f t="shared" si="3"/>
        <v>Dp</v>
      </c>
      <c r="M12" s="230" t="str">
        <f t="shared" si="4"/>
        <v>GBP6MD_SYNTH1Y_Quote</v>
      </c>
      <c r="N12" s="228">
        <f>IFERROR(_xll.qlQuoteValue(H12,Trigger),"--")</f>
        <v>9.8989999999999998E-3</v>
      </c>
      <c r="O12" s="229"/>
      <c r="P12" s="90" t="b">
        <v>1</v>
      </c>
      <c r="Q12" s="87">
        <v>10</v>
      </c>
      <c r="R12" s="87">
        <v>1</v>
      </c>
      <c r="S12" s="87" t="str">
        <f t="shared" si="5"/>
        <v>obj_00279#0001</v>
      </c>
      <c r="T12" s="91">
        <f>IFERROR(_xll.qlRateHelperEarliestDate(S12,Trigger),"--")</f>
        <v>42559</v>
      </c>
      <c r="U12" s="91">
        <f>IFERROR(_xll.qlRateHelperPillarDate(S12,Trigger),"--")</f>
        <v>42744</v>
      </c>
      <c r="W12" s="140" t="str">
        <f t="shared" si="1"/>
        <v>Dp</v>
      </c>
      <c r="X12" s="140" t="str">
        <v>obj_002cc</v>
      </c>
      <c r="Y12" s="140" t="str">
        <f>IFERROR(_xll.qlRateHelperQuoteName(X12,Trigger),"")</f>
        <v>GBP10MD_SYNTH1Y_Quote</v>
      </c>
      <c r="Z12" s="170">
        <f>IFERROR(_xll.qlRateHelperRate(X12,Trigger),"")</f>
        <v>8.9020000000000002E-3</v>
      </c>
      <c r="AA12" s="171" t="str">
        <f>IF(ISERROR(_xll.qlSwapRateHelperSpread($X12)),IF(ISERROR(_xll.qlFuturesRateHelperConvexityAdjustment($X12)),"",_xll.qlFuturesRateHelperConvexityAdjustment($X12)),_xll.qlSwapRateHelperSpread($X12))</f>
        <v/>
      </c>
      <c r="AB12" s="141">
        <f>IFERROR(_xll.qlRateHelperEarliestDate(X12,Trigger),"")</f>
        <v>42559</v>
      </c>
      <c r="AC12" s="141">
        <f>IFERROR(_xll.qlRateHelperPillarDate(X12,Trigger),"")</f>
        <v>42863</v>
      </c>
      <c r="AD12" s="220">
        <v>0.99264029831119949</v>
      </c>
    </row>
    <row r="13" spans="1:34" ht="11.25" customHeight="1" x14ac:dyDescent="0.2">
      <c r="A13" s="58" t="s">
        <v>27</v>
      </c>
      <c r="B13" s="59" t="s">
        <v>44</v>
      </c>
      <c r="C13" s="114"/>
      <c r="D13" s="114"/>
      <c r="E13" s="114"/>
      <c r="F13" s="114"/>
      <c r="G13" s="60" t="str">
        <f>_xll.qlLibor(,Currency,B13,,Permanent,Trigger,ObjectOverwrite)</f>
        <v>obj_002c7#0001</v>
      </c>
      <c r="H13" s="111" t="str">
        <f t="shared" si="2"/>
        <v>GBP7MD_SYNTH1Y_Quote</v>
      </c>
      <c r="I13" s="114"/>
      <c r="J13" s="223" t="str">
        <f>IF(P13,_xll.qlDepositRateHelper(,H13,G13,Permanent,Trigger,ObjectOverwrite),"--")</f>
        <v>obj_002ca#0001</v>
      </c>
      <c r="K13" s="48"/>
      <c r="L13" s="226" t="str">
        <f t="shared" si="3"/>
        <v>Dp</v>
      </c>
      <c r="M13" s="230" t="str">
        <f t="shared" si="4"/>
        <v>GBP7MD_SYNTH1Y_Quote</v>
      </c>
      <c r="N13" s="228">
        <f>IFERROR(_xll.qlQuoteValue(H13,Trigger),"--")</f>
        <v>9.6279999999999994E-3</v>
      </c>
      <c r="O13" s="229"/>
      <c r="P13" s="90" t="b">
        <v>1</v>
      </c>
      <c r="Q13" s="87">
        <v>10</v>
      </c>
      <c r="R13" s="87">
        <v>1</v>
      </c>
      <c r="S13" s="87" t="str">
        <f t="shared" si="5"/>
        <v>obj_002ca#0001</v>
      </c>
      <c r="T13" s="91">
        <f>IFERROR(_xll.qlRateHelperEarliestDate(S13,Trigger),"--")</f>
        <v>42559</v>
      </c>
      <c r="U13" s="91">
        <f>IFERROR(_xll.qlRateHelperPillarDate(S13,Trigger),"--")</f>
        <v>42774</v>
      </c>
      <c r="W13" s="140" t="str">
        <f t="shared" si="1"/>
        <v>Dp</v>
      </c>
      <c r="X13" s="140" t="str">
        <v>obj_002bb</v>
      </c>
      <c r="Y13" s="140" t="str">
        <f>IFERROR(_xll.qlRateHelperQuoteName(X13,Trigger),"")</f>
        <v>GBP11MD_SYNTH1Y_Quote</v>
      </c>
      <c r="Z13" s="170">
        <f>IFERROR(_xll.qlRateHelperRate(X13,Trigger),"")</f>
        <v>8.6829999999999997E-3</v>
      </c>
      <c r="AA13" s="171" t="str">
        <f>IF(ISERROR(_xll.qlSwapRateHelperSpread($X13)),IF(ISERROR(_xll.qlFuturesRateHelperConvexityAdjustment($X13)),"",_xll.qlFuturesRateHelperConvexityAdjustment($X13)),_xll.qlSwapRateHelperSpread($X13))</f>
        <v/>
      </c>
      <c r="AB13" s="141">
        <f>IFERROR(_xll.qlRateHelperEarliestDate(X13,Trigger),"")</f>
        <v>42559</v>
      </c>
      <c r="AC13" s="141">
        <f>IFERROR(_xll.qlRateHelperPillarDate(X13,Trigger),"")</f>
        <v>42894</v>
      </c>
      <c r="AD13" s="220">
        <v>0.99209367930185854</v>
      </c>
    </row>
    <row r="14" spans="1:34" ht="11.25" customHeight="1" x14ac:dyDescent="0.2">
      <c r="A14" s="58" t="s">
        <v>27</v>
      </c>
      <c r="B14" s="59" t="s">
        <v>45</v>
      </c>
      <c r="C14" s="114"/>
      <c r="D14" s="114"/>
      <c r="E14" s="114"/>
      <c r="F14" s="114"/>
      <c r="G14" s="60" t="str">
        <f>_xll.qlLibor(,Currency,B14,,Permanent,Trigger,ObjectOverwrite)</f>
        <v>obj_002c0#0001</v>
      </c>
      <c r="H14" s="111" t="str">
        <f t="shared" si="2"/>
        <v>GBP8MD_SYNTH1Y_Quote</v>
      </c>
      <c r="I14" s="114"/>
      <c r="J14" s="223" t="str">
        <f>IF(P14,_xll.qlDepositRateHelper(,H14,G14,Permanent,Trigger,ObjectOverwrite),"--")</f>
        <v>obj_002cb#0001</v>
      </c>
      <c r="K14" s="48"/>
      <c r="L14" s="226" t="str">
        <f t="shared" si="3"/>
        <v>Dp</v>
      </c>
      <c r="M14" s="230" t="str">
        <f t="shared" si="4"/>
        <v>GBP8MD_SYNTH1Y_Quote</v>
      </c>
      <c r="N14" s="228">
        <f>IFERROR(_xll.qlQuoteValue(H14,Trigger),"--")</f>
        <v>9.3889999999999998E-3</v>
      </c>
      <c r="O14" s="229"/>
      <c r="P14" s="90" t="b">
        <v>1</v>
      </c>
      <c r="Q14" s="87">
        <v>10</v>
      </c>
      <c r="R14" s="87">
        <v>1</v>
      </c>
      <c r="S14" s="87" t="str">
        <f t="shared" si="5"/>
        <v>obj_002cb#0001</v>
      </c>
      <c r="T14" s="91">
        <f>IFERROR(_xll.qlRateHelperEarliestDate(S14,Trigger),"--")</f>
        <v>42559</v>
      </c>
      <c r="U14" s="91">
        <f>IFERROR(_xll.qlRateHelperPillarDate(S14,Trigger),"--")</f>
        <v>42802</v>
      </c>
      <c r="W14" s="140" t="str">
        <f t="shared" si="1"/>
        <v>Dp</v>
      </c>
      <c r="X14" s="140" t="str">
        <v>obj_0029e</v>
      </c>
      <c r="Y14" s="140" t="str">
        <f>IFERROR(_xll.qlRateHelperQuoteName(X14,Trigger),"")</f>
        <v>GBP1YD_SYNTH1Y_Quote</v>
      </c>
      <c r="Z14" s="170">
        <f>IFERROR(_xll.qlRateHelperRate(X14,Trigger),"")</f>
        <v>8.4580000000000002E-3</v>
      </c>
      <c r="AA14" s="171" t="str">
        <f>IF(ISERROR(_xll.qlSwapRateHelperSpread($X14)),IF(ISERROR(_xll.qlFuturesRateHelperConvexityAdjustment($X14)),"",_xll.qlFuturesRateHelperConvexityAdjustment($X14)),_xll.qlSwapRateHelperSpread($X14))</f>
        <v/>
      </c>
      <c r="AB14" s="141">
        <f>IFERROR(_xll.qlRateHelperEarliestDate(X14,Trigger),"")</f>
        <v>42559</v>
      </c>
      <c r="AC14" s="141">
        <f>IFERROR(_xll.qlRateHelperPillarDate(X14,Trigger),"")</f>
        <v>42926</v>
      </c>
      <c r="AD14" s="220">
        <v>0.99156736880122531</v>
      </c>
    </row>
    <row r="15" spans="1:34" ht="11.25" customHeight="1" x14ac:dyDescent="0.2">
      <c r="A15" s="58" t="s">
        <v>27</v>
      </c>
      <c r="B15" s="59" t="s">
        <v>46</v>
      </c>
      <c r="C15" s="114"/>
      <c r="D15" s="114"/>
      <c r="E15" s="114"/>
      <c r="F15" s="114"/>
      <c r="G15" s="60" t="str">
        <f>_xll.qlLibor(,Currency,B15,,Permanent,Trigger,ObjectOverwrite)</f>
        <v>obj_00282#0001</v>
      </c>
      <c r="H15" s="111" t="str">
        <f t="shared" si="2"/>
        <v>GBP9MD_SYNTH1Y_Quote</v>
      </c>
      <c r="I15" s="114"/>
      <c r="J15" s="223" t="str">
        <f>IF(P15,_xll.qlDepositRateHelper(,H15,G15,Permanent,Trigger,ObjectOverwrite),"--")</f>
        <v>obj_002ce#0001</v>
      </c>
      <c r="K15" s="48"/>
      <c r="L15" s="226" t="str">
        <f t="shared" si="3"/>
        <v>Dp</v>
      </c>
      <c r="M15" s="230" t="str">
        <f t="shared" si="4"/>
        <v>GBP9MD_SYNTH1Y_Quote</v>
      </c>
      <c r="N15" s="228">
        <f>IFERROR(_xll.qlQuoteValue(H15,Trigger),"--")</f>
        <v>9.1190000000000004E-3</v>
      </c>
      <c r="O15" s="229"/>
      <c r="P15" s="90" t="b">
        <v>1</v>
      </c>
      <c r="Q15" s="87">
        <v>10</v>
      </c>
      <c r="R15" s="87">
        <v>1</v>
      </c>
      <c r="S15" s="87" t="str">
        <f t="shared" si="5"/>
        <v>obj_002ce#0001</v>
      </c>
      <c r="T15" s="91">
        <f>IFERROR(_xll.qlRateHelperEarliestDate(S15,Trigger),"--")</f>
        <v>42559</v>
      </c>
      <c r="U15" s="91">
        <f>IFERROR(_xll.qlRateHelperPillarDate(S15,Trigger),"--")</f>
        <v>42835</v>
      </c>
      <c r="W15" s="140" t="str">
        <f t="shared" si="1"/>
        <v>FRA</v>
      </c>
      <c r="X15" s="140" t="str">
        <v>obj_00287</v>
      </c>
      <c r="Y15" s="140" t="str">
        <f>IFERROR(_xll.qlRateHelperQuoteName(X15,Trigger),"")</f>
        <v>GBP1x13F_Quote</v>
      </c>
      <c r="Z15" s="170">
        <f>IFERROR(_xll.qlRateHelperRate(X15,Trigger),"")</f>
        <v>7.1599999999999997E-3</v>
      </c>
      <c r="AA15" s="171" t="str">
        <f>IF(ISERROR(_xll.qlSwapRateHelperSpread($X15)),IF(ISERROR(_xll.qlFuturesRateHelperConvexityAdjustment($X15)),"",_xll.qlFuturesRateHelperConvexityAdjustment($X15)),_xll.qlSwapRateHelperSpread($X15))</f>
        <v/>
      </c>
      <c r="AB15" s="141">
        <f>IFERROR(_xll.qlRateHelperEarliestDate(X15,Trigger),"")</f>
        <v>42590</v>
      </c>
      <c r="AC15" s="141">
        <f>IFERROR(_xll.qlRateHelperPillarDate(X15,Trigger),"")</f>
        <v>42955</v>
      </c>
      <c r="AD15" s="220">
        <v>0.99186097988054145</v>
      </c>
    </row>
    <row r="16" spans="1:34" ht="11.25" customHeight="1" x14ac:dyDescent="0.2">
      <c r="A16" s="58" t="s">
        <v>27</v>
      </c>
      <c r="B16" s="59" t="s">
        <v>47</v>
      </c>
      <c r="C16" s="114"/>
      <c r="D16" s="114"/>
      <c r="E16" s="114"/>
      <c r="F16" s="114"/>
      <c r="G16" s="60" t="str">
        <f>_xll.qlLibor(,Currency,B16,,Permanent,Trigger,ObjectOverwrite)</f>
        <v>obj_002be#0001</v>
      </c>
      <c r="H16" s="111" t="str">
        <f t="shared" si="2"/>
        <v>GBP10MD_SYNTH1Y_Quote</v>
      </c>
      <c r="I16" s="114"/>
      <c r="J16" s="223" t="str">
        <f>IF(P16,_xll.qlDepositRateHelper(,H16,G16,Permanent,Trigger,ObjectOverwrite),"--")</f>
        <v>obj_002cc#0001</v>
      </c>
      <c r="K16" s="48"/>
      <c r="L16" s="226" t="str">
        <f t="shared" si="3"/>
        <v>Dp</v>
      </c>
      <c r="M16" s="230" t="str">
        <f t="shared" si="4"/>
        <v>GBP10MD_SYNTH1Y_Quote</v>
      </c>
      <c r="N16" s="228">
        <f>IFERROR(_xll.qlQuoteValue(H16,Trigger),"--")</f>
        <v>8.9099999999999995E-3</v>
      </c>
      <c r="O16" s="229"/>
      <c r="P16" s="90" t="b">
        <v>1</v>
      </c>
      <c r="Q16" s="87">
        <v>10</v>
      </c>
      <c r="R16" s="87">
        <v>1</v>
      </c>
      <c r="S16" s="87" t="str">
        <f t="shared" si="5"/>
        <v>obj_002cc#0001</v>
      </c>
      <c r="T16" s="91">
        <f>IFERROR(_xll.qlRateHelperEarliestDate(S16,Trigger),"--")</f>
        <v>42559</v>
      </c>
      <c r="U16" s="91">
        <f>IFERROR(_xll.qlRateHelperPillarDate(S16,Trigger),"--")</f>
        <v>42863</v>
      </c>
      <c r="W16" s="140" t="str">
        <f t="shared" si="1"/>
        <v>FRA</v>
      </c>
      <c r="X16" s="140" t="str">
        <v>obj_002af</v>
      </c>
      <c r="Y16" s="140" t="str">
        <f>IFERROR(_xll.qlRateHelperQuoteName(X16,Trigger),"")</f>
        <v>GBP2x14F_Quote</v>
      </c>
      <c r="Z16" s="170">
        <f>IFERROR(_xll.qlRateHelperRate(X16,Trigger),"")</f>
        <v>7.0700000000000008E-3</v>
      </c>
      <c r="AA16" s="171" t="str">
        <f>IF(ISERROR(_xll.qlSwapRateHelperSpread($X16)),IF(ISERROR(_xll.qlFuturesRateHelperConvexityAdjustment($X16)),"",_xll.qlFuturesRateHelperConvexityAdjustment($X16)),_xll.qlSwapRateHelperSpread($X16))</f>
        <v/>
      </c>
      <c r="AB16" s="141">
        <f>IFERROR(_xll.qlRateHelperEarliestDate(X16,Trigger),"")</f>
        <v>42621</v>
      </c>
      <c r="AC16" s="141">
        <f>IFERROR(_xll.qlRateHelperPillarDate(X16,Trigger),"")</f>
        <v>42986</v>
      </c>
      <c r="AD16" s="220">
        <v>0.99106218660432233</v>
      </c>
    </row>
    <row r="17" spans="1:30" ht="11.25" customHeight="1" x14ac:dyDescent="0.2">
      <c r="A17" s="58" t="s">
        <v>27</v>
      </c>
      <c r="B17" s="59" t="s">
        <v>48</v>
      </c>
      <c r="C17" s="114"/>
      <c r="D17" s="114"/>
      <c r="E17" s="114"/>
      <c r="F17" s="114"/>
      <c r="G17" s="60" t="str">
        <f>_xll.qlLibor(,Currency,B17,,Permanent,Trigger,ObjectOverwrite)</f>
        <v>obj_002ba#0001</v>
      </c>
      <c r="H17" s="111" t="str">
        <f t="shared" si="2"/>
        <v>GBP11MD_SYNTH1Y_Quote</v>
      </c>
      <c r="I17" s="114"/>
      <c r="J17" s="223" t="str">
        <f>IF(P17,_xll.qlDepositRateHelper(,H17,G17,Permanent,Trigger,ObjectOverwrite),"--")</f>
        <v>obj_002bb#0001</v>
      </c>
      <c r="K17" s="48"/>
      <c r="L17" s="226" t="str">
        <f t="shared" si="3"/>
        <v>Dp</v>
      </c>
      <c r="M17" s="230" t="str">
        <f t="shared" si="4"/>
        <v>GBP11MD_SYNTH1Y_Quote</v>
      </c>
      <c r="N17" s="228">
        <f>IFERROR(_xll.qlQuoteValue(H17,Trigger),"--")</f>
        <v>8.6820000000000005E-3</v>
      </c>
      <c r="O17" s="229"/>
      <c r="P17" s="90" t="b">
        <v>1</v>
      </c>
      <c r="Q17" s="87">
        <v>10</v>
      </c>
      <c r="R17" s="87">
        <v>1</v>
      </c>
      <c r="S17" s="87" t="str">
        <f t="shared" si="5"/>
        <v>obj_002bb#0001</v>
      </c>
      <c r="T17" s="91">
        <f>IFERROR(_xll.qlRateHelperEarliestDate(S17,Trigger),"--")</f>
        <v>42559</v>
      </c>
      <c r="U17" s="91">
        <f>IFERROR(_xll.qlRateHelperPillarDate(S17,Trigger),"--")</f>
        <v>42894</v>
      </c>
      <c r="W17" s="140" t="str">
        <f t="shared" si="1"/>
        <v>FRA</v>
      </c>
      <c r="X17" s="140" t="str">
        <v>obj_002ad</v>
      </c>
      <c r="Y17" s="140" t="str">
        <f>IFERROR(_xll.qlRateHelperQuoteName(X17,Trigger),"")</f>
        <v>GBP3x15F_Quote</v>
      </c>
      <c r="Z17" s="170">
        <f>IFERROR(_xll.qlRateHelperRate(X17,Trigger),"")</f>
        <v>7.0199999999999993E-3</v>
      </c>
      <c r="AA17" s="171" t="str">
        <f>IF(ISERROR(_xll.qlSwapRateHelperSpread($X17)),IF(ISERROR(_xll.qlFuturesRateHelperConvexityAdjustment($X17)),"",_xll.qlFuturesRateHelperConvexityAdjustment($X17)),_xll.qlSwapRateHelperSpread($X17))</f>
        <v/>
      </c>
      <c r="AB17" s="141">
        <f>IFERROR(_xll.qlRateHelperEarliestDate(X17,Trigger),"")</f>
        <v>42653</v>
      </c>
      <c r="AC17" s="141">
        <f>IFERROR(_xll.qlRateHelperPillarDate(X17,Trigger),"")</f>
        <v>43017</v>
      </c>
      <c r="AD17" s="220">
        <v>0.99026895392888148</v>
      </c>
    </row>
    <row r="18" spans="1:30" ht="11.25" customHeight="1" x14ac:dyDescent="0.2">
      <c r="A18" s="1" t="s">
        <v>27</v>
      </c>
      <c r="B18" s="7" t="s">
        <v>29</v>
      </c>
      <c r="C18" s="115"/>
      <c r="D18" s="115"/>
      <c r="E18" s="115"/>
      <c r="F18" s="115"/>
      <c r="G18" s="6" t="str">
        <f>PROPER(Currency)&amp;FamilyName&amp;B18</f>
        <v>GbpLibor1Y</v>
      </c>
      <c r="H18" s="112" t="str">
        <f t="shared" si="2"/>
        <v>GBP1YD_SYNTH1Y_Quote</v>
      </c>
      <c r="I18" s="115"/>
      <c r="J18" s="224" t="str">
        <f>IF(P18,_xll.qlDepositRateHelper(,H18,G18,Permanent,Trigger,ObjectOverwrite),"--")</f>
        <v>obj_0029e#0001</v>
      </c>
      <c r="K18" s="48"/>
      <c r="L18" s="231" t="str">
        <f t="shared" si="3"/>
        <v>Dp</v>
      </c>
      <c r="M18" s="232" t="str">
        <f t="shared" si="4"/>
        <v>GBP1YD_SYNTH1Y_Quote</v>
      </c>
      <c r="N18" s="233">
        <f>IFERROR(_xll.qlQuoteValue(H18,Trigger),"--")</f>
        <v>8.4580000000000002E-3</v>
      </c>
      <c r="O18" s="234"/>
      <c r="P18" s="92" t="b">
        <v>1</v>
      </c>
      <c r="Q18" s="88">
        <v>10</v>
      </c>
      <c r="R18" s="88">
        <v>1</v>
      </c>
      <c r="S18" s="88" t="str">
        <f t="shared" si="5"/>
        <v>obj_0029e#0001</v>
      </c>
      <c r="T18" s="93">
        <f>IFERROR(_xll.qlRateHelperEarliestDate(S18,Trigger),"--")</f>
        <v>42559</v>
      </c>
      <c r="U18" s="93">
        <f>IFERROR(_xll.qlRateHelperPillarDate(S18,Trigger),"--")</f>
        <v>42926</v>
      </c>
      <c r="W18" s="140" t="str">
        <f t="shared" si="1"/>
        <v>FRA</v>
      </c>
      <c r="X18" s="140" t="str">
        <v>obj_0027b</v>
      </c>
      <c r="Y18" s="140" t="str">
        <f>IFERROR(_xll.qlRateHelperQuoteName(X18,Trigger),"")</f>
        <v>GBP4x16F_Quote</v>
      </c>
      <c r="Z18" s="170">
        <f>IFERROR(_xll.qlRateHelperRate(X18,Trigger),"")</f>
        <v>7.0100000000000006E-3</v>
      </c>
      <c r="AA18" s="171" t="str">
        <f>IF(ISERROR(_xll.qlSwapRateHelperSpread($X18)),IF(ISERROR(_xll.qlFuturesRateHelperConvexityAdjustment($X18)),"",_xll.qlFuturesRateHelperConvexityAdjustment($X18)),_xll.qlSwapRateHelperSpread($X18))</f>
        <v/>
      </c>
      <c r="AB18" s="141">
        <f>IFERROR(_xll.qlRateHelperEarliestDate(X18,Trigger),"")</f>
        <v>42682</v>
      </c>
      <c r="AC18" s="141">
        <f>IFERROR(_xll.qlRateHelperPillarDate(X18,Trigger),"")</f>
        <v>43047</v>
      </c>
      <c r="AD18" s="220">
        <v>0.989503570155574</v>
      </c>
    </row>
    <row r="19" spans="1:30" ht="11.25" customHeight="1" x14ac:dyDescent="0.2">
      <c r="B19" s="46"/>
      <c r="C19" s="46" t="s">
        <v>114</v>
      </c>
      <c r="D19" s="46"/>
      <c r="E19" s="46"/>
      <c r="F19" s="46"/>
      <c r="G19" s="46"/>
      <c r="H19" s="46"/>
      <c r="K19" s="48"/>
      <c r="L19" s="238" t="str">
        <f>A21</f>
        <v>FRA</v>
      </c>
      <c r="M19" s="239" t="str">
        <f>H21</f>
        <v>GBP1x13F_Quote</v>
      </c>
      <c r="N19" s="240">
        <f>IFERROR(_xll.qlQuoteValue(H21,Trigger),"--")</f>
        <v>7.170000000000001E-3</v>
      </c>
      <c r="O19" s="241"/>
      <c r="P19" s="123" t="b">
        <v>1</v>
      </c>
      <c r="Q19" s="122">
        <v>20</v>
      </c>
      <c r="R19" s="122">
        <v>7</v>
      </c>
      <c r="S19" s="122" t="str">
        <f>J21</f>
        <v>obj_00287#0001</v>
      </c>
      <c r="T19" s="124">
        <f>IFERROR(_xll.qlRateHelperEarliestDate(S19,Trigger),"--")</f>
        <v>42590</v>
      </c>
      <c r="U19" s="124">
        <f>IFERROR(_xll.qlRateHelperPillarDate(S19,Trigger),"--")</f>
        <v>42955</v>
      </c>
      <c r="W19" s="140" t="str">
        <f t="shared" si="1"/>
        <v>FRA</v>
      </c>
      <c r="X19" s="140" t="str">
        <v>obj_0028e</v>
      </c>
      <c r="Y19" s="140" t="str">
        <f>IFERROR(_xll.qlRateHelperQuoteName(X19,Trigger),"")</f>
        <v>GBP5x17F_Quote</v>
      </c>
      <c r="Z19" s="170">
        <f>IFERROR(_xll.qlRateHelperRate(X19,Trigger),"")</f>
        <v>7.0199999999999993E-3</v>
      </c>
      <c r="AA19" s="171" t="str">
        <f>IF(ISERROR(_xll.qlSwapRateHelperSpread($X19)),IF(ISERROR(_xll.qlFuturesRateHelperConvexityAdjustment($X19)),"",_xll.qlFuturesRateHelperConvexityAdjustment($X19)),_xll.qlSwapRateHelperSpread($X19))</f>
        <v/>
      </c>
      <c r="AB19" s="141">
        <f>IFERROR(_xll.qlRateHelperEarliestDate(X19,Trigger),"")</f>
        <v>42712</v>
      </c>
      <c r="AC19" s="141">
        <f>IFERROR(_xll.qlRateHelperPillarDate(X19,Trigger),"")</f>
        <v>43077</v>
      </c>
      <c r="AD19" s="220">
        <v>0.9887805666613938</v>
      </c>
    </row>
    <row r="20" spans="1:30" ht="11.25" customHeight="1" x14ac:dyDescent="0.2">
      <c r="A20" s="63" t="s">
        <v>9</v>
      </c>
      <c r="B20" s="63" t="s">
        <v>90</v>
      </c>
      <c r="C20" s="63" t="s">
        <v>91</v>
      </c>
      <c r="D20" s="63"/>
      <c r="E20" s="63"/>
      <c r="F20" s="63"/>
      <c r="G20" s="63" t="s">
        <v>4</v>
      </c>
      <c r="H20" s="63" t="s">
        <v>1</v>
      </c>
      <c r="I20" s="63"/>
      <c r="J20" s="63" t="s">
        <v>25</v>
      </c>
      <c r="K20" s="48"/>
      <c r="L20" s="226" t="str">
        <f t="shared" ref="L20:L42" si="6">A22</f>
        <v>FRA</v>
      </c>
      <c r="M20" s="230" t="str">
        <f t="shared" ref="M20:M42" si="7">H22</f>
        <v>GBP2x14F_Quote</v>
      </c>
      <c r="N20" s="228">
        <f>IFERROR(_xll.qlQuoteValue(H22,Trigger),"--")</f>
        <v>7.0799999999999995E-3</v>
      </c>
      <c r="O20" s="229"/>
      <c r="P20" s="90" t="b">
        <v>1</v>
      </c>
      <c r="Q20" s="87">
        <v>20</v>
      </c>
      <c r="R20" s="87">
        <v>7</v>
      </c>
      <c r="S20" s="87" t="str">
        <f t="shared" ref="S20:S42" si="8">J22</f>
        <v>obj_002af#0001</v>
      </c>
      <c r="T20" s="91">
        <f>IFERROR(_xll.qlRateHelperEarliestDate(S20,Trigger),"--")</f>
        <v>42621</v>
      </c>
      <c r="U20" s="91">
        <f>IFERROR(_xll.qlRateHelperPillarDate(S20,Trigger),"--")</f>
        <v>42986</v>
      </c>
      <c r="W20" s="140" t="str">
        <f t="shared" si="1"/>
        <v>FRA</v>
      </c>
      <c r="X20" s="140" t="str">
        <v>obj_002b3</v>
      </c>
      <c r="Y20" s="140" t="str">
        <f>IFERROR(_xll.qlRateHelperQuoteName(X20,Trigger),"")</f>
        <v>GBP6x18F_Quote</v>
      </c>
      <c r="Z20" s="170">
        <f>IFERROR(_xll.qlRateHelperRate(X20,Trigger),"")</f>
        <v>6.9300000000000004E-3</v>
      </c>
      <c r="AA20" s="171" t="str">
        <f>IF(ISERROR(_xll.qlSwapRateHelperSpread($X20)),IF(ISERROR(_xll.qlFuturesRateHelperConvexityAdjustment($X20)),"",_xll.qlFuturesRateHelperConvexityAdjustment($X20)),_xll.qlSwapRateHelperSpread($X20))</f>
        <v/>
      </c>
      <c r="AB20" s="141">
        <f>IFERROR(_xll.qlRateHelperEarliestDate(X20,Trigger),"")</f>
        <v>42744</v>
      </c>
      <c r="AC20" s="141">
        <f>IFERROR(_xll.qlRateHelperPillarDate(X20,Trigger),"")</f>
        <v>43108</v>
      </c>
      <c r="AD20" s="220">
        <v>0.98817549458831977</v>
      </c>
    </row>
    <row r="21" spans="1:30" ht="11.25" customHeight="1" x14ac:dyDescent="0.2">
      <c r="A21" s="53" t="s">
        <v>92</v>
      </c>
      <c r="B21" s="104">
        <v>1</v>
      </c>
      <c r="C21" s="56" t="str">
        <f>"x"&amp;B21+SUBSTITUTE($C$19,"M","")&amp;"F"</f>
        <v>x13F</v>
      </c>
      <c r="D21" s="120"/>
      <c r="E21" s="120"/>
      <c r="F21" s="120"/>
      <c r="G21" s="55" t="str">
        <f t="shared" ref="G21:G44" si="9">PROPER(Currency)&amp;FamilyName&amp;Tenor</f>
        <v>GbpLibor1Y</v>
      </c>
      <c r="H21" s="107" t="str">
        <f t="shared" ref="H21:H29" si="10">Currency&amp;B21&amp;C21&amp;QuoteSuffix</f>
        <v>GBP1x13F_Quote</v>
      </c>
      <c r="I21" s="120"/>
      <c r="J21" s="225" t="str">
        <f>IF(P19,_xll.qlFraRateHelper(,H21,B21&amp;"M",G21,PillarDate,,Permanent,Trigger,ObjectOverwrite),"--")</f>
        <v>obj_00287#0001</v>
      </c>
      <c r="K21" s="48"/>
      <c r="L21" s="226" t="str">
        <f t="shared" si="6"/>
        <v>FRA</v>
      </c>
      <c r="M21" s="230" t="str">
        <f t="shared" si="7"/>
        <v>GBP3x15F_Quote</v>
      </c>
      <c r="N21" s="228">
        <f>IFERROR(_xll.qlQuoteValue(H23,Trigger),"--")</f>
        <v>7.0300000000000007E-3</v>
      </c>
      <c r="O21" s="229"/>
      <c r="P21" s="90" t="b">
        <v>1</v>
      </c>
      <c r="Q21" s="87">
        <v>20</v>
      </c>
      <c r="R21" s="87">
        <v>7</v>
      </c>
      <c r="S21" s="87" t="str">
        <f t="shared" si="8"/>
        <v>obj_002ad#0001</v>
      </c>
      <c r="T21" s="91">
        <f>IFERROR(_xll.qlRateHelperEarliestDate(S21,Trigger),"--")</f>
        <v>42653</v>
      </c>
      <c r="U21" s="91">
        <f>IFERROR(_xll.qlRateHelperPillarDate(S21,Trigger),"--")</f>
        <v>43017</v>
      </c>
      <c r="W21" s="140" t="str">
        <f t="shared" si="1"/>
        <v>FRA</v>
      </c>
      <c r="X21" s="140" t="str">
        <v>obj_002b1</v>
      </c>
      <c r="Y21" s="140" t="str">
        <f>IFERROR(_xll.qlRateHelperQuoteName(X21,Trigger),"")</f>
        <v>GBP9x21F_Quote</v>
      </c>
      <c r="Z21" s="170">
        <f>IFERROR(_xll.qlRateHelperRate(X21,Trigger),"")</f>
        <v>6.9599999999999992E-3</v>
      </c>
      <c r="AA21" s="171" t="str">
        <f>IF(ISERROR(_xll.qlSwapRateHelperSpread($X21)),IF(ISERROR(_xll.qlFuturesRateHelperConvexityAdjustment($X21)),"",_xll.qlFuturesRateHelperConvexityAdjustment($X21)),_xll.qlSwapRateHelperSpread($X21))</f>
        <v/>
      </c>
      <c r="AB21" s="141">
        <f>IFERROR(_xll.qlRateHelperEarliestDate(X21,Trigger),"")</f>
        <v>42835</v>
      </c>
      <c r="AC21" s="141">
        <f>IFERROR(_xll.qlRateHelperPillarDate(X21,Trigger),"")</f>
        <v>43199</v>
      </c>
      <c r="AD21" s="220">
        <v>0.98630400406574747</v>
      </c>
    </row>
    <row r="22" spans="1:30" ht="11.25" customHeight="1" x14ac:dyDescent="0.2">
      <c r="A22" s="58" t="s">
        <v>92</v>
      </c>
      <c r="B22" s="105">
        <v>2</v>
      </c>
      <c r="C22" s="61" t="str">
        <f t="shared" ref="C22:C44" si="11">"x"&amp;B22+SUBSTITUTE($C$19,"M","")&amp;"F"</f>
        <v>x14F</v>
      </c>
      <c r="D22" s="114"/>
      <c r="E22" s="114"/>
      <c r="F22" s="114"/>
      <c r="G22" s="60" t="str">
        <f t="shared" si="9"/>
        <v>GbpLibor1Y</v>
      </c>
      <c r="H22" s="108" t="str">
        <f t="shared" si="10"/>
        <v>GBP2x14F_Quote</v>
      </c>
      <c r="I22" s="114"/>
      <c r="J22" s="223" t="str">
        <f>IF(P20,_xll.qlFraRateHelper(,H22,B22&amp;"M",G22,PillarDate,,Permanent,Trigger,ObjectOverwrite),"--")</f>
        <v>obj_002af#0001</v>
      </c>
      <c r="K22" s="48"/>
      <c r="L22" s="226" t="str">
        <f t="shared" si="6"/>
        <v>FRA</v>
      </c>
      <c r="M22" s="230" t="str">
        <f t="shared" si="7"/>
        <v>GBP4x16F_Quote</v>
      </c>
      <c r="N22" s="228">
        <f>IFERROR(_xll.qlQuoteValue(H24,Trigger),"--")</f>
        <v>7.0199999999999993E-3</v>
      </c>
      <c r="O22" s="229"/>
      <c r="P22" s="90" t="b">
        <v>1</v>
      </c>
      <c r="Q22" s="87">
        <v>20</v>
      </c>
      <c r="R22" s="87">
        <v>7</v>
      </c>
      <c r="S22" s="87" t="str">
        <f t="shared" si="8"/>
        <v>obj_0027b#0001</v>
      </c>
      <c r="T22" s="91">
        <f>IFERROR(_xll.qlRateHelperEarliestDate(S22,Trigger),"--")</f>
        <v>42682</v>
      </c>
      <c r="U22" s="91">
        <f>IFERROR(_xll.qlRateHelperPillarDate(S22,Trigger),"--")</f>
        <v>43047</v>
      </c>
      <c r="W22" s="140" t="str">
        <f t="shared" si="1"/>
        <v>FRA</v>
      </c>
      <c r="X22" s="140" t="str">
        <v>obj_00284</v>
      </c>
      <c r="Y22" s="140" t="str">
        <f>IFERROR(_xll.qlRateHelperQuoteName(X22,Trigger),"")</f>
        <v>GBP12x24F_Quote</v>
      </c>
      <c r="Z22" s="170">
        <f>IFERROR(_xll.qlRateHelperRate(X22,Trigger),"")</f>
        <v>6.9799999999999992E-3</v>
      </c>
      <c r="AA22" s="171" t="str">
        <f>IF(ISERROR(_xll.qlSwapRateHelperSpread($X22)),IF(ISERROR(_xll.qlFuturesRateHelperConvexityAdjustment($X22)),"",_xll.qlFuturesRateHelperConvexityAdjustment($X22)),_xll.qlSwapRateHelperSpread($X22))</f>
        <v/>
      </c>
      <c r="AB22" s="141">
        <f>IFERROR(_xll.qlRateHelperEarliestDate(X22,Trigger),"")</f>
        <v>42926</v>
      </c>
      <c r="AC22" s="141">
        <f>IFERROR(_xll.qlRateHelperPillarDate(X22,Trigger),"")</f>
        <v>43290</v>
      </c>
      <c r="AD22" s="220">
        <v>0.98471008966268159</v>
      </c>
    </row>
    <row r="23" spans="1:30" ht="11.25" customHeight="1" x14ac:dyDescent="0.2">
      <c r="A23" s="58" t="s">
        <v>92</v>
      </c>
      <c r="B23" s="105">
        <v>3</v>
      </c>
      <c r="C23" s="61" t="str">
        <f t="shared" si="11"/>
        <v>x15F</v>
      </c>
      <c r="D23" s="114"/>
      <c r="E23" s="114"/>
      <c r="F23" s="114"/>
      <c r="G23" s="60" t="str">
        <f t="shared" si="9"/>
        <v>GbpLibor1Y</v>
      </c>
      <c r="H23" s="108" t="str">
        <f t="shared" si="10"/>
        <v>GBP3x15F_Quote</v>
      </c>
      <c r="I23" s="114"/>
      <c r="J23" s="223" t="str">
        <f>IF(P21,_xll.qlFraRateHelper(,H23,B23&amp;"M",G23,PillarDate,,Permanent,Trigger,ObjectOverwrite),"--")</f>
        <v>obj_002ad#0001</v>
      </c>
      <c r="K23" s="48"/>
      <c r="L23" s="226" t="str">
        <f t="shared" si="6"/>
        <v>FRA</v>
      </c>
      <c r="M23" s="230" t="str">
        <f t="shared" si="7"/>
        <v>GBP5x17F_Quote</v>
      </c>
      <c r="N23" s="228">
        <f>IFERROR(_xll.qlQuoteValue(H25,Trigger),"--")</f>
        <v>7.0300000000000007E-3</v>
      </c>
      <c r="O23" s="229"/>
      <c r="P23" s="90" t="b">
        <v>1</v>
      </c>
      <c r="Q23" s="87">
        <v>20</v>
      </c>
      <c r="R23" s="87">
        <v>7</v>
      </c>
      <c r="S23" s="87" t="str">
        <f t="shared" si="8"/>
        <v>obj_0028e#0001</v>
      </c>
      <c r="T23" s="91">
        <f>IFERROR(_xll.qlRateHelperEarliestDate(S23,Trigger),"--")</f>
        <v>42712</v>
      </c>
      <c r="U23" s="91">
        <f>IFERROR(_xll.qlRateHelperPillarDate(S23,Trigger),"--")</f>
        <v>43077</v>
      </c>
      <c r="W23" s="140" t="str">
        <f t="shared" si="1"/>
        <v>BasSw</v>
      </c>
      <c r="X23" s="140" t="str">
        <v>obj_0029f</v>
      </c>
      <c r="Y23" s="140" t="str">
        <f>IFERROR(_xll.qlRateHelperQuoteName(X23,Trigger),"")</f>
        <v>GBPSB6L3Y_S6L12L_Quote</v>
      </c>
      <c r="Z23" s="170">
        <f>IFERROR(_xll.qlRateHelperRate(X23,Trigger),"")</f>
        <v>6.9800000003554016E-3</v>
      </c>
      <c r="AA23" s="171">
        <f>IF(ISERROR(_xll.qlSwapRateHelperSpread($X23)),IF(ISERROR(_xll.qlFuturesRateHelperConvexityAdjustment($X23)),"",_xll.qlFuturesRateHelperConvexityAdjustment($X23)),_xll.qlSwapRateHelperSpread($X23))</f>
        <v>0</v>
      </c>
      <c r="AB23" s="141">
        <f>IFERROR(_xll.qlRateHelperEarliestDate(X23,Trigger),"")</f>
        <v>42559</v>
      </c>
      <c r="AC23" s="141">
        <f>IFERROR(_xll.qlRateHelperPillarDate(X23,Trigger),"")</f>
        <v>43654</v>
      </c>
      <c r="AD23" s="220">
        <v>0.97934810424375396</v>
      </c>
    </row>
    <row r="24" spans="1:30" ht="11.25" customHeight="1" x14ac:dyDescent="0.2">
      <c r="A24" s="58" t="s">
        <v>92</v>
      </c>
      <c r="B24" s="105">
        <v>4</v>
      </c>
      <c r="C24" s="61" t="str">
        <f t="shared" si="11"/>
        <v>x16F</v>
      </c>
      <c r="D24" s="114"/>
      <c r="E24" s="114"/>
      <c r="F24" s="114"/>
      <c r="G24" s="60" t="str">
        <f t="shared" si="9"/>
        <v>GbpLibor1Y</v>
      </c>
      <c r="H24" s="108" t="str">
        <f t="shared" si="10"/>
        <v>GBP4x16F_Quote</v>
      </c>
      <c r="I24" s="114"/>
      <c r="J24" s="223" t="str">
        <f>IF(P22,_xll.qlFraRateHelper(,H24,B24&amp;"M",G24,PillarDate,,Permanent,Trigger,ObjectOverwrite),"--")</f>
        <v>obj_0027b#0001</v>
      </c>
      <c r="K24" s="48"/>
      <c r="L24" s="226" t="str">
        <f t="shared" si="6"/>
        <v>FRA</v>
      </c>
      <c r="M24" s="230" t="str">
        <f t="shared" si="7"/>
        <v>GBP6x18F_Quote</v>
      </c>
      <c r="N24" s="228">
        <f>IFERROR(_xll.qlQuoteValue(H26,Trigger),"--")</f>
        <v>6.9300000000000004E-3</v>
      </c>
      <c r="O24" s="229"/>
      <c r="P24" s="90" t="b">
        <v>1</v>
      </c>
      <c r="Q24" s="87">
        <v>20</v>
      </c>
      <c r="R24" s="87">
        <v>7</v>
      </c>
      <c r="S24" s="87" t="str">
        <f t="shared" si="8"/>
        <v>obj_002b3#0001</v>
      </c>
      <c r="T24" s="91">
        <f>IFERROR(_xll.qlRateHelperEarliestDate(S24,Trigger),"--")</f>
        <v>42744</v>
      </c>
      <c r="U24" s="91">
        <f>IFERROR(_xll.qlRateHelperPillarDate(S24,Trigger),"--")</f>
        <v>43108</v>
      </c>
      <c r="W24" s="140" t="str">
        <f t="shared" si="1"/>
        <v>BasSw</v>
      </c>
      <c r="X24" s="140" t="str">
        <v>obj_002a7</v>
      </c>
      <c r="Y24" s="140" t="str">
        <f>IFERROR(_xll.qlRateHelperQuoteName(X24,Trigger),"")</f>
        <v>GBPSB6L4Y_S6L12L_Quote</v>
      </c>
      <c r="Z24" s="170">
        <f>IFERROR(_xll.qlRateHelperRate(X24,Trigger),"")</f>
        <v>7.0200000000003064E-3</v>
      </c>
      <c r="AA24" s="171">
        <f>IF(ISERROR(_xll.qlSwapRateHelperSpread($X24)),IF(ISERROR(_xll.qlFuturesRateHelperConvexityAdjustment($X24)),"",_xll.qlFuturesRateHelperConvexityAdjustment($X24)),_xll.qlSwapRateHelperSpread($X24))</f>
        <v>0</v>
      </c>
      <c r="AB24" s="141">
        <f>IFERROR(_xll.qlRateHelperEarliestDate(X24,Trigger),"")</f>
        <v>42559</v>
      </c>
      <c r="AC24" s="141">
        <f>IFERROR(_xll.qlRateHelperPillarDate(X24,Trigger),"")</f>
        <v>44020</v>
      </c>
      <c r="AD24" s="220">
        <v>0.97238167236475426</v>
      </c>
    </row>
    <row r="25" spans="1:30" ht="11.25" customHeight="1" x14ac:dyDescent="0.2">
      <c r="A25" s="58" t="s">
        <v>92</v>
      </c>
      <c r="B25" s="105">
        <v>5</v>
      </c>
      <c r="C25" s="61" t="str">
        <f t="shared" si="11"/>
        <v>x17F</v>
      </c>
      <c r="D25" s="114"/>
      <c r="E25" s="114"/>
      <c r="F25" s="114"/>
      <c r="G25" s="60" t="str">
        <f t="shared" si="9"/>
        <v>GbpLibor1Y</v>
      </c>
      <c r="H25" s="108" t="str">
        <f t="shared" si="10"/>
        <v>GBP5x17F_Quote</v>
      </c>
      <c r="I25" s="114"/>
      <c r="J25" s="223" t="str">
        <f>IF(P23,_xll.qlFraRateHelper(,H25,B25&amp;"M",G25,PillarDate,,Permanent,Trigger,ObjectOverwrite),"--")</f>
        <v>obj_0028e#0001</v>
      </c>
      <c r="K25" s="48"/>
      <c r="L25" s="226" t="str">
        <f t="shared" si="6"/>
        <v>FRA</v>
      </c>
      <c r="M25" s="230" t="str">
        <f t="shared" si="7"/>
        <v>GBP7x19F_Quote</v>
      </c>
      <c r="N25" s="228" t="str">
        <f>IFERROR(_xll.qlQuoteValue(H27,Trigger),"--")</f>
        <v>--</v>
      </c>
      <c r="O25" s="229"/>
      <c r="P25" s="90" t="b">
        <v>0</v>
      </c>
      <c r="Q25" s="87">
        <v>20</v>
      </c>
      <c r="R25" s="87">
        <v>7</v>
      </c>
      <c r="S25" s="87" t="str">
        <f t="shared" si="8"/>
        <v>--</v>
      </c>
      <c r="T25" s="91" t="str">
        <f>IFERROR(_xll.qlRateHelperEarliestDate(S25,Trigger),"--")</f>
        <v>--</v>
      </c>
      <c r="U25" s="91" t="str">
        <f>IFERROR(_xll.qlRateHelperPillarDate(S25,Trigger),"--")</f>
        <v>--</v>
      </c>
      <c r="W25" s="140" t="str">
        <f t="shared" si="1"/>
        <v>BasSw</v>
      </c>
      <c r="X25" s="140" t="str">
        <v>obj_0028f</v>
      </c>
      <c r="Y25" s="140" t="str">
        <f>IFERROR(_xll.qlRateHelperQuoteName(X25,Trigger),"")</f>
        <v>GBPSB6L5Y_S6L12L_Quote</v>
      </c>
      <c r="Z25" s="170">
        <f>IFERROR(_xll.qlRateHelperRate(X25,Trigger),"")</f>
        <v>7.2500000000007012E-3</v>
      </c>
      <c r="AA25" s="171">
        <f>IF(ISERROR(_xll.qlSwapRateHelperSpread($X25)),IF(ISERROR(_xll.qlFuturesRateHelperConvexityAdjustment($X25)),"",_xll.qlFuturesRateHelperConvexityAdjustment($X25)),_xll.qlSwapRateHelperSpread($X25))</f>
        <v>0</v>
      </c>
      <c r="AB25" s="141">
        <f>IFERROR(_xll.qlRateHelperEarliestDate(X25,Trigger),"")</f>
        <v>42559</v>
      </c>
      <c r="AC25" s="141">
        <f>IFERROR(_xll.qlRateHelperPillarDate(X25,Trigger),"")</f>
        <v>44385</v>
      </c>
      <c r="AD25" s="220">
        <v>0.96448900665951343</v>
      </c>
    </row>
    <row r="26" spans="1:30" ht="11.25" customHeight="1" x14ac:dyDescent="0.2">
      <c r="A26" s="58" t="s">
        <v>92</v>
      </c>
      <c r="B26" s="105">
        <v>6</v>
      </c>
      <c r="C26" s="61" t="str">
        <f t="shared" si="11"/>
        <v>x18F</v>
      </c>
      <c r="D26" s="114"/>
      <c r="E26" s="114"/>
      <c r="F26" s="114"/>
      <c r="G26" s="60" t="str">
        <f t="shared" si="9"/>
        <v>GbpLibor1Y</v>
      </c>
      <c r="H26" s="108" t="str">
        <f t="shared" si="10"/>
        <v>GBP6x18F_Quote</v>
      </c>
      <c r="I26" s="114"/>
      <c r="J26" s="223" t="str">
        <f>IF(P24,_xll.qlFraRateHelper(,H26,B26&amp;"M",G26,PillarDate,,Permanent,Trigger,ObjectOverwrite),"--")</f>
        <v>obj_002b3#0001</v>
      </c>
      <c r="K26" s="48"/>
      <c r="L26" s="226" t="str">
        <f t="shared" si="6"/>
        <v>FRA</v>
      </c>
      <c r="M26" s="230" t="str">
        <f t="shared" si="7"/>
        <v>GBP8x20F_Quote</v>
      </c>
      <c r="N26" s="228" t="str">
        <f>IFERROR(_xll.qlQuoteValue(H28,Trigger),"--")</f>
        <v>--</v>
      </c>
      <c r="O26" s="229"/>
      <c r="P26" s="90" t="b">
        <v>0</v>
      </c>
      <c r="Q26" s="87">
        <v>20</v>
      </c>
      <c r="R26" s="87">
        <v>7</v>
      </c>
      <c r="S26" s="87" t="str">
        <f t="shared" si="8"/>
        <v>--</v>
      </c>
      <c r="T26" s="91" t="str">
        <f>IFERROR(_xll.qlRateHelperEarliestDate(S26,Trigger),"--")</f>
        <v>--</v>
      </c>
      <c r="U26" s="91" t="str">
        <f>IFERROR(_xll.qlRateHelperPillarDate(S26,Trigger),"--")</f>
        <v>--</v>
      </c>
      <c r="W26" s="140" t="str">
        <f t="shared" si="1"/>
        <v>BasSw</v>
      </c>
      <c r="X26" s="140" t="str">
        <v>obj_0027f</v>
      </c>
      <c r="Y26" s="140" t="str">
        <f>IFERROR(_xll.qlRateHelperQuoteName(X26,Trigger),"")</f>
        <v>GBPSB6L6Y_S6L12L_Quote</v>
      </c>
      <c r="Z26" s="170">
        <f>IFERROR(_xll.qlRateHelperRate(X26,Trigger),"")</f>
        <v>7.6700000000027024E-3</v>
      </c>
      <c r="AA26" s="171">
        <f>IF(ISERROR(_xll.qlSwapRateHelperSpread($X26)),IF(ISERROR(_xll.qlFuturesRateHelperConvexityAdjustment($X26)),"",_xll.qlFuturesRateHelperConvexityAdjustment($X26)),_xll.qlSwapRateHelperSpread($X26))</f>
        <v>0</v>
      </c>
      <c r="AB26" s="141">
        <f>IFERROR(_xll.qlRateHelperEarliestDate(X26,Trigger),"")</f>
        <v>42559</v>
      </c>
      <c r="AC26" s="141">
        <f>IFERROR(_xll.qlRateHelperPillarDate(X26,Trigger),"")</f>
        <v>44750</v>
      </c>
      <c r="AD26" s="220">
        <v>0.95512499243686588</v>
      </c>
    </row>
    <row r="27" spans="1:30" ht="11.25" customHeight="1" x14ac:dyDescent="0.2">
      <c r="A27" s="58" t="s">
        <v>92</v>
      </c>
      <c r="B27" s="105">
        <v>7</v>
      </c>
      <c r="C27" s="61" t="str">
        <f t="shared" si="11"/>
        <v>x19F</v>
      </c>
      <c r="D27" s="114"/>
      <c r="E27" s="114"/>
      <c r="F27" s="114"/>
      <c r="G27" s="60" t="str">
        <f t="shared" si="9"/>
        <v>GbpLibor1Y</v>
      </c>
      <c r="H27" s="108" t="str">
        <f t="shared" si="10"/>
        <v>GBP7x19F_Quote</v>
      </c>
      <c r="I27" s="114"/>
      <c r="J27" s="223" t="str">
        <f>IF(P25,_xll.qlFraRateHelper(,H27,B27&amp;"M",G27,PillarDate,,Permanent,Trigger,ObjectOverwrite),"--")</f>
        <v>--</v>
      </c>
      <c r="K27" s="48"/>
      <c r="L27" s="226" t="str">
        <f t="shared" si="6"/>
        <v>FRA</v>
      </c>
      <c r="M27" s="230" t="str">
        <f t="shared" si="7"/>
        <v>GBP9x21F_Quote</v>
      </c>
      <c r="N27" s="228">
        <f>IFERROR(_xll.qlQuoteValue(H29,Trigger),"--")</f>
        <v>6.9700000000000005E-3</v>
      </c>
      <c r="O27" s="229"/>
      <c r="P27" s="90" t="b">
        <v>1</v>
      </c>
      <c r="Q27" s="87">
        <v>20</v>
      </c>
      <c r="R27" s="87">
        <v>7</v>
      </c>
      <c r="S27" s="87" t="str">
        <f t="shared" si="8"/>
        <v>obj_002b1#0001</v>
      </c>
      <c r="T27" s="91">
        <f>IFERROR(_xll.qlRateHelperEarliestDate(S27,Trigger),"--")</f>
        <v>42835</v>
      </c>
      <c r="U27" s="91">
        <f>IFERROR(_xll.qlRateHelperPillarDate(S27,Trigger),"--")</f>
        <v>43199</v>
      </c>
      <c r="W27" s="140" t="str">
        <f t="shared" si="1"/>
        <v>BasSw</v>
      </c>
      <c r="X27" s="140" t="str">
        <v>obj_002c3</v>
      </c>
      <c r="Y27" s="140" t="str">
        <f>IFERROR(_xll.qlRateHelperQuoteName(X27,Trigger),"")</f>
        <v>GBPSB6L7Y_S6L12L_Quote</v>
      </c>
      <c r="Z27" s="170">
        <f>IFERROR(_xll.qlRateHelperRate(X27,Trigger),"")</f>
        <v>8.1899999999903786E-3</v>
      </c>
      <c r="AA27" s="171">
        <f>IF(ISERROR(_xll.qlSwapRateHelperSpread($X27)),IF(ISERROR(_xll.qlFuturesRateHelperConvexityAdjustment($X27)),"",_xll.qlFuturesRateHelperConvexityAdjustment($X27)),_xll.qlSwapRateHelperSpread($X27))</f>
        <v>0</v>
      </c>
      <c r="AB27" s="141">
        <f>IFERROR(_xll.qlRateHelperEarliestDate(X27,Trigger),"")</f>
        <v>42559</v>
      </c>
      <c r="AC27" s="141">
        <f>IFERROR(_xll.qlRateHelperPillarDate(X27,Trigger),"")</f>
        <v>45117</v>
      </c>
      <c r="AD27" s="220">
        <v>0.94433748113518234</v>
      </c>
    </row>
    <row r="28" spans="1:30" ht="11.25" customHeight="1" x14ac:dyDescent="0.2">
      <c r="A28" s="58" t="s">
        <v>92</v>
      </c>
      <c r="B28" s="105">
        <v>8</v>
      </c>
      <c r="C28" s="61" t="str">
        <f t="shared" si="11"/>
        <v>x20F</v>
      </c>
      <c r="D28" s="114"/>
      <c r="E28" s="114"/>
      <c r="F28" s="114"/>
      <c r="G28" s="60" t="str">
        <f t="shared" si="9"/>
        <v>GbpLibor1Y</v>
      </c>
      <c r="H28" s="108" t="str">
        <f t="shared" si="10"/>
        <v>GBP8x20F_Quote</v>
      </c>
      <c r="I28" s="114"/>
      <c r="J28" s="223" t="str">
        <f>IF(P26,_xll.qlFraRateHelper(,H28,B28&amp;"M",G28,PillarDate,,Permanent,Trigger,ObjectOverwrite),"--")</f>
        <v>--</v>
      </c>
      <c r="K28" s="48"/>
      <c r="L28" s="226" t="str">
        <f t="shared" si="6"/>
        <v>FRA</v>
      </c>
      <c r="M28" s="230" t="str">
        <f t="shared" si="7"/>
        <v>GBP10x22F_Quote</v>
      </c>
      <c r="N28" s="228" t="str">
        <f>IFERROR(_xll.qlQuoteValue(H30,Trigger),"--")</f>
        <v>--</v>
      </c>
      <c r="O28" s="229"/>
      <c r="P28" s="90" t="b">
        <v>0</v>
      </c>
      <c r="Q28" s="87">
        <v>20</v>
      </c>
      <c r="R28" s="87">
        <v>7</v>
      </c>
      <c r="S28" s="87" t="str">
        <f t="shared" si="8"/>
        <v>--</v>
      </c>
      <c r="T28" s="91" t="str">
        <f>IFERROR(_xll.qlRateHelperEarliestDate(S28,Trigger),"--")</f>
        <v>--</v>
      </c>
      <c r="U28" s="91" t="str">
        <f>IFERROR(_xll.qlRateHelperPillarDate(S28,Trigger),"--")</f>
        <v>--</v>
      </c>
      <c r="W28" s="140" t="str">
        <f t="shared" si="1"/>
        <v>BasSw</v>
      </c>
      <c r="X28" s="140" t="str">
        <v>obj_00296</v>
      </c>
      <c r="Y28" s="140" t="str">
        <f>IFERROR(_xll.qlRateHelperQuoteName(X28,Trigger),"")</f>
        <v>GBPSB6L8Y_S6L12L_Quote</v>
      </c>
      <c r="Z28" s="170">
        <f>IFERROR(_xll.qlRateHelperRate(X28,Trigger),"")</f>
        <v>8.7600000000066323E-3</v>
      </c>
      <c r="AA28" s="171">
        <f>IF(ISERROR(_xll.qlSwapRateHelperSpread($X28)),IF(ISERROR(_xll.qlFuturesRateHelperConvexityAdjustment($X28)),"",_xll.qlFuturesRateHelperConvexityAdjustment($X28)),_xll.qlSwapRateHelperSpread($X28))</f>
        <v>0</v>
      </c>
      <c r="AB28" s="141">
        <f>IFERROR(_xll.qlRateHelperEarliestDate(X28,Trigger),"")</f>
        <v>42559</v>
      </c>
      <c r="AC28" s="141">
        <f>IFERROR(_xll.qlRateHelperPillarDate(X28,Trigger),"")</f>
        <v>45481</v>
      </c>
      <c r="AD28" s="220">
        <v>0.93236004781179527</v>
      </c>
    </row>
    <row r="29" spans="1:30" ht="11.25" customHeight="1" x14ac:dyDescent="0.2">
      <c r="A29" s="58" t="s">
        <v>92</v>
      </c>
      <c r="B29" s="105">
        <v>9</v>
      </c>
      <c r="C29" s="61" t="str">
        <f t="shared" si="11"/>
        <v>x21F</v>
      </c>
      <c r="D29" s="114"/>
      <c r="E29" s="114"/>
      <c r="F29" s="114"/>
      <c r="G29" s="60" t="str">
        <f t="shared" si="9"/>
        <v>GbpLibor1Y</v>
      </c>
      <c r="H29" s="108" t="str">
        <f t="shared" si="10"/>
        <v>GBP9x21F_Quote</v>
      </c>
      <c r="I29" s="114"/>
      <c r="J29" s="223" t="str">
        <f>IF(P27,_xll.qlFraRateHelper(,H29,B29&amp;"M",G29,PillarDate,,Permanent,Trigger,ObjectOverwrite),"--")</f>
        <v>obj_002b1#0001</v>
      </c>
      <c r="K29" s="48"/>
      <c r="L29" s="226" t="str">
        <f t="shared" si="6"/>
        <v>FRA</v>
      </c>
      <c r="M29" s="230" t="str">
        <f t="shared" si="7"/>
        <v>GBP11x23F_Quote</v>
      </c>
      <c r="N29" s="228" t="str">
        <f>IFERROR(_xll.qlQuoteValue(H31,Trigger),"--")</f>
        <v>--</v>
      </c>
      <c r="O29" s="229"/>
      <c r="P29" s="90" t="b">
        <v>0</v>
      </c>
      <c r="Q29" s="87">
        <v>20</v>
      </c>
      <c r="R29" s="87">
        <v>7</v>
      </c>
      <c r="S29" s="87" t="str">
        <f t="shared" si="8"/>
        <v>--</v>
      </c>
      <c r="T29" s="91" t="str">
        <f>IFERROR(_xll.qlRateHelperEarliestDate(S29,Trigger),"--")</f>
        <v>--</v>
      </c>
      <c r="U29" s="91" t="str">
        <f>IFERROR(_xll.qlRateHelperPillarDate(S29,Trigger),"--")</f>
        <v>--</v>
      </c>
      <c r="W29" s="140" t="str">
        <f t="shared" si="1"/>
        <v>BasSw</v>
      </c>
      <c r="X29" s="140" t="str">
        <v>obj_00294</v>
      </c>
      <c r="Y29" s="140" t="str">
        <f>IFERROR(_xll.qlRateHelperQuoteName(X29,Trigger),"")</f>
        <v>GBPSB6L9Y_S6L12L_Quote</v>
      </c>
      <c r="Z29" s="170">
        <f>IFERROR(_xll.qlRateHelperRate(X29,Trigger),"")</f>
        <v>9.3000000000148277E-3</v>
      </c>
      <c r="AA29" s="171">
        <f>IF(ISERROR(_xll.qlSwapRateHelperSpread($X29)),IF(ISERROR(_xll.qlFuturesRateHelperConvexityAdjustment($X29)),"",_xll.qlFuturesRateHelperConvexityAdjustment($X29)),_xll.qlSwapRateHelperSpread($X29))</f>
        <v>0</v>
      </c>
      <c r="AB29" s="141">
        <f>IFERROR(_xll.qlRateHelperEarliestDate(X29,Trigger),"")</f>
        <v>42559</v>
      </c>
      <c r="AC29" s="141">
        <f>IFERROR(_xll.qlRateHelperPillarDate(X29,Trigger),"")</f>
        <v>45846</v>
      </c>
      <c r="AD29" s="220">
        <v>0.91968367947043905</v>
      </c>
    </row>
    <row r="30" spans="1:30" ht="11.25" customHeight="1" x14ac:dyDescent="0.2">
      <c r="A30" s="58" t="s">
        <v>92</v>
      </c>
      <c r="B30" s="105">
        <v>10</v>
      </c>
      <c r="C30" s="61" t="str">
        <f t="shared" si="11"/>
        <v>x22F</v>
      </c>
      <c r="D30" s="114"/>
      <c r="E30" s="114"/>
      <c r="F30" s="114"/>
      <c r="G30" s="60" t="str">
        <f t="shared" si="9"/>
        <v>GbpLibor1Y</v>
      </c>
      <c r="H30" s="108" t="str">
        <f t="shared" ref="H30:H44" si="12">Currency&amp;B30&amp;C30&amp;QuoteSuffix</f>
        <v>GBP10x22F_Quote</v>
      </c>
      <c r="I30" s="114"/>
      <c r="J30" s="223" t="str">
        <f>IF(P28,_xll.qlFraRateHelper(,H30,B30&amp;"M",G30,PillarDate,,Permanent,Trigger,ObjectOverwrite),"--")</f>
        <v>--</v>
      </c>
      <c r="K30" s="48"/>
      <c r="L30" s="226" t="str">
        <f t="shared" si="6"/>
        <v>FRA</v>
      </c>
      <c r="M30" s="230" t="str">
        <f t="shared" si="7"/>
        <v>GBP12x24F_Quote</v>
      </c>
      <c r="N30" s="228">
        <f>IFERROR(_xll.qlQuoteValue(H32,Trigger),"--")</f>
        <v>7.0100000000000006E-3</v>
      </c>
      <c r="O30" s="229"/>
      <c r="P30" s="90" t="b">
        <v>1</v>
      </c>
      <c r="Q30" s="87">
        <v>20</v>
      </c>
      <c r="R30" s="87">
        <v>7</v>
      </c>
      <c r="S30" s="87" t="str">
        <f t="shared" si="8"/>
        <v>obj_00284#0001</v>
      </c>
      <c r="T30" s="91">
        <f>IFERROR(_xll.qlRateHelperEarliestDate(S30,Trigger),"--")</f>
        <v>42926</v>
      </c>
      <c r="U30" s="91">
        <f>IFERROR(_xll.qlRateHelperPillarDate(S30,Trigger),"--")</f>
        <v>43290</v>
      </c>
      <c r="W30" s="140" t="str">
        <f t="shared" si="1"/>
        <v>BasSw</v>
      </c>
      <c r="X30" s="140" t="str">
        <v>obj_00274</v>
      </c>
      <c r="Y30" s="140" t="str">
        <f>IFERROR(_xll.qlRateHelperQuoteName(X30,Trigger),"")</f>
        <v>GBPSB6L10Y_S6L12L_Quote</v>
      </c>
      <c r="Z30" s="170">
        <f>IFERROR(_xll.qlRateHelperRate(X30,Trigger),"")</f>
        <v>9.8000000000027822E-3</v>
      </c>
      <c r="AA30" s="171">
        <f>IF(ISERROR(_xll.qlSwapRateHelperSpread($X30)),IF(ISERROR(_xll.qlFuturesRateHelperConvexityAdjustment($X30)),"",_xll.qlFuturesRateHelperConvexityAdjustment($X30)),_xll.qlSwapRateHelperSpread($X30))</f>
        <v>0</v>
      </c>
      <c r="AB30" s="141">
        <f>IFERROR(_xll.qlRateHelperEarliestDate(X30,Trigger),"")</f>
        <v>42559</v>
      </c>
      <c r="AC30" s="141">
        <f>IFERROR(_xll.qlRateHelperPillarDate(X30,Trigger),"")</f>
        <v>46211</v>
      </c>
      <c r="AD30" s="220">
        <v>0.90652796771204758</v>
      </c>
    </row>
    <row r="31" spans="1:30" ht="11.25" customHeight="1" x14ac:dyDescent="0.2">
      <c r="A31" s="58" t="s">
        <v>92</v>
      </c>
      <c r="B31" s="105">
        <v>11</v>
      </c>
      <c r="C31" s="61" t="str">
        <f t="shared" si="11"/>
        <v>x23F</v>
      </c>
      <c r="D31" s="114"/>
      <c r="E31" s="114"/>
      <c r="F31" s="114"/>
      <c r="G31" s="60" t="str">
        <f t="shared" si="9"/>
        <v>GbpLibor1Y</v>
      </c>
      <c r="H31" s="108" t="str">
        <f t="shared" si="12"/>
        <v>GBP11x23F_Quote</v>
      </c>
      <c r="I31" s="114"/>
      <c r="J31" s="223" t="str">
        <f>IF(P29,_xll.qlFraRateHelper(,H31,B31&amp;"M",G31,PillarDate,,Permanent,Trigger,ObjectOverwrite),"--")</f>
        <v>--</v>
      </c>
      <c r="K31" s="48"/>
      <c r="L31" s="226" t="str">
        <f t="shared" si="6"/>
        <v>FRA</v>
      </c>
      <c r="M31" s="230" t="str">
        <f t="shared" si="7"/>
        <v>GBP13x25F_Quote</v>
      </c>
      <c r="N31" s="228" t="str">
        <f>IFERROR(_xll.qlQuoteValue(H33,Trigger),"--")</f>
        <v>--</v>
      </c>
      <c r="O31" s="229"/>
      <c r="P31" s="90" t="b">
        <v>0</v>
      </c>
      <c r="Q31" s="87">
        <v>20</v>
      </c>
      <c r="R31" s="87">
        <v>7</v>
      </c>
      <c r="S31" s="87" t="str">
        <f t="shared" si="8"/>
        <v>--</v>
      </c>
      <c r="T31" s="91" t="str">
        <f>IFERROR(_xll.qlRateHelperEarliestDate(S31,Trigger),"--")</f>
        <v>--</v>
      </c>
      <c r="U31" s="91" t="str">
        <f>IFERROR(_xll.qlRateHelperPillarDate(S31,Trigger),"--")</f>
        <v>--</v>
      </c>
      <c r="W31" s="140" t="str">
        <f t="shared" si="1"/>
        <v>BasSw</v>
      </c>
      <c r="X31" s="140" t="str">
        <v>obj_002a5</v>
      </c>
      <c r="Y31" s="140" t="str">
        <f>IFERROR(_xll.qlRateHelperQuoteName(X31,Trigger),"")</f>
        <v>GBPSB6L12Y_S6L12L_Quote</v>
      </c>
      <c r="Z31" s="170">
        <f>IFERROR(_xll.qlRateHelperRate(X31,Trigger),"")</f>
        <v>1.0610000000031636E-2</v>
      </c>
      <c r="AA31" s="171">
        <f>IF(ISERROR(_xll.qlSwapRateHelperSpread($X31)),IF(ISERROR(_xll.qlFuturesRateHelperConvexityAdjustment($X31)),"",_xll.qlFuturesRateHelperConvexityAdjustment($X31)),_xll.qlSwapRateHelperSpread($X31))</f>
        <v>0</v>
      </c>
      <c r="AB31" s="141">
        <f>IFERROR(_xll.qlRateHelperEarliestDate(X31,Trigger),"")</f>
        <v>42559</v>
      </c>
      <c r="AC31" s="141">
        <f>IFERROR(_xll.qlRateHelperPillarDate(X31,Trigger),"")</f>
        <v>46944</v>
      </c>
      <c r="AD31" s="220">
        <v>0.87998468778723038</v>
      </c>
    </row>
    <row r="32" spans="1:30" ht="11.25" customHeight="1" x14ac:dyDescent="0.2">
      <c r="A32" s="58" t="s">
        <v>92</v>
      </c>
      <c r="B32" s="105">
        <v>12</v>
      </c>
      <c r="C32" s="61" t="str">
        <f t="shared" si="11"/>
        <v>x24F</v>
      </c>
      <c r="D32" s="114"/>
      <c r="E32" s="114"/>
      <c r="F32" s="114"/>
      <c r="G32" s="60" t="str">
        <f t="shared" si="9"/>
        <v>GbpLibor1Y</v>
      </c>
      <c r="H32" s="108" t="str">
        <f t="shared" si="12"/>
        <v>GBP12x24F_Quote</v>
      </c>
      <c r="I32" s="114"/>
      <c r="J32" s="223" t="str">
        <f>IF(P30,_xll.qlFraRateHelper(,H32,B32&amp;"M",G32,PillarDate,,Permanent,Trigger,ObjectOverwrite),"--")</f>
        <v>obj_00284#0001</v>
      </c>
      <c r="K32" s="48"/>
      <c r="L32" s="226" t="str">
        <f t="shared" si="6"/>
        <v>FRA</v>
      </c>
      <c r="M32" s="230" t="str">
        <f t="shared" si="7"/>
        <v>GBP14x26F_Quote</v>
      </c>
      <c r="N32" s="228" t="str">
        <f>IFERROR(_xll.qlQuoteValue(H34,Trigger),"--")</f>
        <v>--</v>
      </c>
      <c r="O32" s="229"/>
      <c r="P32" s="90" t="b">
        <v>0</v>
      </c>
      <c r="Q32" s="87">
        <v>20</v>
      </c>
      <c r="R32" s="87">
        <v>7</v>
      </c>
      <c r="S32" s="87" t="str">
        <f t="shared" si="8"/>
        <v>--</v>
      </c>
      <c r="T32" s="91" t="str">
        <f>IFERROR(_xll.qlRateHelperEarliestDate(S32,Trigger),"--")</f>
        <v>--</v>
      </c>
      <c r="U32" s="91" t="str">
        <f>IFERROR(_xll.qlRateHelperPillarDate(S32,Trigger),"--")</f>
        <v>--</v>
      </c>
      <c r="W32" s="140" t="str">
        <f t="shared" si="1"/>
        <v>BasSw</v>
      </c>
      <c r="X32" s="140" t="str">
        <v>obj_00280</v>
      </c>
      <c r="Y32" s="140" t="str">
        <f>IFERROR(_xll.qlRateHelperQuoteName(X32,Trigger),"")</f>
        <v>GBPSB6L15Y_S6L12L_Quote</v>
      </c>
      <c r="Z32" s="170">
        <f>IFERROR(_xll.qlRateHelperRate(X32,Trigger),"")</f>
        <v>1.1349999999999527E-2</v>
      </c>
      <c r="AA32" s="171">
        <f>IF(ISERROR(_xll.qlSwapRateHelperSpread($X32)),IF(ISERROR(_xll.qlFuturesRateHelperConvexityAdjustment($X32)),"",_xll.qlFuturesRateHelperConvexityAdjustment($X32)),_xll.qlSwapRateHelperSpread($X32))</f>
        <v>0</v>
      </c>
      <c r="AB32" s="141">
        <f>IFERROR(_xll.qlRateHelperEarliestDate(X32,Trigger),"")</f>
        <v>42559</v>
      </c>
      <c r="AC32" s="141">
        <f>IFERROR(_xll.qlRateHelperPillarDate(X32,Trigger),"")</f>
        <v>48037</v>
      </c>
      <c r="AD32" s="220">
        <v>0.84261571634630683</v>
      </c>
    </row>
    <row r="33" spans="1:30" ht="11.25" customHeight="1" x14ac:dyDescent="0.2">
      <c r="A33" s="58" t="s">
        <v>92</v>
      </c>
      <c r="B33" s="105">
        <v>13</v>
      </c>
      <c r="C33" s="61" t="str">
        <f t="shared" si="11"/>
        <v>x25F</v>
      </c>
      <c r="D33" s="114"/>
      <c r="E33" s="114"/>
      <c r="F33" s="114"/>
      <c r="G33" s="60" t="str">
        <f t="shared" si="9"/>
        <v>GbpLibor1Y</v>
      </c>
      <c r="H33" s="108" t="str">
        <f t="shared" si="12"/>
        <v>GBP13x25F_Quote</v>
      </c>
      <c r="I33" s="114"/>
      <c r="J33" s="223" t="str">
        <f>IF(P31,_xll.qlFraRateHelper(,H33,B33&amp;"M",G33,PillarDate,,Permanent,Trigger,ObjectOverwrite),"--")</f>
        <v>--</v>
      </c>
      <c r="K33" s="48"/>
      <c r="L33" s="226" t="str">
        <f t="shared" si="6"/>
        <v>FRA</v>
      </c>
      <c r="M33" s="230" t="str">
        <f t="shared" si="7"/>
        <v>GBP15x27F_Quote</v>
      </c>
      <c r="N33" s="228" t="str">
        <f>IFERROR(_xll.qlQuoteValue(H35,Trigger),"--")</f>
        <v>--</v>
      </c>
      <c r="O33" s="229"/>
      <c r="P33" s="90" t="b">
        <v>0</v>
      </c>
      <c r="Q33" s="87">
        <v>20</v>
      </c>
      <c r="R33" s="87">
        <v>7</v>
      </c>
      <c r="S33" s="87" t="str">
        <f t="shared" si="8"/>
        <v>--</v>
      </c>
      <c r="T33" s="91" t="str">
        <f>IFERROR(_xll.qlRateHelperEarliestDate(S33,Trigger),"--")</f>
        <v>--</v>
      </c>
      <c r="U33" s="91" t="str">
        <f>IFERROR(_xll.qlRateHelperPillarDate(S33,Trigger),"--")</f>
        <v>--</v>
      </c>
      <c r="W33" s="140" t="str">
        <f t="shared" si="1"/>
        <v>BasSw</v>
      </c>
      <c r="X33" s="140" t="str">
        <v>obj_0026d</v>
      </c>
      <c r="Y33" s="140" t="str">
        <f>IFERROR(_xll.qlRateHelperQuoteName(X33,Trigger),"")</f>
        <v>GBPSB6L20Y_S6L12L_Quote</v>
      </c>
      <c r="Z33" s="170">
        <f>IFERROR(_xll.qlRateHelperRate(X33,Trigger),"")</f>
        <v>1.1749999999999747E-2</v>
      </c>
      <c r="AA33" s="171">
        <f>IF(ISERROR(_xll.qlSwapRateHelperSpread($X33)),IF(ISERROR(_xll.qlFuturesRateHelperConvexityAdjustment($X33)),"",_xll.qlFuturesRateHelperConvexityAdjustment($X33)),_xll.qlSwapRateHelperSpread($X33))</f>
        <v>0</v>
      </c>
      <c r="AB33" s="141">
        <f>IFERROR(_xll.qlRateHelperEarliestDate(X33,Trigger),"")</f>
        <v>42559</v>
      </c>
      <c r="AC33" s="141">
        <f>IFERROR(_xll.qlRateHelperPillarDate(X33,Trigger),"")</f>
        <v>49864</v>
      </c>
      <c r="AD33" s="220">
        <v>0.78941843537179035</v>
      </c>
    </row>
    <row r="34" spans="1:30" ht="11.25" customHeight="1" x14ac:dyDescent="0.2">
      <c r="A34" s="58" t="s">
        <v>92</v>
      </c>
      <c r="B34" s="105">
        <v>14</v>
      </c>
      <c r="C34" s="61" t="str">
        <f t="shared" si="11"/>
        <v>x26F</v>
      </c>
      <c r="D34" s="114"/>
      <c r="E34" s="114"/>
      <c r="F34" s="114"/>
      <c r="G34" s="60" t="str">
        <f t="shared" si="9"/>
        <v>GbpLibor1Y</v>
      </c>
      <c r="H34" s="108" t="str">
        <f t="shared" si="12"/>
        <v>GBP14x26F_Quote</v>
      </c>
      <c r="I34" s="114"/>
      <c r="J34" s="223" t="str">
        <f>IF(P32,_xll.qlFraRateHelper(,H34,B34&amp;"M",G34,PillarDate,,Permanent,Trigger,ObjectOverwrite),"--")</f>
        <v>--</v>
      </c>
      <c r="K34" s="48"/>
      <c r="L34" s="226" t="str">
        <f t="shared" si="6"/>
        <v>FRA</v>
      </c>
      <c r="M34" s="230" t="str">
        <f t="shared" si="7"/>
        <v>GBP16x28F_Quote</v>
      </c>
      <c r="N34" s="228" t="str">
        <f>IFERROR(_xll.qlQuoteValue(H36,Trigger),"--")</f>
        <v>--</v>
      </c>
      <c r="O34" s="229"/>
      <c r="P34" s="90" t="b">
        <v>0</v>
      </c>
      <c r="Q34" s="87">
        <v>20</v>
      </c>
      <c r="R34" s="87">
        <v>7</v>
      </c>
      <c r="S34" s="87" t="str">
        <f t="shared" si="8"/>
        <v>--</v>
      </c>
      <c r="T34" s="91" t="str">
        <f>IFERROR(_xll.qlRateHelperEarliestDate(S34,Trigger),"--")</f>
        <v>--</v>
      </c>
      <c r="U34" s="91" t="str">
        <f>IFERROR(_xll.qlRateHelperPillarDate(S34,Trigger),"--")</f>
        <v>--</v>
      </c>
      <c r="W34" s="140" t="str">
        <f t="shared" si="1"/>
        <v>BasSw</v>
      </c>
      <c r="X34" s="140" t="str">
        <v>obj_002a2</v>
      </c>
      <c r="Y34" s="140" t="str">
        <f>IFERROR(_xll.qlRateHelperQuoteName(X34,Trigger),"")</f>
        <v>GBPSB6L25Y_S6L12L_Quote</v>
      </c>
      <c r="Z34" s="170">
        <f>IFERROR(_xll.qlRateHelperRate(X34,Trigger),"")</f>
        <v>1.1579999999976855E-2</v>
      </c>
      <c r="AA34" s="171">
        <f>IF(ISERROR(_xll.qlSwapRateHelperSpread($X34)),IF(ISERROR(_xll.qlFuturesRateHelperConvexityAdjustment($X34)),"",_xll.qlFuturesRateHelperConvexityAdjustment($X34)),_xll.qlSwapRateHelperSpread($X34))</f>
        <v>0</v>
      </c>
      <c r="AB34" s="141">
        <f>IFERROR(_xll.qlRateHelperEarliestDate(X34,Trigger),"")</f>
        <v>42559</v>
      </c>
      <c r="AC34" s="141">
        <f>IFERROR(_xll.qlRateHelperPillarDate(X34,Trigger),"")</f>
        <v>51690</v>
      </c>
      <c r="AD34" s="220">
        <v>0.74803325548393174</v>
      </c>
    </row>
    <row r="35" spans="1:30" ht="11.25" customHeight="1" x14ac:dyDescent="0.2">
      <c r="A35" s="58" t="s">
        <v>92</v>
      </c>
      <c r="B35" s="105">
        <v>15</v>
      </c>
      <c r="C35" s="61" t="str">
        <f t="shared" si="11"/>
        <v>x27F</v>
      </c>
      <c r="D35" s="114"/>
      <c r="E35" s="114"/>
      <c r="F35" s="114"/>
      <c r="G35" s="60" t="str">
        <f t="shared" si="9"/>
        <v>GbpLibor1Y</v>
      </c>
      <c r="H35" s="108" t="str">
        <f t="shared" si="12"/>
        <v>GBP15x27F_Quote</v>
      </c>
      <c r="I35" s="114"/>
      <c r="J35" s="223" t="str">
        <f>IF(P33,_xll.qlFraRateHelper(,H35,B35&amp;"M",G35,PillarDate,,Permanent,Trigger,ObjectOverwrite),"--")</f>
        <v>--</v>
      </c>
      <c r="K35" s="48"/>
      <c r="L35" s="226" t="str">
        <f t="shared" si="6"/>
        <v>FRA</v>
      </c>
      <c r="M35" s="230" t="str">
        <f t="shared" si="7"/>
        <v>GBP17x29F_Quote</v>
      </c>
      <c r="N35" s="228" t="str">
        <f>IFERROR(_xll.qlQuoteValue(H37,Trigger),"--")</f>
        <v>--</v>
      </c>
      <c r="O35" s="229"/>
      <c r="P35" s="90" t="b">
        <v>0</v>
      </c>
      <c r="Q35" s="87">
        <v>20</v>
      </c>
      <c r="R35" s="87">
        <v>7</v>
      </c>
      <c r="S35" s="87" t="str">
        <f t="shared" si="8"/>
        <v>--</v>
      </c>
      <c r="T35" s="91" t="str">
        <f>IFERROR(_xll.qlRateHelperEarliestDate(S35,Trigger),"--")</f>
        <v>--</v>
      </c>
      <c r="U35" s="91" t="str">
        <f>IFERROR(_xll.qlRateHelperPillarDate(S35,Trigger),"--")</f>
        <v>--</v>
      </c>
      <c r="W35" s="140" t="str">
        <f t="shared" ref="W35:W66" si="13">IFERROR(INDEX($L$3:$L$79,MATCH(Y35,$M$3:$M$79,0),1),"")</f>
        <v>BasSw</v>
      </c>
      <c r="X35" s="140" t="str">
        <v>obj_002aa</v>
      </c>
      <c r="Y35" s="140" t="str">
        <f>IFERROR(_xll.qlRateHelperQuoteName(X35,Trigger),"")</f>
        <v>GBPSB6L30Y_S6L12L_Quote</v>
      </c>
      <c r="Z35" s="170">
        <f>IFERROR(_xll.qlRateHelperRate(X35,Trigger),"")</f>
        <v>1.1359999999998437E-2</v>
      </c>
      <c r="AA35" s="171">
        <f>IF(ISERROR(_xll.qlSwapRateHelperSpread($X35)),IF(ISERROR(_xll.qlFuturesRateHelperConvexityAdjustment($X35)),"",_xll.qlFuturesRateHelperConvexityAdjustment($X35)),_xll.qlSwapRateHelperSpread($X35))</f>
        <v>0</v>
      </c>
      <c r="AB35" s="141">
        <f>IFERROR(_xll.qlRateHelperEarliestDate(X35,Trigger),"")</f>
        <v>42559</v>
      </c>
      <c r="AC35" s="141">
        <f>IFERROR(_xll.qlRateHelperPillarDate(X35,Trigger),"")</f>
        <v>53517</v>
      </c>
      <c r="AD35" s="220">
        <v>0.71135136881426242</v>
      </c>
    </row>
    <row r="36" spans="1:30" ht="11.25" customHeight="1" x14ac:dyDescent="0.2">
      <c r="A36" s="58" t="s">
        <v>92</v>
      </c>
      <c r="B36" s="105">
        <v>16</v>
      </c>
      <c r="C36" s="61" t="str">
        <f t="shared" si="11"/>
        <v>x28F</v>
      </c>
      <c r="D36" s="114"/>
      <c r="E36" s="114"/>
      <c r="F36" s="114"/>
      <c r="G36" s="60" t="str">
        <f t="shared" si="9"/>
        <v>GbpLibor1Y</v>
      </c>
      <c r="H36" s="108" t="str">
        <f t="shared" si="12"/>
        <v>GBP16x28F_Quote</v>
      </c>
      <c r="I36" s="114"/>
      <c r="J36" s="223" t="str">
        <f>IF(P34,_xll.qlFraRateHelper(,H36,B36&amp;"M",G36,PillarDate,,Permanent,Trigger,ObjectOverwrite),"--")</f>
        <v>--</v>
      </c>
      <c r="K36" s="48"/>
      <c r="L36" s="226" t="str">
        <f t="shared" si="6"/>
        <v>FRA</v>
      </c>
      <c r="M36" s="230" t="str">
        <f t="shared" si="7"/>
        <v>GBP18x30F_Quote</v>
      </c>
      <c r="N36" s="228" t="str">
        <f>IFERROR(_xll.qlQuoteValue(H38,Trigger),"--")</f>
        <v>--</v>
      </c>
      <c r="O36" s="229"/>
      <c r="P36" s="90" t="b">
        <v>0</v>
      </c>
      <c r="Q36" s="87">
        <v>20</v>
      </c>
      <c r="R36" s="87">
        <v>7</v>
      </c>
      <c r="S36" s="87" t="str">
        <f t="shared" si="8"/>
        <v>--</v>
      </c>
      <c r="T36" s="91" t="str">
        <f>IFERROR(_xll.qlRateHelperEarliestDate(S36,Trigger),"--")</f>
        <v>--</v>
      </c>
      <c r="U36" s="91" t="str">
        <f>IFERROR(_xll.qlRateHelperPillarDate(S36,Trigger),"--")</f>
        <v>--</v>
      </c>
      <c r="W36" s="140" t="str">
        <f t="shared" si="13"/>
        <v>BasSw</v>
      </c>
      <c r="X36" s="140" t="str">
        <v>obj_00276</v>
      </c>
      <c r="Y36" s="140" t="str">
        <f>IFERROR(_xll.qlRateHelperQuoteName(X36,Trigger),"")</f>
        <v>GBPSB6L40Y_S6L12L_Quote</v>
      </c>
      <c r="Z36" s="170">
        <f>IFERROR(_xll.qlRateHelperRate(X36,Trigger),"")</f>
        <v>1.0629999999998863E-2</v>
      </c>
      <c r="AA36" s="171">
        <f>IF(ISERROR(_xll.qlSwapRateHelperSpread($X36)),IF(ISERROR(_xll.qlFuturesRateHelperConvexityAdjustment($X36)),"",_xll.qlFuturesRateHelperConvexityAdjustment($X36)),_xll.qlSwapRateHelperSpread($X36))</f>
        <v>0</v>
      </c>
      <c r="AB36" s="141">
        <f>IFERROR(_xll.qlRateHelperEarliestDate(X36,Trigger),"")</f>
        <v>42559</v>
      </c>
      <c r="AC36" s="141">
        <f>IFERROR(_xll.qlRateHelperPillarDate(X36,Trigger),"")</f>
        <v>57171</v>
      </c>
      <c r="AD36" s="220">
        <v>0.65685437319989004</v>
      </c>
    </row>
    <row r="37" spans="1:30" ht="11.25" customHeight="1" x14ac:dyDescent="0.2">
      <c r="A37" s="58" t="s">
        <v>92</v>
      </c>
      <c r="B37" s="105">
        <v>17</v>
      </c>
      <c r="C37" s="61" t="str">
        <f t="shared" si="11"/>
        <v>x29F</v>
      </c>
      <c r="D37" s="114"/>
      <c r="E37" s="114"/>
      <c r="F37" s="114"/>
      <c r="G37" s="60" t="str">
        <f t="shared" si="9"/>
        <v>GbpLibor1Y</v>
      </c>
      <c r="H37" s="108" t="str">
        <f t="shared" si="12"/>
        <v>GBP17x29F_Quote</v>
      </c>
      <c r="I37" s="114"/>
      <c r="J37" s="223" t="str">
        <f>IF(P35,_xll.qlFraRateHelper(,H37,B37&amp;"M",G37,PillarDate,,Permanent,Trigger,ObjectOverwrite),"--")</f>
        <v>--</v>
      </c>
      <c r="K37" s="48"/>
      <c r="L37" s="226" t="str">
        <f t="shared" si="6"/>
        <v>FRA</v>
      </c>
      <c r="M37" s="230" t="str">
        <f t="shared" si="7"/>
        <v>GBP19x31F_Quote</v>
      </c>
      <c r="N37" s="228" t="str">
        <f>IFERROR(_xll.qlQuoteValue(H39,Trigger),"--")</f>
        <v>--</v>
      </c>
      <c r="O37" s="229"/>
      <c r="P37" s="90" t="b">
        <v>0</v>
      </c>
      <c r="Q37" s="87">
        <v>20</v>
      </c>
      <c r="R37" s="87">
        <v>7</v>
      </c>
      <c r="S37" s="87" t="str">
        <f t="shared" si="8"/>
        <v>--</v>
      </c>
      <c r="T37" s="91" t="str">
        <f>IFERROR(_xll.qlRateHelperEarliestDate(S37,Trigger),"--")</f>
        <v>--</v>
      </c>
      <c r="U37" s="91" t="str">
        <f>IFERROR(_xll.qlRateHelperPillarDate(S37,Trigger),"--")</f>
        <v>--</v>
      </c>
      <c r="W37" s="140" t="str">
        <f t="shared" si="13"/>
        <v>BasSw</v>
      </c>
      <c r="X37" s="140" t="str">
        <v>obj_002b9</v>
      </c>
      <c r="Y37" s="140" t="str">
        <f>IFERROR(_xll.qlRateHelperQuoteName(X37,Trigger),"")</f>
        <v>GBPSB6L50Y_S6L12L_Quote</v>
      </c>
      <c r="Z37" s="170">
        <f>IFERROR(_xll.qlRateHelperRate(X37,Trigger),"")</f>
        <v>1.0130000000000021E-2</v>
      </c>
      <c r="AA37" s="171">
        <f>IF(ISERROR(_xll.qlSwapRateHelperSpread($X37)),IF(ISERROR(_xll.qlFuturesRateHelperConvexityAdjustment($X37)),"",_xll.qlFuturesRateHelperConvexityAdjustment($X37)),_xll.qlSwapRateHelperSpread($X37))</f>
        <v>0</v>
      </c>
      <c r="AB37" s="141">
        <f>IFERROR(_xll.qlRateHelperEarliestDate(X37,Trigger),"")</f>
        <v>42559</v>
      </c>
      <c r="AC37" s="141">
        <f>IFERROR(_xll.qlRateHelperPillarDate(X37,Trigger),"")</f>
        <v>60821</v>
      </c>
      <c r="AD37" s="220">
        <v>0.60842354809124521</v>
      </c>
    </row>
    <row r="38" spans="1:30" ht="11.25" customHeight="1" x14ac:dyDescent="0.2">
      <c r="A38" s="58" t="s">
        <v>92</v>
      </c>
      <c r="B38" s="105">
        <v>18</v>
      </c>
      <c r="C38" s="61" t="str">
        <f t="shared" si="11"/>
        <v>x30F</v>
      </c>
      <c r="D38" s="114"/>
      <c r="E38" s="114"/>
      <c r="F38" s="114"/>
      <c r="G38" s="60" t="str">
        <f t="shared" si="9"/>
        <v>GbpLibor1Y</v>
      </c>
      <c r="H38" s="108" t="str">
        <f t="shared" si="12"/>
        <v>GBP18x30F_Quote</v>
      </c>
      <c r="I38" s="114"/>
      <c r="J38" s="223" t="str">
        <f>IF(P36,_xll.qlFraRateHelper(,H38,B38&amp;"M",G38,PillarDate,,Permanent,Trigger,ObjectOverwrite),"--")</f>
        <v>--</v>
      </c>
      <c r="K38" s="48"/>
      <c r="L38" s="226" t="str">
        <f t="shared" si="6"/>
        <v>FRA</v>
      </c>
      <c r="M38" s="230" t="str">
        <f t="shared" si="7"/>
        <v>GBP20x32F_Quote</v>
      </c>
      <c r="N38" s="228" t="str">
        <f>IFERROR(_xll.qlQuoteValue(H40,Trigger),"--")</f>
        <v>--</v>
      </c>
      <c r="O38" s="229"/>
      <c r="P38" s="90" t="b">
        <v>0</v>
      </c>
      <c r="Q38" s="87">
        <v>20</v>
      </c>
      <c r="R38" s="87">
        <v>7</v>
      </c>
      <c r="S38" s="87" t="str">
        <f t="shared" si="8"/>
        <v>--</v>
      </c>
      <c r="T38" s="91" t="str">
        <f>IFERROR(_xll.qlRateHelperEarliestDate(S38,Trigger),"--")</f>
        <v>--</v>
      </c>
      <c r="U38" s="91" t="str">
        <f>IFERROR(_xll.qlRateHelperPillarDate(S38,Trigger),"--")</f>
        <v>--</v>
      </c>
      <c r="W38" s="140" t="str">
        <f t="shared" si="13"/>
        <v>BasSw</v>
      </c>
      <c r="X38" s="140" t="str">
        <v>obj_00298</v>
      </c>
      <c r="Y38" s="140" t="str">
        <f>IFERROR(_xll.qlRateHelperQuoteName(X38,Trigger),"")</f>
        <v>GBPSB6L60Y_S6L12L_Quote</v>
      </c>
      <c r="Z38" s="170">
        <f>IFERROR(_xll.qlRateHelperRate(X38,Trigger),"")</f>
        <v>1.0019999999998235E-2</v>
      </c>
      <c r="AA38" s="171">
        <f>IF(ISERROR(_xll.qlSwapRateHelperSpread($X38)),IF(ISERROR(_xll.qlFuturesRateHelperConvexityAdjustment($X38)),"",_xll.qlFuturesRateHelperConvexityAdjustment($X38)),_xll.qlSwapRateHelperSpread($X38))</f>
        <v>0</v>
      </c>
      <c r="AB38" s="141">
        <f>IFERROR(_xll.qlRateHelperEarliestDate(X38,Trigger),"")</f>
        <v>42559</v>
      </c>
      <c r="AC38" s="141">
        <f>IFERROR(_xll.qlRateHelperPillarDate(X38,Trigger),"")</f>
        <v>64474</v>
      </c>
      <c r="AD38" s="220">
        <v>0.55433017500184167</v>
      </c>
    </row>
    <row r="39" spans="1:30" ht="11.25" customHeight="1" x14ac:dyDescent="0.2">
      <c r="A39" s="58" t="s">
        <v>92</v>
      </c>
      <c r="B39" s="105">
        <v>19</v>
      </c>
      <c r="C39" s="61" t="str">
        <f t="shared" si="11"/>
        <v>x31F</v>
      </c>
      <c r="D39" s="114"/>
      <c r="E39" s="114"/>
      <c r="F39" s="114"/>
      <c r="G39" s="60" t="str">
        <f t="shared" si="9"/>
        <v>GbpLibor1Y</v>
      </c>
      <c r="H39" s="108" t="str">
        <f t="shared" si="12"/>
        <v>GBP19x31F_Quote</v>
      </c>
      <c r="I39" s="114"/>
      <c r="J39" s="223" t="str">
        <f>IF(P37,_xll.qlFraRateHelper(,H39,B39&amp;"M",G39,PillarDate,,Permanent,Trigger,ObjectOverwrite),"--")</f>
        <v>--</v>
      </c>
      <c r="K39" s="48"/>
      <c r="L39" s="226" t="str">
        <f t="shared" si="6"/>
        <v>FRA</v>
      </c>
      <c r="M39" s="230" t="str">
        <f t="shared" si="7"/>
        <v>GBP21x33F_Quote</v>
      </c>
      <c r="N39" s="228" t="str">
        <f>IFERROR(_xll.qlQuoteValue(H41,Trigger),"--")</f>
        <v>--</v>
      </c>
      <c r="O39" s="229"/>
      <c r="P39" s="90" t="b">
        <v>0</v>
      </c>
      <c r="Q39" s="87">
        <v>20</v>
      </c>
      <c r="R39" s="87">
        <v>7</v>
      </c>
      <c r="S39" s="87" t="str">
        <f t="shared" si="8"/>
        <v>--</v>
      </c>
      <c r="T39" s="91" t="str">
        <f>IFERROR(_xll.qlRateHelperEarliestDate(S39,Trigger),"--")</f>
        <v>--</v>
      </c>
      <c r="U39" s="91" t="str">
        <f>IFERROR(_xll.qlRateHelperPillarDate(S39,Trigger),"--")</f>
        <v>--</v>
      </c>
      <c r="W39" s="140" t="str">
        <f t="shared" si="13"/>
        <v/>
      </c>
      <c r="X39" s="140" t="e">
        <v>#N/A</v>
      </c>
      <c r="Y39" s="140" t="str">
        <f>IFERROR(_xll.qlRateHelperQuoteName(X39,Trigger),"")</f>
        <v/>
      </c>
      <c r="Z39" s="170" t="str">
        <f>IFERROR(_xll.qlRateHelperRate(X39,Trigger),"")</f>
        <v/>
      </c>
      <c r="AA39" s="171" t="str">
        <f>IF(ISERROR(_xll.qlSwapRateHelperSpread($X39)),IF(ISERROR(_xll.qlFuturesRateHelperConvexityAdjustment($X39)),"",_xll.qlFuturesRateHelperConvexityAdjustment($X39)),_xll.qlSwapRateHelperSpread($X39))</f>
        <v/>
      </c>
      <c r="AB39" s="141" t="str">
        <f>IFERROR(_xll.qlRateHelperEarliestDate(X39,Trigger),"")</f>
        <v/>
      </c>
      <c r="AC39" s="141" t="str">
        <f>IFERROR(_xll.qlRateHelperPillarDate(X39,Trigger),"")</f>
        <v/>
      </c>
      <c r="AD39" s="220" t="e">
        <v>#N/A</v>
      </c>
    </row>
    <row r="40" spans="1:30" ht="11.25" customHeight="1" x14ac:dyDescent="0.2">
      <c r="A40" s="58" t="s">
        <v>92</v>
      </c>
      <c r="B40" s="105">
        <v>20</v>
      </c>
      <c r="C40" s="61" t="str">
        <f t="shared" si="11"/>
        <v>x32F</v>
      </c>
      <c r="D40" s="114"/>
      <c r="E40" s="114"/>
      <c r="F40" s="114"/>
      <c r="G40" s="60" t="str">
        <f t="shared" si="9"/>
        <v>GbpLibor1Y</v>
      </c>
      <c r="H40" s="108" t="str">
        <f t="shared" si="12"/>
        <v>GBP20x32F_Quote</v>
      </c>
      <c r="I40" s="114"/>
      <c r="J40" s="223" t="str">
        <f>IF(P38,_xll.qlFraRateHelper(,H40,B40&amp;"M",G40,PillarDate,,Permanent,Trigger,ObjectOverwrite),"--")</f>
        <v>--</v>
      </c>
      <c r="K40" s="48"/>
      <c r="L40" s="226" t="str">
        <f t="shared" si="6"/>
        <v>FRA</v>
      </c>
      <c r="M40" s="230" t="str">
        <f t="shared" si="7"/>
        <v>GBP22x34F_Quote</v>
      </c>
      <c r="N40" s="228" t="str">
        <f>IFERROR(_xll.qlQuoteValue(H42,Trigger),"--")</f>
        <v>--</v>
      </c>
      <c r="O40" s="229"/>
      <c r="P40" s="90" t="b">
        <v>0</v>
      </c>
      <c r="Q40" s="87">
        <v>20</v>
      </c>
      <c r="R40" s="87">
        <v>7</v>
      </c>
      <c r="S40" s="87" t="str">
        <f t="shared" si="8"/>
        <v>--</v>
      </c>
      <c r="T40" s="91" t="str">
        <f>IFERROR(_xll.qlRateHelperEarliestDate(S40,Trigger),"--")</f>
        <v>--</v>
      </c>
      <c r="U40" s="91" t="str">
        <f>IFERROR(_xll.qlRateHelperPillarDate(S40,Trigger),"--")</f>
        <v>--</v>
      </c>
      <c r="W40" s="140" t="str">
        <f t="shared" si="13"/>
        <v/>
      </c>
      <c r="X40" s="140" t="e">
        <v>#N/A</v>
      </c>
      <c r="Y40" s="140" t="str">
        <f>IFERROR(_xll.qlRateHelperQuoteName(X40,Trigger),"")</f>
        <v/>
      </c>
      <c r="Z40" s="170" t="str">
        <f>IFERROR(_xll.qlRateHelperRate(X40,Trigger),"")</f>
        <v/>
      </c>
      <c r="AA40" s="171" t="str">
        <f>IF(ISERROR(_xll.qlSwapRateHelperSpread($X40)),IF(ISERROR(_xll.qlFuturesRateHelperConvexityAdjustment($X40)),"",_xll.qlFuturesRateHelperConvexityAdjustment($X40)),_xll.qlSwapRateHelperSpread($X40))</f>
        <v/>
      </c>
      <c r="AB40" s="141" t="str">
        <f>IFERROR(_xll.qlRateHelperEarliestDate(X40,Trigger),"")</f>
        <v/>
      </c>
      <c r="AC40" s="141" t="str">
        <f>IFERROR(_xll.qlRateHelperPillarDate(X40,Trigger),"")</f>
        <v/>
      </c>
      <c r="AD40" s="220" t="e">
        <v>#N/A</v>
      </c>
    </row>
    <row r="41" spans="1:30" ht="11.25" customHeight="1" x14ac:dyDescent="0.2">
      <c r="A41" s="58" t="s">
        <v>92</v>
      </c>
      <c r="B41" s="105">
        <v>21</v>
      </c>
      <c r="C41" s="61" t="str">
        <f t="shared" si="11"/>
        <v>x33F</v>
      </c>
      <c r="D41" s="114"/>
      <c r="E41" s="114"/>
      <c r="F41" s="114"/>
      <c r="G41" s="60" t="str">
        <f t="shared" si="9"/>
        <v>GbpLibor1Y</v>
      </c>
      <c r="H41" s="108" t="str">
        <f t="shared" si="12"/>
        <v>GBP21x33F_Quote</v>
      </c>
      <c r="I41" s="114"/>
      <c r="J41" s="223" t="str">
        <f>IF(P39,_xll.qlFraRateHelper(,H41,B41&amp;"M",G41,PillarDate,,Permanent,Trigger,ObjectOverwrite),"--")</f>
        <v>--</v>
      </c>
      <c r="L41" s="226" t="str">
        <f t="shared" si="6"/>
        <v>FRA</v>
      </c>
      <c r="M41" s="230" t="str">
        <f t="shared" si="7"/>
        <v>GBP23x35F_Quote</v>
      </c>
      <c r="N41" s="228" t="str">
        <f>IFERROR(_xll.qlQuoteValue(H43,Trigger),"--")</f>
        <v>--</v>
      </c>
      <c r="O41" s="229"/>
      <c r="P41" s="90" t="b">
        <v>0</v>
      </c>
      <c r="Q41" s="87">
        <v>20</v>
      </c>
      <c r="R41" s="87">
        <v>7</v>
      </c>
      <c r="S41" s="87" t="str">
        <f t="shared" si="8"/>
        <v>--</v>
      </c>
      <c r="T41" s="91" t="str">
        <f>IFERROR(_xll.qlRateHelperEarliestDate(S41,Trigger),"--")</f>
        <v>--</v>
      </c>
      <c r="U41" s="91" t="str">
        <f>IFERROR(_xll.qlRateHelperPillarDate(S41,Trigger),"--")</f>
        <v>--</v>
      </c>
      <c r="W41" s="140" t="str">
        <f t="shared" si="13"/>
        <v/>
      </c>
      <c r="X41" s="140" t="e">
        <v>#N/A</v>
      </c>
      <c r="Y41" s="140" t="str">
        <f>IFERROR(_xll.qlRateHelperQuoteName(X41,Trigger),"")</f>
        <v/>
      </c>
      <c r="Z41" s="170" t="str">
        <f>IFERROR(_xll.qlRateHelperRate(X41,Trigger),"")</f>
        <v/>
      </c>
      <c r="AA41" s="171" t="str">
        <f>IF(ISERROR(_xll.qlSwapRateHelperSpread($X41)),IF(ISERROR(_xll.qlFuturesRateHelperConvexityAdjustment($X41)),"",_xll.qlFuturesRateHelperConvexityAdjustment($X41)),_xll.qlSwapRateHelperSpread($X41))</f>
        <v/>
      </c>
      <c r="AB41" s="141" t="str">
        <f>IFERROR(_xll.qlRateHelperEarliestDate(X41,Trigger),"")</f>
        <v/>
      </c>
      <c r="AC41" s="141" t="str">
        <f>IFERROR(_xll.qlRateHelperPillarDate(X41,Trigger),"")</f>
        <v/>
      </c>
      <c r="AD41" s="220" t="e">
        <v>#N/A</v>
      </c>
    </row>
    <row r="42" spans="1:30" ht="11.25" customHeight="1" x14ac:dyDescent="0.2">
      <c r="A42" s="58" t="s">
        <v>92</v>
      </c>
      <c r="B42" s="105">
        <v>22</v>
      </c>
      <c r="C42" s="61" t="str">
        <f t="shared" si="11"/>
        <v>x34F</v>
      </c>
      <c r="D42" s="114"/>
      <c r="E42" s="114"/>
      <c r="F42" s="114"/>
      <c r="G42" s="60" t="str">
        <f t="shared" si="9"/>
        <v>GbpLibor1Y</v>
      </c>
      <c r="H42" s="108" t="str">
        <f t="shared" si="12"/>
        <v>GBP22x34F_Quote</v>
      </c>
      <c r="I42" s="114"/>
      <c r="J42" s="223" t="str">
        <f>IF(P40,_xll.qlFraRateHelper(,H42,B42&amp;"M",G42,PillarDate,,Permanent,Trigger,ObjectOverwrite),"--")</f>
        <v>--</v>
      </c>
      <c r="L42" s="231" t="str">
        <f t="shared" si="6"/>
        <v>FRA</v>
      </c>
      <c r="M42" s="232" t="str">
        <f t="shared" si="7"/>
        <v>GBP24x36F_Quote</v>
      </c>
      <c r="N42" s="233" t="str">
        <f>IFERROR(_xll.qlQuoteValue(H44,Trigger),"--")</f>
        <v>--</v>
      </c>
      <c r="O42" s="234"/>
      <c r="P42" s="92" t="b">
        <v>0</v>
      </c>
      <c r="Q42" s="88">
        <v>20</v>
      </c>
      <c r="R42" s="88">
        <v>7</v>
      </c>
      <c r="S42" s="88" t="str">
        <f t="shared" si="8"/>
        <v>--</v>
      </c>
      <c r="T42" s="93" t="str">
        <f>IFERROR(_xll.qlRateHelperEarliestDate(S42,Trigger),"--")</f>
        <v>--</v>
      </c>
      <c r="U42" s="93" t="str">
        <f>IFERROR(_xll.qlRateHelperPillarDate(S42,Trigger),"--")</f>
        <v>--</v>
      </c>
      <c r="W42" s="140" t="str">
        <f t="shared" si="13"/>
        <v/>
      </c>
      <c r="X42" s="140" t="e">
        <v>#N/A</v>
      </c>
      <c r="Y42" s="140" t="str">
        <f>IFERROR(_xll.qlRateHelperQuoteName(X42,Trigger),"")</f>
        <v/>
      </c>
      <c r="Z42" s="170" t="str">
        <f>IFERROR(_xll.qlRateHelperRate(X42,Trigger),"")</f>
        <v/>
      </c>
      <c r="AA42" s="171" t="str">
        <f>IF(ISERROR(_xll.qlSwapRateHelperSpread($X42)),IF(ISERROR(_xll.qlFuturesRateHelperConvexityAdjustment($X42)),"",_xll.qlFuturesRateHelperConvexityAdjustment($X42)),_xll.qlSwapRateHelperSpread($X42))</f>
        <v/>
      </c>
      <c r="AB42" s="141" t="str">
        <f>IFERROR(_xll.qlRateHelperEarliestDate(X42,Trigger),"")</f>
        <v/>
      </c>
      <c r="AC42" s="141" t="str">
        <f>IFERROR(_xll.qlRateHelperPillarDate(X42,Trigger),"")</f>
        <v/>
      </c>
      <c r="AD42" s="220" t="e">
        <v>#N/A</v>
      </c>
    </row>
    <row r="43" spans="1:30" ht="11.25" customHeight="1" x14ac:dyDescent="0.2">
      <c r="A43" s="58" t="s">
        <v>92</v>
      </c>
      <c r="B43" s="105">
        <v>23</v>
      </c>
      <c r="C43" s="61" t="str">
        <f t="shared" si="11"/>
        <v>x35F</v>
      </c>
      <c r="D43" s="114"/>
      <c r="E43" s="114"/>
      <c r="F43" s="114"/>
      <c r="G43" s="60" t="str">
        <f t="shared" si="9"/>
        <v>GbpLibor1Y</v>
      </c>
      <c r="H43" s="108" t="str">
        <f t="shared" si="12"/>
        <v>GBP23x35F_Quote</v>
      </c>
      <c r="I43" s="114"/>
      <c r="J43" s="223" t="str">
        <f>IF(P41,_xll.qlFraRateHelper(,H43,B43&amp;"M",G43,PillarDate,,Permanent,Trigger,ObjectOverwrite),"--")</f>
        <v>--</v>
      </c>
      <c r="L43" s="238" t="str">
        <f>A47</f>
        <v>BasSw</v>
      </c>
      <c r="M43" s="245" t="str">
        <f>H47</f>
        <v>GBPSB6L1Y_S6L12L_Quote</v>
      </c>
      <c r="N43" s="240" t="str">
        <f>IFERROR(_xll.qlQuoteValue(H47,Trigger),"--")</f>
        <v>--</v>
      </c>
      <c r="O43" s="240">
        <f>I47</f>
        <v>0</v>
      </c>
      <c r="P43" s="123" t="b">
        <v>0</v>
      </c>
      <c r="Q43" s="122">
        <v>40</v>
      </c>
      <c r="R43" s="122">
        <v>1</v>
      </c>
      <c r="S43" s="122" t="str">
        <f>J47</f>
        <v>--</v>
      </c>
      <c r="T43" s="124" t="str">
        <f>IFERROR(_xll.qlRateHelperEarliestDate(S43,Trigger),"--")</f>
        <v>--</v>
      </c>
      <c r="U43" s="124" t="str">
        <f>IFERROR(_xll.qlRateHelperPillarDate(S43,Trigger),"--")</f>
        <v>--</v>
      </c>
      <c r="W43" s="140" t="str">
        <f t="shared" si="13"/>
        <v/>
      </c>
      <c r="X43" s="140" t="e">
        <v>#N/A</v>
      </c>
      <c r="Y43" s="140" t="str">
        <f>IFERROR(_xll.qlRateHelperQuoteName(X43,Trigger),"")</f>
        <v/>
      </c>
      <c r="Z43" s="170" t="str">
        <f>IFERROR(_xll.qlRateHelperRate(X43,Trigger),"")</f>
        <v/>
      </c>
      <c r="AA43" s="171" t="str">
        <f>IF(ISERROR(_xll.qlSwapRateHelperSpread($X43)),IF(ISERROR(_xll.qlFuturesRateHelperConvexityAdjustment($X43)),"",_xll.qlFuturesRateHelperConvexityAdjustment($X43)),_xll.qlSwapRateHelperSpread($X43))</f>
        <v/>
      </c>
      <c r="AB43" s="141" t="str">
        <f>IFERROR(_xll.qlRateHelperEarliestDate(X43,Trigger),"")</f>
        <v/>
      </c>
      <c r="AC43" s="141" t="str">
        <f>IFERROR(_xll.qlRateHelperPillarDate(X43,Trigger),"")</f>
        <v/>
      </c>
      <c r="AD43" s="220" t="e">
        <v>#N/A</v>
      </c>
    </row>
    <row r="44" spans="1:30" ht="11.25" customHeight="1" x14ac:dyDescent="0.2">
      <c r="A44" s="1" t="s">
        <v>92</v>
      </c>
      <c r="B44" s="106">
        <v>24</v>
      </c>
      <c r="C44" s="8" t="str">
        <f t="shared" si="11"/>
        <v>x36F</v>
      </c>
      <c r="D44" s="115"/>
      <c r="E44" s="115"/>
      <c r="F44" s="115"/>
      <c r="G44" s="6" t="str">
        <f t="shared" si="9"/>
        <v>GbpLibor1Y</v>
      </c>
      <c r="H44" s="109" t="str">
        <f t="shared" si="12"/>
        <v>GBP24x36F_Quote</v>
      </c>
      <c r="I44" s="115"/>
      <c r="J44" s="224" t="str">
        <f>IF(P42,_xll.qlFraRateHelper(,H44,B44&amp;"M",G44,PillarDate,,Permanent,Trigger,ObjectOverwrite),"--")</f>
        <v>--</v>
      </c>
      <c r="L44" s="226" t="str">
        <f t="shared" ref="L44:L78" si="14">A48</f>
        <v>BasSw</v>
      </c>
      <c r="M44" s="230" t="str">
        <f t="shared" ref="M44:M79" si="15">H48</f>
        <v>GBPSB6L15M_S6L12L_Quote</v>
      </c>
      <c r="N44" s="228" t="str">
        <f>IFERROR(_xll.qlQuoteValue(H48,Trigger),"--")</f>
        <v>--</v>
      </c>
      <c r="O44" s="228">
        <f t="shared" ref="O44:O79" si="16">I48</f>
        <v>0</v>
      </c>
      <c r="P44" s="90" t="b">
        <v>0</v>
      </c>
      <c r="Q44" s="87">
        <v>40</v>
      </c>
      <c r="R44" s="87">
        <v>1</v>
      </c>
      <c r="S44" s="87" t="str">
        <f t="shared" ref="S44:S79" si="17">J48</f>
        <v>--</v>
      </c>
      <c r="T44" s="91" t="str">
        <f>IFERROR(_xll.qlRateHelperEarliestDate(S44,Trigger),"--")</f>
        <v>--</v>
      </c>
      <c r="U44" s="91" t="str">
        <f>IFERROR(_xll.qlRateHelperPillarDate(S44,Trigger),"--")</f>
        <v>--</v>
      </c>
      <c r="W44" s="140" t="str">
        <f t="shared" si="13"/>
        <v/>
      </c>
      <c r="X44" s="140" t="e">
        <v>#N/A</v>
      </c>
      <c r="Y44" s="140" t="str">
        <f>IFERROR(_xll.qlRateHelperQuoteName(X44,Trigger),"")</f>
        <v/>
      </c>
      <c r="Z44" s="170" t="str">
        <f>IFERROR(_xll.qlRateHelperRate(X44,Trigger),"")</f>
        <v/>
      </c>
      <c r="AA44" s="171" t="str">
        <f>IF(ISERROR(_xll.qlSwapRateHelperSpread($X44)),IF(ISERROR(_xll.qlFuturesRateHelperConvexityAdjustment($X44)),"",_xll.qlFuturesRateHelperConvexityAdjustment($X44)),_xll.qlSwapRateHelperSpread($X44))</f>
        <v/>
      </c>
      <c r="AB44" s="141" t="str">
        <f>IFERROR(_xll.qlRateHelperEarliestDate(X44,Trigger),"")</f>
        <v/>
      </c>
      <c r="AC44" s="141" t="str">
        <f>IFERROR(_xll.qlRateHelperPillarDate(X44,Trigger),"")</f>
        <v/>
      </c>
      <c r="AD44" s="220" t="e">
        <v>#N/A</v>
      </c>
    </row>
    <row r="45" spans="1:30" ht="11.25" customHeight="1" x14ac:dyDescent="0.2">
      <c r="B45" s="46"/>
      <c r="C45" s="46"/>
      <c r="D45" s="46"/>
      <c r="E45" s="46"/>
      <c r="F45" s="46" t="s">
        <v>142</v>
      </c>
      <c r="G45" s="46" t="s">
        <v>143</v>
      </c>
      <c r="H45" s="174" t="s">
        <v>145</v>
      </c>
      <c r="L45" s="226" t="str">
        <f t="shared" si="14"/>
        <v>BasSw</v>
      </c>
      <c r="M45" s="230" t="str">
        <f t="shared" si="15"/>
        <v>GBPSB6L18M_S6L12L_Quote</v>
      </c>
      <c r="N45" s="228" t="str">
        <f>IFERROR(_xll.qlQuoteValue(H49,Trigger),"--")</f>
        <v>--</v>
      </c>
      <c r="O45" s="228">
        <f t="shared" si="16"/>
        <v>0</v>
      </c>
      <c r="P45" s="90" t="b">
        <v>0</v>
      </c>
      <c r="Q45" s="87">
        <v>40</v>
      </c>
      <c r="R45" s="87">
        <v>1</v>
      </c>
      <c r="S45" s="87" t="str">
        <f t="shared" si="17"/>
        <v>--</v>
      </c>
      <c r="T45" s="91" t="str">
        <f>IFERROR(_xll.qlRateHelperEarliestDate(S45,Trigger),"--")</f>
        <v>--</v>
      </c>
      <c r="U45" s="91" t="str">
        <f>IFERROR(_xll.qlRateHelperPillarDate(S45,Trigger),"--")</f>
        <v>--</v>
      </c>
      <c r="W45" s="140" t="str">
        <f t="shared" si="13"/>
        <v/>
      </c>
      <c r="X45" s="140" t="e">
        <v>#N/A</v>
      </c>
      <c r="Y45" s="140" t="str">
        <f>IFERROR(_xll.qlRateHelperQuoteName(X45,Trigger),"")</f>
        <v/>
      </c>
      <c r="Z45" s="170" t="str">
        <f>IFERROR(_xll.qlRateHelperRate(X45,Trigger),"")</f>
        <v/>
      </c>
      <c r="AA45" s="171" t="str">
        <f>IF(ISERROR(_xll.qlSwapRateHelperSpread($X45)),IF(ISERROR(_xll.qlFuturesRateHelperConvexityAdjustment($X45)),"",_xll.qlFuturesRateHelperConvexityAdjustment($X45)),_xll.qlSwapRateHelperSpread($X45))</f>
        <v/>
      </c>
      <c r="AB45" s="141" t="str">
        <f>IFERROR(_xll.qlRateHelperEarliestDate(X45,Trigger),"")</f>
        <v/>
      </c>
      <c r="AC45" s="141" t="str">
        <f>IFERROR(_xll.qlRateHelperPillarDate(X45,Trigger),"")</f>
        <v/>
      </c>
      <c r="AD45" s="220" t="e">
        <v>#N/A</v>
      </c>
    </row>
    <row r="46" spans="1:30" ht="11.25" customHeight="1" x14ac:dyDescent="0.2">
      <c r="A46" s="63" t="s">
        <v>9</v>
      </c>
      <c r="B46" s="63" t="s">
        <v>30</v>
      </c>
      <c r="C46" s="63" t="s">
        <v>127</v>
      </c>
      <c r="D46" s="63" t="s">
        <v>5</v>
      </c>
      <c r="E46" s="63" t="s">
        <v>34</v>
      </c>
      <c r="F46" s="63" t="s">
        <v>113</v>
      </c>
      <c r="G46" s="63" t="s">
        <v>4</v>
      </c>
      <c r="H46" s="63" t="s">
        <v>1</v>
      </c>
      <c r="I46" s="63" t="s">
        <v>112</v>
      </c>
      <c r="J46" s="63" t="s">
        <v>25</v>
      </c>
      <c r="L46" s="226" t="str">
        <f t="shared" si="14"/>
        <v>BasSw</v>
      </c>
      <c r="M46" s="230" t="str">
        <f t="shared" si="15"/>
        <v>GBPSB6L21M_S6L12L_Quote</v>
      </c>
      <c r="N46" s="228" t="str">
        <f>IFERROR(_xll.qlQuoteValue(H50,Trigger),"--")</f>
        <v>--</v>
      </c>
      <c r="O46" s="228">
        <f t="shared" si="16"/>
        <v>0</v>
      </c>
      <c r="P46" s="90" t="b">
        <v>0</v>
      </c>
      <c r="Q46" s="87">
        <v>40</v>
      </c>
      <c r="R46" s="87">
        <v>1</v>
      </c>
      <c r="S46" s="87" t="str">
        <f t="shared" si="17"/>
        <v>--</v>
      </c>
      <c r="T46" s="91" t="str">
        <f>IFERROR(_xll.qlRateHelperEarliestDate(S46,Trigger),"--")</f>
        <v>--</v>
      </c>
      <c r="U46" s="91" t="str">
        <f>IFERROR(_xll.qlRateHelperPillarDate(S46,Trigger),"--")</f>
        <v>--</v>
      </c>
      <c r="W46" s="140" t="str">
        <f t="shared" si="13"/>
        <v/>
      </c>
      <c r="X46" s="140" t="e">
        <v>#N/A</v>
      </c>
      <c r="Y46" s="140" t="str">
        <f>IFERROR(_xll.qlRateHelperQuoteName(X46,Trigger),"")</f>
        <v/>
      </c>
      <c r="Z46" s="170" t="str">
        <f>IFERROR(_xll.qlRateHelperRate(X46,Trigger),"")</f>
        <v/>
      </c>
      <c r="AA46" s="171" t="str">
        <f>IF(ISERROR(_xll.qlSwapRateHelperSpread($X46)),IF(ISERROR(_xll.qlFuturesRateHelperConvexityAdjustment($X46)),"",_xll.qlFuturesRateHelperConvexityAdjustment($X46)),_xll.qlSwapRateHelperSpread($X46))</f>
        <v/>
      </c>
      <c r="AB46" s="141" t="str">
        <f>IFERROR(_xll.qlRateHelperEarliestDate(X46,Trigger),"")</f>
        <v/>
      </c>
      <c r="AC46" s="141" t="str">
        <f>IFERROR(_xll.qlRateHelperPillarDate(X46,Trigger),"")</f>
        <v/>
      </c>
      <c r="AD46" s="220" t="e">
        <v>#N/A</v>
      </c>
    </row>
    <row r="47" spans="1:30" ht="11.25" customHeight="1" x14ac:dyDescent="0.2">
      <c r="A47" s="53" t="s">
        <v>115</v>
      </c>
      <c r="B47" s="54" t="s">
        <v>29</v>
      </c>
      <c r="C47" s="55" t="s">
        <v>6</v>
      </c>
      <c r="D47" s="60" t="s">
        <v>140</v>
      </c>
      <c r="E47" s="55" t="s">
        <v>7</v>
      </c>
      <c r="F47" s="55" t="s">
        <v>141</v>
      </c>
      <c r="G47" s="55" t="str">
        <f t="shared" ref="G47:G83" si="18">PROPER(Currency)&amp;FamilyName&amp;Tenor</f>
        <v>GbpLibor1Y</v>
      </c>
      <c r="H47" s="53" t="str">
        <f t="shared" ref="H47:H83" si="19">Currency&amp;$F$45&amp;$G$45&amp;B47&amp;"_S"&amp;$G$45&amp;$H$45&amp;QuoteSuffix</f>
        <v>GBPSB6L1Y_S6L12L_Quote</v>
      </c>
      <c r="I47" s="117">
        <v>0</v>
      </c>
      <c r="J47" s="225" t="str">
        <f>IF(P43,_xll.qlSwapRateHelper2(,H47,0,B47,Calendar,+D47,E47,F47,G47,I47,C47,Discounting,PillarDate,,Permanent,Trigger,ObjectOverwrite),"--")</f>
        <v>--</v>
      </c>
      <c r="L47" s="226" t="str">
        <f t="shared" si="14"/>
        <v>BasSw</v>
      </c>
      <c r="M47" s="230" t="str">
        <f t="shared" si="15"/>
        <v>GBPSB6L2Y_S6L12L_Quote</v>
      </c>
      <c r="N47" s="228">
        <f>IFERROR(_xll.qlQuoteValue(H51,Trigger),"--")</f>
        <v>7.5599999999957212E-3</v>
      </c>
      <c r="O47" s="228">
        <f t="shared" si="16"/>
        <v>0</v>
      </c>
      <c r="P47" s="90" t="b">
        <v>0</v>
      </c>
      <c r="Q47" s="87">
        <v>40</v>
      </c>
      <c r="R47" s="87">
        <v>1</v>
      </c>
      <c r="S47" s="87" t="str">
        <f t="shared" si="17"/>
        <v>--</v>
      </c>
      <c r="T47" s="91" t="str">
        <f>IFERROR(_xll.qlRateHelperEarliestDate(S47,Trigger),"--")</f>
        <v>--</v>
      </c>
      <c r="U47" s="91" t="str">
        <f>IFERROR(_xll.qlRateHelperPillarDate(S47,Trigger),"--")</f>
        <v>--</v>
      </c>
      <c r="W47" s="140" t="str">
        <f t="shared" si="13"/>
        <v/>
      </c>
      <c r="X47" s="140" t="e">
        <v>#N/A</v>
      </c>
      <c r="Y47" s="140" t="str">
        <f>IFERROR(_xll.qlRateHelperQuoteName(X47,Trigger),"")</f>
        <v/>
      </c>
      <c r="Z47" s="170" t="str">
        <f>IFERROR(_xll.qlRateHelperRate(X47,Trigger),"")</f>
        <v/>
      </c>
      <c r="AA47" s="171" t="str">
        <f>IF(ISERROR(_xll.qlSwapRateHelperSpread($X47)),IF(ISERROR(_xll.qlFuturesRateHelperConvexityAdjustment($X47)),"",_xll.qlFuturesRateHelperConvexityAdjustment($X47)),_xll.qlSwapRateHelperSpread($X47))</f>
        <v/>
      </c>
      <c r="AB47" s="141" t="str">
        <f>IFERROR(_xll.qlRateHelperEarliestDate(X47,Trigger),"")</f>
        <v/>
      </c>
      <c r="AC47" s="141" t="str">
        <f>IFERROR(_xll.qlRateHelperPillarDate(X47,Trigger),"")</f>
        <v/>
      </c>
      <c r="AD47" s="220" t="e">
        <v>#N/A</v>
      </c>
    </row>
    <row r="48" spans="1:30" ht="11.25" customHeight="1" x14ac:dyDescent="0.2">
      <c r="A48" s="58" t="s">
        <v>115</v>
      </c>
      <c r="B48" s="59" t="s">
        <v>49</v>
      </c>
      <c r="C48" s="60" t="s">
        <v>6</v>
      </c>
      <c r="D48" s="60" t="s">
        <v>140</v>
      </c>
      <c r="E48" s="60" t="s">
        <v>7</v>
      </c>
      <c r="F48" s="60" t="s">
        <v>141</v>
      </c>
      <c r="G48" s="60" t="str">
        <f t="shared" si="18"/>
        <v>GbpLibor1Y</v>
      </c>
      <c r="H48" s="58" t="str">
        <f t="shared" si="19"/>
        <v>GBPSB6L15M_S6L12L_Quote</v>
      </c>
      <c r="I48" s="118">
        <v>0</v>
      </c>
      <c r="J48" s="223" t="str">
        <f>IF(P44,_xll.qlSwapRateHelper2(,H48,0,B48,Calendar,+D48,E48,F48,G48,I48,C48,Discounting,PillarDate,,Permanent,Trigger,ObjectOverwrite),"--")</f>
        <v>--</v>
      </c>
      <c r="L48" s="226" t="str">
        <f t="shared" si="14"/>
        <v>BasSw</v>
      </c>
      <c r="M48" s="230" t="str">
        <f t="shared" si="15"/>
        <v>GBPSB6L3Y_S6L12L_Quote</v>
      </c>
      <c r="N48" s="228">
        <f>IFERROR(_xll.qlQuoteValue(H52,Trigger),"--")</f>
        <v>6.9900000001266466E-3</v>
      </c>
      <c r="O48" s="228">
        <f t="shared" si="16"/>
        <v>0</v>
      </c>
      <c r="P48" s="90" t="b">
        <v>1</v>
      </c>
      <c r="Q48" s="87">
        <v>40</v>
      </c>
      <c r="R48" s="87">
        <v>1</v>
      </c>
      <c r="S48" s="87" t="str">
        <f t="shared" si="17"/>
        <v>obj_0029f#0001</v>
      </c>
      <c r="T48" s="91">
        <f>IFERROR(_xll.qlRateHelperEarliestDate(S48,Trigger),"--")</f>
        <v>42559</v>
      </c>
      <c r="U48" s="91">
        <f>IFERROR(_xll.qlRateHelperPillarDate(S48,Trigger),"--")</f>
        <v>43654</v>
      </c>
      <c r="W48" s="140" t="str">
        <f t="shared" si="13"/>
        <v/>
      </c>
      <c r="X48" s="140" t="e">
        <v>#N/A</v>
      </c>
      <c r="Y48" s="140" t="str">
        <f>IFERROR(_xll.qlRateHelperQuoteName(X48,Trigger),"")</f>
        <v/>
      </c>
      <c r="Z48" s="170" t="str">
        <f>IFERROR(_xll.qlRateHelperRate(X48,Trigger),"")</f>
        <v/>
      </c>
      <c r="AA48" s="171" t="str">
        <f>IF(ISERROR(_xll.qlSwapRateHelperSpread($X48)),IF(ISERROR(_xll.qlFuturesRateHelperConvexityAdjustment($X48)),"",_xll.qlFuturesRateHelperConvexityAdjustment($X48)),_xll.qlSwapRateHelperSpread($X48))</f>
        <v/>
      </c>
      <c r="AB48" s="141" t="str">
        <f>IFERROR(_xll.qlRateHelperEarliestDate(X48,Trigger),"")</f>
        <v/>
      </c>
      <c r="AC48" s="141" t="str">
        <f>IFERROR(_xll.qlRateHelperPillarDate(X48,Trigger),"")</f>
        <v/>
      </c>
      <c r="AD48" s="220" t="e">
        <v>#N/A</v>
      </c>
    </row>
    <row r="49" spans="1:30" ht="11.25" customHeight="1" x14ac:dyDescent="0.2">
      <c r="A49" s="58" t="s">
        <v>115</v>
      </c>
      <c r="B49" s="59" t="s">
        <v>50</v>
      </c>
      <c r="C49" s="60" t="s">
        <v>6</v>
      </c>
      <c r="D49" s="60" t="s">
        <v>140</v>
      </c>
      <c r="E49" s="60" t="s">
        <v>7</v>
      </c>
      <c r="F49" s="60" t="s">
        <v>141</v>
      </c>
      <c r="G49" s="60" t="str">
        <f t="shared" si="18"/>
        <v>GbpLibor1Y</v>
      </c>
      <c r="H49" s="58" t="str">
        <f t="shared" si="19"/>
        <v>GBPSB6L18M_S6L12L_Quote</v>
      </c>
      <c r="I49" s="118">
        <v>0</v>
      </c>
      <c r="J49" s="223" t="str">
        <f>IF(P45,_xll.qlSwapRateHelper2(,H49,0,B49,Calendar,+D49,E49,F49,G49,I49,C49,Discounting,PillarDate,,Permanent,Trigger,ObjectOverwrite),"--")</f>
        <v>--</v>
      </c>
      <c r="L49" s="226" t="str">
        <f t="shared" si="14"/>
        <v>BasSw</v>
      </c>
      <c r="M49" s="230" t="str">
        <f t="shared" si="15"/>
        <v>GBPSB6L4Y_S6L12L_Quote</v>
      </c>
      <c r="N49" s="228">
        <f>IFERROR(_xll.qlQuoteValue(H53,Trigger),"--")</f>
        <v>7.0599999999788332E-3</v>
      </c>
      <c r="O49" s="228">
        <f t="shared" si="16"/>
        <v>0</v>
      </c>
      <c r="P49" s="90" t="b">
        <v>1</v>
      </c>
      <c r="Q49" s="87">
        <v>40</v>
      </c>
      <c r="R49" s="87">
        <v>1</v>
      </c>
      <c r="S49" s="87" t="str">
        <f t="shared" si="17"/>
        <v>obj_002a7#0001</v>
      </c>
      <c r="T49" s="91">
        <f>IFERROR(_xll.qlRateHelperEarliestDate(S49,Trigger),"--")</f>
        <v>42559</v>
      </c>
      <c r="U49" s="91">
        <f>IFERROR(_xll.qlRateHelperPillarDate(S49,Trigger),"--")</f>
        <v>44020</v>
      </c>
      <c r="W49" s="140" t="str">
        <f t="shared" si="13"/>
        <v/>
      </c>
      <c r="X49" s="140" t="e">
        <v>#N/A</v>
      </c>
      <c r="Y49" s="140" t="str">
        <f>IFERROR(_xll.qlRateHelperQuoteName(X49,Trigger),"")</f>
        <v/>
      </c>
      <c r="Z49" s="170" t="str">
        <f>IFERROR(_xll.qlRateHelperRate(X49,Trigger),"")</f>
        <v/>
      </c>
      <c r="AA49" s="171" t="str">
        <f>IF(ISERROR(_xll.qlSwapRateHelperSpread($X49)),IF(ISERROR(_xll.qlFuturesRateHelperConvexityAdjustment($X49)),"",_xll.qlFuturesRateHelperConvexityAdjustment($X49)),_xll.qlSwapRateHelperSpread($X49))</f>
        <v/>
      </c>
      <c r="AB49" s="141" t="str">
        <f>IFERROR(_xll.qlRateHelperEarliestDate(X49,Trigger),"")</f>
        <v/>
      </c>
      <c r="AC49" s="141" t="str">
        <f>IFERROR(_xll.qlRateHelperPillarDate(X49,Trigger),"")</f>
        <v/>
      </c>
      <c r="AD49" s="220" t="e">
        <v>#N/A</v>
      </c>
    </row>
    <row r="50" spans="1:30" ht="11.25" customHeight="1" x14ac:dyDescent="0.2">
      <c r="A50" s="58" t="s">
        <v>115</v>
      </c>
      <c r="B50" s="59" t="s">
        <v>51</v>
      </c>
      <c r="C50" s="60" t="s">
        <v>6</v>
      </c>
      <c r="D50" s="60" t="s">
        <v>140</v>
      </c>
      <c r="E50" s="60" t="s">
        <v>7</v>
      </c>
      <c r="F50" s="60" t="s">
        <v>141</v>
      </c>
      <c r="G50" s="60" t="str">
        <f t="shared" si="18"/>
        <v>GbpLibor1Y</v>
      </c>
      <c r="H50" s="58" t="str">
        <f t="shared" si="19"/>
        <v>GBPSB6L21M_S6L12L_Quote</v>
      </c>
      <c r="I50" s="118">
        <v>0</v>
      </c>
      <c r="J50" s="223" t="str">
        <f>IF(P46,_xll.qlSwapRateHelper2(,H50,0,B50,Calendar,+D50,E50,F50,G50,I50,C50,Discounting,PillarDate,,Permanent,Trigger,ObjectOverwrite),"--")</f>
        <v>--</v>
      </c>
      <c r="L50" s="226" t="str">
        <f t="shared" si="14"/>
        <v>BasSw</v>
      </c>
      <c r="M50" s="230" t="str">
        <f t="shared" si="15"/>
        <v>GBPSB6L5Y_S6L12L_Quote</v>
      </c>
      <c r="N50" s="228">
        <f>IFERROR(_xll.qlQuoteValue(H54,Trigger),"--")</f>
        <v>7.3099999999787215E-3</v>
      </c>
      <c r="O50" s="228">
        <f t="shared" si="16"/>
        <v>0</v>
      </c>
      <c r="P50" s="90" t="b">
        <v>1</v>
      </c>
      <c r="Q50" s="87">
        <v>40</v>
      </c>
      <c r="R50" s="87">
        <v>1</v>
      </c>
      <c r="S50" s="87" t="str">
        <f t="shared" si="17"/>
        <v>obj_0028f#0001</v>
      </c>
      <c r="T50" s="91">
        <f>IFERROR(_xll.qlRateHelperEarliestDate(S50,Trigger),"--")</f>
        <v>42559</v>
      </c>
      <c r="U50" s="91">
        <f>IFERROR(_xll.qlRateHelperPillarDate(S50,Trigger),"--")</f>
        <v>44385</v>
      </c>
      <c r="W50" s="140" t="str">
        <f t="shared" si="13"/>
        <v/>
      </c>
      <c r="X50" s="140" t="e">
        <v>#N/A</v>
      </c>
      <c r="Y50" s="140" t="str">
        <f>IFERROR(_xll.qlRateHelperQuoteName(X50,Trigger),"")</f>
        <v/>
      </c>
      <c r="Z50" s="170" t="str">
        <f>IFERROR(_xll.qlRateHelperRate(X50,Trigger),"")</f>
        <v/>
      </c>
      <c r="AA50" s="171" t="str">
        <f>IF(ISERROR(_xll.qlSwapRateHelperSpread($X50)),IF(ISERROR(_xll.qlFuturesRateHelperConvexityAdjustment($X50)),"",_xll.qlFuturesRateHelperConvexityAdjustment($X50)),_xll.qlSwapRateHelperSpread($X50))</f>
        <v/>
      </c>
      <c r="AB50" s="141" t="str">
        <f>IFERROR(_xll.qlRateHelperEarliestDate(X50,Trigger),"")</f>
        <v/>
      </c>
      <c r="AC50" s="141" t="str">
        <f>IFERROR(_xll.qlRateHelperPillarDate(X50,Trigger),"")</f>
        <v/>
      </c>
      <c r="AD50" s="220" t="e">
        <v>#N/A</v>
      </c>
    </row>
    <row r="51" spans="1:30" ht="11.25" customHeight="1" x14ac:dyDescent="0.2">
      <c r="A51" s="58" t="s">
        <v>115</v>
      </c>
      <c r="B51" s="59" t="s">
        <v>52</v>
      </c>
      <c r="C51" s="60" t="s">
        <v>6</v>
      </c>
      <c r="D51" s="60" t="s">
        <v>140</v>
      </c>
      <c r="E51" s="60" t="s">
        <v>7</v>
      </c>
      <c r="F51" s="60" t="s">
        <v>141</v>
      </c>
      <c r="G51" s="60" t="str">
        <f t="shared" si="18"/>
        <v>GbpLibor1Y</v>
      </c>
      <c r="H51" s="58" t="str">
        <f t="shared" si="19"/>
        <v>GBPSB6L2Y_S6L12L_Quote</v>
      </c>
      <c r="I51" s="118">
        <v>0</v>
      </c>
      <c r="J51" s="223" t="str">
        <f>IF(P47,_xll.qlSwapRateHelper2(,H51,0,B51,Calendar,+D51,E51,F51,G51,I51,C51,Discounting,PillarDate,,Permanent,Trigger,ObjectOverwrite),"--")</f>
        <v>--</v>
      </c>
      <c r="L51" s="226" t="str">
        <f t="shared" si="14"/>
        <v>BasSw</v>
      </c>
      <c r="M51" s="230" t="str">
        <f t="shared" si="15"/>
        <v>GBPSB6L6Y_S6L12L_Quote</v>
      </c>
      <c r="N51" s="228">
        <f>IFERROR(_xll.qlQuoteValue(H55,Trigger),"--")</f>
        <v>7.7499999999814636E-3</v>
      </c>
      <c r="O51" s="228">
        <f t="shared" si="16"/>
        <v>0</v>
      </c>
      <c r="P51" s="90" t="b">
        <v>1</v>
      </c>
      <c r="Q51" s="87">
        <v>40</v>
      </c>
      <c r="R51" s="87">
        <v>1</v>
      </c>
      <c r="S51" s="87" t="str">
        <f t="shared" si="17"/>
        <v>obj_0027f#0001</v>
      </c>
      <c r="T51" s="91">
        <f>IFERROR(_xll.qlRateHelperEarliestDate(S51,Trigger),"--")</f>
        <v>42559</v>
      </c>
      <c r="U51" s="91">
        <f>IFERROR(_xll.qlRateHelperPillarDate(S51,Trigger),"--")</f>
        <v>44750</v>
      </c>
      <c r="W51" s="140" t="str">
        <f t="shared" si="13"/>
        <v/>
      </c>
      <c r="X51" s="140" t="e">
        <v>#N/A</v>
      </c>
      <c r="Y51" s="140" t="str">
        <f>IFERROR(_xll.qlRateHelperQuoteName(X51,Trigger),"")</f>
        <v/>
      </c>
      <c r="Z51" s="170" t="str">
        <f>IFERROR(_xll.qlRateHelperRate(X51,Trigger),"")</f>
        <v/>
      </c>
      <c r="AA51" s="171" t="str">
        <f>IF(ISERROR(_xll.qlSwapRateHelperSpread($X51)),IF(ISERROR(_xll.qlFuturesRateHelperConvexityAdjustment($X51)),"",_xll.qlFuturesRateHelperConvexityAdjustment($X51)),_xll.qlSwapRateHelperSpread($X51))</f>
        <v/>
      </c>
      <c r="AB51" s="141" t="str">
        <f>IFERROR(_xll.qlRateHelperEarliestDate(X51,Trigger),"")</f>
        <v/>
      </c>
      <c r="AC51" s="141" t="str">
        <f>IFERROR(_xll.qlRateHelperPillarDate(X51,Trigger),"")</f>
        <v/>
      </c>
      <c r="AD51" s="220" t="e">
        <v>#N/A</v>
      </c>
    </row>
    <row r="52" spans="1:30" ht="11.25" customHeight="1" x14ac:dyDescent="0.2">
      <c r="A52" s="58" t="s">
        <v>115</v>
      </c>
      <c r="B52" s="59" t="s">
        <v>53</v>
      </c>
      <c r="C52" s="60" t="s">
        <v>6</v>
      </c>
      <c r="D52" s="60" t="s">
        <v>140</v>
      </c>
      <c r="E52" s="60" t="s">
        <v>7</v>
      </c>
      <c r="F52" s="60" t="s">
        <v>141</v>
      </c>
      <c r="G52" s="60" t="str">
        <f t="shared" si="18"/>
        <v>GbpLibor1Y</v>
      </c>
      <c r="H52" s="58" t="str">
        <f t="shared" si="19"/>
        <v>GBPSB6L3Y_S6L12L_Quote</v>
      </c>
      <c r="I52" s="118">
        <v>0</v>
      </c>
      <c r="J52" s="223" t="str">
        <f>IF(P48,_xll.qlSwapRateHelper2(,H52,0,B52,Calendar,+D52,E52,F52,G52,I52,C52,Discounting,PillarDate,,Permanent,Trigger,ObjectOverwrite),"--")</f>
        <v>obj_0029f#0001</v>
      </c>
      <c r="L52" s="226" t="str">
        <f t="shared" si="14"/>
        <v>BasSw</v>
      </c>
      <c r="M52" s="230" t="str">
        <f t="shared" si="15"/>
        <v>GBPSB6L7Y_S6L12L_Quote</v>
      </c>
      <c r="N52" s="228">
        <f>IFERROR(_xll.qlQuoteValue(H56,Trigger),"--")</f>
        <v>8.2799999999819979E-3</v>
      </c>
      <c r="O52" s="228">
        <f t="shared" si="16"/>
        <v>0</v>
      </c>
      <c r="P52" s="90" t="b">
        <v>1</v>
      </c>
      <c r="Q52" s="87">
        <v>40</v>
      </c>
      <c r="R52" s="87">
        <v>1</v>
      </c>
      <c r="S52" s="87" t="str">
        <f t="shared" si="17"/>
        <v>obj_002c3#0001</v>
      </c>
      <c r="T52" s="91">
        <f>IFERROR(_xll.qlRateHelperEarliestDate(S52,Trigger),"--")</f>
        <v>42559</v>
      </c>
      <c r="U52" s="91">
        <f>IFERROR(_xll.qlRateHelperPillarDate(S52,Trigger),"--")</f>
        <v>45117</v>
      </c>
      <c r="W52" s="140" t="str">
        <f t="shared" si="13"/>
        <v/>
      </c>
      <c r="X52" s="140" t="e">
        <v>#N/A</v>
      </c>
      <c r="Y52" s="140" t="str">
        <f>IFERROR(_xll.qlRateHelperQuoteName(X52,Trigger),"")</f>
        <v/>
      </c>
      <c r="Z52" s="170" t="str">
        <f>IFERROR(_xll.qlRateHelperRate(X52,Trigger),"")</f>
        <v/>
      </c>
      <c r="AA52" s="171" t="str">
        <f>IF(ISERROR(_xll.qlSwapRateHelperSpread($X52)),IF(ISERROR(_xll.qlFuturesRateHelperConvexityAdjustment($X52)),"",_xll.qlFuturesRateHelperConvexityAdjustment($X52)),_xll.qlSwapRateHelperSpread($X52))</f>
        <v/>
      </c>
      <c r="AB52" s="141" t="str">
        <f>IFERROR(_xll.qlRateHelperEarliestDate(X52,Trigger),"")</f>
        <v/>
      </c>
      <c r="AC52" s="141" t="str">
        <f>IFERROR(_xll.qlRateHelperPillarDate(X52,Trigger),"")</f>
        <v/>
      </c>
      <c r="AD52" s="220" t="e">
        <v>#N/A</v>
      </c>
    </row>
    <row r="53" spans="1:30" ht="11.25" customHeight="1" x14ac:dyDescent="0.2">
      <c r="A53" s="58" t="s">
        <v>115</v>
      </c>
      <c r="B53" s="59" t="s">
        <v>54</v>
      </c>
      <c r="C53" s="60" t="s">
        <v>6</v>
      </c>
      <c r="D53" s="60" t="s">
        <v>140</v>
      </c>
      <c r="E53" s="60" t="s">
        <v>7</v>
      </c>
      <c r="F53" s="60" t="s">
        <v>141</v>
      </c>
      <c r="G53" s="60" t="str">
        <f t="shared" si="18"/>
        <v>GbpLibor1Y</v>
      </c>
      <c r="H53" s="58" t="str">
        <f t="shared" si="19"/>
        <v>GBPSB6L4Y_S6L12L_Quote</v>
      </c>
      <c r="I53" s="118">
        <v>0</v>
      </c>
      <c r="J53" s="223" t="str">
        <f>IF(P49,_xll.qlSwapRateHelper2(,H53,0,B53,Calendar,+D53,E53,F53,G53,I53,C53,Discounting,PillarDate,,Permanent,Trigger,ObjectOverwrite),"--")</f>
        <v>obj_002a7#0001</v>
      </c>
      <c r="L53" s="226" t="str">
        <f t="shared" si="14"/>
        <v>BasSw</v>
      </c>
      <c r="M53" s="230" t="str">
        <f t="shared" si="15"/>
        <v>GBPSB6L8Y_S6L12L_Quote</v>
      </c>
      <c r="N53" s="228">
        <f>IFERROR(_xll.qlQuoteValue(H57,Trigger),"--")</f>
        <v>8.8499999999826356E-3</v>
      </c>
      <c r="O53" s="228">
        <f t="shared" si="16"/>
        <v>0</v>
      </c>
      <c r="P53" s="90" t="b">
        <v>1</v>
      </c>
      <c r="Q53" s="87">
        <v>40</v>
      </c>
      <c r="R53" s="87">
        <v>1</v>
      </c>
      <c r="S53" s="87" t="str">
        <f t="shared" si="17"/>
        <v>obj_00296#0001</v>
      </c>
      <c r="T53" s="91">
        <f>IFERROR(_xll.qlRateHelperEarliestDate(S53,Trigger),"--")</f>
        <v>42559</v>
      </c>
      <c r="U53" s="91">
        <f>IFERROR(_xll.qlRateHelperPillarDate(S53,Trigger),"--")</f>
        <v>45481</v>
      </c>
      <c r="W53" s="140" t="str">
        <f t="shared" si="13"/>
        <v/>
      </c>
      <c r="X53" s="140" t="e">
        <v>#N/A</v>
      </c>
      <c r="Y53" s="140" t="str">
        <f>IFERROR(_xll.qlRateHelperQuoteName(X53,Trigger),"")</f>
        <v/>
      </c>
      <c r="Z53" s="170" t="str">
        <f>IFERROR(_xll.qlRateHelperRate(X53,Trigger),"")</f>
        <v/>
      </c>
      <c r="AA53" s="171" t="str">
        <f>IF(ISERROR(_xll.qlSwapRateHelperSpread($X53)),IF(ISERROR(_xll.qlFuturesRateHelperConvexityAdjustment($X53)),"",_xll.qlFuturesRateHelperConvexityAdjustment($X53)),_xll.qlSwapRateHelperSpread($X53))</f>
        <v/>
      </c>
      <c r="AB53" s="141" t="str">
        <f>IFERROR(_xll.qlRateHelperEarliestDate(X53,Trigger),"")</f>
        <v/>
      </c>
      <c r="AC53" s="141" t="str">
        <f>IFERROR(_xll.qlRateHelperPillarDate(X53,Trigger),"")</f>
        <v/>
      </c>
      <c r="AD53" s="220" t="e">
        <v>#N/A</v>
      </c>
    </row>
    <row r="54" spans="1:30" ht="11.25" customHeight="1" x14ac:dyDescent="0.2">
      <c r="A54" s="58" t="s">
        <v>115</v>
      </c>
      <c r="B54" s="59" t="s">
        <v>55</v>
      </c>
      <c r="C54" s="60" t="s">
        <v>6</v>
      </c>
      <c r="D54" s="60" t="s">
        <v>140</v>
      </c>
      <c r="E54" s="60" t="s">
        <v>7</v>
      </c>
      <c r="F54" s="60" t="s">
        <v>141</v>
      </c>
      <c r="G54" s="60" t="str">
        <f t="shared" si="18"/>
        <v>GbpLibor1Y</v>
      </c>
      <c r="H54" s="58" t="str">
        <f t="shared" si="19"/>
        <v>GBPSB6L5Y_S6L12L_Quote</v>
      </c>
      <c r="I54" s="118">
        <v>0</v>
      </c>
      <c r="J54" s="223" t="str">
        <f>IF(P50,_xll.qlSwapRateHelper2(,H54,0,B54,Calendar,+D54,E54,F54,G54,I54,C54,Discounting,PillarDate,,Permanent,Trigger,ObjectOverwrite),"--")</f>
        <v>obj_0028f#0001</v>
      </c>
      <c r="L54" s="226" t="str">
        <f t="shared" si="14"/>
        <v>BasSw</v>
      </c>
      <c r="M54" s="230" t="str">
        <f t="shared" si="15"/>
        <v>GBPSB6L9Y_S6L12L_Quote</v>
      </c>
      <c r="N54" s="228">
        <f>IFERROR(_xll.qlQuoteValue(H58,Trigger),"--")</f>
        <v>9.3999999999833661E-3</v>
      </c>
      <c r="O54" s="228">
        <f t="shared" si="16"/>
        <v>0</v>
      </c>
      <c r="P54" s="90" t="b">
        <v>1</v>
      </c>
      <c r="Q54" s="87">
        <v>40</v>
      </c>
      <c r="R54" s="87">
        <v>1</v>
      </c>
      <c r="S54" s="87" t="str">
        <f t="shared" si="17"/>
        <v>obj_00294#0001</v>
      </c>
      <c r="T54" s="91">
        <f>IFERROR(_xll.qlRateHelperEarliestDate(S54,Trigger),"--")</f>
        <v>42559</v>
      </c>
      <c r="U54" s="91">
        <f>IFERROR(_xll.qlRateHelperPillarDate(S54,Trigger),"--")</f>
        <v>45846</v>
      </c>
      <c r="W54" s="140" t="str">
        <f t="shared" si="13"/>
        <v/>
      </c>
      <c r="X54" s="140" t="e">
        <v>#N/A</v>
      </c>
      <c r="Y54" s="140" t="str">
        <f>IFERROR(_xll.qlRateHelperQuoteName(X54,Trigger),"")</f>
        <v/>
      </c>
      <c r="Z54" s="170" t="str">
        <f>IFERROR(_xll.qlRateHelperRate(X54,Trigger),"")</f>
        <v/>
      </c>
      <c r="AA54" s="171" t="str">
        <f>IF(ISERROR(_xll.qlSwapRateHelperSpread($X54)),IF(ISERROR(_xll.qlFuturesRateHelperConvexityAdjustment($X54)),"",_xll.qlFuturesRateHelperConvexityAdjustment($X54)),_xll.qlSwapRateHelperSpread($X54))</f>
        <v/>
      </c>
      <c r="AB54" s="141" t="str">
        <f>IFERROR(_xll.qlRateHelperEarliestDate(X54,Trigger),"")</f>
        <v/>
      </c>
      <c r="AC54" s="141" t="str">
        <f>IFERROR(_xll.qlRateHelperPillarDate(X54,Trigger),"")</f>
        <v/>
      </c>
      <c r="AD54" s="220" t="e">
        <v>#N/A</v>
      </c>
    </row>
    <row r="55" spans="1:30" ht="11.25" customHeight="1" x14ac:dyDescent="0.2">
      <c r="A55" s="58" t="s">
        <v>115</v>
      </c>
      <c r="B55" s="59" t="s">
        <v>56</v>
      </c>
      <c r="C55" s="60" t="s">
        <v>6</v>
      </c>
      <c r="D55" s="60" t="s">
        <v>140</v>
      </c>
      <c r="E55" s="60" t="s">
        <v>7</v>
      </c>
      <c r="F55" s="60" t="s">
        <v>141</v>
      </c>
      <c r="G55" s="60" t="str">
        <f t="shared" si="18"/>
        <v>GbpLibor1Y</v>
      </c>
      <c r="H55" s="58" t="str">
        <f t="shared" si="19"/>
        <v>GBPSB6L6Y_S6L12L_Quote</v>
      </c>
      <c r="I55" s="118">
        <v>0</v>
      </c>
      <c r="J55" s="223" t="str">
        <f>IF(P51,_xll.qlSwapRateHelper2(,H55,0,B55,Calendar,+D55,E55,F55,G55,I55,C55,Discounting,PillarDate,,Permanent,Trigger,ObjectOverwrite),"--")</f>
        <v>obj_0027f#0001</v>
      </c>
      <c r="L55" s="226" t="str">
        <f t="shared" si="14"/>
        <v>BasSw</v>
      </c>
      <c r="M55" s="230" t="str">
        <f t="shared" si="15"/>
        <v>GBPSB6L10Y_S6L12L_Quote</v>
      </c>
      <c r="N55" s="228">
        <f>IFERROR(_xll.qlQuoteValue(H59,Trigger),"--")</f>
        <v>9.8999999999833596E-3</v>
      </c>
      <c r="O55" s="228">
        <f t="shared" si="16"/>
        <v>0</v>
      </c>
      <c r="P55" s="90" t="b">
        <v>1</v>
      </c>
      <c r="Q55" s="87">
        <v>40</v>
      </c>
      <c r="R55" s="87">
        <v>1</v>
      </c>
      <c r="S55" s="87" t="str">
        <f t="shared" si="17"/>
        <v>obj_00274#0001</v>
      </c>
      <c r="T55" s="91">
        <f>IFERROR(_xll.qlRateHelperEarliestDate(S55,Trigger),"--")</f>
        <v>42559</v>
      </c>
      <c r="U55" s="91">
        <f>IFERROR(_xll.qlRateHelperPillarDate(S55,Trigger),"--")</f>
        <v>46211</v>
      </c>
      <c r="W55" s="140" t="str">
        <f t="shared" si="13"/>
        <v/>
      </c>
      <c r="X55" s="140" t="e">
        <v>#N/A</v>
      </c>
      <c r="Y55" s="140" t="str">
        <f>IFERROR(_xll.qlRateHelperQuoteName(X55,Trigger),"")</f>
        <v/>
      </c>
      <c r="Z55" s="170" t="str">
        <f>IFERROR(_xll.qlRateHelperRate(X55,Trigger),"")</f>
        <v/>
      </c>
      <c r="AA55" s="171" t="str">
        <f>IF(ISERROR(_xll.qlSwapRateHelperSpread($X55)),IF(ISERROR(_xll.qlFuturesRateHelperConvexityAdjustment($X55)),"",_xll.qlFuturesRateHelperConvexityAdjustment($X55)),_xll.qlSwapRateHelperSpread($X55))</f>
        <v/>
      </c>
      <c r="AB55" s="141" t="str">
        <f>IFERROR(_xll.qlRateHelperEarliestDate(X55,Trigger),"")</f>
        <v/>
      </c>
      <c r="AC55" s="141" t="str">
        <f>IFERROR(_xll.qlRateHelperPillarDate(X55,Trigger),"")</f>
        <v/>
      </c>
      <c r="AD55" s="220" t="e">
        <v>#N/A</v>
      </c>
    </row>
    <row r="56" spans="1:30" ht="11.25" customHeight="1" x14ac:dyDescent="0.2">
      <c r="A56" s="58" t="s">
        <v>115</v>
      </c>
      <c r="B56" s="59" t="s">
        <v>57</v>
      </c>
      <c r="C56" s="60" t="s">
        <v>6</v>
      </c>
      <c r="D56" s="60" t="s">
        <v>140</v>
      </c>
      <c r="E56" s="60" t="s">
        <v>7</v>
      </c>
      <c r="F56" s="60" t="s">
        <v>141</v>
      </c>
      <c r="G56" s="60" t="str">
        <f t="shared" si="18"/>
        <v>GbpLibor1Y</v>
      </c>
      <c r="H56" s="58" t="str">
        <f t="shared" si="19"/>
        <v>GBPSB6L7Y_S6L12L_Quote</v>
      </c>
      <c r="I56" s="118">
        <v>0</v>
      </c>
      <c r="J56" s="223" t="str">
        <f>IF(P52,_xll.qlSwapRateHelper2(,H56,0,B56,Calendar,+D56,E56,F56,G56,I56,C56,Discounting,PillarDate,,Permanent,Trigger,ObjectOverwrite),"--")</f>
        <v>obj_002c3#0001</v>
      </c>
      <c r="L56" s="226" t="str">
        <f t="shared" si="14"/>
        <v>BasSw</v>
      </c>
      <c r="M56" s="230" t="str">
        <f t="shared" si="15"/>
        <v>GBPSB6L11Y_S6L12L_Quote</v>
      </c>
      <c r="N56" s="228" t="str">
        <f>IFERROR(_xll.qlQuoteValue(H60,Trigger),"--")</f>
        <v>--</v>
      </c>
      <c r="O56" s="228">
        <f t="shared" si="16"/>
        <v>0</v>
      </c>
      <c r="P56" s="90" t="b">
        <v>0</v>
      </c>
      <c r="Q56" s="87">
        <v>40</v>
      </c>
      <c r="R56" s="87">
        <v>1</v>
      </c>
      <c r="S56" s="87" t="str">
        <f t="shared" si="17"/>
        <v>--</v>
      </c>
      <c r="T56" s="91" t="str">
        <f>IFERROR(_xll.qlRateHelperEarliestDate(S56,Trigger),"--")</f>
        <v>--</v>
      </c>
      <c r="U56" s="91" t="str">
        <f>IFERROR(_xll.qlRateHelperPillarDate(S56,Trigger),"--")</f>
        <v>--</v>
      </c>
      <c r="W56" s="140" t="str">
        <f t="shared" si="13"/>
        <v/>
      </c>
      <c r="X56" s="140" t="e">
        <v>#N/A</v>
      </c>
      <c r="Y56" s="140" t="str">
        <f>IFERROR(_xll.qlRateHelperQuoteName(X56,Trigger),"")</f>
        <v/>
      </c>
      <c r="Z56" s="170" t="str">
        <f>IFERROR(_xll.qlRateHelperRate(X56,Trigger),"")</f>
        <v/>
      </c>
      <c r="AA56" s="171" t="str">
        <f>IF(ISERROR(_xll.qlSwapRateHelperSpread($X56)),IF(ISERROR(_xll.qlFuturesRateHelperConvexityAdjustment($X56)),"",_xll.qlFuturesRateHelperConvexityAdjustment($X56)),_xll.qlSwapRateHelperSpread($X56))</f>
        <v/>
      </c>
      <c r="AB56" s="141" t="str">
        <f>IFERROR(_xll.qlRateHelperEarliestDate(X56,Trigger),"")</f>
        <v/>
      </c>
      <c r="AC56" s="141" t="str">
        <f>IFERROR(_xll.qlRateHelperPillarDate(X56,Trigger),"")</f>
        <v/>
      </c>
      <c r="AD56" s="220" t="e">
        <v>#N/A</v>
      </c>
    </row>
    <row r="57" spans="1:30" ht="11.25" customHeight="1" x14ac:dyDescent="0.2">
      <c r="A57" s="58" t="s">
        <v>115</v>
      </c>
      <c r="B57" s="59" t="s">
        <v>58</v>
      </c>
      <c r="C57" s="60" t="s">
        <v>6</v>
      </c>
      <c r="D57" s="60" t="s">
        <v>140</v>
      </c>
      <c r="E57" s="60" t="s">
        <v>7</v>
      </c>
      <c r="F57" s="60" t="s">
        <v>141</v>
      </c>
      <c r="G57" s="60" t="str">
        <f t="shared" si="18"/>
        <v>GbpLibor1Y</v>
      </c>
      <c r="H57" s="58" t="str">
        <f t="shared" si="19"/>
        <v>GBPSB6L8Y_S6L12L_Quote</v>
      </c>
      <c r="I57" s="118">
        <v>0</v>
      </c>
      <c r="J57" s="223" t="str">
        <f>IF(P53,_xll.qlSwapRateHelper2(,H57,0,B57,Calendar,+D57,E57,F57,G57,I57,C57,Discounting,PillarDate,,Permanent,Trigger,ObjectOverwrite),"--")</f>
        <v>obj_00296#0001</v>
      </c>
      <c r="L57" s="226" t="str">
        <f t="shared" si="14"/>
        <v>BasSw</v>
      </c>
      <c r="M57" s="230" t="str">
        <f t="shared" si="15"/>
        <v>GBPSB6L12Y_S6L12L_Quote</v>
      </c>
      <c r="N57" s="228">
        <f>IFERROR(_xll.qlQuoteValue(H61,Trigger),"--")</f>
        <v>1.0709999999990753E-2</v>
      </c>
      <c r="O57" s="228">
        <f t="shared" si="16"/>
        <v>0</v>
      </c>
      <c r="P57" s="90" t="b">
        <v>1</v>
      </c>
      <c r="Q57" s="87">
        <v>40</v>
      </c>
      <c r="R57" s="87">
        <v>1</v>
      </c>
      <c r="S57" s="87" t="str">
        <f t="shared" si="17"/>
        <v>obj_002a5#0001</v>
      </c>
      <c r="T57" s="91">
        <f>IFERROR(_xll.qlRateHelperEarliestDate(S57,Trigger),"--")</f>
        <v>42559</v>
      </c>
      <c r="U57" s="91">
        <f>IFERROR(_xll.qlRateHelperPillarDate(S57,Trigger),"--")</f>
        <v>46944</v>
      </c>
      <c r="W57" s="140" t="str">
        <f t="shared" si="13"/>
        <v/>
      </c>
      <c r="X57" s="140" t="e">
        <v>#N/A</v>
      </c>
      <c r="Y57" s="140" t="str">
        <f>IFERROR(_xll.qlRateHelperQuoteName(X57,Trigger),"")</f>
        <v/>
      </c>
      <c r="Z57" s="170" t="str">
        <f>IFERROR(_xll.qlRateHelperRate(X57,Trigger),"")</f>
        <v/>
      </c>
      <c r="AA57" s="171" t="str">
        <f>IF(ISERROR(_xll.qlSwapRateHelperSpread($X57)),IF(ISERROR(_xll.qlFuturesRateHelperConvexityAdjustment($X57)),"",_xll.qlFuturesRateHelperConvexityAdjustment($X57)),_xll.qlSwapRateHelperSpread($X57))</f>
        <v/>
      </c>
      <c r="AB57" s="141" t="str">
        <f>IFERROR(_xll.qlRateHelperEarliestDate(X57,Trigger),"")</f>
        <v/>
      </c>
      <c r="AC57" s="141" t="str">
        <f>IFERROR(_xll.qlRateHelperPillarDate(X57,Trigger),"")</f>
        <v/>
      </c>
      <c r="AD57" s="220" t="e">
        <v>#N/A</v>
      </c>
    </row>
    <row r="58" spans="1:30" ht="11.25" customHeight="1" x14ac:dyDescent="0.2">
      <c r="A58" s="58" t="s">
        <v>115</v>
      </c>
      <c r="B58" s="59" t="s">
        <v>59</v>
      </c>
      <c r="C58" s="60" t="s">
        <v>6</v>
      </c>
      <c r="D58" s="60" t="s">
        <v>140</v>
      </c>
      <c r="E58" s="60" t="s">
        <v>7</v>
      </c>
      <c r="F58" s="60" t="s">
        <v>141</v>
      </c>
      <c r="G58" s="60" t="str">
        <f t="shared" si="18"/>
        <v>GbpLibor1Y</v>
      </c>
      <c r="H58" s="58" t="str">
        <f t="shared" si="19"/>
        <v>GBPSB6L9Y_S6L12L_Quote</v>
      </c>
      <c r="I58" s="118">
        <v>0</v>
      </c>
      <c r="J58" s="223" t="str">
        <f>IF(P54,_xll.qlSwapRateHelper2(,H58,0,B58,Calendar,+D58,E58,F58,G58,I58,C58,Discounting,PillarDate,,Permanent,Trigger,ObjectOverwrite),"--")</f>
        <v>obj_00294#0001</v>
      </c>
      <c r="L58" s="226" t="str">
        <f t="shared" si="14"/>
        <v>BasSw</v>
      </c>
      <c r="M58" s="230" t="str">
        <f t="shared" si="15"/>
        <v>GBPSB6L13Y_S6L12L_Quote</v>
      </c>
      <c r="N58" s="228" t="str">
        <f>IFERROR(_xll.qlQuoteValue(H62,Trigger),"--")</f>
        <v>--</v>
      </c>
      <c r="O58" s="228">
        <f t="shared" si="16"/>
        <v>0</v>
      </c>
      <c r="P58" s="90" t="b">
        <v>0</v>
      </c>
      <c r="Q58" s="87">
        <v>40</v>
      </c>
      <c r="R58" s="87">
        <v>1</v>
      </c>
      <c r="S58" s="87" t="str">
        <f t="shared" si="17"/>
        <v>--</v>
      </c>
      <c r="T58" s="91" t="str">
        <f>IFERROR(_xll.qlRateHelperEarliestDate(S58,Trigger),"--")</f>
        <v>--</v>
      </c>
      <c r="U58" s="91" t="str">
        <f>IFERROR(_xll.qlRateHelperPillarDate(S58,Trigger),"--")</f>
        <v>--</v>
      </c>
      <c r="W58" s="140" t="str">
        <f t="shared" si="13"/>
        <v/>
      </c>
      <c r="X58" s="140" t="e">
        <v>#N/A</v>
      </c>
      <c r="Y58" s="140" t="str">
        <f>IFERROR(_xll.qlRateHelperQuoteName(X58,Trigger),"")</f>
        <v/>
      </c>
      <c r="Z58" s="170" t="str">
        <f>IFERROR(_xll.qlRateHelperRate(X58,Trigger),"")</f>
        <v/>
      </c>
      <c r="AA58" s="171" t="str">
        <f>IF(ISERROR(_xll.qlSwapRateHelperSpread($X58)),IF(ISERROR(_xll.qlFuturesRateHelperConvexityAdjustment($X58)),"",_xll.qlFuturesRateHelperConvexityAdjustment($X58)),_xll.qlSwapRateHelperSpread($X58))</f>
        <v/>
      </c>
      <c r="AB58" s="141" t="str">
        <f>IFERROR(_xll.qlRateHelperEarliestDate(X58,Trigger),"")</f>
        <v/>
      </c>
      <c r="AC58" s="141" t="str">
        <f>IFERROR(_xll.qlRateHelperPillarDate(X58,Trigger),"")</f>
        <v/>
      </c>
      <c r="AD58" s="220" t="e">
        <v>#N/A</v>
      </c>
    </row>
    <row r="59" spans="1:30" ht="11.25" customHeight="1" x14ac:dyDescent="0.2">
      <c r="A59" s="58" t="s">
        <v>115</v>
      </c>
      <c r="B59" s="59" t="s">
        <v>60</v>
      </c>
      <c r="C59" s="60" t="s">
        <v>6</v>
      </c>
      <c r="D59" s="60" t="s">
        <v>140</v>
      </c>
      <c r="E59" s="60" t="s">
        <v>7</v>
      </c>
      <c r="F59" s="60" t="s">
        <v>141</v>
      </c>
      <c r="G59" s="60" t="str">
        <f t="shared" si="18"/>
        <v>GbpLibor1Y</v>
      </c>
      <c r="H59" s="58" t="str">
        <f t="shared" si="19"/>
        <v>GBPSB6L10Y_S6L12L_Quote</v>
      </c>
      <c r="I59" s="118">
        <v>0</v>
      </c>
      <c r="J59" s="223" t="str">
        <f>IF(P55,_xll.qlSwapRateHelper2(,H59,0,B59,Calendar,+D59,E59,F59,G59,I59,C59,Discounting,PillarDate,,Permanent,Trigger,ObjectOverwrite),"--")</f>
        <v>obj_00274#0001</v>
      </c>
      <c r="L59" s="226" t="str">
        <f t="shared" si="14"/>
        <v>BasSw</v>
      </c>
      <c r="M59" s="230" t="str">
        <f t="shared" si="15"/>
        <v>GBPSB6L14Y_S6L12L_Quote</v>
      </c>
      <c r="N59" s="228" t="str">
        <f>IFERROR(_xll.qlQuoteValue(H63,Trigger),"--")</f>
        <v>--</v>
      </c>
      <c r="O59" s="228">
        <f t="shared" si="16"/>
        <v>0</v>
      </c>
      <c r="P59" s="90" t="b">
        <v>0</v>
      </c>
      <c r="Q59" s="87">
        <v>40</v>
      </c>
      <c r="R59" s="87">
        <v>1</v>
      </c>
      <c r="S59" s="87" t="str">
        <f t="shared" si="17"/>
        <v>--</v>
      </c>
      <c r="T59" s="91" t="str">
        <f>IFERROR(_xll.qlRateHelperEarliestDate(S59,Trigger),"--")</f>
        <v>--</v>
      </c>
      <c r="U59" s="91" t="str">
        <f>IFERROR(_xll.qlRateHelperPillarDate(S59,Trigger),"--")</f>
        <v>--</v>
      </c>
      <c r="W59" s="140" t="str">
        <f t="shared" si="13"/>
        <v/>
      </c>
      <c r="X59" s="140" t="e">
        <v>#N/A</v>
      </c>
      <c r="Y59" s="140" t="str">
        <f>IFERROR(_xll.qlRateHelperQuoteName(X59,Trigger),"")</f>
        <v/>
      </c>
      <c r="Z59" s="170" t="str">
        <f>IFERROR(_xll.qlRateHelperRate(X59,Trigger),"")</f>
        <v/>
      </c>
      <c r="AA59" s="171" t="str">
        <f>IF(ISERROR(_xll.qlSwapRateHelperSpread($X59)),IF(ISERROR(_xll.qlFuturesRateHelperConvexityAdjustment($X59)),"",_xll.qlFuturesRateHelperConvexityAdjustment($X59)),_xll.qlSwapRateHelperSpread($X59))</f>
        <v/>
      </c>
      <c r="AB59" s="141" t="str">
        <f>IFERROR(_xll.qlRateHelperEarliestDate(X59,Trigger),"")</f>
        <v/>
      </c>
      <c r="AC59" s="141" t="str">
        <f>IFERROR(_xll.qlRateHelperPillarDate(X59,Trigger),"")</f>
        <v/>
      </c>
      <c r="AD59" s="220" t="e">
        <v>#N/A</v>
      </c>
    </row>
    <row r="60" spans="1:30" ht="11.25" customHeight="1" x14ac:dyDescent="0.2">
      <c r="A60" s="58" t="s">
        <v>115</v>
      </c>
      <c r="B60" s="59" t="s">
        <v>97</v>
      </c>
      <c r="C60" s="60" t="s">
        <v>6</v>
      </c>
      <c r="D60" s="60" t="s">
        <v>140</v>
      </c>
      <c r="E60" s="60" t="s">
        <v>7</v>
      </c>
      <c r="F60" s="60" t="s">
        <v>141</v>
      </c>
      <c r="G60" s="60" t="str">
        <f t="shared" si="18"/>
        <v>GbpLibor1Y</v>
      </c>
      <c r="H60" s="58" t="str">
        <f t="shared" si="19"/>
        <v>GBPSB6L11Y_S6L12L_Quote</v>
      </c>
      <c r="I60" s="118">
        <v>0</v>
      </c>
      <c r="J60" s="223" t="str">
        <f>IF(P56,_xll.qlSwapRateHelper2(,H60,0,B60,Calendar,+D60,E60,F60,G60,I60,C60,Discounting,PillarDate,,Permanent,Trigger,ObjectOverwrite),"--")</f>
        <v>--</v>
      </c>
      <c r="L60" s="226" t="str">
        <f t="shared" si="14"/>
        <v>BasSw</v>
      </c>
      <c r="M60" s="230" t="str">
        <f t="shared" si="15"/>
        <v>GBPSB6L15Y_S6L12L_Quote</v>
      </c>
      <c r="N60" s="228">
        <f>IFERROR(_xll.qlQuoteValue(H64,Trigger),"--")</f>
        <v>1.1449999999927522E-2</v>
      </c>
      <c r="O60" s="228">
        <f t="shared" si="16"/>
        <v>0</v>
      </c>
      <c r="P60" s="90" t="b">
        <v>1</v>
      </c>
      <c r="Q60" s="87">
        <v>40</v>
      </c>
      <c r="R60" s="87">
        <v>1</v>
      </c>
      <c r="S60" s="87" t="str">
        <f t="shared" si="17"/>
        <v>obj_00280#0001</v>
      </c>
      <c r="T60" s="91">
        <f>IFERROR(_xll.qlRateHelperEarliestDate(S60,Trigger),"--")</f>
        <v>42559</v>
      </c>
      <c r="U60" s="91">
        <f>IFERROR(_xll.qlRateHelperPillarDate(S60,Trigger),"--")</f>
        <v>48037</v>
      </c>
      <c r="W60" s="140" t="str">
        <f t="shared" si="13"/>
        <v/>
      </c>
      <c r="X60" s="140" t="e">
        <v>#N/A</v>
      </c>
      <c r="Y60" s="140" t="str">
        <f>IFERROR(_xll.qlRateHelperQuoteName(X60,Trigger),"")</f>
        <v/>
      </c>
      <c r="Z60" s="170" t="str">
        <f>IFERROR(_xll.qlRateHelperRate(X60,Trigger),"")</f>
        <v/>
      </c>
      <c r="AA60" s="171" t="str">
        <f>IF(ISERROR(_xll.qlSwapRateHelperSpread($X60)),IF(ISERROR(_xll.qlFuturesRateHelperConvexityAdjustment($X60)),"",_xll.qlFuturesRateHelperConvexityAdjustment($X60)),_xll.qlSwapRateHelperSpread($X60))</f>
        <v/>
      </c>
      <c r="AB60" s="141" t="str">
        <f>IFERROR(_xll.qlRateHelperEarliestDate(X60,Trigger),"")</f>
        <v/>
      </c>
      <c r="AC60" s="141" t="str">
        <f>IFERROR(_xll.qlRateHelperPillarDate(X60,Trigger),"")</f>
        <v/>
      </c>
      <c r="AD60" s="220" t="e">
        <v>#N/A</v>
      </c>
    </row>
    <row r="61" spans="1:30" ht="11.25" customHeight="1" x14ac:dyDescent="0.2">
      <c r="A61" s="58" t="s">
        <v>115</v>
      </c>
      <c r="B61" s="59" t="s">
        <v>61</v>
      </c>
      <c r="C61" s="60" t="s">
        <v>6</v>
      </c>
      <c r="D61" s="60" t="s">
        <v>140</v>
      </c>
      <c r="E61" s="60" t="s">
        <v>7</v>
      </c>
      <c r="F61" s="60" t="s">
        <v>141</v>
      </c>
      <c r="G61" s="60" t="str">
        <f t="shared" si="18"/>
        <v>GbpLibor1Y</v>
      </c>
      <c r="H61" s="58" t="str">
        <f t="shared" si="19"/>
        <v>GBPSB6L12Y_S6L12L_Quote</v>
      </c>
      <c r="I61" s="118">
        <v>0</v>
      </c>
      <c r="J61" s="223" t="str">
        <f>IF(P57,_xll.qlSwapRateHelper2(,H61,0,B61,Calendar,+D61,E61,F61,G61,I61,C61,Discounting,PillarDate,,Permanent,Trigger,ObjectOverwrite),"--")</f>
        <v>obj_002a5#0001</v>
      </c>
      <c r="L61" s="226" t="str">
        <f t="shared" si="14"/>
        <v>BasSw</v>
      </c>
      <c r="M61" s="230" t="str">
        <f t="shared" si="15"/>
        <v>GBPSB6L16Y_S6L12L_Quote</v>
      </c>
      <c r="N61" s="228" t="str">
        <f>IFERROR(_xll.qlQuoteValue(H65,Trigger),"--")</f>
        <v>--</v>
      </c>
      <c r="O61" s="228">
        <f t="shared" si="16"/>
        <v>0</v>
      </c>
      <c r="P61" s="90" t="b">
        <v>0</v>
      </c>
      <c r="Q61" s="87">
        <v>40</v>
      </c>
      <c r="R61" s="87">
        <v>1</v>
      </c>
      <c r="S61" s="87" t="str">
        <f t="shared" si="17"/>
        <v>--</v>
      </c>
      <c r="T61" s="91" t="str">
        <f>IFERROR(_xll.qlRateHelperEarliestDate(S61,Trigger),"--")</f>
        <v>--</v>
      </c>
      <c r="U61" s="91" t="str">
        <f>IFERROR(_xll.qlRateHelperPillarDate(S61,Trigger),"--")</f>
        <v>--</v>
      </c>
      <c r="W61" s="140" t="str">
        <f t="shared" si="13"/>
        <v/>
      </c>
      <c r="X61" s="140" t="e">
        <v>#N/A</v>
      </c>
      <c r="Y61" s="140" t="str">
        <f>IFERROR(_xll.qlRateHelperQuoteName(X61,Trigger),"")</f>
        <v/>
      </c>
      <c r="Z61" s="170" t="str">
        <f>IFERROR(_xll.qlRateHelperRate(X61,Trigger),"")</f>
        <v/>
      </c>
      <c r="AA61" s="171" t="str">
        <f>IF(ISERROR(_xll.qlSwapRateHelperSpread($X61)),IF(ISERROR(_xll.qlFuturesRateHelperConvexityAdjustment($X61)),"",_xll.qlFuturesRateHelperConvexityAdjustment($X61)),_xll.qlSwapRateHelperSpread($X61))</f>
        <v/>
      </c>
      <c r="AB61" s="141" t="str">
        <f>IFERROR(_xll.qlRateHelperEarliestDate(X61,Trigger),"")</f>
        <v/>
      </c>
      <c r="AC61" s="141" t="str">
        <f>IFERROR(_xll.qlRateHelperPillarDate(X61,Trigger),"")</f>
        <v/>
      </c>
      <c r="AD61" s="220" t="e">
        <v>#N/A</v>
      </c>
    </row>
    <row r="62" spans="1:30" ht="11.25" customHeight="1" x14ac:dyDescent="0.2">
      <c r="A62" s="58" t="s">
        <v>115</v>
      </c>
      <c r="B62" s="59" t="s">
        <v>98</v>
      </c>
      <c r="C62" s="60" t="s">
        <v>6</v>
      </c>
      <c r="D62" s="60" t="s">
        <v>140</v>
      </c>
      <c r="E62" s="60" t="s">
        <v>7</v>
      </c>
      <c r="F62" s="60" t="s">
        <v>141</v>
      </c>
      <c r="G62" s="60" t="str">
        <f t="shared" si="18"/>
        <v>GbpLibor1Y</v>
      </c>
      <c r="H62" s="58" t="str">
        <f t="shared" si="19"/>
        <v>GBPSB6L13Y_S6L12L_Quote</v>
      </c>
      <c r="I62" s="118">
        <v>0</v>
      </c>
      <c r="J62" s="223" t="str">
        <f>IF(P58,_xll.qlSwapRateHelper2(,H62,0,B62,Calendar,+D62,E62,F62,G62,I62,C62,Discounting,PillarDate,,Permanent,Trigger,ObjectOverwrite),"--")</f>
        <v>--</v>
      </c>
      <c r="L62" s="226" t="str">
        <f t="shared" si="14"/>
        <v>BasSw</v>
      </c>
      <c r="M62" s="230" t="str">
        <f t="shared" si="15"/>
        <v>GBPSB6L17Y_S6L12L_Quote</v>
      </c>
      <c r="N62" s="228" t="str">
        <f>IFERROR(_xll.qlQuoteValue(H66,Trigger),"--")</f>
        <v>--</v>
      </c>
      <c r="O62" s="228">
        <f t="shared" si="16"/>
        <v>0</v>
      </c>
      <c r="P62" s="90" t="b">
        <v>0</v>
      </c>
      <c r="Q62" s="87">
        <v>40</v>
      </c>
      <c r="R62" s="87">
        <v>1</v>
      </c>
      <c r="S62" s="87" t="str">
        <f t="shared" si="17"/>
        <v>--</v>
      </c>
      <c r="T62" s="91" t="str">
        <f>IFERROR(_xll.qlRateHelperEarliestDate(S62,Trigger),"--")</f>
        <v>--</v>
      </c>
      <c r="U62" s="91" t="str">
        <f>IFERROR(_xll.qlRateHelperPillarDate(S62,Trigger),"--")</f>
        <v>--</v>
      </c>
      <c r="W62" s="140" t="str">
        <f t="shared" si="13"/>
        <v/>
      </c>
      <c r="X62" s="140" t="e">
        <v>#N/A</v>
      </c>
      <c r="Y62" s="140" t="str">
        <f>IFERROR(_xll.qlRateHelperQuoteName(X62,Trigger),"")</f>
        <v/>
      </c>
      <c r="Z62" s="170" t="str">
        <f>IFERROR(_xll.qlRateHelperRate(X62,Trigger),"")</f>
        <v/>
      </c>
      <c r="AA62" s="171" t="str">
        <f>IF(ISERROR(_xll.qlSwapRateHelperSpread($X62)),IF(ISERROR(_xll.qlFuturesRateHelperConvexityAdjustment($X62)),"",_xll.qlFuturesRateHelperConvexityAdjustment($X62)),_xll.qlSwapRateHelperSpread($X62))</f>
        <v/>
      </c>
      <c r="AB62" s="141" t="str">
        <f>IFERROR(_xll.qlRateHelperEarliestDate(X62,Trigger),"")</f>
        <v/>
      </c>
      <c r="AC62" s="141" t="str">
        <f>IFERROR(_xll.qlRateHelperPillarDate(X62,Trigger),"")</f>
        <v/>
      </c>
      <c r="AD62" s="220" t="e">
        <v>#N/A</v>
      </c>
    </row>
    <row r="63" spans="1:30" ht="11.25" customHeight="1" x14ac:dyDescent="0.2">
      <c r="A63" s="58" t="s">
        <v>115</v>
      </c>
      <c r="B63" s="59" t="s">
        <v>99</v>
      </c>
      <c r="C63" s="60" t="s">
        <v>6</v>
      </c>
      <c r="D63" s="60" t="s">
        <v>140</v>
      </c>
      <c r="E63" s="60" t="s">
        <v>7</v>
      </c>
      <c r="F63" s="60" t="s">
        <v>141</v>
      </c>
      <c r="G63" s="60" t="str">
        <f t="shared" si="18"/>
        <v>GbpLibor1Y</v>
      </c>
      <c r="H63" s="58" t="str">
        <f t="shared" si="19"/>
        <v>GBPSB6L14Y_S6L12L_Quote</v>
      </c>
      <c r="I63" s="118">
        <v>0</v>
      </c>
      <c r="J63" s="223" t="str">
        <f>IF(P59,_xll.qlSwapRateHelper2(,H63,0,B63,Calendar,+D63,E63,F63,G63,I63,C63,Discounting,PillarDate,,Permanent,Trigger,ObjectOverwrite),"--")</f>
        <v>--</v>
      </c>
      <c r="L63" s="226" t="str">
        <f t="shared" si="14"/>
        <v>BasSw</v>
      </c>
      <c r="M63" s="230" t="str">
        <f t="shared" si="15"/>
        <v>GBPSB6L18Y_S6L12L_Quote</v>
      </c>
      <c r="N63" s="228" t="str">
        <f>IFERROR(_xll.qlQuoteValue(H67,Trigger),"--")</f>
        <v>--</v>
      </c>
      <c r="O63" s="228">
        <f t="shared" si="16"/>
        <v>0</v>
      </c>
      <c r="P63" s="90" t="b">
        <v>0</v>
      </c>
      <c r="Q63" s="87">
        <v>40</v>
      </c>
      <c r="R63" s="87">
        <v>1</v>
      </c>
      <c r="S63" s="87" t="str">
        <f t="shared" si="17"/>
        <v>--</v>
      </c>
      <c r="T63" s="91" t="str">
        <f>IFERROR(_xll.qlRateHelperEarliestDate(S63,Trigger),"--")</f>
        <v>--</v>
      </c>
      <c r="U63" s="91" t="str">
        <f>IFERROR(_xll.qlRateHelperPillarDate(S63,Trigger),"--")</f>
        <v>--</v>
      </c>
      <c r="W63" s="140" t="str">
        <f t="shared" si="13"/>
        <v/>
      </c>
      <c r="X63" s="140" t="e">
        <v>#N/A</v>
      </c>
      <c r="Y63" s="140" t="str">
        <f>IFERROR(_xll.qlRateHelperQuoteName(X63,Trigger),"")</f>
        <v/>
      </c>
      <c r="Z63" s="170" t="str">
        <f>IFERROR(_xll.qlRateHelperRate(X63,Trigger),"")</f>
        <v/>
      </c>
      <c r="AA63" s="171" t="str">
        <f>IF(ISERROR(_xll.qlSwapRateHelperSpread($X63)),IF(ISERROR(_xll.qlFuturesRateHelperConvexityAdjustment($X63)),"",_xll.qlFuturesRateHelperConvexityAdjustment($X63)),_xll.qlSwapRateHelperSpread($X63))</f>
        <v/>
      </c>
      <c r="AB63" s="141" t="str">
        <f>IFERROR(_xll.qlRateHelperEarliestDate(X63,Trigger),"")</f>
        <v/>
      </c>
      <c r="AC63" s="141" t="str">
        <f>IFERROR(_xll.qlRateHelperPillarDate(X63,Trigger),"")</f>
        <v/>
      </c>
      <c r="AD63" s="220" t="e">
        <v>#N/A</v>
      </c>
    </row>
    <row r="64" spans="1:30" ht="11.25" customHeight="1" x14ac:dyDescent="0.2">
      <c r="A64" s="58" t="s">
        <v>115</v>
      </c>
      <c r="B64" s="59" t="s">
        <v>62</v>
      </c>
      <c r="C64" s="60" t="s">
        <v>6</v>
      </c>
      <c r="D64" s="60" t="s">
        <v>140</v>
      </c>
      <c r="E64" s="60" t="s">
        <v>7</v>
      </c>
      <c r="F64" s="60" t="s">
        <v>141</v>
      </c>
      <c r="G64" s="60" t="str">
        <f t="shared" si="18"/>
        <v>GbpLibor1Y</v>
      </c>
      <c r="H64" s="58" t="str">
        <f t="shared" si="19"/>
        <v>GBPSB6L15Y_S6L12L_Quote</v>
      </c>
      <c r="I64" s="118">
        <v>0</v>
      </c>
      <c r="J64" s="223" t="str">
        <f>IF(P60,_xll.qlSwapRateHelper2(,H64,0,B64,Calendar,+D64,E64,F64,G64,I64,C64,Discounting,PillarDate,,Permanent,Trigger,ObjectOverwrite),"--")</f>
        <v>obj_00280#0001</v>
      </c>
      <c r="L64" s="226" t="str">
        <f t="shared" si="14"/>
        <v>BasSw</v>
      </c>
      <c r="M64" s="230" t="str">
        <f t="shared" si="15"/>
        <v>GBPSB6L19Y_S6L12L_Quote</v>
      </c>
      <c r="N64" s="228" t="str">
        <f>IFERROR(_xll.qlQuoteValue(H68,Trigger),"--")</f>
        <v>--</v>
      </c>
      <c r="O64" s="228">
        <f t="shared" si="16"/>
        <v>0</v>
      </c>
      <c r="P64" s="90" t="b">
        <v>0</v>
      </c>
      <c r="Q64" s="87">
        <v>40</v>
      </c>
      <c r="R64" s="87">
        <v>1</v>
      </c>
      <c r="S64" s="87" t="str">
        <f t="shared" si="17"/>
        <v>--</v>
      </c>
      <c r="T64" s="91" t="str">
        <f>IFERROR(_xll.qlRateHelperEarliestDate(S64,Trigger),"--")</f>
        <v>--</v>
      </c>
      <c r="U64" s="91" t="str">
        <f>IFERROR(_xll.qlRateHelperPillarDate(S64,Trigger),"--")</f>
        <v>--</v>
      </c>
      <c r="W64" s="140" t="str">
        <f t="shared" si="13"/>
        <v/>
      </c>
      <c r="X64" s="140" t="e">
        <v>#N/A</v>
      </c>
      <c r="Y64" s="140" t="str">
        <f>IFERROR(_xll.qlRateHelperQuoteName(X64,Trigger),"")</f>
        <v/>
      </c>
      <c r="Z64" s="170" t="str">
        <f>IFERROR(_xll.qlRateHelperRate(X64,Trigger),"")</f>
        <v/>
      </c>
      <c r="AA64" s="171" t="str">
        <f>IF(ISERROR(_xll.qlSwapRateHelperSpread($X64)),IF(ISERROR(_xll.qlFuturesRateHelperConvexityAdjustment($X64)),"",_xll.qlFuturesRateHelperConvexityAdjustment($X64)),_xll.qlSwapRateHelperSpread($X64))</f>
        <v/>
      </c>
      <c r="AB64" s="141" t="str">
        <f>IFERROR(_xll.qlRateHelperEarliestDate(X64,Trigger),"")</f>
        <v/>
      </c>
      <c r="AC64" s="141" t="str">
        <f>IFERROR(_xll.qlRateHelperPillarDate(X64,Trigger),"")</f>
        <v/>
      </c>
      <c r="AD64" s="220" t="e">
        <v>#N/A</v>
      </c>
    </row>
    <row r="65" spans="1:30" ht="11.25" customHeight="1" x14ac:dyDescent="0.2">
      <c r="A65" s="58" t="s">
        <v>115</v>
      </c>
      <c r="B65" s="59" t="s">
        <v>100</v>
      </c>
      <c r="C65" s="60" t="s">
        <v>6</v>
      </c>
      <c r="D65" s="60" t="s">
        <v>140</v>
      </c>
      <c r="E65" s="60" t="s">
        <v>7</v>
      </c>
      <c r="F65" s="60" t="s">
        <v>141</v>
      </c>
      <c r="G65" s="60" t="str">
        <f t="shared" si="18"/>
        <v>GbpLibor1Y</v>
      </c>
      <c r="H65" s="58" t="str">
        <f t="shared" si="19"/>
        <v>GBPSB6L16Y_S6L12L_Quote</v>
      </c>
      <c r="I65" s="118">
        <v>0</v>
      </c>
      <c r="J65" s="223" t="str">
        <f>IF(P61,_xll.qlSwapRateHelper2(,H65,0,B65,Calendar,+D65,E65,F65,G65,I65,C65,Discounting,PillarDate,,Permanent,Trigger,ObjectOverwrite),"--")</f>
        <v>--</v>
      </c>
      <c r="L65" s="226" t="str">
        <f t="shared" si="14"/>
        <v>BasSw</v>
      </c>
      <c r="M65" s="230" t="str">
        <f t="shared" si="15"/>
        <v>GBPSB6L20Y_S6L12L_Quote</v>
      </c>
      <c r="N65" s="228">
        <f>IFERROR(_xll.qlQuoteValue(H69,Trigger),"--")</f>
        <v>1.1840000000064526E-2</v>
      </c>
      <c r="O65" s="228">
        <f t="shared" si="16"/>
        <v>0</v>
      </c>
      <c r="P65" s="90" t="b">
        <v>1</v>
      </c>
      <c r="Q65" s="87">
        <v>40</v>
      </c>
      <c r="R65" s="87">
        <v>1</v>
      </c>
      <c r="S65" s="87" t="str">
        <f t="shared" si="17"/>
        <v>obj_0026d#0001</v>
      </c>
      <c r="T65" s="91">
        <f>IFERROR(_xll.qlRateHelperEarliestDate(S65,Trigger),"--")</f>
        <v>42559</v>
      </c>
      <c r="U65" s="91">
        <f>IFERROR(_xll.qlRateHelperPillarDate(S65,Trigger),"--")</f>
        <v>49864</v>
      </c>
      <c r="W65" s="140" t="str">
        <f t="shared" si="13"/>
        <v/>
      </c>
      <c r="X65" s="140" t="e">
        <v>#N/A</v>
      </c>
      <c r="Y65" s="140" t="str">
        <f>IFERROR(_xll.qlRateHelperQuoteName(X65,Trigger),"")</f>
        <v/>
      </c>
      <c r="Z65" s="170" t="str">
        <f>IFERROR(_xll.qlRateHelperRate(X65,Trigger),"")</f>
        <v/>
      </c>
      <c r="AA65" s="171" t="str">
        <f>IF(ISERROR(_xll.qlSwapRateHelperSpread($X65)),IF(ISERROR(_xll.qlFuturesRateHelperConvexityAdjustment($X65)),"",_xll.qlFuturesRateHelperConvexityAdjustment($X65)),_xll.qlSwapRateHelperSpread($X65))</f>
        <v/>
      </c>
      <c r="AB65" s="141" t="str">
        <f>IFERROR(_xll.qlRateHelperEarliestDate(X65,Trigger),"")</f>
        <v/>
      </c>
      <c r="AC65" s="141" t="str">
        <f>IFERROR(_xll.qlRateHelperPillarDate(X65,Trigger),"")</f>
        <v/>
      </c>
      <c r="AD65" s="220" t="e">
        <v>#N/A</v>
      </c>
    </row>
    <row r="66" spans="1:30" ht="11.25" customHeight="1" x14ac:dyDescent="0.2">
      <c r="A66" s="58" t="s">
        <v>115</v>
      </c>
      <c r="B66" s="59" t="s">
        <v>101</v>
      </c>
      <c r="C66" s="60" t="s">
        <v>6</v>
      </c>
      <c r="D66" s="60" t="s">
        <v>140</v>
      </c>
      <c r="E66" s="60" t="s">
        <v>7</v>
      </c>
      <c r="F66" s="60" t="s">
        <v>141</v>
      </c>
      <c r="G66" s="60" t="str">
        <f t="shared" si="18"/>
        <v>GbpLibor1Y</v>
      </c>
      <c r="H66" s="58" t="str">
        <f t="shared" si="19"/>
        <v>GBPSB6L17Y_S6L12L_Quote</v>
      </c>
      <c r="I66" s="118">
        <v>0</v>
      </c>
      <c r="J66" s="223" t="str">
        <f>IF(P62,_xll.qlSwapRateHelper2(,H66,0,B66,Calendar,+D66,E66,F66,G66,I66,C66,Discounting,PillarDate,,Permanent,Trigger,ObjectOverwrite),"--")</f>
        <v>--</v>
      </c>
      <c r="L66" s="226" t="str">
        <f t="shared" si="14"/>
        <v>BasSw</v>
      </c>
      <c r="M66" s="230" t="str">
        <f t="shared" si="15"/>
        <v>GBPSB6L21Y_S6L12L_Quote</v>
      </c>
      <c r="N66" s="228" t="str">
        <f>IFERROR(_xll.qlQuoteValue(H70,Trigger),"--")</f>
        <v>--</v>
      </c>
      <c r="O66" s="228">
        <f t="shared" si="16"/>
        <v>0</v>
      </c>
      <c r="P66" s="90" t="b">
        <v>0</v>
      </c>
      <c r="Q66" s="87">
        <v>40</v>
      </c>
      <c r="R66" s="87">
        <v>1</v>
      </c>
      <c r="S66" s="87" t="str">
        <f t="shared" si="17"/>
        <v>--</v>
      </c>
      <c r="T66" s="91" t="str">
        <f>IFERROR(_xll.qlRateHelperEarliestDate(S66,Trigger),"--")</f>
        <v>--</v>
      </c>
      <c r="U66" s="91" t="str">
        <f>IFERROR(_xll.qlRateHelperPillarDate(S66,Trigger),"--")</f>
        <v>--</v>
      </c>
      <c r="W66" s="140" t="str">
        <f t="shared" si="13"/>
        <v/>
      </c>
      <c r="X66" s="140" t="e">
        <v>#N/A</v>
      </c>
      <c r="Y66" s="140" t="str">
        <f>IFERROR(_xll.qlRateHelperQuoteName(X66,Trigger),"")</f>
        <v/>
      </c>
      <c r="Z66" s="170" t="str">
        <f>IFERROR(_xll.qlRateHelperRate(X66,Trigger),"")</f>
        <v/>
      </c>
      <c r="AA66" s="171" t="str">
        <f>IF(ISERROR(_xll.qlSwapRateHelperSpread($X66)),IF(ISERROR(_xll.qlFuturesRateHelperConvexityAdjustment($X66)),"",_xll.qlFuturesRateHelperConvexityAdjustment($X66)),_xll.qlSwapRateHelperSpread($X66))</f>
        <v/>
      </c>
      <c r="AB66" s="141" t="str">
        <f>IFERROR(_xll.qlRateHelperEarliestDate(X66,Trigger),"")</f>
        <v/>
      </c>
      <c r="AC66" s="141" t="str">
        <f>IFERROR(_xll.qlRateHelperPillarDate(X66,Trigger),"")</f>
        <v/>
      </c>
      <c r="AD66" s="220" t="e">
        <v>#N/A</v>
      </c>
    </row>
    <row r="67" spans="1:30" ht="11.25" customHeight="1" x14ac:dyDescent="0.2">
      <c r="A67" s="58" t="s">
        <v>115</v>
      </c>
      <c r="B67" s="59" t="s">
        <v>102</v>
      </c>
      <c r="C67" s="60" t="s">
        <v>6</v>
      </c>
      <c r="D67" s="60" t="s">
        <v>140</v>
      </c>
      <c r="E67" s="60" t="s">
        <v>7</v>
      </c>
      <c r="F67" s="60" t="s">
        <v>141</v>
      </c>
      <c r="G67" s="60" t="str">
        <f t="shared" si="18"/>
        <v>GbpLibor1Y</v>
      </c>
      <c r="H67" s="58" t="str">
        <f t="shared" si="19"/>
        <v>GBPSB6L18Y_S6L12L_Quote</v>
      </c>
      <c r="I67" s="118">
        <v>0</v>
      </c>
      <c r="J67" s="223" t="str">
        <f>IF(P63,_xll.qlSwapRateHelper2(,H67,0,B67,Calendar,+D67,E67,F67,G67,I67,C67,Discounting,PillarDate,,Permanent,Trigger,ObjectOverwrite),"--")</f>
        <v>--</v>
      </c>
      <c r="L67" s="226" t="str">
        <f t="shared" si="14"/>
        <v>BasSw</v>
      </c>
      <c r="M67" s="230" t="str">
        <f t="shared" si="15"/>
        <v>GBPSB6L22Y_S6L12L_Quote</v>
      </c>
      <c r="N67" s="228" t="str">
        <f>IFERROR(_xll.qlQuoteValue(H71,Trigger),"--")</f>
        <v>--</v>
      </c>
      <c r="O67" s="228">
        <f t="shared" si="16"/>
        <v>0</v>
      </c>
      <c r="P67" s="90" t="b">
        <v>0</v>
      </c>
      <c r="Q67" s="87">
        <v>40</v>
      </c>
      <c r="R67" s="87">
        <v>1</v>
      </c>
      <c r="S67" s="87" t="str">
        <f t="shared" si="17"/>
        <v>--</v>
      </c>
      <c r="T67" s="91" t="str">
        <f>IFERROR(_xll.qlRateHelperEarliestDate(S67,Trigger),"--")</f>
        <v>--</v>
      </c>
      <c r="U67" s="91" t="str">
        <f>IFERROR(_xll.qlRateHelperPillarDate(S67,Trigger),"--")</f>
        <v>--</v>
      </c>
      <c r="W67" s="140" t="str">
        <f t="shared" ref="W67:W79" si="20">IFERROR(INDEX($L$3:$L$79,MATCH(Y67,$M$3:$M$79,0),1),"")</f>
        <v/>
      </c>
      <c r="X67" s="140" t="e">
        <v>#N/A</v>
      </c>
      <c r="Y67" s="140" t="str">
        <f>IFERROR(_xll.qlRateHelperQuoteName(X67,Trigger),"")</f>
        <v/>
      </c>
      <c r="Z67" s="170" t="str">
        <f>IFERROR(_xll.qlRateHelperRate(X67,Trigger),"")</f>
        <v/>
      </c>
      <c r="AA67" s="171" t="str">
        <f>IF(ISERROR(_xll.qlSwapRateHelperSpread($X67)),IF(ISERROR(_xll.qlFuturesRateHelperConvexityAdjustment($X67)),"",_xll.qlFuturesRateHelperConvexityAdjustment($X67)),_xll.qlSwapRateHelperSpread($X67))</f>
        <v/>
      </c>
      <c r="AB67" s="141" t="str">
        <f>IFERROR(_xll.qlRateHelperEarliestDate(X67,Trigger),"")</f>
        <v/>
      </c>
      <c r="AC67" s="141" t="str">
        <f>IFERROR(_xll.qlRateHelperPillarDate(X67,Trigger),"")</f>
        <v/>
      </c>
      <c r="AD67" s="220" t="e">
        <v>#N/A</v>
      </c>
    </row>
    <row r="68" spans="1:30" ht="11.25" customHeight="1" x14ac:dyDescent="0.2">
      <c r="A68" s="58" t="s">
        <v>115</v>
      </c>
      <c r="B68" s="59" t="s">
        <v>103</v>
      </c>
      <c r="C68" s="60" t="s">
        <v>6</v>
      </c>
      <c r="D68" s="60" t="s">
        <v>140</v>
      </c>
      <c r="E68" s="60" t="s">
        <v>7</v>
      </c>
      <c r="F68" s="60" t="s">
        <v>141</v>
      </c>
      <c r="G68" s="60" t="str">
        <f t="shared" si="18"/>
        <v>GbpLibor1Y</v>
      </c>
      <c r="H68" s="58" t="str">
        <f t="shared" si="19"/>
        <v>GBPSB6L19Y_S6L12L_Quote</v>
      </c>
      <c r="I68" s="118">
        <v>0</v>
      </c>
      <c r="J68" s="223" t="str">
        <f>IF(P64,_xll.qlSwapRateHelper2(,H68,0,B68,Calendar,+D68,E68,F68,G68,I68,C68,Discounting,PillarDate,,Permanent,Trigger,ObjectOverwrite),"--")</f>
        <v>--</v>
      </c>
      <c r="L68" s="226" t="str">
        <f t="shared" si="14"/>
        <v>BasSw</v>
      </c>
      <c r="M68" s="230" t="str">
        <f t="shared" si="15"/>
        <v>GBPSB6L23Y_S6L12L_Quote</v>
      </c>
      <c r="N68" s="228" t="str">
        <f>IFERROR(_xll.qlQuoteValue(H72,Trigger),"--")</f>
        <v>--</v>
      </c>
      <c r="O68" s="228">
        <f t="shared" si="16"/>
        <v>0</v>
      </c>
      <c r="P68" s="90" t="b">
        <v>0</v>
      </c>
      <c r="Q68" s="87">
        <v>40</v>
      </c>
      <c r="R68" s="87">
        <v>1</v>
      </c>
      <c r="S68" s="87" t="str">
        <f t="shared" si="17"/>
        <v>--</v>
      </c>
      <c r="T68" s="91" t="str">
        <f>IFERROR(_xll.qlRateHelperEarliestDate(S68,Trigger),"--")</f>
        <v>--</v>
      </c>
      <c r="U68" s="91" t="str">
        <f>IFERROR(_xll.qlRateHelperPillarDate(S68,Trigger),"--")</f>
        <v>--</v>
      </c>
      <c r="W68" s="140" t="str">
        <f t="shared" si="20"/>
        <v/>
      </c>
      <c r="X68" s="140" t="e">
        <v>#N/A</v>
      </c>
      <c r="Y68" s="140" t="str">
        <f>IFERROR(_xll.qlRateHelperQuoteName(X68,Trigger),"")</f>
        <v/>
      </c>
      <c r="Z68" s="170" t="str">
        <f>IFERROR(_xll.qlRateHelperRate(X68,Trigger),"")</f>
        <v/>
      </c>
      <c r="AA68" s="171" t="str">
        <f>IF(ISERROR(_xll.qlSwapRateHelperSpread($X68)),IF(ISERROR(_xll.qlFuturesRateHelperConvexityAdjustment($X68)),"",_xll.qlFuturesRateHelperConvexityAdjustment($X68)),_xll.qlSwapRateHelperSpread($X68))</f>
        <v/>
      </c>
      <c r="AB68" s="141" t="str">
        <f>IFERROR(_xll.qlRateHelperEarliestDate(X68,Trigger),"")</f>
        <v/>
      </c>
      <c r="AC68" s="141" t="str">
        <f>IFERROR(_xll.qlRateHelperPillarDate(X68,Trigger),"")</f>
        <v/>
      </c>
      <c r="AD68" s="220" t="e">
        <v>#N/A</v>
      </c>
    </row>
    <row r="69" spans="1:30" ht="11.25" customHeight="1" x14ac:dyDescent="0.2">
      <c r="A69" s="58" t="s">
        <v>115</v>
      </c>
      <c r="B69" s="59" t="s">
        <v>63</v>
      </c>
      <c r="C69" s="60" t="s">
        <v>6</v>
      </c>
      <c r="D69" s="60" t="s">
        <v>140</v>
      </c>
      <c r="E69" s="60" t="s">
        <v>7</v>
      </c>
      <c r="F69" s="60" t="s">
        <v>141</v>
      </c>
      <c r="G69" s="60" t="str">
        <f t="shared" si="18"/>
        <v>GbpLibor1Y</v>
      </c>
      <c r="H69" s="58" t="str">
        <f t="shared" si="19"/>
        <v>GBPSB6L20Y_S6L12L_Quote</v>
      </c>
      <c r="I69" s="118">
        <v>0</v>
      </c>
      <c r="J69" s="223" t="str">
        <f>IF(P65,_xll.qlSwapRateHelper2(,H69,0,B69,Calendar,+D69,E69,F69,G69,I69,C69,Discounting,PillarDate,,Permanent,Trigger,ObjectOverwrite),"--")</f>
        <v>obj_0026d#0001</v>
      </c>
      <c r="L69" s="226" t="str">
        <f t="shared" si="14"/>
        <v>BasSw</v>
      </c>
      <c r="M69" s="230" t="str">
        <f t="shared" si="15"/>
        <v>GBPSB6L24Y_S6L12L_Quote</v>
      </c>
      <c r="N69" s="228" t="str">
        <f>IFERROR(_xll.qlQuoteValue(H73,Trigger),"--")</f>
        <v>--</v>
      </c>
      <c r="O69" s="228">
        <f t="shared" si="16"/>
        <v>0</v>
      </c>
      <c r="P69" s="90" t="b">
        <v>0</v>
      </c>
      <c r="Q69" s="87">
        <v>40</v>
      </c>
      <c r="R69" s="87">
        <v>1</v>
      </c>
      <c r="S69" s="87" t="str">
        <f t="shared" si="17"/>
        <v>--</v>
      </c>
      <c r="T69" s="91" t="str">
        <f>IFERROR(_xll.qlRateHelperEarliestDate(S69,Trigger),"--")</f>
        <v>--</v>
      </c>
      <c r="U69" s="91" t="str">
        <f>IFERROR(_xll.qlRateHelperPillarDate(S69,Trigger),"--")</f>
        <v>--</v>
      </c>
      <c r="W69" s="140" t="str">
        <f t="shared" si="20"/>
        <v/>
      </c>
      <c r="X69" s="140" t="e">
        <v>#N/A</v>
      </c>
      <c r="Y69" s="140" t="str">
        <f>IFERROR(_xll.qlRateHelperQuoteName(X69,Trigger),"")</f>
        <v/>
      </c>
      <c r="Z69" s="170" t="str">
        <f>IFERROR(_xll.qlRateHelperRate(X69,Trigger),"")</f>
        <v/>
      </c>
      <c r="AA69" s="171" t="str">
        <f>IF(ISERROR(_xll.qlSwapRateHelperSpread($X69)),IF(ISERROR(_xll.qlFuturesRateHelperConvexityAdjustment($X69)),"",_xll.qlFuturesRateHelperConvexityAdjustment($X69)),_xll.qlSwapRateHelperSpread($X69))</f>
        <v/>
      </c>
      <c r="AB69" s="141" t="str">
        <f>IFERROR(_xll.qlRateHelperEarliestDate(X69,Trigger),"")</f>
        <v/>
      </c>
      <c r="AC69" s="141" t="str">
        <f>IFERROR(_xll.qlRateHelperPillarDate(X69,Trigger),"")</f>
        <v/>
      </c>
      <c r="AD69" s="220" t="e">
        <v>#N/A</v>
      </c>
    </row>
    <row r="70" spans="1:30" ht="11.25" customHeight="1" x14ac:dyDescent="0.2">
      <c r="A70" s="58" t="s">
        <v>115</v>
      </c>
      <c r="B70" s="59" t="s">
        <v>104</v>
      </c>
      <c r="C70" s="60" t="s">
        <v>6</v>
      </c>
      <c r="D70" s="60" t="s">
        <v>140</v>
      </c>
      <c r="E70" s="60" t="s">
        <v>7</v>
      </c>
      <c r="F70" s="60" t="s">
        <v>141</v>
      </c>
      <c r="G70" s="60" t="str">
        <f t="shared" si="18"/>
        <v>GbpLibor1Y</v>
      </c>
      <c r="H70" s="58" t="str">
        <f t="shared" si="19"/>
        <v>GBPSB6L21Y_S6L12L_Quote</v>
      </c>
      <c r="I70" s="118">
        <v>0</v>
      </c>
      <c r="J70" s="223" t="str">
        <f>IF(P66,_xll.qlSwapRateHelper2(,H70,0,B70,Calendar,+D70,E70,F70,G70,I70,C70,Discounting,PillarDate,,Permanent,Trigger,ObjectOverwrite),"--")</f>
        <v>--</v>
      </c>
      <c r="L70" s="226" t="str">
        <f t="shared" si="14"/>
        <v>BasSw</v>
      </c>
      <c r="M70" s="230" t="str">
        <f t="shared" si="15"/>
        <v>GBPSB6L25Y_S6L12L_Quote</v>
      </c>
      <c r="N70" s="228">
        <f>IFERROR(_xll.qlQuoteValue(H74,Trigger),"--")</f>
        <v>1.1670000000002236E-2</v>
      </c>
      <c r="O70" s="228">
        <f t="shared" si="16"/>
        <v>0</v>
      </c>
      <c r="P70" s="90" t="b">
        <v>1</v>
      </c>
      <c r="Q70" s="87">
        <v>40</v>
      </c>
      <c r="R70" s="87">
        <v>1</v>
      </c>
      <c r="S70" s="87" t="str">
        <f t="shared" si="17"/>
        <v>obj_002a2#0001</v>
      </c>
      <c r="T70" s="91">
        <f>IFERROR(_xll.qlRateHelperEarliestDate(S70,Trigger),"--")</f>
        <v>42559</v>
      </c>
      <c r="U70" s="91">
        <f>IFERROR(_xll.qlRateHelperPillarDate(S70,Trigger),"--")</f>
        <v>51690</v>
      </c>
      <c r="W70" s="140" t="str">
        <f t="shared" si="20"/>
        <v/>
      </c>
      <c r="X70" s="140" t="e">
        <v>#N/A</v>
      </c>
      <c r="Y70" s="140" t="str">
        <f>IFERROR(_xll.qlRateHelperQuoteName(X70,Trigger),"")</f>
        <v/>
      </c>
      <c r="Z70" s="170" t="str">
        <f>IFERROR(_xll.qlRateHelperRate(X70,Trigger),"")</f>
        <v/>
      </c>
      <c r="AA70" s="171" t="str">
        <f>IF(ISERROR(_xll.qlSwapRateHelperSpread($X70)),IF(ISERROR(_xll.qlFuturesRateHelperConvexityAdjustment($X70)),"",_xll.qlFuturesRateHelperConvexityAdjustment($X70)),_xll.qlSwapRateHelperSpread($X70))</f>
        <v/>
      </c>
      <c r="AB70" s="141" t="str">
        <f>IFERROR(_xll.qlRateHelperEarliestDate(X70,Trigger),"")</f>
        <v/>
      </c>
      <c r="AC70" s="141" t="str">
        <f>IFERROR(_xll.qlRateHelperPillarDate(X70,Trigger),"")</f>
        <v/>
      </c>
      <c r="AD70" s="220" t="e">
        <v>#N/A</v>
      </c>
    </row>
    <row r="71" spans="1:30" ht="11.25" customHeight="1" x14ac:dyDescent="0.2">
      <c r="A71" s="58" t="s">
        <v>115</v>
      </c>
      <c r="B71" s="59" t="s">
        <v>105</v>
      </c>
      <c r="C71" s="60" t="s">
        <v>6</v>
      </c>
      <c r="D71" s="60" t="s">
        <v>140</v>
      </c>
      <c r="E71" s="60" t="s">
        <v>7</v>
      </c>
      <c r="F71" s="60" t="s">
        <v>141</v>
      </c>
      <c r="G71" s="60" t="str">
        <f t="shared" si="18"/>
        <v>GbpLibor1Y</v>
      </c>
      <c r="H71" s="58" t="str">
        <f t="shared" si="19"/>
        <v>GBPSB6L22Y_S6L12L_Quote</v>
      </c>
      <c r="I71" s="118">
        <v>0</v>
      </c>
      <c r="J71" s="223" t="str">
        <f>IF(P67,_xll.qlSwapRateHelper2(,H71,0,B71,Calendar,+D71,E71,F71,G71,I71,C71,Discounting,PillarDate,,Permanent,Trigger,ObjectOverwrite),"--")</f>
        <v>--</v>
      </c>
      <c r="L71" s="226" t="str">
        <f t="shared" si="14"/>
        <v>BasSw</v>
      </c>
      <c r="M71" s="230" t="str">
        <f t="shared" si="15"/>
        <v>GBPSB6L26Y_S6L12L_Quote</v>
      </c>
      <c r="N71" s="228" t="str">
        <f>IFERROR(_xll.qlQuoteValue(H75,Trigger),"--")</f>
        <v>--</v>
      </c>
      <c r="O71" s="228">
        <f t="shared" si="16"/>
        <v>0</v>
      </c>
      <c r="P71" s="90" t="b">
        <v>0</v>
      </c>
      <c r="Q71" s="87">
        <v>40</v>
      </c>
      <c r="R71" s="87">
        <v>1</v>
      </c>
      <c r="S71" s="87" t="str">
        <f t="shared" si="17"/>
        <v>--</v>
      </c>
      <c r="T71" s="91" t="str">
        <f>IFERROR(_xll.qlRateHelperEarliestDate(S71,Trigger),"--")</f>
        <v>--</v>
      </c>
      <c r="U71" s="91" t="str">
        <f>IFERROR(_xll.qlRateHelperPillarDate(S71,Trigger),"--")</f>
        <v>--</v>
      </c>
      <c r="W71" s="140" t="str">
        <f t="shared" si="20"/>
        <v/>
      </c>
      <c r="X71" s="140" t="e">
        <v>#N/A</v>
      </c>
      <c r="Y71" s="140" t="str">
        <f>IFERROR(_xll.qlRateHelperQuoteName(X71,Trigger),"")</f>
        <v/>
      </c>
      <c r="Z71" s="170" t="str">
        <f>IFERROR(_xll.qlRateHelperRate(X71,Trigger),"")</f>
        <v/>
      </c>
      <c r="AA71" s="171" t="str">
        <f>IF(ISERROR(_xll.qlSwapRateHelperSpread($X71)),IF(ISERROR(_xll.qlFuturesRateHelperConvexityAdjustment($X71)),"",_xll.qlFuturesRateHelperConvexityAdjustment($X71)),_xll.qlSwapRateHelperSpread($X71))</f>
        <v/>
      </c>
      <c r="AB71" s="141" t="str">
        <f>IFERROR(_xll.qlRateHelperEarliestDate(X71,Trigger),"")</f>
        <v/>
      </c>
      <c r="AC71" s="141" t="str">
        <f>IFERROR(_xll.qlRateHelperPillarDate(X71,Trigger),"")</f>
        <v/>
      </c>
      <c r="AD71" s="220" t="e">
        <v>#N/A</v>
      </c>
    </row>
    <row r="72" spans="1:30" ht="11.25" customHeight="1" x14ac:dyDescent="0.2">
      <c r="A72" s="58" t="s">
        <v>115</v>
      </c>
      <c r="B72" s="59" t="s">
        <v>106</v>
      </c>
      <c r="C72" s="60" t="s">
        <v>6</v>
      </c>
      <c r="D72" s="60" t="s">
        <v>140</v>
      </c>
      <c r="E72" s="60" t="s">
        <v>7</v>
      </c>
      <c r="F72" s="60" t="s">
        <v>141</v>
      </c>
      <c r="G72" s="60" t="str">
        <f t="shared" si="18"/>
        <v>GbpLibor1Y</v>
      </c>
      <c r="H72" s="58" t="str">
        <f t="shared" si="19"/>
        <v>GBPSB6L23Y_S6L12L_Quote</v>
      </c>
      <c r="I72" s="118">
        <v>0</v>
      </c>
      <c r="J72" s="223" t="str">
        <f>IF(P68,_xll.qlSwapRateHelper2(,H72,0,B72,Calendar,+D72,E72,F72,G72,I72,C72,Discounting,PillarDate,,Permanent,Trigger,ObjectOverwrite),"--")</f>
        <v>--</v>
      </c>
      <c r="L72" s="226" t="str">
        <f t="shared" si="14"/>
        <v>BasSw</v>
      </c>
      <c r="M72" s="230" t="str">
        <f t="shared" si="15"/>
        <v>GBPSB6L27Y_S6L12L_Quote</v>
      </c>
      <c r="N72" s="228" t="str">
        <f>IFERROR(_xll.qlQuoteValue(H76,Trigger),"--")</f>
        <v>--</v>
      </c>
      <c r="O72" s="228">
        <f t="shared" si="16"/>
        <v>0</v>
      </c>
      <c r="P72" s="90" t="b">
        <v>0</v>
      </c>
      <c r="Q72" s="87">
        <v>40</v>
      </c>
      <c r="R72" s="87">
        <v>1</v>
      </c>
      <c r="S72" s="87" t="str">
        <f t="shared" si="17"/>
        <v>--</v>
      </c>
      <c r="T72" s="91" t="str">
        <f>IFERROR(_xll.qlRateHelperEarliestDate(S72,Trigger),"--")</f>
        <v>--</v>
      </c>
      <c r="U72" s="91" t="str">
        <f>IFERROR(_xll.qlRateHelperPillarDate(S72,Trigger),"--")</f>
        <v>--</v>
      </c>
      <c r="W72" s="140" t="str">
        <f t="shared" si="20"/>
        <v/>
      </c>
      <c r="X72" s="140" t="e">
        <v>#N/A</v>
      </c>
      <c r="Y72" s="140" t="str">
        <f>IFERROR(_xll.qlRateHelperQuoteName(X72,Trigger),"")</f>
        <v/>
      </c>
      <c r="Z72" s="170" t="str">
        <f>IFERROR(_xll.qlRateHelperRate(X72,Trigger),"")</f>
        <v/>
      </c>
      <c r="AA72" s="171" t="str">
        <f>IF(ISERROR(_xll.qlSwapRateHelperSpread($X72)),IF(ISERROR(_xll.qlFuturesRateHelperConvexityAdjustment($X72)),"",_xll.qlFuturesRateHelperConvexityAdjustment($X72)),_xll.qlSwapRateHelperSpread($X72))</f>
        <v/>
      </c>
      <c r="AB72" s="141" t="str">
        <f>IFERROR(_xll.qlRateHelperEarliestDate(X72,Trigger),"")</f>
        <v/>
      </c>
      <c r="AC72" s="141" t="str">
        <f>IFERROR(_xll.qlRateHelperPillarDate(X72,Trigger),"")</f>
        <v/>
      </c>
      <c r="AD72" s="220" t="e">
        <v>#N/A</v>
      </c>
    </row>
    <row r="73" spans="1:30" ht="11.25" customHeight="1" x14ac:dyDescent="0.2">
      <c r="A73" s="58" t="s">
        <v>115</v>
      </c>
      <c r="B73" s="59" t="s">
        <v>107</v>
      </c>
      <c r="C73" s="60" t="s">
        <v>6</v>
      </c>
      <c r="D73" s="60" t="s">
        <v>140</v>
      </c>
      <c r="E73" s="60" t="s">
        <v>7</v>
      </c>
      <c r="F73" s="60" t="s">
        <v>141</v>
      </c>
      <c r="G73" s="60" t="str">
        <f t="shared" si="18"/>
        <v>GbpLibor1Y</v>
      </c>
      <c r="H73" s="58" t="str">
        <f t="shared" si="19"/>
        <v>GBPSB6L24Y_S6L12L_Quote</v>
      </c>
      <c r="I73" s="118">
        <v>0</v>
      </c>
      <c r="J73" s="223" t="str">
        <f>IF(P69,_xll.qlSwapRateHelper2(,H73,0,B73,Calendar,+D73,E73,F73,G73,I73,C73,Discounting,PillarDate,,Permanent,Trigger,ObjectOverwrite),"--")</f>
        <v>--</v>
      </c>
      <c r="L73" s="226" t="str">
        <f t="shared" si="14"/>
        <v>BasSw</v>
      </c>
      <c r="M73" s="230" t="str">
        <f t="shared" si="15"/>
        <v>GBPSB6L28Y_S6L12L_Quote</v>
      </c>
      <c r="N73" s="228" t="str">
        <f>IFERROR(_xll.qlQuoteValue(H77,Trigger),"--")</f>
        <v>--</v>
      </c>
      <c r="O73" s="228">
        <f t="shared" si="16"/>
        <v>0</v>
      </c>
      <c r="P73" s="90" t="b">
        <v>0</v>
      </c>
      <c r="Q73" s="87">
        <v>40</v>
      </c>
      <c r="R73" s="87">
        <v>1</v>
      </c>
      <c r="S73" s="87" t="str">
        <f t="shared" si="17"/>
        <v>--</v>
      </c>
      <c r="T73" s="91" t="str">
        <f>IFERROR(_xll.qlRateHelperEarliestDate(S73,Trigger),"--")</f>
        <v>--</v>
      </c>
      <c r="U73" s="91" t="str">
        <f>IFERROR(_xll.qlRateHelperPillarDate(S73,Trigger),"--")</f>
        <v>--</v>
      </c>
      <c r="W73" s="140" t="str">
        <f t="shared" si="20"/>
        <v/>
      </c>
      <c r="X73" s="140" t="e">
        <v>#N/A</v>
      </c>
      <c r="Y73" s="140" t="str">
        <f>IFERROR(_xll.qlRateHelperQuoteName(X73,Trigger),"")</f>
        <v/>
      </c>
      <c r="Z73" s="170" t="str">
        <f>IFERROR(_xll.qlRateHelperRate(X73,Trigger),"")</f>
        <v/>
      </c>
      <c r="AA73" s="171" t="str">
        <f>IF(ISERROR(_xll.qlSwapRateHelperSpread($X73)),IF(ISERROR(_xll.qlFuturesRateHelperConvexityAdjustment($X73)),"",_xll.qlFuturesRateHelperConvexityAdjustment($X73)),_xll.qlSwapRateHelperSpread($X73))</f>
        <v/>
      </c>
      <c r="AB73" s="141" t="str">
        <f>IFERROR(_xll.qlRateHelperEarliestDate(X73,Trigger),"")</f>
        <v/>
      </c>
      <c r="AC73" s="141" t="str">
        <f>IFERROR(_xll.qlRateHelperPillarDate(X73,Trigger),"")</f>
        <v/>
      </c>
      <c r="AD73" s="220" t="e">
        <v>#N/A</v>
      </c>
    </row>
    <row r="74" spans="1:30" ht="11.25" customHeight="1" x14ac:dyDescent="0.2">
      <c r="A74" s="58" t="s">
        <v>115</v>
      </c>
      <c r="B74" s="59" t="s">
        <v>64</v>
      </c>
      <c r="C74" s="60" t="s">
        <v>6</v>
      </c>
      <c r="D74" s="60" t="s">
        <v>140</v>
      </c>
      <c r="E74" s="60" t="s">
        <v>7</v>
      </c>
      <c r="F74" s="60" t="s">
        <v>141</v>
      </c>
      <c r="G74" s="60" t="str">
        <f t="shared" si="18"/>
        <v>GbpLibor1Y</v>
      </c>
      <c r="H74" s="58" t="str">
        <f t="shared" si="19"/>
        <v>GBPSB6L25Y_S6L12L_Quote</v>
      </c>
      <c r="I74" s="118">
        <v>0</v>
      </c>
      <c r="J74" s="223" t="str">
        <f>IF(P70,_xll.qlSwapRateHelper2(,H74,0,B74,Calendar,+D74,E74,F74,G74,I74,C74,Discounting,PillarDate,,Permanent,Trigger,ObjectOverwrite),"--")</f>
        <v>obj_002a2#0001</v>
      </c>
      <c r="L74" s="226" t="str">
        <f t="shared" si="14"/>
        <v>BasSw</v>
      </c>
      <c r="M74" s="230" t="str">
        <f t="shared" si="15"/>
        <v>GBPSB6L29Y_S6L12L_Quote</v>
      </c>
      <c r="N74" s="228" t="str">
        <f>IFERROR(_xll.qlQuoteValue(H78,Trigger),"--")</f>
        <v>--</v>
      </c>
      <c r="O74" s="228">
        <f t="shared" si="16"/>
        <v>0</v>
      </c>
      <c r="P74" s="90" t="b">
        <v>0</v>
      </c>
      <c r="Q74" s="87">
        <v>40</v>
      </c>
      <c r="R74" s="87">
        <v>1</v>
      </c>
      <c r="S74" s="87" t="str">
        <f t="shared" si="17"/>
        <v>--</v>
      </c>
      <c r="T74" s="91" t="str">
        <f>IFERROR(_xll.qlRateHelperEarliestDate(S74,Trigger),"--")</f>
        <v>--</v>
      </c>
      <c r="U74" s="91" t="str">
        <f>IFERROR(_xll.qlRateHelperPillarDate(S74,Trigger),"--")</f>
        <v>--</v>
      </c>
      <c r="W74" s="140" t="str">
        <f t="shared" si="20"/>
        <v/>
      </c>
      <c r="X74" s="140" t="e">
        <v>#N/A</v>
      </c>
      <c r="Y74" s="140" t="str">
        <f>IFERROR(_xll.qlRateHelperQuoteName(X74,Trigger),"")</f>
        <v/>
      </c>
      <c r="Z74" s="170" t="str">
        <f>IFERROR(_xll.qlRateHelperRate(X74,Trigger),"")</f>
        <v/>
      </c>
      <c r="AA74" s="171" t="str">
        <f>IF(ISERROR(_xll.qlSwapRateHelperSpread($X74)),IF(ISERROR(_xll.qlFuturesRateHelperConvexityAdjustment($X74)),"",_xll.qlFuturesRateHelperConvexityAdjustment($X74)),_xll.qlSwapRateHelperSpread($X74))</f>
        <v/>
      </c>
      <c r="AB74" s="141" t="str">
        <f>IFERROR(_xll.qlRateHelperEarliestDate(X74,Trigger),"")</f>
        <v/>
      </c>
      <c r="AC74" s="141" t="str">
        <f>IFERROR(_xll.qlRateHelperPillarDate(X74,Trigger),"")</f>
        <v/>
      </c>
      <c r="AD74" s="220" t="e">
        <v>#N/A</v>
      </c>
    </row>
    <row r="75" spans="1:30" ht="11.25" customHeight="1" x14ac:dyDescent="0.2">
      <c r="A75" s="58" t="s">
        <v>115</v>
      </c>
      <c r="B75" s="59" t="s">
        <v>108</v>
      </c>
      <c r="C75" s="60" t="s">
        <v>6</v>
      </c>
      <c r="D75" s="60" t="s">
        <v>140</v>
      </c>
      <c r="E75" s="60" t="s">
        <v>7</v>
      </c>
      <c r="F75" s="60" t="s">
        <v>141</v>
      </c>
      <c r="G75" s="60" t="str">
        <f t="shared" si="18"/>
        <v>GbpLibor1Y</v>
      </c>
      <c r="H75" s="58" t="str">
        <f t="shared" si="19"/>
        <v>GBPSB6L26Y_S6L12L_Quote</v>
      </c>
      <c r="I75" s="118">
        <v>0</v>
      </c>
      <c r="J75" s="223" t="str">
        <f>IF(P71,_xll.qlSwapRateHelper2(,H75,0,B75,Calendar,+D75,E75,F75,G75,I75,C75,Discounting,PillarDate,,Permanent,Trigger,ObjectOverwrite),"--")</f>
        <v>--</v>
      </c>
      <c r="L75" s="226" t="str">
        <f t="shared" si="14"/>
        <v>BasSw</v>
      </c>
      <c r="M75" s="230" t="str">
        <f t="shared" si="15"/>
        <v>GBPSB6L30Y_S6L12L_Quote</v>
      </c>
      <c r="N75" s="228">
        <f>IFERROR(_xll.qlQuoteValue(H79,Trigger),"--")</f>
        <v>1.1449999999976087E-2</v>
      </c>
      <c r="O75" s="228">
        <f t="shared" si="16"/>
        <v>0</v>
      </c>
      <c r="P75" s="90" t="b">
        <v>1</v>
      </c>
      <c r="Q75" s="87">
        <v>40</v>
      </c>
      <c r="R75" s="87">
        <v>1</v>
      </c>
      <c r="S75" s="87" t="str">
        <f t="shared" si="17"/>
        <v>obj_002aa#0001</v>
      </c>
      <c r="T75" s="91">
        <f>IFERROR(_xll.qlRateHelperEarliestDate(S75,Trigger),"--")</f>
        <v>42559</v>
      </c>
      <c r="U75" s="91">
        <f>IFERROR(_xll.qlRateHelperPillarDate(S75,Trigger),"--")</f>
        <v>53517</v>
      </c>
      <c r="W75" s="140" t="str">
        <f t="shared" si="20"/>
        <v/>
      </c>
      <c r="X75" s="140" t="e">
        <v>#N/A</v>
      </c>
      <c r="Y75" s="140" t="str">
        <f>IFERROR(_xll.qlRateHelperQuoteName(X75,Trigger),"")</f>
        <v/>
      </c>
      <c r="Z75" s="170" t="str">
        <f>IFERROR(_xll.qlRateHelperRate(X75,Trigger),"")</f>
        <v/>
      </c>
      <c r="AA75" s="171" t="str">
        <f>IF(ISERROR(_xll.qlSwapRateHelperSpread($X75)),IF(ISERROR(_xll.qlFuturesRateHelperConvexityAdjustment($X75)),"",_xll.qlFuturesRateHelperConvexityAdjustment($X75)),_xll.qlSwapRateHelperSpread($X75))</f>
        <v/>
      </c>
      <c r="AB75" s="141" t="str">
        <f>IFERROR(_xll.qlRateHelperEarliestDate(X75,Trigger),"")</f>
        <v/>
      </c>
      <c r="AC75" s="141" t="str">
        <f>IFERROR(_xll.qlRateHelperPillarDate(X75,Trigger),"")</f>
        <v/>
      </c>
      <c r="AD75" s="220" t="e">
        <v>#N/A</v>
      </c>
    </row>
    <row r="76" spans="1:30" ht="11.25" customHeight="1" x14ac:dyDescent="0.2">
      <c r="A76" s="58" t="s">
        <v>115</v>
      </c>
      <c r="B76" s="59" t="s">
        <v>65</v>
      </c>
      <c r="C76" s="60" t="s">
        <v>6</v>
      </c>
      <c r="D76" s="60" t="s">
        <v>140</v>
      </c>
      <c r="E76" s="60" t="s">
        <v>7</v>
      </c>
      <c r="F76" s="60" t="s">
        <v>141</v>
      </c>
      <c r="G76" s="60" t="str">
        <f t="shared" si="18"/>
        <v>GbpLibor1Y</v>
      </c>
      <c r="H76" s="58" t="str">
        <f t="shared" si="19"/>
        <v>GBPSB6L27Y_S6L12L_Quote</v>
      </c>
      <c r="I76" s="118">
        <v>0</v>
      </c>
      <c r="J76" s="223" t="str">
        <f>IF(P72,_xll.qlSwapRateHelper2(,H76,0,B76,Calendar,+D76,E76,F76,G76,I76,C76,Discounting,PillarDate,,Permanent,Trigger,ObjectOverwrite),"--")</f>
        <v>--</v>
      </c>
      <c r="L76" s="226" t="str">
        <f>A80</f>
        <v>BasSw</v>
      </c>
      <c r="M76" s="230" t="str">
        <f t="shared" si="15"/>
        <v>GBPSB6L35Y_S6L12L_Quote</v>
      </c>
      <c r="N76" s="228" t="str">
        <f>IFERROR(_xll.qlQuoteValue(H80,Trigger),"--")</f>
        <v>--</v>
      </c>
      <c r="O76" s="228">
        <f t="shared" si="16"/>
        <v>0</v>
      </c>
      <c r="P76" s="90" t="b">
        <v>0</v>
      </c>
      <c r="Q76" s="87">
        <v>40</v>
      </c>
      <c r="R76" s="87">
        <v>1</v>
      </c>
      <c r="S76" s="87" t="str">
        <f t="shared" si="17"/>
        <v>--</v>
      </c>
      <c r="T76" s="91" t="str">
        <f>IFERROR(_xll.qlRateHelperEarliestDate(S76,Trigger),"--")</f>
        <v>--</v>
      </c>
      <c r="U76" s="91" t="str">
        <f>IFERROR(_xll.qlRateHelperPillarDate(S76,Trigger),"--")</f>
        <v>--</v>
      </c>
      <c r="W76" s="140" t="str">
        <f t="shared" si="20"/>
        <v/>
      </c>
      <c r="X76" s="140" t="e">
        <v>#N/A</v>
      </c>
      <c r="Y76" s="140" t="str">
        <f>IFERROR(_xll.qlRateHelperQuoteName(X76,Trigger),"")</f>
        <v/>
      </c>
      <c r="Z76" s="170" t="str">
        <f>IFERROR(_xll.qlRateHelperRate(X76,Trigger),"")</f>
        <v/>
      </c>
      <c r="AA76" s="171" t="str">
        <f>IF(ISERROR(_xll.qlSwapRateHelperSpread($X76)),IF(ISERROR(_xll.qlFuturesRateHelperConvexityAdjustment($X76)),"",_xll.qlFuturesRateHelperConvexityAdjustment($X76)),_xll.qlSwapRateHelperSpread($X76))</f>
        <v/>
      </c>
      <c r="AB76" s="141" t="str">
        <f>IFERROR(_xll.qlRateHelperEarliestDate(X76,Trigger),"")</f>
        <v/>
      </c>
      <c r="AC76" s="141" t="str">
        <f>IFERROR(_xll.qlRateHelperPillarDate(X76,Trigger),"")</f>
        <v/>
      </c>
      <c r="AD76" s="220" t="e">
        <v>#N/A</v>
      </c>
    </row>
    <row r="77" spans="1:30" ht="11.25" customHeight="1" x14ac:dyDescent="0.2">
      <c r="A77" s="58" t="s">
        <v>115</v>
      </c>
      <c r="B77" s="59" t="s">
        <v>109</v>
      </c>
      <c r="C77" s="60" t="s">
        <v>6</v>
      </c>
      <c r="D77" s="60" t="s">
        <v>140</v>
      </c>
      <c r="E77" s="60" t="s">
        <v>7</v>
      </c>
      <c r="F77" s="60" t="s">
        <v>141</v>
      </c>
      <c r="G77" s="60" t="str">
        <f t="shared" si="18"/>
        <v>GbpLibor1Y</v>
      </c>
      <c r="H77" s="58" t="str">
        <f t="shared" si="19"/>
        <v>GBPSB6L28Y_S6L12L_Quote</v>
      </c>
      <c r="I77" s="118">
        <v>0</v>
      </c>
      <c r="J77" s="223" t="str">
        <f>IF(P73,_xll.qlSwapRateHelper2(,H77,0,B77,Calendar,+D77,E77,F77,G77,I77,C77,Discounting,PillarDate,,Permanent,Trigger,ObjectOverwrite),"--")</f>
        <v>--</v>
      </c>
      <c r="L77" s="226" t="str">
        <f t="shared" si="14"/>
        <v>BasSw</v>
      </c>
      <c r="M77" s="230" t="str">
        <f t="shared" si="15"/>
        <v>GBPSB6L40Y_S6L12L_Quote</v>
      </c>
      <c r="N77" s="228">
        <f>IFERROR(_xll.qlQuoteValue(H81,Trigger),"--")</f>
        <v>1.0720000000026271E-2</v>
      </c>
      <c r="O77" s="228">
        <f t="shared" si="16"/>
        <v>0</v>
      </c>
      <c r="P77" s="90" t="b">
        <v>1</v>
      </c>
      <c r="Q77" s="87">
        <v>40</v>
      </c>
      <c r="R77" s="87">
        <v>1</v>
      </c>
      <c r="S77" s="87" t="str">
        <f t="shared" si="17"/>
        <v>obj_00276#0001</v>
      </c>
      <c r="T77" s="91">
        <f>IFERROR(_xll.qlRateHelperEarliestDate(S77,Trigger),"--")</f>
        <v>42559</v>
      </c>
      <c r="U77" s="91">
        <f>IFERROR(_xll.qlRateHelperPillarDate(S77,Trigger),"--")</f>
        <v>57171</v>
      </c>
      <c r="W77" s="140" t="str">
        <f t="shared" si="20"/>
        <v/>
      </c>
      <c r="X77" s="140" t="e">
        <v>#N/A</v>
      </c>
      <c r="Y77" s="140" t="str">
        <f>IFERROR(_xll.qlRateHelperQuoteName(X77,Trigger),"")</f>
        <v/>
      </c>
      <c r="Z77" s="170" t="str">
        <f>IFERROR(_xll.qlRateHelperRate(X77,Trigger),"")</f>
        <v/>
      </c>
      <c r="AA77" s="171" t="str">
        <f>IF(ISERROR(_xll.qlSwapRateHelperSpread($X77)),IF(ISERROR(_xll.qlFuturesRateHelperConvexityAdjustment($X77)),"",_xll.qlFuturesRateHelperConvexityAdjustment($X77)),_xll.qlSwapRateHelperSpread($X77))</f>
        <v/>
      </c>
      <c r="AB77" s="141" t="str">
        <f>IFERROR(_xll.qlRateHelperEarliestDate(X77,Trigger),"")</f>
        <v/>
      </c>
      <c r="AC77" s="141" t="str">
        <f>IFERROR(_xll.qlRateHelperPillarDate(X77,Trigger),"")</f>
        <v/>
      </c>
      <c r="AD77" s="220" t="e">
        <v>#N/A</v>
      </c>
    </row>
    <row r="78" spans="1:30" ht="11.25" customHeight="1" x14ac:dyDescent="0.2">
      <c r="A78" s="58" t="s">
        <v>115</v>
      </c>
      <c r="B78" s="59" t="s">
        <v>110</v>
      </c>
      <c r="C78" s="60" t="s">
        <v>6</v>
      </c>
      <c r="D78" s="60" t="s">
        <v>140</v>
      </c>
      <c r="E78" s="60" t="s">
        <v>7</v>
      </c>
      <c r="F78" s="60" t="s">
        <v>141</v>
      </c>
      <c r="G78" s="60" t="str">
        <f t="shared" si="18"/>
        <v>GbpLibor1Y</v>
      </c>
      <c r="H78" s="58" t="str">
        <f t="shared" si="19"/>
        <v>GBPSB6L29Y_S6L12L_Quote</v>
      </c>
      <c r="I78" s="118">
        <v>0</v>
      </c>
      <c r="J78" s="223" t="str">
        <f>IF(P74,_xll.qlSwapRateHelper2(,H78,0,B78,Calendar,+D78,E78,F78,G78,I78,C78,Discounting,PillarDate,,Permanent,Trigger,ObjectOverwrite),"--")</f>
        <v>--</v>
      </c>
      <c r="L78" s="226" t="str">
        <f t="shared" si="14"/>
        <v>BasSw</v>
      </c>
      <c r="M78" s="230" t="str">
        <f t="shared" si="15"/>
        <v>GBPSB6L50Y_S6L12L_Quote</v>
      </c>
      <c r="N78" s="228">
        <f>IFERROR(_xll.qlQuoteValue(H82,Trigger),"--")</f>
        <v>1.0220000000018126E-2</v>
      </c>
      <c r="O78" s="228">
        <f t="shared" si="16"/>
        <v>0</v>
      </c>
      <c r="P78" s="90" t="b">
        <v>1</v>
      </c>
      <c r="Q78" s="87">
        <v>40</v>
      </c>
      <c r="R78" s="87">
        <v>1</v>
      </c>
      <c r="S78" s="87" t="str">
        <f t="shared" si="17"/>
        <v>obj_002b9#0001</v>
      </c>
      <c r="T78" s="91">
        <f>IFERROR(_xll.qlRateHelperEarliestDate(S78,Trigger),"--")</f>
        <v>42559</v>
      </c>
      <c r="U78" s="91">
        <f>IFERROR(_xll.qlRateHelperPillarDate(S78,Trigger),"--")</f>
        <v>60821</v>
      </c>
      <c r="W78" s="140" t="str">
        <f t="shared" si="20"/>
        <v/>
      </c>
      <c r="X78" s="140" t="e">
        <v>#N/A</v>
      </c>
      <c r="Y78" s="140" t="str">
        <f>IFERROR(_xll.qlRateHelperQuoteName(X78,Trigger),"")</f>
        <v/>
      </c>
      <c r="Z78" s="170" t="str">
        <f>IFERROR(_xll.qlRateHelperRate(X78,Trigger),"")</f>
        <v/>
      </c>
      <c r="AA78" s="171" t="str">
        <f>IF(ISERROR(_xll.qlSwapRateHelperSpread($X78)),IF(ISERROR(_xll.qlFuturesRateHelperConvexityAdjustment($X78)),"",_xll.qlFuturesRateHelperConvexityAdjustment($X78)),_xll.qlSwapRateHelperSpread($X78))</f>
        <v/>
      </c>
      <c r="AB78" s="141" t="str">
        <f>IFERROR(_xll.qlRateHelperEarliestDate(X78,Trigger),"")</f>
        <v/>
      </c>
      <c r="AC78" s="141" t="str">
        <f>IFERROR(_xll.qlRateHelperPillarDate(X78,Trigger),"")</f>
        <v/>
      </c>
      <c r="AD78" s="220" t="e">
        <v>#N/A</v>
      </c>
    </row>
    <row r="79" spans="1:30" ht="11.25" customHeight="1" x14ac:dyDescent="0.2">
      <c r="A79" s="58" t="s">
        <v>115</v>
      </c>
      <c r="B79" s="59" t="s">
        <v>66</v>
      </c>
      <c r="C79" s="60" t="s">
        <v>6</v>
      </c>
      <c r="D79" s="60" t="s">
        <v>140</v>
      </c>
      <c r="E79" s="60" t="s">
        <v>7</v>
      </c>
      <c r="F79" s="60" t="s">
        <v>141</v>
      </c>
      <c r="G79" s="60" t="str">
        <f t="shared" si="18"/>
        <v>GbpLibor1Y</v>
      </c>
      <c r="H79" s="58" t="str">
        <f t="shared" si="19"/>
        <v>GBPSB6L30Y_S6L12L_Quote</v>
      </c>
      <c r="I79" s="118">
        <v>0</v>
      </c>
      <c r="J79" s="223" t="str">
        <f>IF(P75,_xll.qlSwapRateHelper2(,H79,0,B79,Calendar,+D79,E79,F79,G79,I79,C79,Discounting,PillarDate,,Permanent,Trigger,ObjectOverwrite),"--")</f>
        <v>obj_002aa#0001</v>
      </c>
      <c r="L79" s="231" t="str">
        <f t="shared" ref="L79" si="21">A83</f>
        <v>BasSw</v>
      </c>
      <c r="M79" s="232" t="str">
        <f t="shared" si="15"/>
        <v>GBPSB6L60Y_S6L12L_Quote</v>
      </c>
      <c r="N79" s="233">
        <f>IFERROR(_xll.qlQuoteValue(H83,Trigger),"--")</f>
        <v>1.0110000000005313E-2</v>
      </c>
      <c r="O79" s="233">
        <f t="shared" si="16"/>
        <v>0</v>
      </c>
      <c r="P79" s="92" t="b">
        <v>1</v>
      </c>
      <c r="Q79" s="88">
        <v>40</v>
      </c>
      <c r="R79" s="88">
        <v>1</v>
      </c>
      <c r="S79" s="88" t="str">
        <f t="shared" si="17"/>
        <v>obj_00298#0001</v>
      </c>
      <c r="T79" s="93">
        <f>IFERROR(_xll.qlRateHelperEarliestDate(S79,Trigger),"--")</f>
        <v>42559</v>
      </c>
      <c r="U79" s="93">
        <f>IFERROR(_xll.qlRateHelperPillarDate(S79,Trigger),"--")</f>
        <v>64474</v>
      </c>
      <c r="W79" s="143" t="str">
        <f t="shared" si="20"/>
        <v/>
      </c>
      <c r="X79" s="143" t="e">
        <v>#N/A</v>
      </c>
      <c r="Y79" s="143" t="str">
        <f>IFERROR(_xll.qlRateHelperQuoteName(X79,Trigger),"")</f>
        <v/>
      </c>
      <c r="Z79" s="168" t="str">
        <f>IFERROR(_xll.qlRateHelperRate(X79,Trigger),"")</f>
        <v/>
      </c>
      <c r="AA79" s="169" t="str">
        <f>IF(ISERROR(_xll.qlSwapRateHelperSpread($X79)),IF(ISERROR(_xll.qlFuturesRateHelperConvexityAdjustment($X79)),"",_xll.qlFuturesRateHelperConvexityAdjustment($X79)),_xll.qlSwapRateHelperSpread($X79))</f>
        <v/>
      </c>
      <c r="AB79" s="144" t="str">
        <f>IFERROR(_xll.qlRateHelperEarliestDate(X79,Trigger),"")</f>
        <v/>
      </c>
      <c r="AC79" s="144" t="str">
        <f>IFERROR(_xll.qlRateHelperPillarDate(X79,Trigger),"")</f>
        <v/>
      </c>
      <c r="AD79" s="222" t="e">
        <v>#N/A</v>
      </c>
    </row>
    <row r="80" spans="1:30" ht="11.25" customHeight="1" x14ac:dyDescent="0.2">
      <c r="A80" s="58" t="s">
        <v>115</v>
      </c>
      <c r="B80" s="59" t="s">
        <v>67</v>
      </c>
      <c r="C80" s="60" t="s">
        <v>6</v>
      </c>
      <c r="D80" s="60" t="s">
        <v>140</v>
      </c>
      <c r="E80" s="60" t="s">
        <v>7</v>
      </c>
      <c r="F80" s="60" t="s">
        <v>141</v>
      </c>
      <c r="G80" s="60" t="str">
        <f t="shared" si="18"/>
        <v>GbpLibor1Y</v>
      </c>
      <c r="H80" s="58" t="str">
        <f t="shared" si="19"/>
        <v>GBPSB6L35Y_S6L12L_Quote</v>
      </c>
      <c r="I80" s="118">
        <v>0</v>
      </c>
      <c r="J80" s="223" t="str">
        <f>IF(P76,_xll.qlSwapRateHelper2(,H80,0,B80,Calendar,+D80,E80,F80,G80,I80,C80,Discounting,PillarDate,,Permanent,Trigger,ObjectOverwrite),"--")</f>
        <v>--</v>
      </c>
      <c r="Y80" s="255" t="str">
        <f>_xll.ohGroup(W1&amp;"_instruments",Y3:Y79,Permanent,Trigger,ObjectOverwrite)</f>
        <v>GBP1Y_instruments#0002</v>
      </c>
    </row>
    <row r="81" spans="1:11" x14ac:dyDescent="0.2">
      <c r="A81" s="58" t="s">
        <v>115</v>
      </c>
      <c r="B81" s="59" t="s">
        <v>68</v>
      </c>
      <c r="C81" s="60" t="s">
        <v>6</v>
      </c>
      <c r="D81" s="60" t="s">
        <v>140</v>
      </c>
      <c r="E81" s="60" t="s">
        <v>7</v>
      </c>
      <c r="F81" s="60" t="s">
        <v>141</v>
      </c>
      <c r="G81" s="60" t="str">
        <f t="shared" si="18"/>
        <v>GbpLibor1Y</v>
      </c>
      <c r="H81" s="58" t="str">
        <f t="shared" si="19"/>
        <v>GBPSB6L40Y_S6L12L_Quote</v>
      </c>
      <c r="I81" s="116">
        <v>0</v>
      </c>
      <c r="J81" s="223" t="str">
        <f>IF(P77,_xll.qlSwapRateHelper2(,H81,0,B81,Calendar,+D81,E81,F81,G81,I81,C81,Discounting,PillarDate,,Permanent,Trigger,ObjectOverwrite),"--")</f>
        <v>obj_00276#0001</v>
      </c>
    </row>
    <row r="82" spans="1:11" x14ac:dyDescent="0.2">
      <c r="A82" s="58" t="s">
        <v>115</v>
      </c>
      <c r="B82" s="59" t="s">
        <v>69</v>
      </c>
      <c r="C82" s="60" t="s">
        <v>6</v>
      </c>
      <c r="D82" s="60" t="s">
        <v>140</v>
      </c>
      <c r="E82" s="60" t="s">
        <v>7</v>
      </c>
      <c r="F82" s="60" t="s">
        <v>141</v>
      </c>
      <c r="G82" s="60" t="str">
        <f t="shared" si="18"/>
        <v>GbpLibor1Y</v>
      </c>
      <c r="H82" s="58" t="str">
        <f t="shared" si="19"/>
        <v>GBPSB6L50Y_S6L12L_Quote</v>
      </c>
      <c r="I82" s="116">
        <v>0</v>
      </c>
      <c r="J82" s="223" t="str">
        <f>IF(P78,_xll.qlSwapRateHelper2(,H82,0,B82,Calendar,+D82,E82,F82,G82,I82,C82,Discounting,PillarDate,,Permanent,Trigger,ObjectOverwrite),"--")</f>
        <v>obj_002b9#0001</v>
      </c>
    </row>
    <row r="83" spans="1:11" x14ac:dyDescent="0.2">
      <c r="A83" s="1" t="s">
        <v>115</v>
      </c>
      <c r="B83" s="7" t="s">
        <v>111</v>
      </c>
      <c r="C83" s="6" t="s">
        <v>6</v>
      </c>
      <c r="D83" s="6" t="s">
        <v>140</v>
      </c>
      <c r="E83" s="6" t="s">
        <v>7</v>
      </c>
      <c r="F83" s="6" t="s">
        <v>141</v>
      </c>
      <c r="G83" s="6" t="str">
        <f t="shared" si="18"/>
        <v>GbpLibor1Y</v>
      </c>
      <c r="H83" s="1" t="str">
        <f t="shared" si="19"/>
        <v>GBPSB6L60Y_S6L12L_Quote</v>
      </c>
      <c r="I83" s="119">
        <v>0</v>
      </c>
      <c r="J83" s="224" t="str">
        <f>IF(P79,_xll.qlSwapRateHelper2(,H83,0,B83,Calendar,+D83,E83,F83,G83,I83,C83,Discounting,PillarDate,,Permanent,Trigger,ObjectOverwrite),"--")</f>
        <v>obj_00298#0001</v>
      </c>
    </row>
    <row r="90" spans="1:11" x14ac:dyDescent="0.2">
      <c r="K90" s="46" t="s">
        <v>36</v>
      </c>
    </row>
  </sheetData>
  <mergeCells count="1">
    <mergeCell ref="AG2:AH2"/>
  </mergeCells>
  <dataValidations count="5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">
      <formula1>"Following,Modified Following,Preceding,Modified Preceding,Unadjusted,Half-Month Modified Following"</formula1>
    </dataValidation>
    <dataValidation type="list" allowBlank="1" showInputMessage="1" showErrorMessage="1" sqref="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">
      <formula1>"AllDepos,DeposBeforeFirstFuturesStartDate,DeposBeforeFirstFuturesStartDatePlusOne,DeposBeforeFirstFuturesExpiryDate"</formula1>
    </dataValidation>
    <dataValidation type="list" allowBlank="1" showInputMessage="1" showErrorMessage="1" sqref="P3:P79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GBPON</vt:lpstr>
      <vt:lpstr>GBP3M</vt:lpstr>
      <vt:lpstr>GBP6M</vt:lpstr>
      <vt:lpstr>GBP1M</vt:lpstr>
      <vt:lpstr>GBP1Y</vt:lpstr>
      <vt:lpstr>Calendar</vt:lpstr>
      <vt:lpstr>Currency</vt:lpstr>
      <vt:lpstr>Discounting</vt:lpstr>
      <vt:lpstr>Evaluationdate</vt:lpstr>
      <vt:lpstr>FamilyName</vt:lpstr>
      <vt:lpstr>GBP3M!FuturesType</vt:lpstr>
      <vt:lpstr>GBP1M!IncludeFlag</vt:lpstr>
      <vt:lpstr>GBP1Y!IncludeFlag</vt:lpstr>
      <vt:lpstr>GBP3M!IncludeFlag</vt:lpstr>
      <vt:lpstr>GBP6M!IncludeFlag</vt:lpstr>
      <vt:lpstr>GBPON!IncludeFlag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GBP1M!MinDistance</vt:lpstr>
      <vt:lpstr>GBP1Y!MinDistance</vt:lpstr>
      <vt:lpstr>GBP3M!MinDistance</vt:lpstr>
      <vt:lpstr>GBP6M!MinDistance</vt:lpstr>
      <vt:lpstr>GBPON!MinDistance</vt:lpstr>
      <vt:lpstr>ObjectOverwrite</vt:lpstr>
      <vt:lpstr>Permanent</vt:lpstr>
      <vt:lpstr>PillarDate</vt:lpstr>
      <vt:lpstr>GBP1M!Priority</vt:lpstr>
      <vt:lpstr>GBP1Y!Priority</vt:lpstr>
      <vt:lpstr>GBP3M!Priority</vt:lpstr>
      <vt:lpstr>GBP6M!Priority</vt:lpstr>
      <vt:lpstr>GBPON!Priority</vt:lpstr>
      <vt:lpstr>QuoteSuffix</vt:lpstr>
      <vt:lpstr>GBP1M!RateHelpers</vt:lpstr>
      <vt:lpstr>GBP1Y!RateHelpers</vt:lpstr>
      <vt:lpstr>GBP3M!RateHelpers</vt:lpstr>
      <vt:lpstr>GBP6M!RateHelpers</vt:lpstr>
      <vt:lpstr>GBPON!RateHelpers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GBP1M!Tenor</vt:lpstr>
      <vt:lpstr>GBP1Y!Tenor</vt:lpstr>
      <vt:lpstr>GBP3M!Tenor</vt:lpstr>
      <vt:lpstr>GBP6M!Tenor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2016-07-08T15:06:37Z</dcterms:modified>
</cp:coreProperties>
</file>