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45" windowHeight="12435"/>
  </bookViews>
  <sheets>
    <sheet name="GeneralSettings" sheetId="1" r:id="rId1"/>
    <sheet name="HKDON" sheetId="14" r:id="rId2"/>
    <sheet name="HKD3M" sheetId="15" r:id="rId3"/>
    <sheet name="HKD6M" sheetId="16" r:id="rId4"/>
    <sheet name="HK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HKD1M!$P$3:$P$53</definedName>
    <definedName name="IncludeFlag" localSheetId="2">HKD3M!$P$3:$P$63</definedName>
    <definedName name="IncludeFlag" localSheetId="3">HKD6M!$P$3:$P$60</definedName>
    <definedName name="IncludeFlag" localSheetId="1">HKDON!$P$3:$P$22</definedName>
    <definedName name="JumpDates_1M">HKD1M!$AG$11:$AG$23</definedName>
    <definedName name="JumpDates_3M">HKD3M!$AG$11:$AG$23</definedName>
    <definedName name="JumpDates_6M">HKD6M!$AG$11:$AG$23</definedName>
    <definedName name="JumpDates_ON">HKDON!$AG$11:$AG$23</definedName>
    <definedName name="JumpQuotes_1M">HKD1M!$AM$11:$AM$23</definedName>
    <definedName name="JumpQuotes_3M">HKD3M!$AM$11:$AM$23</definedName>
    <definedName name="JumpQuotes_6M">HKD6M!$AM$11:$AM$23</definedName>
    <definedName name="JumpQuotes_ON">HKDON!$AM$11:$AM$23</definedName>
    <definedName name="JumpSuffix">GeneralSettings!$I$9</definedName>
    <definedName name="MinDistance" localSheetId="4">HKD1M!$R$3:$R$53</definedName>
    <definedName name="MinDistance" localSheetId="2">HKD3M!$R$3:$R$63</definedName>
    <definedName name="MinDistance" localSheetId="3">HKD6M!$R$3:$R$60</definedName>
    <definedName name="MinDistance" localSheetId="1">HKDON!$R$3:$R$22</definedName>
    <definedName name="ObjectOverwrite">GeneralSettings!$D$6</definedName>
    <definedName name="Permanent">GeneralSettings!$D$4</definedName>
    <definedName name="PillarDate">GeneralSettings!$D$8</definedName>
    <definedName name="Priority" localSheetId="4">HKD1M!$Q$3:$Q$53</definedName>
    <definedName name="Priority" localSheetId="2">HKD3M!$Q$3:$Q$63</definedName>
    <definedName name="Priority" localSheetId="3">HKD6M!$Q$3:$Q$60</definedName>
    <definedName name="Priority" localSheetId="1">HKDON!$Q$3:$Q$22</definedName>
    <definedName name="QuoteSuffix">GeneralSettings!$I$8</definedName>
    <definedName name="RateHelpers" localSheetId="4">HKD1M!$S$3:$S$53</definedName>
    <definedName name="RateHelpers" localSheetId="2">HKD3M!$S$3:$S$63</definedName>
    <definedName name="RateHelpers" localSheetId="3">HKD6M!$S$3:$S$60</definedName>
    <definedName name="RateHelpers" localSheetId="1">HKDON!$S$3:$S$22</definedName>
    <definedName name="RateHelpers1M">HKD1M!$X$3:$X$53</definedName>
    <definedName name="RateHelpers3M">HKD3M!$X$3:$X$63</definedName>
    <definedName name="RateHelpers6M">HKD6M!$X$3:$X$60</definedName>
    <definedName name="RateHelpersON">HKDON!$X$3:$X$22</definedName>
    <definedName name="Settlementdate">GeneralSettings!$I$4</definedName>
    <definedName name="Tenor" localSheetId="4">HKD1M!$G$1</definedName>
    <definedName name="Tenor" localSheetId="2">HKD3M!$G$1</definedName>
    <definedName name="Tenor" localSheetId="3">HKD6M!$G$1</definedName>
    <definedName name="Trigger">GeneralSettings!$D$5</definedName>
    <definedName name="YieldCurve_1M">GeneralSettings!$I$29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3" i="14" l="1"/>
  <c r="S32" i="17" l="1"/>
  <c r="S7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J22" i="17"/>
  <c r="S18" i="17" s="1"/>
  <c r="J57" i="17"/>
  <c r="S53" i="17" s="1"/>
  <c r="J56" i="17"/>
  <c r="S52" i="17" s="1"/>
  <c r="J55" i="17"/>
  <c r="S51" i="17" s="1"/>
  <c r="J54" i="17"/>
  <c r="S50" i="17" s="1"/>
  <c r="J53" i="17"/>
  <c r="S49" i="17" s="1"/>
  <c r="J52" i="17"/>
  <c r="S48" i="17" s="1"/>
  <c r="J51" i="17"/>
  <c r="S47" i="17" s="1"/>
  <c r="J50" i="17"/>
  <c r="S46" i="17" s="1"/>
  <c r="J49" i="17"/>
  <c r="S45" i="17" s="1"/>
  <c r="J48" i="17"/>
  <c r="S44" i="17" s="1"/>
  <c r="J47" i="17"/>
  <c r="S43" i="17" s="1"/>
  <c r="J46" i="17"/>
  <c r="S42" i="17" s="1"/>
  <c r="J45" i="17"/>
  <c r="S41" i="17" s="1"/>
  <c r="J44" i="17"/>
  <c r="S40" i="17" s="1"/>
  <c r="J43" i="17"/>
  <c r="S39" i="17" s="1"/>
  <c r="J42" i="17"/>
  <c r="S38" i="17" s="1"/>
  <c r="J41" i="17"/>
  <c r="S37" i="17" s="1"/>
  <c r="J40" i="17"/>
  <c r="S36" i="17" s="1"/>
  <c r="J39" i="17"/>
  <c r="S35" i="17" s="1"/>
  <c r="J37" i="17"/>
  <c r="S33" i="17" s="1"/>
  <c r="J36" i="17"/>
  <c r="J34" i="17"/>
  <c r="S30" i="17" s="1"/>
  <c r="J32" i="17"/>
  <c r="S28" i="17" s="1"/>
  <c r="J31" i="17"/>
  <c r="S27" i="17" s="1"/>
  <c r="J29" i="17"/>
  <c r="S25" i="17" s="1"/>
  <c r="J24" i="17"/>
  <c r="S20" i="17" s="1"/>
  <c r="J16" i="17"/>
  <c r="S14" i="17" s="1"/>
  <c r="J15" i="17"/>
  <c r="S13" i="17" s="1"/>
  <c r="J14" i="17"/>
  <c r="S12" i="17" s="1"/>
  <c r="J13" i="17"/>
  <c r="S11" i="17" s="1"/>
  <c r="J12" i="17"/>
  <c r="S10" i="17" s="1"/>
  <c r="J9" i="17"/>
  <c r="J8" i="17"/>
  <c r="S6" i="17" s="1"/>
  <c r="J7" i="17"/>
  <c r="S5" i="17" s="1"/>
  <c r="J6" i="17"/>
  <c r="S4" i="17" s="1"/>
  <c r="S59" i="16"/>
  <c r="S24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4" i="16"/>
  <c r="S60" i="16" s="1"/>
  <c r="J63" i="16"/>
  <c r="J62" i="16"/>
  <c r="S58" i="16" s="1"/>
  <c r="J61" i="16"/>
  <c r="S57" i="16" s="1"/>
  <c r="J60" i="16"/>
  <c r="S56" i="16" s="1"/>
  <c r="J59" i="16"/>
  <c r="S55" i="16" s="1"/>
  <c r="J58" i="16"/>
  <c r="S54" i="16" s="1"/>
  <c r="J57" i="16"/>
  <c r="S53" i="16" s="1"/>
  <c r="J56" i="16"/>
  <c r="S52" i="16" s="1"/>
  <c r="J55" i="16"/>
  <c r="S51" i="16" s="1"/>
  <c r="J54" i="16"/>
  <c r="S50" i="16" s="1"/>
  <c r="J53" i="16"/>
  <c r="S49" i="16" s="1"/>
  <c r="J52" i="16"/>
  <c r="S48" i="16" s="1"/>
  <c r="J51" i="16"/>
  <c r="S47" i="16" s="1"/>
  <c r="J50" i="16"/>
  <c r="S46" i="16" s="1"/>
  <c r="J49" i="16"/>
  <c r="S45" i="16" s="1"/>
  <c r="J48" i="16"/>
  <c r="S44" i="16" s="1"/>
  <c r="J47" i="16"/>
  <c r="S43" i="16" s="1"/>
  <c r="J46" i="16"/>
  <c r="S42" i="16" s="1"/>
  <c r="J44" i="16"/>
  <c r="S40" i="16" s="1"/>
  <c r="J43" i="16"/>
  <c r="S39" i="16" s="1"/>
  <c r="J42" i="16"/>
  <c r="S38" i="16" s="1"/>
  <c r="J41" i="16"/>
  <c r="S37" i="16" s="1"/>
  <c r="J40" i="16"/>
  <c r="S36" i="16" s="1"/>
  <c r="J39" i="16"/>
  <c r="S35" i="16" s="1"/>
  <c r="J38" i="16"/>
  <c r="S34" i="16" s="1"/>
  <c r="J37" i="16"/>
  <c r="S33" i="16" s="1"/>
  <c r="J36" i="16"/>
  <c r="S32" i="16" s="1"/>
  <c r="J35" i="16"/>
  <c r="S31" i="16" s="1"/>
  <c r="J34" i="16"/>
  <c r="S30" i="16" s="1"/>
  <c r="J31" i="16"/>
  <c r="S27" i="16" s="1"/>
  <c r="J30" i="16"/>
  <c r="S26" i="16" s="1"/>
  <c r="J29" i="16"/>
  <c r="S25" i="16" s="1"/>
  <c r="J28" i="16"/>
  <c r="J27" i="16"/>
  <c r="S23" i="16" s="1"/>
  <c r="J26" i="16"/>
  <c r="S22" i="16" s="1"/>
  <c r="J22" i="16"/>
  <c r="S20" i="16" s="1"/>
  <c r="J21" i="16"/>
  <c r="S19" i="16" s="1"/>
  <c r="J20" i="16"/>
  <c r="S18" i="16" s="1"/>
  <c r="J19" i="16"/>
  <c r="S17" i="16" s="1"/>
  <c r="J18" i="16"/>
  <c r="S16" i="16" s="1"/>
  <c r="J16" i="16"/>
  <c r="S14" i="16" s="1"/>
  <c r="J15" i="16"/>
  <c r="S13" i="16" s="1"/>
  <c r="J14" i="16"/>
  <c r="S12" i="16" s="1"/>
  <c r="J13" i="16"/>
  <c r="S11" i="16" s="1"/>
  <c r="J12" i="16"/>
  <c r="S10" i="16" s="1"/>
  <c r="S46" i="15"/>
  <c r="S45" i="15"/>
  <c r="S38" i="15"/>
  <c r="S31" i="15"/>
  <c r="S12" i="15"/>
  <c r="M63" i="15"/>
  <c r="M62" i="15"/>
  <c r="M61" i="15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12" i="15"/>
  <c r="M11" i="15"/>
  <c r="M10" i="15"/>
  <c r="M9" i="15"/>
  <c r="M8" i="15"/>
  <c r="M7" i="15"/>
  <c r="M6" i="15"/>
  <c r="M5" i="15"/>
  <c r="M4" i="15"/>
  <c r="J69" i="15"/>
  <c r="S63" i="15" s="1"/>
  <c r="J68" i="15"/>
  <c r="S62" i="15" s="1"/>
  <c r="J67" i="15"/>
  <c r="S61" i="15" s="1"/>
  <c r="J66" i="15"/>
  <c r="S60" i="15" s="1"/>
  <c r="J65" i="15"/>
  <c r="S59" i="15" s="1"/>
  <c r="J64" i="15"/>
  <c r="S58" i="15" s="1"/>
  <c r="J62" i="15"/>
  <c r="S56" i="15" s="1"/>
  <c r="J61" i="15"/>
  <c r="S55" i="15" s="1"/>
  <c r="J60" i="15"/>
  <c r="S54" i="15" s="1"/>
  <c r="J59" i="15"/>
  <c r="S53" i="15" s="1"/>
  <c r="J57" i="15"/>
  <c r="S51" i="15" s="1"/>
  <c r="J56" i="15"/>
  <c r="S50" i="15" s="1"/>
  <c r="J54" i="15"/>
  <c r="S48" i="15" s="1"/>
  <c r="J52" i="15"/>
  <c r="J51" i="15"/>
  <c r="J49" i="15"/>
  <c r="S43" i="15" s="1"/>
  <c r="J44" i="15"/>
  <c r="J42" i="15"/>
  <c r="S36" i="15" s="1"/>
  <c r="J21" i="15"/>
  <c r="S17" i="15" s="1"/>
  <c r="J36" i="15"/>
  <c r="S32" i="15" s="1"/>
  <c r="J35" i="15"/>
  <c r="J34" i="15"/>
  <c r="S30" i="15" s="1"/>
  <c r="J33" i="15"/>
  <c r="S29" i="15" s="1"/>
  <c r="J32" i="15"/>
  <c r="S28" i="15" s="1"/>
  <c r="J31" i="15"/>
  <c r="S27" i="15" s="1"/>
  <c r="J30" i="15"/>
  <c r="S26" i="15" s="1"/>
  <c r="J29" i="15"/>
  <c r="S25" i="15" s="1"/>
  <c r="J28" i="15"/>
  <c r="S24" i="15" s="1"/>
  <c r="J27" i="15"/>
  <c r="S23" i="15" s="1"/>
  <c r="J26" i="15"/>
  <c r="S22" i="15" s="1"/>
  <c r="J24" i="15"/>
  <c r="S20" i="15" s="1"/>
  <c r="J23" i="15"/>
  <c r="S19" i="15" s="1"/>
  <c r="J22" i="15"/>
  <c r="S18" i="15" s="1"/>
  <c r="J20" i="15"/>
  <c r="S16" i="15" s="1"/>
  <c r="J18" i="15"/>
  <c r="S14" i="15" s="1"/>
  <c r="J17" i="15"/>
  <c r="S13" i="15" s="1"/>
  <c r="J14" i="15"/>
  <c r="J13" i="15"/>
  <c r="S11" i="15" s="1"/>
  <c r="J12" i="15"/>
  <c r="S10" i="15" s="1"/>
  <c r="J11" i="15"/>
  <c r="S9" i="15" s="1"/>
  <c r="J10" i="15"/>
  <c r="S8" i="15" s="1"/>
  <c r="J9" i="15"/>
  <c r="S7" i="15" s="1"/>
  <c r="J8" i="15"/>
  <c r="S6" i="15" s="1"/>
  <c r="J7" i="15"/>
  <c r="S5" i="15" s="1"/>
  <c r="J6" i="15"/>
  <c r="S4" i="15" s="1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J24" i="14"/>
  <c r="S22" i="14" s="1"/>
  <c r="J23" i="14"/>
  <c r="S21" i="14" s="1"/>
  <c r="J22" i="14"/>
  <c r="S20" i="14" s="1"/>
  <c r="J21" i="14"/>
  <c r="S19" i="14" s="1"/>
  <c r="J19" i="14"/>
  <c r="S17" i="14" s="1"/>
  <c r="J18" i="14"/>
  <c r="S16" i="14" s="1"/>
  <c r="J15" i="14"/>
  <c r="S13" i="14" s="1"/>
  <c r="J8" i="14"/>
  <c r="S6" i="14" s="1"/>
  <c r="J7" i="14"/>
  <c r="S5" i="14" s="1"/>
  <c r="J6" i="14"/>
  <c r="S4" i="14" s="1"/>
  <c r="J11" i="17"/>
  <c r="S9" i="17" s="1"/>
  <c r="J10" i="17"/>
  <c r="S8" i="17" s="1"/>
  <c r="J45" i="16"/>
  <c r="J33" i="16"/>
  <c r="J32" i="16"/>
  <c r="J25" i="15"/>
  <c r="J19" i="15"/>
  <c r="J16" i="14"/>
  <c r="O21" i="17"/>
  <c r="O36" i="17"/>
  <c r="O30" i="17"/>
  <c r="O24" i="17"/>
  <c r="O18" i="17"/>
  <c r="N33" i="17"/>
  <c r="N36" i="17"/>
  <c r="N35" i="17"/>
  <c r="N30" i="17"/>
  <c r="N46" i="17"/>
  <c r="N11" i="17"/>
  <c r="J20" i="17"/>
  <c r="J28" i="17"/>
  <c r="O60" i="16"/>
  <c r="O35" i="16"/>
  <c r="O49" i="16"/>
  <c r="O24" i="16"/>
  <c r="O22" i="16"/>
  <c r="N52" i="16"/>
  <c r="N24" i="16"/>
  <c r="N51" i="16"/>
  <c r="N56" i="16"/>
  <c r="N42" i="16"/>
  <c r="N17" i="16"/>
  <c r="N6" i="16"/>
  <c r="N3" i="16"/>
  <c r="J6" i="16"/>
  <c r="N39" i="15"/>
  <c r="N46" i="15"/>
  <c r="N61" i="15"/>
  <c r="N49" i="15"/>
  <c r="N7" i="15"/>
  <c r="N4" i="15"/>
  <c r="J48" i="15"/>
  <c r="N7" i="14"/>
  <c r="J40" i="15"/>
  <c r="N36" i="16"/>
  <c r="J63" i="15"/>
  <c r="N43" i="15"/>
  <c r="N22" i="14"/>
  <c r="J47" i="15"/>
  <c r="N39" i="17"/>
  <c r="N45" i="16"/>
  <c r="N48" i="15"/>
  <c r="N5" i="15"/>
  <c r="N52" i="17"/>
  <c r="O45" i="16"/>
  <c r="N20" i="16"/>
  <c r="N62" i="15"/>
  <c r="J39" i="15"/>
  <c r="O33" i="17"/>
  <c r="O28" i="17"/>
  <c r="O51" i="17"/>
  <c r="O47" i="17"/>
  <c r="O39" i="17"/>
  <c r="N25" i="17"/>
  <c r="N28" i="17"/>
  <c r="N27" i="17"/>
  <c r="N50" i="17"/>
  <c r="N15" i="17"/>
  <c r="N9" i="17"/>
  <c r="J19" i="17"/>
  <c r="J38" i="17"/>
  <c r="O52" i="16"/>
  <c r="O27" i="16"/>
  <c r="O41" i="16"/>
  <c r="O55" i="16"/>
  <c r="O37" i="16"/>
  <c r="N44" i="16"/>
  <c r="N47" i="16"/>
  <c r="N43" i="16"/>
  <c r="N40" i="16"/>
  <c r="N34" i="16"/>
  <c r="N8" i="16"/>
  <c r="N13" i="16"/>
  <c r="J23" i="16"/>
  <c r="J3" i="16"/>
  <c r="N36" i="15"/>
  <c r="N38" i="15"/>
  <c r="N53" i="15"/>
  <c r="N56" i="15"/>
  <c r="N12" i="15"/>
  <c r="N21" i="14"/>
  <c r="N39" i="16"/>
  <c r="N15" i="16"/>
  <c r="N51" i="15"/>
  <c r="N60" i="15"/>
  <c r="J53" i="15"/>
  <c r="N37" i="15"/>
  <c r="N6" i="15"/>
  <c r="N5" i="14"/>
  <c r="N18" i="14"/>
  <c r="N37" i="17"/>
  <c r="N49" i="16"/>
  <c r="N34" i="15"/>
  <c r="J46" i="15"/>
  <c r="N24" i="17"/>
  <c r="O40" i="16"/>
  <c r="N41" i="16"/>
  <c r="N41" i="15"/>
  <c r="N11" i="15"/>
  <c r="O25" i="17"/>
  <c r="O20" i="17"/>
  <c r="O43" i="17"/>
  <c r="O15" i="17"/>
  <c r="O22" i="17"/>
  <c r="N48" i="17"/>
  <c r="N20" i="17"/>
  <c r="N19" i="17"/>
  <c r="N42" i="17"/>
  <c r="N13" i="17"/>
  <c r="N7" i="17"/>
  <c r="J33" i="17"/>
  <c r="O44" i="16"/>
  <c r="O58" i="16"/>
  <c r="O33" i="16"/>
  <c r="O47" i="16"/>
  <c r="O23" i="16"/>
  <c r="N35" i="16"/>
  <c r="N55" i="16"/>
  <c r="J7" i="16"/>
  <c r="N13" i="14"/>
  <c r="N14" i="14"/>
  <c r="O40" i="17"/>
  <c r="N40" i="17"/>
  <c r="N3" i="17"/>
  <c r="O59" i="16"/>
  <c r="O34" i="16"/>
  <c r="O53" i="16"/>
  <c r="N53" i="16"/>
  <c r="N21" i="16"/>
  <c r="N9" i="14"/>
  <c r="O34" i="17"/>
  <c r="J27" i="17"/>
  <c r="N11" i="16"/>
  <c r="O32" i="17"/>
  <c r="O41" i="17"/>
  <c r="O35" i="17"/>
  <c r="O38" i="17"/>
  <c r="N53" i="17"/>
  <c r="N16" i="17"/>
  <c r="N49" i="17"/>
  <c r="N41" i="17"/>
  <c r="N34" i="17"/>
  <c r="N5" i="17"/>
  <c r="N6" i="17"/>
  <c r="J25" i="17"/>
  <c r="J3" i="17"/>
  <c r="O36" i="16"/>
  <c r="O50" i="16"/>
  <c r="O25" i="16"/>
  <c r="O31" i="16"/>
  <c r="O29" i="16"/>
  <c r="N28" i="16"/>
  <c r="N46" i="16"/>
  <c r="N27" i="16"/>
  <c r="N23" i="16"/>
  <c r="N38" i="16"/>
  <c r="N14" i="16"/>
  <c r="N10" i="16"/>
  <c r="J10" i="16"/>
  <c r="J55" i="15"/>
  <c r="N19" i="14"/>
  <c r="O45" i="17"/>
  <c r="O19" i="17"/>
  <c r="N18" i="17"/>
  <c r="J30" i="17"/>
  <c r="O48" i="16"/>
  <c r="N22" i="16"/>
  <c r="J8" i="16"/>
  <c r="J58" i="15"/>
  <c r="O16" i="17"/>
  <c r="N47" i="17"/>
  <c r="O51" i="16"/>
  <c r="O38" i="16"/>
  <c r="N29" i="16"/>
  <c r="J17" i="16"/>
  <c r="N10" i="14"/>
  <c r="O53" i="17"/>
  <c r="O23" i="17"/>
  <c r="O17" i="17"/>
  <c r="O27" i="17"/>
  <c r="O50" i="17"/>
  <c r="N45" i="17"/>
  <c r="N31" i="17"/>
  <c r="N32" i="17"/>
  <c r="N17" i="17"/>
  <c r="N26" i="17"/>
  <c r="N12" i="17"/>
  <c r="N4" i="17"/>
  <c r="J35" i="17"/>
  <c r="O28" i="16"/>
  <c r="O42" i="16"/>
  <c r="O56" i="16"/>
  <c r="O54" i="16"/>
  <c r="O39" i="16"/>
  <c r="N57" i="16"/>
  <c r="N30" i="16"/>
  <c r="N26" i="16"/>
  <c r="N54" i="16"/>
  <c r="N37" i="16"/>
  <c r="N5" i="16"/>
  <c r="N16" i="16"/>
  <c r="J9" i="16"/>
  <c r="N57" i="15"/>
  <c r="N58" i="15"/>
  <c r="N52" i="15"/>
  <c r="N9" i="15"/>
  <c r="O46" i="17"/>
  <c r="N38" i="17"/>
  <c r="N10" i="17"/>
  <c r="O46" i="16"/>
  <c r="N19" i="16"/>
  <c r="N63" i="15"/>
  <c r="N6" i="14"/>
  <c r="O37" i="17"/>
  <c r="O49" i="17"/>
  <c r="N51" i="17"/>
  <c r="J23" i="17"/>
  <c r="N9" i="16"/>
  <c r="N15" i="14"/>
  <c r="O29" i="17"/>
  <c r="O44" i="17"/>
  <c r="O31" i="17"/>
  <c r="O48" i="17"/>
  <c r="O26" i="17"/>
  <c r="N21" i="17"/>
  <c r="N44" i="17"/>
  <c r="N43" i="17"/>
  <c r="N23" i="17"/>
  <c r="N22" i="17"/>
  <c r="N14" i="17"/>
  <c r="J21" i="17"/>
  <c r="J26" i="17"/>
  <c r="O43" i="16"/>
  <c r="O57" i="16"/>
  <c r="O32" i="16"/>
  <c r="O30" i="16"/>
  <c r="N60" i="16"/>
  <c r="N32" i="16"/>
  <c r="N59" i="16"/>
  <c r="N25" i="16"/>
  <c r="N50" i="16"/>
  <c r="N12" i="16"/>
  <c r="N7" i="16"/>
  <c r="N4" i="16"/>
  <c r="J11" i="16"/>
  <c r="N47" i="15"/>
  <c r="N54" i="15"/>
  <c r="N40" i="15"/>
  <c r="N42" i="15"/>
  <c r="N10" i="15"/>
  <c r="J41" i="15"/>
  <c r="N16" i="14"/>
  <c r="N20" i="14"/>
  <c r="N12" i="14"/>
  <c r="N11" i="14"/>
  <c r="N31" i="16"/>
  <c r="N18" i="16"/>
  <c r="N44" i="15"/>
  <c r="N45" i="15"/>
  <c r="N8" i="15"/>
  <c r="N17" i="14"/>
  <c r="N50" i="15"/>
  <c r="N33" i="15"/>
  <c r="J45" i="15"/>
  <c r="N8" i="14"/>
  <c r="J43" i="15"/>
  <c r="O42" i="17"/>
  <c r="N33" i="16"/>
  <c r="N59" i="15"/>
  <c r="N4" i="14"/>
  <c r="O52" i="17"/>
  <c r="N29" i="17"/>
  <c r="N8" i="17"/>
  <c r="O26" i="16"/>
  <c r="N48" i="16"/>
  <c r="N58" i="16"/>
  <c r="N55" i="15"/>
  <c r="N35" i="15"/>
  <c r="J50" i="15"/>
  <c r="S44" i="15" l="1"/>
  <c r="S37" i="15"/>
  <c r="S39" i="15"/>
  <c r="S35" i="15"/>
  <c r="S9" i="16"/>
  <c r="S22" i="17"/>
  <c r="S17" i="17"/>
  <c r="S19" i="17"/>
  <c r="S7" i="16"/>
  <c r="S31" i="17"/>
  <c r="S15" i="16"/>
  <c r="S52" i="15"/>
  <c r="S6" i="16"/>
  <c r="S26" i="17"/>
  <c r="S49" i="15"/>
  <c r="S8" i="16"/>
  <c r="S3" i="17"/>
  <c r="S21" i="17"/>
  <c r="S23" i="17"/>
  <c r="S5" i="16"/>
  <c r="S29" i="17"/>
  <c r="S40" i="15"/>
  <c r="S47" i="15"/>
  <c r="S3" i="16"/>
  <c r="S21" i="16"/>
  <c r="S34" i="17"/>
  <c r="S15" i="17"/>
  <c r="S33" i="15"/>
  <c r="S41" i="15"/>
  <c r="S57" i="15"/>
  <c r="S34" i="15"/>
  <c r="S42" i="15"/>
  <c r="S4" i="16"/>
  <c r="S24" i="17"/>
  <c r="S16" i="17"/>
  <c r="S41" i="16"/>
  <c r="S29" i="16"/>
  <c r="S28" i="16"/>
  <c r="S21" i="15"/>
  <c r="S15" i="15"/>
  <c r="S3" i="14"/>
  <c r="S14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22" i="16"/>
  <c r="L21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3" i="16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3" i="14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T46" i="16"/>
  <c r="T59" i="16"/>
  <c r="U26" i="16"/>
  <c r="T51" i="16"/>
  <c r="T36" i="16"/>
  <c r="T48" i="16"/>
  <c r="U40" i="16"/>
  <c r="U37" i="16"/>
  <c r="U44" i="16"/>
  <c r="T28" i="16"/>
  <c r="T32" i="16"/>
  <c r="U50" i="16"/>
  <c r="U33" i="16"/>
  <c r="T57" i="16"/>
  <c r="T53" i="16"/>
  <c r="U56" i="16"/>
  <c r="T38" i="16"/>
  <c r="T43" i="16"/>
  <c r="U43" i="16"/>
  <c r="U53" i="16"/>
  <c r="T60" i="16"/>
  <c r="U36" i="16"/>
  <c r="T23" i="16"/>
  <c r="T42" i="16"/>
  <c r="U51" i="16"/>
  <c r="U48" i="16"/>
  <c r="T52" i="16"/>
  <c r="T29" i="16"/>
  <c r="U41" i="16"/>
  <c r="U35" i="16"/>
  <c r="T55" i="16"/>
  <c r="U38" i="16"/>
  <c r="U30" i="16"/>
  <c r="T30" i="16"/>
  <c r="T31" i="16"/>
  <c r="U25" i="16"/>
  <c r="T40" i="16"/>
  <c r="U42" i="16"/>
  <c r="U55" i="16"/>
  <c r="T26" i="16"/>
  <c r="U59" i="16"/>
  <c r="T39" i="16"/>
  <c r="U49" i="16"/>
  <c r="T45" i="16"/>
  <c r="T35" i="16"/>
  <c r="T47" i="16"/>
  <c r="T33" i="16"/>
  <c r="U45" i="16"/>
  <c r="T50" i="16"/>
  <c r="T25" i="16"/>
  <c r="U54" i="16"/>
  <c r="U29" i="16"/>
  <c r="T54" i="16"/>
  <c r="U34" i="16"/>
  <c r="U27" i="16"/>
  <c r="T37" i="16"/>
  <c r="U31" i="16"/>
  <c r="U23" i="16"/>
  <c r="U52" i="16"/>
  <c r="T24" i="16"/>
  <c r="T56" i="16"/>
  <c r="T49" i="16"/>
  <c r="U39" i="16"/>
  <c r="U32" i="16"/>
  <c r="T34" i="16"/>
  <c r="T44" i="16"/>
  <c r="T27" i="16"/>
  <c r="U47" i="16"/>
  <c r="U60" i="16"/>
  <c r="U57" i="16"/>
  <c r="U24" i="16"/>
  <c r="U28" i="16"/>
  <c r="T41" i="16"/>
  <c r="T58" i="16"/>
  <c r="U46" i="16"/>
  <c r="U58" i="16"/>
  <c r="L33" i="15" l="1"/>
  <c r="L34" i="15"/>
  <c r="T22" i="16"/>
  <c r="U22" i="16"/>
  <c r="L16" i="17" l="1"/>
  <c r="L15" i="17"/>
  <c r="G20" i="17"/>
  <c r="G19" i="17"/>
  <c r="H16" i="17"/>
  <c r="H15" i="17"/>
  <c r="H14" i="17"/>
  <c r="H13" i="17"/>
  <c r="H12" i="17"/>
  <c r="H11" i="17"/>
  <c r="H10" i="17"/>
  <c r="H9" i="17"/>
  <c r="H8" i="17"/>
  <c r="H7" i="17"/>
  <c r="H6" i="17"/>
  <c r="H3" i="17"/>
  <c r="H3" i="15"/>
  <c r="H3" i="16"/>
  <c r="N3" i="15"/>
  <c r="T16" i="17"/>
  <c r="U16" i="17"/>
  <c r="U15" i="17"/>
  <c r="T15" i="17"/>
  <c r="M3" i="15" l="1"/>
  <c r="H40" i="15"/>
  <c r="H39" i="15"/>
  <c r="G40" i="15"/>
  <c r="G39" i="15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J12" i="14"/>
  <c r="J11" i="14"/>
  <c r="J9" i="14"/>
  <c r="J13" i="14"/>
  <c r="J10" i="14"/>
  <c r="J14" i="14"/>
  <c r="J17" i="14"/>
  <c r="J20" i="14"/>
  <c r="S18" i="14" l="1"/>
  <c r="S15" i="14"/>
  <c r="S12" i="14"/>
  <c r="S8" i="14"/>
  <c r="S11" i="14"/>
  <c r="S7" i="14"/>
  <c r="S9" i="14"/>
  <c r="S10" i="14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6" i="17"/>
  <c r="G15" i="17"/>
  <c r="G14" i="17"/>
  <c r="G13" i="17"/>
  <c r="G12" i="17"/>
  <c r="G11" i="17"/>
  <c r="G10" i="17"/>
  <c r="G9" i="17"/>
  <c r="G8" i="17"/>
  <c r="G7" i="17"/>
  <c r="G6" i="17"/>
  <c r="G3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4" i="15"/>
  <c r="G13" i="15"/>
  <c r="G12" i="15"/>
  <c r="G11" i="15"/>
  <c r="G10" i="15"/>
  <c r="G9" i="15"/>
  <c r="G8" i="15"/>
  <c r="G7" i="15"/>
  <c r="G6" i="15"/>
  <c r="T46" i="17"/>
  <c r="U42" i="17"/>
  <c r="U30" i="17"/>
  <c r="U18" i="17"/>
  <c r="AJ17" i="16"/>
  <c r="T37" i="17"/>
  <c r="U47" i="17"/>
  <c r="T34" i="15"/>
  <c r="AJ23" i="17"/>
  <c r="U34" i="15"/>
  <c r="AJ20" i="17"/>
  <c r="T20" i="17"/>
  <c r="T36" i="17"/>
  <c r="T33" i="15"/>
  <c r="T30" i="17"/>
  <c r="T50" i="17"/>
  <c r="AJ15" i="17"/>
  <c r="AJ22" i="16"/>
  <c r="AJ13" i="16"/>
  <c r="AJ16" i="17"/>
  <c r="T32" i="17"/>
  <c r="T33" i="17"/>
  <c r="AJ17" i="17"/>
  <c r="AJ13" i="15"/>
  <c r="AJ18" i="16"/>
  <c r="T48" i="17"/>
  <c r="U41" i="17"/>
  <c r="AJ12" i="15"/>
  <c r="AJ12" i="16"/>
  <c r="AJ16" i="15"/>
  <c r="AJ18" i="15"/>
  <c r="U48" i="17"/>
  <c r="AJ19" i="15"/>
  <c r="T45" i="17"/>
  <c r="AJ18" i="17"/>
  <c r="AJ21" i="17"/>
  <c r="AJ22" i="17"/>
  <c r="T18" i="17"/>
  <c r="AJ11" i="17"/>
  <c r="AJ14" i="17"/>
  <c r="AJ22" i="15"/>
  <c r="AJ13" i="17"/>
  <c r="AJ17" i="15"/>
  <c r="AJ11" i="15"/>
  <c r="U20" i="17"/>
  <c r="U33" i="17"/>
  <c r="AJ20" i="16"/>
  <c r="T43" i="17"/>
  <c r="AJ21" i="16"/>
  <c r="T35" i="17"/>
  <c r="AJ12" i="17"/>
  <c r="U46" i="17"/>
  <c r="AJ14" i="16"/>
  <c r="U50" i="17"/>
  <c r="U35" i="17"/>
  <c r="AJ11" i="16"/>
  <c r="AJ14" i="15"/>
  <c r="T38" i="17"/>
  <c r="T40" i="17"/>
  <c r="U45" i="17"/>
  <c r="U36" i="17"/>
  <c r="AJ19" i="16"/>
  <c r="U33" i="15"/>
  <c r="AJ21" i="15"/>
  <c r="AJ15" i="15"/>
  <c r="AJ15" i="16"/>
  <c r="T42" i="17"/>
  <c r="AJ23" i="16"/>
  <c r="U38" i="17"/>
  <c r="AJ23" i="15"/>
  <c r="U43" i="17"/>
  <c r="AJ19" i="17"/>
  <c r="U37" i="17"/>
  <c r="AJ16" i="16"/>
  <c r="U32" i="17"/>
  <c r="T47" i="17"/>
  <c r="T41" i="17"/>
  <c r="AJ20" i="15"/>
  <c r="U40" i="17"/>
  <c r="G3" i="15" l="1"/>
  <c r="J3" i="15"/>
  <c r="T17" i="17"/>
  <c r="U17" i="17"/>
  <c r="T19" i="17"/>
  <c r="U19" i="17"/>
  <c r="S3" i="15" l="1"/>
  <c r="I31" i="1"/>
  <c r="D31" i="1"/>
  <c r="I15" i="1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W1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4" i="14"/>
  <c r="D15" i="1"/>
  <c r="AJ18" i="14"/>
  <c r="AJ20" i="14"/>
  <c r="AJ15" i="14"/>
  <c r="AJ21" i="14"/>
  <c r="AJ11" i="14"/>
  <c r="AJ12" i="14"/>
  <c r="AJ14" i="14"/>
  <c r="AJ23" i="14"/>
  <c r="AJ22" i="14"/>
  <c r="AJ16" i="14"/>
  <c r="AJ17" i="14"/>
  <c r="AJ19" i="14"/>
  <c r="AJ13" i="14"/>
  <c r="L5" i="17" l="1"/>
  <c r="L6" i="17"/>
  <c r="L7" i="17"/>
  <c r="L8" i="17"/>
  <c r="L9" i="17"/>
  <c r="L10" i="17"/>
  <c r="L11" i="17"/>
  <c r="L12" i="17"/>
  <c r="L13" i="17"/>
  <c r="L14" i="17"/>
  <c r="L4" i="17"/>
  <c r="L3" i="17"/>
  <c r="C3" i="17"/>
  <c r="W1" i="17"/>
  <c r="L18" i="16"/>
  <c r="L19" i="16"/>
  <c r="L20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4" i="16"/>
  <c r="L3" i="16"/>
  <c r="C16" i="16"/>
  <c r="H16" i="16" s="1"/>
  <c r="C17" i="16"/>
  <c r="H17" i="16" s="1"/>
  <c r="C18" i="16"/>
  <c r="H18" i="16" s="1"/>
  <c r="C19" i="16"/>
  <c r="H19" i="16" s="1"/>
  <c r="C20" i="16"/>
  <c r="H20" i="16" s="1"/>
  <c r="C21" i="16"/>
  <c r="H21" i="16" s="1"/>
  <c r="C22" i="16"/>
  <c r="H22" i="16" s="1"/>
  <c r="C23" i="16"/>
  <c r="H23" i="16" s="1"/>
  <c r="C3" i="16"/>
  <c r="C15" i="16"/>
  <c r="H15" i="16" s="1"/>
  <c r="C14" i="16"/>
  <c r="H14" i="16" s="1"/>
  <c r="C13" i="16"/>
  <c r="H13" i="16" s="1"/>
  <c r="C12" i="16"/>
  <c r="H12" i="16" s="1"/>
  <c r="C11" i="16"/>
  <c r="H11" i="16" s="1"/>
  <c r="C10" i="16"/>
  <c r="H10" i="16" s="1"/>
  <c r="C9" i="16"/>
  <c r="H9" i="16" s="1"/>
  <c r="C8" i="16"/>
  <c r="H8" i="16" s="1"/>
  <c r="C7" i="16"/>
  <c r="H7" i="16" s="1"/>
  <c r="C6" i="16"/>
  <c r="H6" i="16" s="1"/>
  <c r="W1" i="16"/>
  <c r="L35" i="15" l="1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13" i="15"/>
  <c r="L5" i="15"/>
  <c r="L6" i="15"/>
  <c r="L7" i="15"/>
  <c r="L8" i="15"/>
  <c r="L9" i="15"/>
  <c r="L10" i="15"/>
  <c r="L11" i="15"/>
  <c r="L12" i="15"/>
  <c r="L4" i="15"/>
  <c r="L3" i="15"/>
  <c r="C14" i="15"/>
  <c r="H14" i="15" s="1"/>
  <c r="C13" i="15"/>
  <c r="H13" i="15" s="1"/>
  <c r="C12" i="15"/>
  <c r="H12" i="15" s="1"/>
  <c r="C11" i="15"/>
  <c r="H11" i="15" s="1"/>
  <c r="C10" i="15"/>
  <c r="H10" i="15" s="1"/>
  <c r="C9" i="15"/>
  <c r="H9" i="15" s="1"/>
  <c r="C8" i="15"/>
  <c r="H8" i="15" s="1"/>
  <c r="C7" i="15"/>
  <c r="H7" i="15" s="1"/>
  <c r="C6" i="15"/>
  <c r="H6" i="15" s="1"/>
  <c r="C3" i="15"/>
  <c r="W1" i="15"/>
  <c r="L3" i="14"/>
  <c r="H3" i="14"/>
  <c r="N3" i="14"/>
  <c r="U14" i="16"/>
  <c r="U17" i="16"/>
  <c r="U4" i="15"/>
  <c r="T10" i="16"/>
  <c r="T7" i="16"/>
  <c r="T4" i="15"/>
  <c r="U55" i="15"/>
  <c r="U4" i="16"/>
  <c r="U8" i="16"/>
  <c r="T3" i="15"/>
  <c r="U9" i="16"/>
  <c r="U6" i="15"/>
  <c r="T3" i="16"/>
  <c r="T6" i="15"/>
  <c r="U9" i="15"/>
  <c r="U3" i="15"/>
  <c r="U21" i="16"/>
  <c r="T18" i="16"/>
  <c r="U15" i="16"/>
  <c r="U16" i="16"/>
  <c r="T5" i="15"/>
  <c r="T11" i="15"/>
  <c r="U11" i="15"/>
  <c r="U10" i="15"/>
  <c r="U13" i="16"/>
  <c r="T3" i="17"/>
  <c r="X3" i="16" a="1"/>
  <c r="T36" i="15"/>
  <c r="U18" i="16"/>
  <c r="U7" i="15"/>
  <c r="T19" i="16"/>
  <c r="U20" i="16"/>
  <c r="T11" i="16"/>
  <c r="T12" i="16"/>
  <c r="T13" i="16"/>
  <c r="T38" i="15"/>
  <c r="T4" i="16"/>
  <c r="T6" i="16"/>
  <c r="U50" i="15"/>
  <c r="T55" i="15"/>
  <c r="U19" i="16"/>
  <c r="T17" i="16"/>
  <c r="T8" i="15"/>
  <c r="U35" i="15"/>
  <c r="T37" i="15"/>
  <c r="U37" i="15"/>
  <c r="T12" i="15"/>
  <c r="T35" i="15"/>
  <c r="T20" i="16"/>
  <c r="T16" i="16"/>
  <c r="U5" i="16"/>
  <c r="T21" i="16"/>
  <c r="U53" i="15"/>
  <c r="U5" i="15"/>
  <c r="U12" i="15"/>
  <c r="T5" i="16"/>
  <c r="U54" i="15"/>
  <c r="T15" i="16"/>
  <c r="T9" i="16"/>
  <c r="U36" i="15"/>
  <c r="T7" i="15"/>
  <c r="T53" i="15"/>
  <c r="T14" i="16"/>
  <c r="T50" i="15"/>
  <c r="U6" i="16"/>
  <c r="U7" i="16"/>
  <c r="T54" i="15"/>
  <c r="T8" i="16"/>
  <c r="T10" i="15"/>
  <c r="U12" i="16"/>
  <c r="U3" i="16"/>
  <c r="T9" i="15"/>
  <c r="U3" i="17"/>
  <c r="U38" i="15"/>
  <c r="U10" i="16"/>
  <c r="U11" i="16"/>
  <c r="U8" i="15"/>
  <c r="M3" i="14" l="1"/>
  <c r="X58" i="16"/>
  <c r="X59" i="16"/>
  <c r="X60" i="16"/>
  <c r="X6" i="16"/>
  <c r="X15" i="16"/>
  <c r="X24" i="16"/>
  <c r="X33" i="16"/>
  <c r="X3" i="16"/>
  <c r="X4" i="16"/>
  <c r="X5" i="16"/>
  <c r="X14" i="16"/>
  <c r="X23" i="16"/>
  <c r="X32" i="16"/>
  <c r="X41" i="16"/>
  <c r="X10" i="16"/>
  <c r="X27" i="16"/>
  <c r="X44" i="16"/>
  <c r="X22" i="16"/>
  <c r="X47" i="16"/>
  <c r="X17" i="16"/>
  <c r="X18" i="16"/>
  <c r="X35" i="16"/>
  <c r="X52" i="16"/>
  <c r="X30" i="16"/>
  <c r="X55" i="16"/>
  <c r="X25" i="16"/>
  <c r="X26" i="16"/>
  <c r="X43" i="16"/>
  <c r="X13" i="16"/>
  <c r="X38" i="16"/>
  <c r="X8" i="16"/>
  <c r="X49" i="16"/>
  <c r="X34" i="16"/>
  <c r="X51" i="16"/>
  <c r="X21" i="16"/>
  <c r="X46" i="16"/>
  <c r="X16" i="16"/>
  <c r="X57" i="16"/>
  <c r="X42" i="16"/>
  <c r="X12" i="16"/>
  <c r="X29" i="16"/>
  <c r="X54" i="16"/>
  <c r="X40" i="16"/>
  <c r="X20" i="16"/>
  <c r="X39" i="16"/>
  <c r="X28" i="16"/>
  <c r="X48" i="16"/>
  <c r="X36" i="16"/>
  <c r="X56" i="16"/>
  <c r="X37" i="16"/>
  <c r="X9" i="16"/>
  <c r="X45" i="16"/>
  <c r="X50" i="16"/>
  <c r="X53" i="16"/>
  <c r="X11" i="16"/>
  <c r="X7" i="16"/>
  <c r="X19" i="16"/>
  <c r="X31" i="16"/>
  <c r="AA28" i="16"/>
  <c r="U49" i="15"/>
  <c r="Y42" i="16"/>
  <c r="AC49" i="16"/>
  <c r="T24" i="17"/>
  <c r="AA51" i="16"/>
  <c r="AC32" i="16"/>
  <c r="AC25" i="16"/>
  <c r="Y20" i="16"/>
  <c r="Z39" i="16"/>
  <c r="Y53" i="16"/>
  <c r="U4" i="17"/>
  <c r="AB34" i="16"/>
  <c r="AA12" i="16"/>
  <c r="Y54" i="16"/>
  <c r="AC55" i="16"/>
  <c r="AA54" i="16"/>
  <c r="Z37" i="16"/>
  <c r="AC34" i="16"/>
  <c r="AC50" i="16"/>
  <c r="AB38" i="16"/>
  <c r="Y52" i="16"/>
  <c r="AA56" i="16"/>
  <c r="AC7" i="16"/>
  <c r="T47" i="15"/>
  <c r="AB47" i="16"/>
  <c r="Z33" i="16"/>
  <c r="AB32" i="16"/>
  <c r="AC33" i="16"/>
  <c r="AC24" i="16"/>
  <c r="Y26" i="16"/>
  <c r="AA36" i="16"/>
  <c r="U58" i="15"/>
  <c r="AA44" i="16"/>
  <c r="AC29" i="16"/>
  <c r="Y55" i="16"/>
  <c r="Z19" i="16"/>
  <c r="T61" i="15"/>
  <c r="Y38" i="16"/>
  <c r="T28" i="17"/>
  <c r="Z46" i="16"/>
  <c r="AC14" i="16"/>
  <c r="Z30" i="16"/>
  <c r="AA7" i="16"/>
  <c r="Y45" i="16"/>
  <c r="Z52" i="16"/>
  <c r="AB25" i="16"/>
  <c r="Y22" i="16"/>
  <c r="Y12" i="16"/>
  <c r="AB18" i="16"/>
  <c r="AC54" i="16"/>
  <c r="AC52" i="16"/>
  <c r="AA27" i="16"/>
  <c r="AC13" i="16"/>
  <c r="AB43" i="16"/>
  <c r="Z51" i="16"/>
  <c r="AB42" i="16"/>
  <c r="AA48" i="16"/>
  <c r="AB7" i="16"/>
  <c r="AB39" i="16"/>
  <c r="AB41" i="16"/>
  <c r="AC5" i="16"/>
  <c r="AA34" i="16"/>
  <c r="U28" i="17"/>
  <c r="AA32" i="16"/>
  <c r="AC6" i="16"/>
  <c r="Z41" i="16"/>
  <c r="AB55" i="16"/>
  <c r="Y24" i="16"/>
  <c r="T53" i="17"/>
  <c r="AC56" i="16"/>
  <c r="AB52" i="16"/>
  <c r="Z32" i="16"/>
  <c r="AB36" i="16"/>
  <c r="AB27" i="16"/>
  <c r="Y8" i="16"/>
  <c r="AA58" i="16"/>
  <c r="Z35" i="16"/>
  <c r="T34" i="17"/>
  <c r="AC45" i="16"/>
  <c r="AC21" i="16"/>
  <c r="U22" i="17"/>
  <c r="AB29" i="16"/>
  <c r="AA10" i="16"/>
  <c r="T44" i="17"/>
  <c r="AB22" i="16"/>
  <c r="AA17" i="16"/>
  <c r="Z20" i="16"/>
  <c r="U23" i="17"/>
  <c r="AA39" i="16"/>
  <c r="Z34" i="16"/>
  <c r="Z28" i="16"/>
  <c r="AA13" i="16"/>
  <c r="Y49" i="16"/>
  <c r="AC60" i="16"/>
  <c r="AA55" i="16"/>
  <c r="AA6" i="16"/>
  <c r="AA19" i="16"/>
  <c r="Y48" i="16"/>
  <c r="Y40" i="16"/>
  <c r="Y35" i="16"/>
  <c r="AB49" i="16"/>
  <c r="T31" i="17"/>
  <c r="AB58" i="16"/>
  <c r="AA14" i="16"/>
  <c r="AC41" i="16"/>
  <c r="AA37" i="16"/>
  <c r="Y6" i="16"/>
  <c r="U39" i="17"/>
  <c r="T21" i="17"/>
  <c r="Y32" i="16"/>
  <c r="AB20" i="16"/>
  <c r="Z12" i="16"/>
  <c r="AA22" i="16"/>
  <c r="AB15" i="16"/>
  <c r="AC4" i="16"/>
  <c r="U61" i="15"/>
  <c r="Z29" i="16"/>
  <c r="Z18" i="16"/>
  <c r="Y33" i="16"/>
  <c r="Z47" i="16"/>
  <c r="AA46" i="16"/>
  <c r="AC59" i="16"/>
  <c r="AC16" i="16"/>
  <c r="AA20" i="16"/>
  <c r="AA26" i="16"/>
  <c r="AC58" i="16"/>
  <c r="AB50" i="16"/>
  <c r="AB51" i="16"/>
  <c r="Z45" i="16"/>
  <c r="AB5" i="16"/>
  <c r="AB57" i="16"/>
  <c r="T52" i="17"/>
  <c r="AA40" i="16"/>
  <c r="AA33" i="16"/>
  <c r="AB13" i="16"/>
  <c r="Z42" i="16"/>
  <c r="AB31" i="16"/>
  <c r="AC27" i="16"/>
  <c r="AB4" i="16"/>
  <c r="AA57" i="16"/>
  <c r="Y36" i="16"/>
  <c r="T59" i="15"/>
  <c r="AA15" i="16"/>
  <c r="AC53" i="16"/>
  <c r="AA4" i="16"/>
  <c r="Y31" i="16"/>
  <c r="Y18" i="16"/>
  <c r="T26" i="17"/>
  <c r="AC36" i="16"/>
  <c r="AC42" i="16"/>
  <c r="Z7" i="16"/>
  <c r="Y30" i="16"/>
  <c r="T58" i="15"/>
  <c r="AA43" i="16"/>
  <c r="T49" i="17"/>
  <c r="T22" i="17"/>
  <c r="U47" i="15"/>
  <c r="AB28" i="16"/>
  <c r="Y25" i="16"/>
  <c r="AA60" i="16"/>
  <c r="AC44" i="16"/>
  <c r="Z11" i="16"/>
  <c r="AB9" i="16"/>
  <c r="AB12" i="16"/>
  <c r="AA41" i="16"/>
  <c r="AB54" i="16"/>
  <c r="U27" i="17"/>
  <c r="T23" i="17"/>
  <c r="Z50" i="16"/>
  <c r="Z38" i="16"/>
  <c r="Z9" i="16"/>
  <c r="Z6" i="16"/>
  <c r="AA24" i="16"/>
  <c r="Z40" i="16"/>
  <c r="Z55" i="16"/>
  <c r="AA16" i="16"/>
  <c r="AA50" i="16"/>
  <c r="AC39" i="16"/>
  <c r="U34" i="17"/>
  <c r="Y41" i="16"/>
  <c r="U52" i="15"/>
  <c r="Z13" i="16"/>
  <c r="AA29" i="16"/>
  <c r="Z26" i="16"/>
  <c r="AB40" i="16"/>
  <c r="X3" i="17" a="1"/>
  <c r="T39" i="17"/>
  <c r="Y10" i="16"/>
  <c r="Y13" i="16"/>
  <c r="AA42" i="16"/>
  <c r="AC35" i="16"/>
  <c r="Z58" i="16"/>
  <c r="AC38" i="16"/>
  <c r="AC31" i="16"/>
  <c r="AA45" i="16"/>
  <c r="Z8" i="16"/>
  <c r="AA52" i="16"/>
  <c r="U59" i="15"/>
  <c r="T49" i="15"/>
  <c r="U21" i="17"/>
  <c r="AC46" i="16"/>
  <c r="AA31" i="16"/>
  <c r="Y5" i="16"/>
  <c r="Y34" i="16"/>
  <c r="AC8" i="16"/>
  <c r="Y46" i="16"/>
  <c r="Z49" i="16"/>
  <c r="AC9" i="16"/>
  <c r="AA38" i="16"/>
  <c r="Z44" i="16"/>
  <c r="Y14" i="16"/>
  <c r="AA21" i="16"/>
  <c r="Z14" i="16"/>
  <c r="Z16" i="16"/>
  <c r="Z15" i="16"/>
  <c r="U29" i="17"/>
  <c r="AB37" i="16"/>
  <c r="Z31" i="16"/>
  <c r="Y17" i="16"/>
  <c r="Y51" i="16"/>
  <c r="AB6" i="16"/>
  <c r="Z43" i="16"/>
  <c r="Z60" i="16"/>
  <c r="Y4" i="16"/>
  <c r="AC20" i="16"/>
  <c r="Y59" i="16"/>
  <c r="Z21" i="16"/>
  <c r="AC23" i="16"/>
  <c r="AA11" i="16"/>
  <c r="AB23" i="16"/>
  <c r="T51" i="17"/>
  <c r="T57" i="15"/>
  <c r="AB16" i="16"/>
  <c r="Y50" i="16"/>
  <c r="Y58" i="16"/>
  <c r="Y21" i="16"/>
  <c r="AA59" i="16"/>
  <c r="U24" i="17"/>
  <c r="AC30" i="16"/>
  <c r="Y43" i="16"/>
  <c r="T27" i="17"/>
  <c r="Z53" i="16"/>
  <c r="AC12" i="16"/>
  <c r="AC57" i="16"/>
  <c r="AB35" i="16"/>
  <c r="Z22" i="16"/>
  <c r="Y37" i="16"/>
  <c r="Y56" i="16"/>
  <c r="AA53" i="16"/>
  <c r="AC11" i="16"/>
  <c r="AA18" i="16"/>
  <c r="Y16" i="16"/>
  <c r="Y60" i="16"/>
  <c r="AB53" i="16"/>
  <c r="U57" i="15"/>
  <c r="AC10" i="16"/>
  <c r="AB14" i="16"/>
  <c r="AA23" i="16"/>
  <c r="Y57" i="16"/>
  <c r="AB10" i="16"/>
  <c r="Z27" i="16"/>
  <c r="Y29" i="16"/>
  <c r="Z57" i="16"/>
  <c r="U26" i="17"/>
  <c r="AB60" i="16"/>
  <c r="Z59" i="16"/>
  <c r="Z48" i="16"/>
  <c r="T29" i="17"/>
  <c r="AC51" i="16"/>
  <c r="Z4" i="16"/>
  <c r="AC47" i="16"/>
  <c r="U31" i="17"/>
  <c r="AA25" i="16"/>
  <c r="AB48" i="16"/>
  <c r="AC43" i="16"/>
  <c r="AB26" i="16"/>
  <c r="U51" i="17"/>
  <c r="U25" i="17"/>
  <c r="Z17" i="16"/>
  <c r="Y15" i="16"/>
  <c r="Y9" i="16"/>
  <c r="Y44" i="16"/>
  <c r="AB56" i="16"/>
  <c r="AB33" i="16"/>
  <c r="Z56" i="16"/>
  <c r="Z24" i="16"/>
  <c r="AB11" i="16"/>
  <c r="AA5" i="16"/>
  <c r="Y47" i="16"/>
  <c r="AB30" i="16"/>
  <c r="Y19" i="16"/>
  <c r="T25" i="17"/>
  <c r="AB24" i="16"/>
  <c r="AC18" i="16"/>
  <c r="AC26" i="16"/>
  <c r="AC40" i="16"/>
  <c r="AC48" i="16"/>
  <c r="AB46" i="16"/>
  <c r="AC22" i="16"/>
  <c r="Z54" i="16"/>
  <c r="Z5" i="16"/>
  <c r="AA30" i="16"/>
  <c r="AC28" i="16"/>
  <c r="Y28" i="16"/>
  <c r="T52" i="15"/>
  <c r="AC17" i="16"/>
  <c r="AB8" i="16"/>
  <c r="AB19" i="16"/>
  <c r="Y27" i="16"/>
  <c r="AA35" i="16"/>
  <c r="T4" i="17"/>
  <c r="U53" i="17"/>
  <c r="AC15" i="16"/>
  <c r="Z10" i="16"/>
  <c r="U52" i="17"/>
  <c r="AA47" i="16"/>
  <c r="AB17" i="16"/>
  <c r="AB21" i="16"/>
  <c r="Y23" i="16"/>
  <c r="AB44" i="16"/>
  <c r="AA8" i="16"/>
  <c r="Y7" i="16"/>
  <c r="AC19" i="16"/>
  <c r="Z36" i="16"/>
  <c r="Z25" i="16"/>
  <c r="AB45" i="16"/>
  <c r="AA49" i="16"/>
  <c r="AC37" i="16"/>
  <c r="Y11" i="16"/>
  <c r="Y39" i="16"/>
  <c r="Z23" i="16"/>
  <c r="U49" i="17"/>
  <c r="U44" i="17"/>
  <c r="AA9" i="16"/>
  <c r="AB59" i="16"/>
  <c r="W7" i="16" l="1"/>
  <c r="W36" i="16"/>
  <c r="W12" i="16"/>
  <c r="W49" i="16"/>
  <c r="W30" i="16"/>
  <c r="W27" i="16"/>
  <c r="W11" i="16"/>
  <c r="W48" i="16"/>
  <c r="W42" i="16"/>
  <c r="W8" i="16"/>
  <c r="W52" i="16"/>
  <c r="W10" i="16"/>
  <c r="W33" i="16"/>
  <c r="W53" i="16"/>
  <c r="W28" i="16"/>
  <c r="W57" i="16"/>
  <c r="W38" i="16"/>
  <c r="W35" i="16"/>
  <c r="W41" i="16"/>
  <c r="W24" i="16"/>
  <c r="W50" i="16"/>
  <c r="W39" i="16"/>
  <c r="W16" i="16"/>
  <c r="W13" i="16"/>
  <c r="W18" i="16"/>
  <c r="W32" i="16"/>
  <c r="W15" i="16"/>
  <c r="W45" i="16"/>
  <c r="W20" i="16"/>
  <c r="W46" i="16"/>
  <c r="W43" i="16"/>
  <c r="W17" i="16"/>
  <c r="W23" i="16"/>
  <c r="W6" i="16"/>
  <c r="W9" i="16"/>
  <c r="W40" i="16"/>
  <c r="W21" i="16"/>
  <c r="W26" i="16"/>
  <c r="W47" i="16"/>
  <c r="W14" i="16"/>
  <c r="W60" i="16"/>
  <c r="W31" i="16"/>
  <c r="W37" i="16"/>
  <c r="W54" i="16"/>
  <c r="W51" i="16"/>
  <c r="W25" i="16"/>
  <c r="W22" i="16"/>
  <c r="W5" i="16"/>
  <c r="W59" i="16"/>
  <c r="X42" i="17"/>
  <c r="X51" i="17"/>
  <c r="X5" i="17"/>
  <c r="X14" i="17"/>
  <c r="X31" i="17"/>
  <c r="X48" i="17"/>
  <c r="X50" i="17"/>
  <c r="X4" i="17"/>
  <c r="X13" i="17"/>
  <c r="X22" i="17"/>
  <c r="X39" i="17"/>
  <c r="X9" i="17"/>
  <c r="X26" i="17"/>
  <c r="X12" i="17"/>
  <c r="X37" i="17"/>
  <c r="X15" i="17"/>
  <c r="X17" i="17"/>
  <c r="X34" i="17"/>
  <c r="X20" i="17"/>
  <c r="X45" i="17"/>
  <c r="X23" i="17"/>
  <c r="X25" i="17"/>
  <c r="X3" i="17"/>
  <c r="X28" i="17"/>
  <c r="X53" i="17"/>
  <c r="X47" i="17"/>
  <c r="X33" i="17"/>
  <c r="X11" i="17"/>
  <c r="X36" i="17"/>
  <c r="X6" i="17"/>
  <c r="X8" i="17"/>
  <c r="X41" i="17"/>
  <c r="X19" i="17"/>
  <c r="X44" i="17"/>
  <c r="X30" i="17"/>
  <c r="X16" i="17"/>
  <c r="X49" i="17"/>
  <c r="X27" i="17"/>
  <c r="X52" i="17"/>
  <c r="X38" i="17"/>
  <c r="X10" i="17"/>
  <c r="X24" i="17"/>
  <c r="X18" i="17"/>
  <c r="X32" i="17"/>
  <c r="X35" i="17"/>
  <c r="X40" i="17"/>
  <c r="X43" i="17"/>
  <c r="X21" i="17"/>
  <c r="X29" i="17"/>
  <c r="X46" i="17"/>
  <c r="X7" i="17"/>
  <c r="W19" i="16"/>
  <c r="W56" i="16"/>
  <c r="W29" i="16"/>
  <c r="W34" i="16"/>
  <c r="W55" i="16"/>
  <c r="W44" i="16"/>
  <c r="W4" i="16"/>
  <c r="W58" i="16"/>
  <c r="T14" i="14"/>
  <c r="U6" i="17"/>
  <c r="T12" i="14"/>
  <c r="AA15" i="17"/>
  <c r="Z40" i="17"/>
  <c r="AA29" i="17"/>
  <c r="AA20" i="17"/>
  <c r="Z38" i="17"/>
  <c r="AB22" i="17"/>
  <c r="AB36" i="17"/>
  <c r="AB5" i="17"/>
  <c r="U63" i="15"/>
  <c r="U44" i="15"/>
  <c r="AB48" i="17"/>
  <c r="AB23" i="17"/>
  <c r="U48" i="15"/>
  <c r="Y33" i="17"/>
  <c r="Y39" i="17"/>
  <c r="Z28" i="17"/>
  <c r="AA39" i="17"/>
  <c r="AA48" i="17"/>
  <c r="AB40" i="17"/>
  <c r="AA3" i="16"/>
  <c r="AA18" i="17"/>
  <c r="AC49" i="17"/>
  <c r="U7" i="17"/>
  <c r="AB50" i="17"/>
  <c r="Z23" i="17"/>
  <c r="AB51" i="17"/>
  <c r="Z27" i="17"/>
  <c r="AA19" i="17"/>
  <c r="AA22" i="17"/>
  <c r="Z34" i="17"/>
  <c r="AA36" i="17"/>
  <c r="Y4" i="17"/>
  <c r="AA7" i="17"/>
  <c r="U42" i="15"/>
  <c r="Y20" i="17"/>
  <c r="Y41" i="17"/>
  <c r="T45" i="15"/>
  <c r="AA10" i="17"/>
  <c r="Z33" i="17"/>
  <c r="T60" i="15"/>
  <c r="AB24" i="17"/>
  <c r="Y46" i="17"/>
  <c r="AB4" i="17"/>
  <c r="AC43" i="17"/>
  <c r="AC18" i="17"/>
  <c r="AC45" i="17"/>
  <c r="AB39" i="17"/>
  <c r="AB47" i="17"/>
  <c r="Y42" i="17"/>
  <c r="U12" i="17"/>
  <c r="Z16" i="17"/>
  <c r="Y18" i="17"/>
  <c r="Y19" i="17"/>
  <c r="AC39" i="17"/>
  <c r="Y14" i="17"/>
  <c r="Y6" i="17"/>
  <c r="Y29" i="17"/>
  <c r="Z12" i="17"/>
  <c r="T39" i="15"/>
  <c r="AA9" i="17"/>
  <c r="AB19" i="17"/>
  <c r="Z9" i="17"/>
  <c r="Z29" i="17"/>
  <c r="AB18" i="17"/>
  <c r="Z3" i="16"/>
  <c r="Z22" i="17"/>
  <c r="Y10" i="17"/>
  <c r="U45" i="15"/>
  <c r="AC32" i="17"/>
  <c r="Z47" i="17"/>
  <c r="Y3" i="16"/>
  <c r="AC34" i="17"/>
  <c r="Z6" i="17"/>
  <c r="T17" i="14"/>
  <c r="AA45" i="17"/>
  <c r="Z42" i="17"/>
  <c r="AA32" i="17"/>
  <c r="AA53" i="17"/>
  <c r="Z19" i="17"/>
  <c r="U5" i="17"/>
  <c r="Y48" i="17"/>
  <c r="Y50" i="17"/>
  <c r="Z43" i="17"/>
  <c r="AA4" i="17"/>
  <c r="AC33" i="17"/>
  <c r="Y24" i="17"/>
  <c r="AB41" i="17"/>
  <c r="Z31" i="17"/>
  <c r="AB53" i="17"/>
  <c r="Y35" i="17"/>
  <c r="AC19" i="17"/>
  <c r="AA13" i="17"/>
  <c r="T18" i="14"/>
  <c r="AB16" i="17"/>
  <c r="AB7" i="17"/>
  <c r="Y11" i="17"/>
  <c r="Y12" i="17"/>
  <c r="Z41" i="17"/>
  <c r="AA49" i="17"/>
  <c r="T10" i="17"/>
  <c r="U8" i="17"/>
  <c r="AC14" i="17"/>
  <c r="AB26" i="17"/>
  <c r="Y26" i="17"/>
  <c r="Z7" i="17"/>
  <c r="T9" i="17"/>
  <c r="AC23" i="17"/>
  <c r="AB14" i="17"/>
  <c r="AB20" i="17"/>
  <c r="Y23" i="17"/>
  <c r="U15" i="14"/>
  <c r="AA5" i="17"/>
  <c r="AA50" i="17"/>
  <c r="AC51" i="17"/>
  <c r="U51" i="15"/>
  <c r="AC5" i="17"/>
  <c r="AB52" i="17"/>
  <c r="Z13" i="17"/>
  <c r="AB42" i="17"/>
  <c r="AA46" i="17"/>
  <c r="U11" i="17"/>
  <c r="T14" i="17"/>
  <c r="AC53" i="17"/>
  <c r="T42" i="15"/>
  <c r="AB17" i="17"/>
  <c r="AA27" i="17"/>
  <c r="Z36" i="17"/>
  <c r="Y34" i="17"/>
  <c r="Z21" i="17"/>
  <c r="T44" i="15"/>
  <c r="AC30" i="17"/>
  <c r="Z49" i="17"/>
  <c r="Z48" i="17"/>
  <c r="Y9" i="17"/>
  <c r="AC40" i="17"/>
  <c r="AB25" i="17"/>
  <c r="Z30" i="17"/>
  <c r="AA52" i="17"/>
  <c r="Y21" i="17"/>
  <c r="AB43" i="17"/>
  <c r="AA17" i="17"/>
  <c r="AA11" i="17"/>
  <c r="AB12" i="17"/>
  <c r="AC15" i="17"/>
  <c r="U18" i="14"/>
  <c r="AA40" i="17"/>
  <c r="U60" i="15"/>
  <c r="Z11" i="17"/>
  <c r="AB46" i="17"/>
  <c r="Z35" i="17"/>
  <c r="AA34" i="17"/>
  <c r="AC24" i="17"/>
  <c r="AC52" i="17"/>
  <c r="AB8" i="17"/>
  <c r="U14" i="17"/>
  <c r="Z8" i="17"/>
  <c r="AC27" i="17"/>
  <c r="T46" i="15"/>
  <c r="Z37" i="17"/>
  <c r="AB28" i="17"/>
  <c r="Y52" i="17"/>
  <c r="AA14" i="17"/>
  <c r="Y7" i="17"/>
  <c r="U46" i="15"/>
  <c r="Y49" i="17"/>
  <c r="Z44" i="17"/>
  <c r="AA35" i="17"/>
  <c r="AC29" i="17"/>
  <c r="AC3" i="17"/>
  <c r="Z50" i="17"/>
  <c r="Y3" i="17"/>
  <c r="Y36" i="17"/>
  <c r="Y43" i="17"/>
  <c r="AA23" i="17"/>
  <c r="T62" i="15"/>
  <c r="U41" i="15"/>
  <c r="AA44" i="17"/>
  <c r="AC7" i="17"/>
  <c r="T7" i="17"/>
  <c r="AC10" i="17"/>
  <c r="U39" i="15"/>
  <c r="T51" i="15"/>
  <c r="U9" i="14"/>
  <c r="U40" i="15"/>
  <c r="T8" i="17"/>
  <c r="AB3" i="17"/>
  <c r="T15" i="14"/>
  <c r="AA47" i="17"/>
  <c r="AA41" i="17"/>
  <c r="AA21" i="17"/>
  <c r="Z39" i="17"/>
  <c r="AB31" i="17"/>
  <c r="Y32" i="17"/>
  <c r="T43" i="15"/>
  <c r="Y27" i="17"/>
  <c r="Z51" i="17"/>
  <c r="AB13" i="17"/>
  <c r="Y45" i="17"/>
  <c r="AA25" i="17"/>
  <c r="Y37" i="17"/>
  <c r="Z20" i="17"/>
  <c r="AA26" i="17"/>
  <c r="Y22" i="17"/>
  <c r="Z10" i="17"/>
  <c r="Y8" i="17"/>
  <c r="Z18" i="17"/>
  <c r="Y31" i="17"/>
  <c r="T41" i="15"/>
  <c r="Z45" i="17"/>
  <c r="AA12" i="17"/>
  <c r="Y38" i="17"/>
  <c r="AC31" i="17"/>
  <c r="AC13" i="17"/>
  <c r="AC9" i="17"/>
  <c r="T9" i="14"/>
  <c r="T11" i="14"/>
  <c r="AC41" i="17"/>
  <c r="AC3" i="16"/>
  <c r="AA31" i="17"/>
  <c r="AC16" i="17"/>
  <c r="AA43" i="17"/>
  <c r="AB38" i="17"/>
  <c r="AA24" i="17"/>
  <c r="AA6" i="17"/>
  <c r="Y25" i="17"/>
  <c r="Z3" i="17"/>
  <c r="T12" i="17"/>
  <c r="T6" i="17"/>
  <c r="U56" i="15"/>
  <c r="U13" i="17"/>
  <c r="AA8" i="17"/>
  <c r="Y5" i="17"/>
  <c r="AC38" i="17"/>
  <c r="U62" i="15"/>
  <c r="T48" i="15"/>
  <c r="U14" i="14"/>
  <c r="U43" i="15"/>
  <c r="AB10" i="17"/>
  <c r="AA30" i="17"/>
  <c r="Z15" i="17"/>
  <c r="U10" i="17"/>
  <c r="Z4" i="17"/>
  <c r="U9" i="17"/>
  <c r="T13" i="17"/>
  <c r="T63" i="15"/>
  <c r="Y53" i="17"/>
  <c r="AB44" i="17"/>
  <c r="AC48" i="17"/>
  <c r="Z46" i="17"/>
  <c r="AB37" i="17"/>
  <c r="AC47" i="17"/>
  <c r="AB11" i="17"/>
  <c r="Z25" i="17"/>
  <c r="AB30" i="17"/>
  <c r="AC25" i="17"/>
  <c r="Z14" i="17"/>
  <c r="AC8" i="17"/>
  <c r="AC42" i="17"/>
  <c r="AC22" i="17"/>
  <c r="Y17" i="17"/>
  <c r="AC4" i="17"/>
  <c r="AC21" i="17"/>
  <c r="AB21" i="17"/>
  <c r="Z52" i="17"/>
  <c r="AA38" i="17"/>
  <c r="AB29" i="17"/>
  <c r="Z26" i="17"/>
  <c r="Y51" i="17"/>
  <c r="AA51" i="17"/>
  <c r="AB45" i="17"/>
  <c r="Y47" i="17"/>
  <c r="AC17" i="17"/>
  <c r="T11" i="17"/>
  <c r="AA42" i="17"/>
  <c r="Y30" i="17"/>
  <c r="AC50" i="17"/>
  <c r="U12" i="14"/>
  <c r="AA16" i="17"/>
  <c r="AC28" i="17"/>
  <c r="AB34" i="17"/>
  <c r="AB27" i="17"/>
  <c r="Y13" i="17"/>
  <c r="Z17" i="17"/>
  <c r="AA37" i="17"/>
  <c r="AC44" i="17"/>
  <c r="AB35" i="17"/>
  <c r="Y28" i="17"/>
  <c r="AA28" i="17"/>
  <c r="Z5" i="17"/>
  <c r="Z24" i="17"/>
  <c r="AB32" i="17"/>
  <c r="AB15" i="17"/>
  <c r="Z53" i="17"/>
  <c r="AC37" i="17"/>
  <c r="U11" i="14"/>
  <c r="I3" i="1"/>
  <c r="I4" i="1" s="1"/>
  <c r="AC26" i="17"/>
  <c r="AB3" i="16"/>
  <c r="T5" i="17"/>
  <c r="AC6" i="17"/>
  <c r="T56" i="15"/>
  <c r="Y40" i="17"/>
  <c r="T40" i="15"/>
  <c r="AA3" i="17"/>
  <c r="AA33" i="17"/>
  <c r="AC36" i="17"/>
  <c r="AC11" i="17"/>
  <c r="Y15" i="17"/>
  <c r="AB49" i="17"/>
  <c r="U17" i="14"/>
  <c r="AC12" i="17"/>
  <c r="AB6" i="17"/>
  <c r="Y16" i="17"/>
  <c r="AC46" i="17"/>
  <c r="AB9" i="17"/>
  <c r="Z32" i="17"/>
  <c r="AC20" i="17"/>
  <c r="AC35" i="17"/>
  <c r="Y44" i="17"/>
  <c r="AB33" i="17"/>
  <c r="W27" i="17" l="1"/>
  <c r="W11" i="17"/>
  <c r="W18" i="17"/>
  <c r="W41" i="17"/>
  <c r="W24" i="17"/>
  <c r="W7" i="17"/>
  <c r="W20" i="17"/>
  <c r="W9" i="17"/>
  <c r="W48" i="17"/>
  <c r="W32" i="17"/>
  <c r="W15" i="17"/>
  <c r="W53" i="17"/>
  <c r="W46" i="17"/>
  <c r="W30" i="17"/>
  <c r="W28" i="17"/>
  <c r="W23" i="17"/>
  <c r="W6" i="17"/>
  <c r="W44" i="17"/>
  <c r="W39" i="17"/>
  <c r="W37" i="17"/>
  <c r="W21" i="17"/>
  <c r="W10" i="17"/>
  <c r="W14" i="17"/>
  <c r="W52" i="17"/>
  <c r="W35" i="17"/>
  <c r="W12" i="17"/>
  <c r="W19" i="17"/>
  <c r="W3" i="17"/>
  <c r="W47" i="17"/>
  <c r="W5" i="17"/>
  <c r="W43" i="17"/>
  <c r="W26" i="17"/>
  <c r="W49" i="17"/>
  <c r="W40" i="17"/>
  <c r="W13" i="17"/>
  <c r="W51" i="17"/>
  <c r="W34" i="17"/>
  <c r="W17" i="17"/>
  <c r="W31" i="17"/>
  <c r="W38" i="17"/>
  <c r="W22" i="17"/>
  <c r="W4" i="17"/>
  <c r="W42" i="17"/>
  <c r="W25" i="17"/>
  <c r="W8" i="17"/>
  <c r="W45" i="17"/>
  <c r="W29" i="17"/>
  <c r="W36" i="17"/>
  <c r="W50" i="17"/>
  <c r="W33" i="17"/>
  <c r="W16" i="17"/>
  <c r="W3" i="16"/>
  <c r="U19" i="14"/>
  <c r="T10" i="14"/>
  <c r="T5" i="14"/>
  <c r="C17" i="15"/>
  <c r="U16" i="14"/>
  <c r="U22" i="14"/>
  <c r="T8" i="14"/>
  <c r="T22" i="14"/>
  <c r="T7" i="14"/>
  <c r="U6" i="14"/>
  <c r="T13" i="14"/>
  <c r="U7" i="14"/>
  <c r="T20" i="14"/>
  <c r="U13" i="14"/>
  <c r="AG11" i="17"/>
  <c r="U10" i="14"/>
  <c r="T3" i="14"/>
  <c r="T19" i="14"/>
  <c r="T6" i="14"/>
  <c r="U21" i="14"/>
  <c r="U20" i="14"/>
  <c r="T16" i="14"/>
  <c r="U5" i="14"/>
  <c r="T21" i="14"/>
  <c r="U3" i="14"/>
  <c r="U8" i="14"/>
  <c r="AG11" i="15"/>
  <c r="H17" i="15" l="1"/>
  <c r="N13" i="15"/>
  <c r="AG12" i="15"/>
  <c r="X3" i="14" a="1"/>
  <c r="AG23" i="15"/>
  <c r="AG12" i="17"/>
  <c r="T4" i="14"/>
  <c r="U4" i="14"/>
  <c r="AI11" i="15"/>
  <c r="AI12" i="17"/>
  <c r="C18" i="15"/>
  <c r="AI11" i="17"/>
  <c r="AG11" i="14"/>
  <c r="AG23" i="17"/>
  <c r="AG11" i="16"/>
  <c r="M13" i="15" l="1"/>
  <c r="AK11" i="17"/>
  <c r="AM11" i="17"/>
  <c r="AK12" i="17"/>
  <c r="AM11" i="15"/>
  <c r="AK11" i="15"/>
  <c r="X10" i="14"/>
  <c r="X16" i="14"/>
  <c r="X14" i="14"/>
  <c r="X8" i="14"/>
  <c r="X20" i="14"/>
  <c r="X19" i="14"/>
  <c r="X6" i="14"/>
  <c r="X4" i="14"/>
  <c r="X18" i="14"/>
  <c r="X13" i="14"/>
  <c r="X5" i="14"/>
  <c r="X21" i="14"/>
  <c r="X12" i="14"/>
  <c r="X17" i="14"/>
  <c r="X3" i="14"/>
  <c r="X15" i="14"/>
  <c r="X22" i="14"/>
  <c r="X7" i="14"/>
  <c r="X9" i="14"/>
  <c r="X11" i="14"/>
  <c r="AM12" i="17"/>
  <c r="H18" i="15"/>
  <c r="AA4" i="14"/>
  <c r="AA18" i="14"/>
  <c r="AG13" i="15"/>
  <c r="AI23" i="15"/>
  <c r="AA17" i="14"/>
  <c r="AA16" i="14"/>
  <c r="U13" i="15"/>
  <c r="T13" i="15"/>
  <c r="AA12" i="14"/>
  <c r="AG14" i="15"/>
  <c r="AA13" i="14"/>
  <c r="AA22" i="14"/>
  <c r="AA11" i="14"/>
  <c r="AA15" i="14"/>
  <c r="N14" i="15"/>
  <c r="AG23" i="14"/>
  <c r="AA5" i="14"/>
  <c r="AA8" i="14"/>
  <c r="AG13" i="17"/>
  <c r="AI23" i="17"/>
  <c r="AA20" i="14"/>
  <c r="AI13" i="15"/>
  <c r="AA19" i="14"/>
  <c r="AA6" i="14"/>
  <c r="AA21" i="14"/>
  <c r="AI12" i="15"/>
  <c r="AI11" i="14"/>
  <c r="AA9" i="14"/>
  <c r="C19" i="15"/>
  <c r="AA10" i="14"/>
  <c r="AG12" i="16"/>
  <c r="AG12" i="14"/>
  <c r="AG23" i="16"/>
  <c r="AA14" i="14"/>
  <c r="AA7" i="14"/>
  <c r="AI11" i="16"/>
  <c r="AI13" i="17"/>
  <c r="AG14" i="17"/>
  <c r="AG13" i="16"/>
  <c r="AI13" i="16" s="1"/>
  <c r="AI12" i="16"/>
  <c r="M14" i="15" l="1"/>
  <c r="AK13" i="16"/>
  <c r="AK12" i="16"/>
  <c r="AK11" i="16"/>
  <c r="AM11" i="16"/>
  <c r="AK23" i="17"/>
  <c r="AK13" i="15"/>
  <c r="AM13" i="15"/>
  <c r="AK11" i="14"/>
  <c r="AM11" i="14"/>
  <c r="AK23" i="15"/>
  <c r="AM23" i="15"/>
  <c r="AK13" i="17"/>
  <c r="AK12" i="15"/>
  <c r="AM12" i="15"/>
  <c r="AM13" i="16"/>
  <c r="AM12" i="16"/>
  <c r="AM23" i="17"/>
  <c r="AM13" i="17"/>
  <c r="H19" i="15"/>
  <c r="AI23" i="16"/>
  <c r="T14" i="15"/>
  <c r="C20" i="15"/>
  <c r="AG15" i="15"/>
  <c r="AI14" i="17"/>
  <c r="U14" i="15"/>
  <c r="AG15" i="17"/>
  <c r="AG13" i="14"/>
  <c r="AG16" i="17"/>
  <c r="AI23" i="14"/>
  <c r="N15" i="15"/>
  <c r="AG14" i="16"/>
  <c r="AI12" i="14"/>
  <c r="AI14" i="15"/>
  <c r="AI14" i="16"/>
  <c r="AG15" i="16"/>
  <c r="AK23" i="16" l="1"/>
  <c r="AM23" i="16"/>
  <c r="M15" i="15"/>
  <c r="AK14" i="16"/>
  <c r="AK14" i="17"/>
  <c r="AM12" i="14"/>
  <c r="AK12" i="14"/>
  <c r="AK14" i="15"/>
  <c r="AM14" i="15"/>
  <c r="AM23" i="14"/>
  <c r="AK23" i="14"/>
  <c r="AM14" i="16"/>
  <c r="AM14" i="17"/>
  <c r="H20" i="15"/>
  <c r="AG14" i="14"/>
  <c r="AI15" i="16"/>
  <c r="C21" i="15"/>
  <c r="AG15" i="14"/>
  <c r="AG16" i="14" s="1"/>
  <c r="AI13" i="14"/>
  <c r="AG17" i="17"/>
  <c r="U15" i="15"/>
  <c r="AI15" i="15"/>
  <c r="N16" i="15"/>
  <c r="AG16" i="16"/>
  <c r="AI15" i="17"/>
  <c r="AI16" i="17"/>
  <c r="T15" i="15"/>
  <c r="AG16" i="15"/>
  <c r="M16" i="15" l="1"/>
  <c r="AM15" i="17"/>
  <c r="AK15" i="17"/>
  <c r="AK15" i="16"/>
  <c r="AM13" i="14"/>
  <c r="AK13" i="14"/>
  <c r="AM15" i="15"/>
  <c r="AK15" i="15"/>
  <c r="AK16" i="17"/>
  <c r="AM15" i="16"/>
  <c r="H21" i="15"/>
  <c r="AM16" i="17"/>
  <c r="AI16" i="14"/>
  <c r="AI17" i="17"/>
  <c r="C22" i="15"/>
  <c r="N17" i="15"/>
  <c r="T16" i="15"/>
  <c r="AI16" i="15"/>
  <c r="AI14" i="14"/>
  <c r="AG17" i="15"/>
  <c r="AI16" i="16"/>
  <c r="AG17" i="14"/>
  <c r="U16" i="15"/>
  <c r="AG18" i="17"/>
  <c r="AI15" i="14"/>
  <c r="AG17" i="16"/>
  <c r="M17" i="15" l="1"/>
  <c r="AM14" i="14"/>
  <c r="AK14" i="14"/>
  <c r="AM15" i="14"/>
  <c r="AK15" i="14"/>
  <c r="AK16" i="16"/>
  <c r="AM16" i="14"/>
  <c r="AK16" i="14"/>
  <c r="AK17" i="17"/>
  <c r="AM16" i="15"/>
  <c r="AK16" i="15"/>
  <c r="AM16" i="16"/>
  <c r="H22" i="15"/>
  <c r="AM17" i="17"/>
  <c r="C23" i="15"/>
  <c r="AI18" i="17"/>
  <c r="AG19" i="17"/>
  <c r="AG18" i="14"/>
  <c r="U17" i="15"/>
  <c r="N18" i="15"/>
  <c r="T17" i="15"/>
  <c r="AG18" i="16"/>
  <c r="AG18" i="15"/>
  <c r="AI17" i="14"/>
  <c r="AI17" i="16"/>
  <c r="AI17" i="15"/>
  <c r="M18" i="15" l="1"/>
  <c r="AK17" i="16"/>
  <c r="H23" i="15"/>
  <c r="AM17" i="15"/>
  <c r="AK17" i="15"/>
  <c r="AK18" i="17"/>
  <c r="AM17" i="14"/>
  <c r="AK17" i="14"/>
  <c r="AM17" i="16"/>
  <c r="AM18" i="17"/>
  <c r="AI18" i="14"/>
  <c r="C24" i="15"/>
  <c r="N19" i="15"/>
  <c r="AG19" i="15"/>
  <c r="AG20" i="17"/>
  <c r="AI18" i="16"/>
  <c r="AG19" i="14"/>
  <c r="AI18" i="15"/>
  <c r="AG19" i="16"/>
  <c r="AI19" i="17"/>
  <c r="T18" i="15"/>
  <c r="U18" i="15"/>
  <c r="M19" i="15" l="1"/>
  <c r="AK18" i="16"/>
  <c r="H24" i="15"/>
  <c r="AK19" i="17"/>
  <c r="AM18" i="14"/>
  <c r="AK18" i="14"/>
  <c r="AK18" i="15"/>
  <c r="AM18" i="15"/>
  <c r="AM18" i="16"/>
  <c r="AM19" i="17"/>
  <c r="C25" i="15"/>
  <c r="AG21" i="17"/>
  <c r="T19" i="15"/>
  <c r="U19" i="15"/>
  <c r="AG20" i="16"/>
  <c r="N20" i="15"/>
  <c r="AG20" i="15"/>
  <c r="AI19" i="14"/>
  <c r="AG20" i="14"/>
  <c r="AI19" i="15"/>
  <c r="AI19" i="16"/>
  <c r="AI20" i="17"/>
  <c r="H25" i="15" l="1"/>
  <c r="M20" i="15"/>
  <c r="AK19" i="16"/>
  <c r="AM19" i="14"/>
  <c r="AK19" i="14"/>
  <c r="AK20" i="17"/>
  <c r="AK19" i="15"/>
  <c r="AM19" i="15"/>
  <c r="AM19" i="16"/>
  <c r="AM20" i="17"/>
  <c r="C26" i="15"/>
  <c r="U22" i="15"/>
  <c r="AI21" i="17"/>
  <c r="N21" i="15"/>
  <c r="AI20" i="15"/>
  <c r="T22" i="15"/>
  <c r="T21" i="15"/>
  <c r="AI20" i="14"/>
  <c r="AG22" i="17"/>
  <c r="AI20" i="16"/>
  <c r="T20" i="15"/>
  <c r="AG21" i="16"/>
  <c r="U20" i="15"/>
  <c r="AG21" i="15"/>
  <c r="AG21" i="14"/>
  <c r="U21" i="15"/>
  <c r="C27" i="15"/>
  <c r="C28" i="15"/>
  <c r="C29" i="15" s="1"/>
  <c r="C30" i="15" s="1"/>
  <c r="H27" i="15" l="1"/>
  <c r="H26" i="15"/>
  <c r="M21" i="15"/>
  <c r="H29" i="15"/>
  <c r="H28" i="15"/>
  <c r="AK20" i="16"/>
  <c r="AK21" i="17"/>
  <c r="AM20" i="14"/>
  <c r="AK20" i="14"/>
  <c r="AM20" i="15"/>
  <c r="AK20" i="15"/>
  <c r="AM20" i="16"/>
  <c r="AM21" i="17"/>
  <c r="H30" i="15"/>
  <c r="N23" i="15"/>
  <c r="U23" i="15"/>
  <c r="N22" i="15"/>
  <c r="AI22" i="17"/>
  <c r="AI21" i="16"/>
  <c r="N25" i="15"/>
  <c r="AG22" i="16"/>
  <c r="N24" i="15"/>
  <c r="AI21" i="14"/>
  <c r="N26" i="15"/>
  <c r="AI21" i="15"/>
  <c r="AG22" i="15"/>
  <c r="C31" i="15"/>
  <c r="T23" i="15"/>
  <c r="AG22" i="14"/>
  <c r="M26" i="15" l="1"/>
  <c r="M24" i="15"/>
  <c r="M25" i="15"/>
  <c r="M22" i="15"/>
  <c r="M23" i="15"/>
  <c r="AK21" i="16"/>
  <c r="AM21" i="14"/>
  <c r="AK21" i="14"/>
  <c r="AK22" i="17"/>
  <c r="AK21" i="15"/>
  <c r="AM21" i="15"/>
  <c r="AM21" i="16"/>
  <c r="AM22" i="17"/>
  <c r="H31" i="15"/>
  <c r="U26" i="15"/>
  <c r="U25" i="15"/>
  <c r="T25" i="15"/>
  <c r="AI22" i="14"/>
  <c r="C32" i="15"/>
  <c r="N27" i="15"/>
  <c r="T26" i="15"/>
  <c r="T24" i="15"/>
  <c r="AI22" i="16"/>
  <c r="U24" i="15"/>
  <c r="AI22" i="15"/>
  <c r="M27" i="15" l="1"/>
  <c r="AK22" i="16"/>
  <c r="AK22" i="15"/>
  <c r="AM22" i="15"/>
  <c r="AM22" i="14"/>
  <c r="AK22" i="14"/>
  <c r="AM22" i="16"/>
  <c r="H32" i="15"/>
  <c r="U27" i="15"/>
  <c r="C33" i="15"/>
  <c r="T27" i="15"/>
  <c r="N28" i="15"/>
  <c r="M28" i="15" l="1"/>
  <c r="H33" i="15"/>
  <c r="C34" i="15"/>
  <c r="T28" i="15"/>
  <c r="C35" i="15"/>
  <c r="N29" i="15"/>
  <c r="U28" i="15"/>
  <c r="M29" i="15" l="1"/>
  <c r="H34" i="15"/>
  <c r="H35" i="15"/>
  <c r="C36" i="15"/>
  <c r="N30" i="15"/>
  <c r="U29" i="15"/>
  <c r="N31" i="15"/>
  <c r="T29" i="15"/>
  <c r="M31" i="15" l="1"/>
  <c r="M30" i="15"/>
  <c r="H36" i="15"/>
  <c r="T32" i="15"/>
  <c r="AB12" i="14"/>
  <c r="X3" i="15" a="1"/>
  <c r="Y22" i="14"/>
  <c r="AA3" i="14"/>
  <c r="AC13" i="14"/>
  <c r="Z20" i="14"/>
  <c r="Z13" i="14"/>
  <c r="D29" i="1"/>
  <c r="Z4" i="14"/>
  <c r="Z6" i="14"/>
  <c r="D30" i="1"/>
  <c r="AB3" i="14"/>
  <c r="AC9" i="14"/>
  <c r="AC7" i="14"/>
  <c r="C38" i="1"/>
  <c r="AB4" i="14"/>
  <c r="Y18" i="14"/>
  <c r="AB14" i="14"/>
  <c r="U30" i="15"/>
  <c r="Z10" i="14"/>
  <c r="Z7" i="14"/>
  <c r="Y17" i="14"/>
  <c r="Y19" i="14"/>
  <c r="AB16" i="14"/>
  <c r="T31" i="15"/>
  <c r="Y20" i="14"/>
  <c r="Z15" i="14"/>
  <c r="AC16" i="14"/>
  <c r="Z9" i="14"/>
  <c r="Z11" i="14"/>
  <c r="AC20" i="14"/>
  <c r="U31" i="15"/>
  <c r="Y10" i="14"/>
  <c r="AB8" i="14"/>
  <c r="Y4" i="14"/>
  <c r="Z8" i="14"/>
  <c r="Z5" i="14"/>
  <c r="AB11" i="14"/>
  <c r="AC8" i="14"/>
  <c r="Z14" i="14"/>
  <c r="Y5" i="14"/>
  <c r="AB15" i="14"/>
  <c r="Y13" i="14"/>
  <c r="Z17" i="14"/>
  <c r="AC15" i="14"/>
  <c r="Z22" i="14"/>
  <c r="Y14" i="14"/>
  <c r="Z12" i="14"/>
  <c r="Z19" i="14"/>
  <c r="Z3" i="14"/>
  <c r="AC3" i="14"/>
  <c r="AB19" i="14"/>
  <c r="Y21" i="14"/>
  <c r="AB17" i="14"/>
  <c r="C37" i="1"/>
  <c r="N32" i="15"/>
  <c r="AC14" i="14"/>
  <c r="Y6" i="14"/>
  <c r="AB6" i="14"/>
  <c r="Z16" i="14"/>
  <c r="AC22" i="14"/>
  <c r="AB5" i="14"/>
  <c r="AB18" i="14"/>
  <c r="AC18" i="14"/>
  <c r="T30" i="15"/>
  <c r="AC12" i="14"/>
  <c r="AB21" i="14"/>
  <c r="AC6" i="14"/>
  <c r="AC17" i="14"/>
  <c r="AB9" i="14"/>
  <c r="U32" i="15"/>
  <c r="AC4" i="14"/>
  <c r="Y3" i="14"/>
  <c r="AB20" i="14"/>
  <c r="AB13" i="14"/>
  <c r="AC10" i="14"/>
  <c r="Y9" i="14"/>
  <c r="D13" i="1"/>
  <c r="AC19" i="14"/>
  <c r="AC21" i="14"/>
  <c r="AB22" i="14"/>
  <c r="Z21" i="14"/>
  <c r="Y8" i="14"/>
  <c r="Z18" i="14"/>
  <c r="Y12" i="14"/>
  <c r="AC5" i="14"/>
  <c r="Y7" i="14"/>
  <c r="AC11" i="14"/>
  <c r="AB10" i="14"/>
  <c r="AB7" i="14"/>
  <c r="Y16" i="14"/>
  <c r="Y11" i="14"/>
  <c r="Y15" i="14"/>
  <c r="C21" i="1"/>
  <c r="D14" i="1"/>
  <c r="C22" i="1"/>
  <c r="M32" i="15" l="1"/>
  <c r="X50" i="15"/>
  <c r="X51" i="15"/>
  <c r="X52" i="15"/>
  <c r="X53" i="15"/>
  <c r="X54" i="15"/>
  <c r="X55" i="15"/>
  <c r="X56" i="15"/>
  <c r="X58" i="15"/>
  <c r="X59" i="15"/>
  <c r="X60" i="15"/>
  <c r="X61" i="15"/>
  <c r="X62" i="15"/>
  <c r="X63" i="15"/>
  <c r="X3" i="15"/>
  <c r="X20" i="15"/>
  <c r="X37" i="15"/>
  <c r="X7" i="15"/>
  <c r="X24" i="15"/>
  <c r="X41" i="15"/>
  <c r="X11" i="15"/>
  <c r="X28" i="15"/>
  <c r="X45" i="15"/>
  <c r="X15" i="15"/>
  <c r="X32" i="15"/>
  <c r="X49" i="15"/>
  <c r="X19" i="15"/>
  <c r="X36" i="15"/>
  <c r="X6" i="15"/>
  <c r="X23" i="15"/>
  <c r="X40" i="15"/>
  <c r="X57" i="15"/>
  <c r="X10" i="15"/>
  <c r="X27" i="15"/>
  <c r="X44" i="15"/>
  <c r="X14" i="15"/>
  <c r="X31" i="15"/>
  <c r="X48" i="15"/>
  <c r="X18" i="15"/>
  <c r="X35" i="15"/>
  <c r="X5" i="15"/>
  <c r="X22" i="15"/>
  <c r="X39" i="15"/>
  <c r="X9" i="15"/>
  <c r="X34" i="15"/>
  <c r="X30" i="15"/>
  <c r="X33" i="15"/>
  <c r="X42" i="15"/>
  <c r="X38" i="15"/>
  <c r="X43" i="15"/>
  <c r="X46" i="15"/>
  <c r="X4" i="15"/>
  <c r="X47" i="15"/>
  <c r="X12" i="15"/>
  <c r="X8" i="15"/>
  <c r="X13" i="15"/>
  <c r="X16" i="15"/>
  <c r="X21" i="15"/>
  <c r="X17" i="15"/>
  <c r="X26" i="15"/>
  <c r="X29" i="15"/>
  <c r="X25" i="15"/>
  <c r="W20" i="14"/>
  <c r="W21" i="14"/>
  <c r="W8" i="14"/>
  <c r="W16" i="14"/>
  <c r="W12" i="14"/>
  <c r="W15" i="14"/>
  <c r="W3" i="14"/>
  <c r="W9" i="14"/>
  <c r="W7" i="14"/>
  <c r="W13" i="14"/>
  <c r="W6" i="14"/>
  <c r="W14" i="14"/>
  <c r="W17" i="14"/>
  <c r="W19" i="14"/>
  <c r="W5" i="14"/>
  <c r="W10" i="14"/>
  <c r="W18" i="14"/>
  <c r="W22" i="14"/>
  <c r="W11" i="14"/>
  <c r="W4" i="14"/>
  <c r="D25" i="1"/>
  <c r="AB17" i="15"/>
  <c r="AC45" i="15"/>
  <c r="Y55" i="15"/>
  <c r="AB6" i="15"/>
  <c r="AB10" i="15"/>
  <c r="AB4" i="15"/>
  <c r="AB28" i="15"/>
  <c r="AA33" i="15"/>
  <c r="AB42" i="15"/>
  <c r="Z36" i="15"/>
  <c r="AA5" i="15"/>
  <c r="Y56" i="15"/>
  <c r="AC41" i="15"/>
  <c r="AC23" i="15"/>
  <c r="Z56" i="15"/>
  <c r="AA60" i="15"/>
  <c r="AB46" i="15"/>
  <c r="AB25" i="15"/>
  <c r="AB23" i="15"/>
  <c r="Z5" i="15"/>
  <c r="Z53" i="15"/>
  <c r="Z52" i="15"/>
  <c r="Z30" i="15"/>
  <c r="Z51" i="15"/>
  <c r="AC14" i="15"/>
  <c r="AA42" i="15"/>
  <c r="D38" i="1"/>
  <c r="AC36" i="15"/>
  <c r="AA40" i="15"/>
  <c r="AC56" i="15"/>
  <c r="Y21" i="15"/>
  <c r="AB29" i="15"/>
  <c r="AC54" i="15"/>
  <c r="AB24" i="15"/>
  <c r="Z44" i="15"/>
  <c r="AC60" i="15"/>
  <c r="Y13" i="15"/>
  <c r="AA25" i="15"/>
  <c r="Y43" i="15"/>
  <c r="AA50" i="15"/>
  <c r="AA23" i="15"/>
  <c r="D21" i="1"/>
  <c r="AB8" i="15"/>
  <c r="Y32" i="15"/>
  <c r="Z60" i="15"/>
  <c r="AC46" i="15"/>
  <c r="Y26" i="15"/>
  <c r="AB11" i="15"/>
  <c r="Z34" i="15"/>
  <c r="AC48" i="15"/>
  <c r="Z16" i="15"/>
  <c r="Z28" i="15"/>
  <c r="AA52" i="15"/>
  <c r="AB32" i="15"/>
  <c r="Y29" i="15"/>
  <c r="AB58" i="15"/>
  <c r="Z22" i="15"/>
  <c r="Z62" i="15"/>
  <c r="AA4" i="15"/>
  <c r="Y37" i="15"/>
  <c r="AA10" i="15"/>
  <c r="Y54" i="15"/>
  <c r="AC25" i="15"/>
  <c r="AC9" i="15"/>
  <c r="AC29" i="15"/>
  <c r="AA57" i="15"/>
  <c r="AC27" i="15"/>
  <c r="AC59" i="15"/>
  <c r="Y63" i="15"/>
  <c r="Y42" i="15"/>
  <c r="AC50" i="15"/>
  <c r="Z27" i="15"/>
  <c r="AB35" i="15"/>
  <c r="AB36" i="15"/>
  <c r="Y23" i="15"/>
  <c r="Y44" i="15"/>
  <c r="AC35" i="15"/>
  <c r="AA9" i="15"/>
  <c r="Y7" i="15"/>
  <c r="AB53" i="15"/>
  <c r="AB37" i="15"/>
  <c r="AA27" i="15"/>
  <c r="Y39" i="15"/>
  <c r="AA61" i="15"/>
  <c r="Z47" i="15"/>
  <c r="Z45" i="15"/>
  <c r="AC63" i="15"/>
  <c r="AB12" i="15"/>
  <c r="Z43" i="15"/>
  <c r="AA7" i="15"/>
  <c r="AA16" i="15"/>
  <c r="AA3" i="15"/>
  <c r="AA21" i="15"/>
  <c r="Y8" i="15"/>
  <c r="AC6" i="15"/>
  <c r="AC40" i="15"/>
  <c r="AA29" i="15"/>
  <c r="AC32" i="15"/>
  <c r="Z21" i="15"/>
  <c r="Z4" i="15"/>
  <c r="AB3" i="15"/>
  <c r="AB19" i="15"/>
  <c r="AA62" i="15"/>
  <c r="AC55" i="15"/>
  <c r="AA54" i="15"/>
  <c r="AA56" i="15"/>
  <c r="AA39" i="15"/>
  <c r="AC11" i="15"/>
  <c r="AA51" i="15"/>
  <c r="AB20" i="15"/>
  <c r="AC7" i="15"/>
  <c r="Y50" i="15"/>
  <c r="AA13" i="15"/>
  <c r="AB26" i="15"/>
  <c r="Z18" i="15"/>
  <c r="Y40" i="15"/>
  <c r="AB39" i="15"/>
  <c r="AA36" i="15"/>
  <c r="Z55" i="15"/>
  <c r="AA24" i="15"/>
  <c r="Y9" i="15"/>
  <c r="AC34" i="15"/>
  <c r="D41" i="1"/>
  <c r="Z57" i="15"/>
  <c r="AA20" i="15"/>
  <c r="AB52" i="15"/>
  <c r="Z35" i="15"/>
  <c r="Y11" i="15"/>
  <c r="AA17" i="15"/>
  <c r="AA15" i="15"/>
  <c r="AB9" i="15"/>
  <c r="AC52" i="15"/>
  <c r="AB15" i="15"/>
  <c r="Z8" i="15"/>
  <c r="Y24" i="15"/>
  <c r="AA53" i="15"/>
  <c r="AA31" i="15"/>
  <c r="AB49" i="15"/>
  <c r="AC20" i="15"/>
  <c r="AB18" i="15"/>
  <c r="Y34" i="15"/>
  <c r="Y15" i="15"/>
  <c r="AA12" i="15"/>
  <c r="AB40" i="15"/>
  <c r="Y3" i="15"/>
  <c r="AC26" i="15"/>
  <c r="AA6" i="15"/>
  <c r="AA18" i="15"/>
  <c r="AC5" i="15"/>
  <c r="AC24" i="15"/>
  <c r="Z42" i="15"/>
  <c r="AA47" i="15"/>
  <c r="AC51" i="15"/>
  <c r="Y46" i="15"/>
  <c r="Y61" i="15"/>
  <c r="AB27" i="15"/>
  <c r="Z6" i="15"/>
  <c r="Z39" i="15"/>
  <c r="AC15" i="15"/>
  <c r="AA11" i="15"/>
  <c r="Z33" i="15"/>
  <c r="Z63" i="15"/>
  <c r="AA45" i="15"/>
  <c r="AA28" i="15"/>
  <c r="D37" i="1"/>
  <c r="Y10" i="15"/>
  <c r="AA26" i="15"/>
  <c r="AB50" i="15"/>
  <c r="Y31" i="15"/>
  <c r="AC37" i="15"/>
  <c r="Y38" i="15"/>
  <c r="AC49" i="15"/>
  <c r="Y20" i="15"/>
  <c r="AC30" i="15"/>
  <c r="AA48" i="15"/>
  <c r="AC18" i="15"/>
  <c r="Y4" i="15"/>
  <c r="AA44" i="15"/>
  <c r="AC28" i="15"/>
  <c r="Y30" i="15"/>
  <c r="AC61" i="15"/>
  <c r="AB61" i="15"/>
  <c r="Z46" i="15"/>
  <c r="Z38" i="15"/>
  <c r="AC58" i="15"/>
  <c r="AA58" i="15"/>
  <c r="AD2" i="14" a="1"/>
  <c r="Z13" i="15"/>
  <c r="Y52" i="15"/>
  <c r="Y28" i="15"/>
  <c r="AB47" i="15"/>
  <c r="AC53" i="15"/>
  <c r="AB54" i="15"/>
  <c r="AB14" i="15"/>
  <c r="AA46" i="15"/>
  <c r="AB59" i="15"/>
  <c r="AC38" i="15"/>
  <c r="Y35" i="15"/>
  <c r="AB60" i="15"/>
  <c r="Y5" i="15"/>
  <c r="AC8" i="15"/>
  <c r="AA30" i="15"/>
  <c r="AA49" i="15"/>
  <c r="AC44" i="15"/>
  <c r="Z7" i="15"/>
  <c r="Y33" i="15"/>
  <c r="Y18" i="15"/>
  <c r="D22" i="1"/>
  <c r="Z14" i="15"/>
  <c r="Z29" i="15"/>
  <c r="AB7" i="15"/>
  <c r="AA41" i="15"/>
  <c r="AC47" i="15"/>
  <c r="AB41" i="15"/>
  <c r="AC3" i="15"/>
  <c r="Y36" i="15"/>
  <c r="AD2" i="16" a="1"/>
  <c r="AB51" i="15"/>
  <c r="Y60" i="15"/>
  <c r="Z32" i="15"/>
  <c r="I29" i="1"/>
  <c r="Y22" i="15"/>
  <c r="AA19" i="15"/>
  <c r="Z61" i="15"/>
  <c r="Y53" i="15"/>
  <c r="AA38" i="15"/>
  <c r="AB30" i="15"/>
  <c r="AB5" i="15"/>
  <c r="AA35" i="15"/>
  <c r="AB44" i="15"/>
  <c r="Z12" i="15"/>
  <c r="Y17" i="15"/>
  <c r="Z3" i="15"/>
  <c r="AB33" i="15"/>
  <c r="Z54" i="15"/>
  <c r="Z10" i="15"/>
  <c r="AC21" i="15"/>
  <c r="AC62" i="15"/>
  <c r="AB62" i="15"/>
  <c r="Z15" i="15"/>
  <c r="AC12" i="15"/>
  <c r="AB55" i="15"/>
  <c r="Y27" i="15"/>
  <c r="Z41" i="15"/>
  <c r="AC31" i="15"/>
  <c r="Y59" i="15"/>
  <c r="Z19" i="15"/>
  <c r="AA32" i="15"/>
  <c r="AA63" i="15"/>
  <c r="Y58" i="15"/>
  <c r="AB38" i="15"/>
  <c r="Z40" i="15"/>
  <c r="Z26" i="15"/>
  <c r="Z31" i="15"/>
  <c r="Z24" i="15"/>
  <c r="AB43" i="15"/>
  <c r="AA8" i="15"/>
  <c r="AC17" i="15"/>
  <c r="Z17" i="15"/>
  <c r="Y45" i="15"/>
  <c r="AA34" i="15"/>
  <c r="AB57" i="15"/>
  <c r="Y6" i="15"/>
  <c r="AB16" i="15"/>
  <c r="AC22" i="15"/>
  <c r="Z50" i="15"/>
  <c r="AA43" i="15"/>
  <c r="Y62" i="15"/>
  <c r="AC4" i="15"/>
  <c r="Z25" i="15"/>
  <c r="Z37" i="15"/>
  <c r="AC43" i="15"/>
  <c r="Z58" i="15"/>
  <c r="AC39" i="15"/>
  <c r="Y41" i="15"/>
  <c r="Z48" i="15"/>
  <c r="Y47" i="15"/>
  <c r="AB13" i="15"/>
  <c r="AC19" i="15"/>
  <c r="Y25" i="15"/>
  <c r="Z9" i="15"/>
  <c r="Y14" i="15"/>
  <c r="AB31" i="15"/>
  <c r="AC57" i="15"/>
  <c r="Z59" i="15"/>
  <c r="AB45" i="15"/>
  <c r="Y51" i="15"/>
  <c r="AA14" i="15"/>
  <c r="AC16" i="15"/>
  <c r="AB22" i="15"/>
  <c r="Z20" i="15"/>
  <c r="Y19" i="15"/>
  <c r="AA37" i="15"/>
  <c r="AB34" i="15"/>
  <c r="AC42" i="15"/>
  <c r="AB21" i="15"/>
  <c r="Z49" i="15"/>
  <c r="Y48" i="15"/>
  <c r="AB63" i="15"/>
  <c r="AC13" i="15"/>
  <c r="Y12" i="15"/>
  <c r="Y49" i="15"/>
  <c r="I13" i="1"/>
  <c r="AB56" i="15"/>
  <c r="AA55" i="15"/>
  <c r="Y16" i="15"/>
  <c r="Z11" i="15"/>
  <c r="AA59" i="15"/>
  <c r="H21" i="1"/>
  <c r="AC10" i="15"/>
  <c r="Y57" i="15"/>
  <c r="AC33" i="15"/>
  <c r="Z23" i="15"/>
  <c r="AA22" i="15"/>
  <c r="AB48" i="15"/>
  <c r="H38" i="1"/>
  <c r="H37" i="1"/>
  <c r="I37" i="1" s="1"/>
  <c r="I30" i="1"/>
  <c r="H22" i="1"/>
  <c r="I14" i="1"/>
  <c r="AD39" i="16" l="1"/>
  <c r="AD47" i="16"/>
  <c r="AD11" i="16"/>
  <c r="AD55" i="16"/>
  <c r="AD5" i="16"/>
  <c r="AD24" i="16"/>
  <c r="AD37" i="16"/>
  <c r="AD17" i="16"/>
  <c r="AD49" i="16"/>
  <c r="AD6" i="16"/>
  <c r="AD43" i="16"/>
  <c r="AD16" i="16"/>
  <c r="AD45" i="16"/>
  <c r="AD26" i="16"/>
  <c r="AD50" i="16"/>
  <c r="AD19" i="16"/>
  <c r="AD2" i="16"/>
  <c r="AD22" i="16"/>
  <c r="AD7" i="16"/>
  <c r="AD33" i="16"/>
  <c r="AD54" i="16"/>
  <c r="AD20" i="16"/>
  <c r="AD35" i="16"/>
  <c r="AD59" i="16"/>
  <c r="AD23" i="16"/>
  <c r="AD52" i="16"/>
  <c r="AD34" i="16"/>
  <c r="AD15" i="16"/>
  <c r="AD40" i="16"/>
  <c r="AD30" i="16"/>
  <c r="AD51" i="16"/>
  <c r="AD4" i="16"/>
  <c r="AD41" i="16"/>
  <c r="AD48" i="16"/>
  <c r="AD56" i="16"/>
  <c r="AD44" i="16"/>
  <c r="AD10" i="16"/>
  <c r="AD46" i="16"/>
  <c r="AD9" i="16"/>
  <c r="AD42" i="16"/>
  <c r="AD25" i="16"/>
  <c r="AD12" i="16"/>
  <c r="AD18" i="16"/>
  <c r="AD3" i="16"/>
  <c r="AD31" i="16"/>
  <c r="AD60" i="16"/>
  <c r="AD58" i="16"/>
  <c r="AD32" i="16"/>
  <c r="AD27" i="16"/>
  <c r="AD53" i="16"/>
  <c r="AD29" i="16"/>
  <c r="AD57" i="16"/>
  <c r="AD36" i="16"/>
  <c r="AD28" i="16"/>
  <c r="AD8" i="16"/>
  <c r="AD13" i="16"/>
  <c r="AD21" i="16"/>
  <c r="AD38" i="16"/>
  <c r="AD14" i="16"/>
  <c r="W27" i="15"/>
  <c r="W17" i="15"/>
  <c r="W59" i="15"/>
  <c r="W7" i="15"/>
  <c r="W42" i="15"/>
  <c r="W35" i="15"/>
  <c r="W19" i="15"/>
  <c r="W50" i="15"/>
  <c r="W34" i="15"/>
  <c r="W18" i="15"/>
  <c r="W9" i="15"/>
  <c r="W11" i="15"/>
  <c r="W41" i="15"/>
  <c r="W26" i="15"/>
  <c r="W10" i="15"/>
  <c r="W62" i="15"/>
  <c r="W28" i="15"/>
  <c r="W40" i="15"/>
  <c r="W33" i="15"/>
  <c r="W25" i="15"/>
  <c r="W55" i="15"/>
  <c r="W20" i="15"/>
  <c r="W51" i="15"/>
  <c r="W47" i="15"/>
  <c r="W32" i="15"/>
  <c r="W24" i="15"/>
  <c r="W16" i="15"/>
  <c r="W8" i="15"/>
  <c r="W13" i="15"/>
  <c r="W48" i="15"/>
  <c r="W56" i="15"/>
  <c r="W54" i="15"/>
  <c r="W39" i="15"/>
  <c r="W31" i="15"/>
  <c r="W23" i="15"/>
  <c r="W15" i="15"/>
  <c r="W3" i="15"/>
  <c r="W57" i="15"/>
  <c r="W58" i="15"/>
  <c r="W14" i="15"/>
  <c r="W61" i="15"/>
  <c r="W46" i="15"/>
  <c r="W38" i="15"/>
  <c r="W30" i="15"/>
  <c r="W22" i="15"/>
  <c r="W6" i="15"/>
  <c r="W5" i="15"/>
  <c r="W63" i="15"/>
  <c r="W12" i="15"/>
  <c r="W53" i="15"/>
  <c r="W45" i="15"/>
  <c r="W37" i="15"/>
  <c r="W29" i="15"/>
  <c r="W49" i="15"/>
  <c r="W21" i="15"/>
  <c r="W43" i="15"/>
  <c r="W4" i="15"/>
  <c r="W60" i="15"/>
  <c r="W52" i="15"/>
  <c r="W44" i="15"/>
  <c r="W36" i="15"/>
  <c r="AD14" i="14"/>
  <c r="AD7" i="14"/>
  <c r="AD9" i="14"/>
  <c r="AD6" i="14"/>
  <c r="AD4" i="14"/>
  <c r="AD17" i="14"/>
  <c r="AD16" i="14"/>
  <c r="AD11" i="14"/>
  <c r="AD3" i="14"/>
  <c r="AD20" i="14"/>
  <c r="AD19" i="14"/>
  <c r="AD13" i="14"/>
  <c r="AD15" i="14"/>
  <c r="AD22" i="14"/>
  <c r="AD8" i="14"/>
  <c r="AD2" i="14"/>
  <c r="AD12" i="14"/>
  <c r="AD5" i="14"/>
  <c r="AD10" i="14"/>
  <c r="AD21" i="14"/>
  <c r="AD18" i="14"/>
  <c r="I25" i="1"/>
  <c r="I38" i="1"/>
  <c r="I21" i="1"/>
  <c r="AD2" i="15" a="1"/>
  <c r="I41" i="1"/>
  <c r="I22" i="1"/>
  <c r="AD2" i="17" a="1"/>
  <c r="AD39" i="15" l="1"/>
  <c r="AD47" i="15"/>
  <c r="AD57" i="15"/>
  <c r="AD52" i="15"/>
  <c r="AD31" i="15"/>
  <c r="AD50" i="15"/>
  <c r="AD9" i="15"/>
  <c r="AD40" i="15"/>
  <c r="AD48" i="15"/>
  <c r="AD11" i="15"/>
  <c r="AD6" i="15"/>
  <c r="AD18" i="15"/>
  <c r="AD30" i="15"/>
  <c r="AD12" i="15"/>
  <c r="AD33" i="15"/>
  <c r="AD41" i="15"/>
  <c r="AD49" i="15"/>
  <c r="AD28" i="15"/>
  <c r="AD23" i="15"/>
  <c r="AD51" i="15"/>
  <c r="AD58" i="15"/>
  <c r="AD8" i="15"/>
  <c r="AD37" i="15"/>
  <c r="AD2" i="15"/>
  <c r="AD26" i="15"/>
  <c r="AD34" i="15"/>
  <c r="AD42" i="15"/>
  <c r="AD3" i="15"/>
  <c r="AD61" i="15"/>
  <c r="AD56" i="15"/>
  <c r="AD5" i="15"/>
  <c r="AD54" i="15"/>
  <c r="AD17" i="15"/>
  <c r="AD7" i="15"/>
  <c r="AD25" i="15"/>
  <c r="AD35" i="15"/>
  <c r="AD43" i="15"/>
  <c r="AD20" i="15"/>
  <c r="AD15" i="15"/>
  <c r="AD10" i="15"/>
  <c r="AD22" i="15"/>
  <c r="AD59" i="15"/>
  <c r="AD13" i="15"/>
  <c r="AD4" i="15"/>
  <c r="AD36" i="15"/>
  <c r="AD44" i="15"/>
  <c r="AD53" i="15"/>
  <c r="AD32" i="15"/>
  <c r="AD27" i="15"/>
  <c r="AD55" i="15"/>
  <c r="AD62" i="15"/>
  <c r="AD16" i="15"/>
  <c r="AD45" i="15"/>
  <c r="AD60" i="15"/>
  <c r="AD38" i="15"/>
  <c r="AD46" i="15"/>
  <c r="AD24" i="15"/>
  <c r="AD19" i="15"/>
  <c r="AD14" i="15"/>
  <c r="AD29" i="15"/>
  <c r="AD63" i="15"/>
  <c r="AD21" i="15"/>
  <c r="AD27" i="17"/>
  <c r="AD44" i="17"/>
  <c r="AD39" i="17"/>
  <c r="AD52" i="17"/>
  <c r="AD2" i="17"/>
  <c r="AD46" i="17"/>
  <c r="AD23" i="17"/>
  <c r="AD36" i="17"/>
  <c r="AD53" i="17"/>
  <c r="AD33" i="17"/>
  <c r="AD22" i="17"/>
  <c r="AD43" i="17"/>
  <c r="AD48" i="17"/>
  <c r="AD31" i="17"/>
  <c r="AD45" i="17"/>
  <c r="AD15" i="17"/>
  <c r="AD3" i="17"/>
  <c r="AD8" i="17"/>
  <c r="AD13" i="17"/>
  <c r="AD34" i="17"/>
  <c r="AD9" i="17"/>
  <c r="AD26" i="17"/>
  <c r="AD30" i="17"/>
  <c r="AD51" i="17"/>
  <c r="AD7" i="17"/>
  <c r="AD32" i="17"/>
  <c r="AD28" i="17"/>
  <c r="AD49" i="17"/>
  <c r="AD38" i="17"/>
  <c r="AD42" i="17"/>
  <c r="AD20" i="17"/>
  <c r="AD29" i="17"/>
  <c r="AD24" i="17"/>
  <c r="AD25" i="17"/>
  <c r="AD14" i="17"/>
  <c r="AD19" i="17"/>
  <c r="AD40" i="17"/>
  <c r="AD4" i="17"/>
  <c r="AD17" i="17"/>
  <c r="AD50" i="17"/>
  <c r="AD47" i="17"/>
  <c r="AD5" i="17"/>
  <c r="AD10" i="17"/>
  <c r="AD12" i="17"/>
  <c r="AD41" i="17"/>
  <c r="AD18" i="17"/>
  <c r="AD35" i="17"/>
  <c r="AD6" i="17"/>
  <c r="AD11" i="17"/>
  <c r="AD16" i="17"/>
  <c r="AD21" i="17"/>
  <c r="AD37" i="17"/>
  <c r="H23" i="1" l="1"/>
  <c r="I23" i="1"/>
  <c r="C23" i="1" l="1"/>
  <c r="H39" i="1"/>
  <c r="D23" i="1"/>
  <c r="I39" i="1"/>
  <c r="C39" i="1" l="1"/>
  <c r="D39" i="1"/>
  <c r="Y23" i="14" l="1"/>
  <c r="Y64" i="15"/>
  <c r="Y54" i="17"/>
  <c r="Y61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BARONE RICCARDO</author>
    <author>Ferdinando Ametrano</author>
  </authors>
  <commentList>
    <comment ref="J3" authorId="0">
      <text>
        <r>
          <rPr>
            <sz val="9"/>
            <color indexed="81"/>
            <rFont val="Tahoma"/>
            <family val="2"/>
          </rPr>
          <t>=qlDepositRateHelper(,E3,D3,Permanent,Trigger,ObjectOverwrite)</t>
        </r>
      </text>
    </comment>
    <comment ref="AK3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1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1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J6" authorId="1">
      <text>
        <r>
          <rPr>
            <sz val="9"/>
            <color indexed="81"/>
            <rFont val="Tahoma"/>
            <family val="2"/>
          </rPr>
          <t>=qlFraRateHelper(,H12,B12&amp;"M",G12,PillarDate,,Permanent,Trigger,ObjectOverwrite)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J6" authorId="1">
      <text>
        <r>
          <rPr>
            <sz val="9"/>
            <color indexed="81"/>
            <rFont val="Tahoma"/>
            <family val="2"/>
          </rPr>
          <t>=qlSwapRateHelper2(,H10,2,B10,Calendar,D10,E10,F10,G10,I10,C10,Discounting,PillarDate,,Permanent,Trigger,ObjectOverwrite)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<sst xmlns="http://schemas.openxmlformats.org/spreadsheetml/2006/main" count="1129" uniqueCount="143">
  <si>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</si>
  <si>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</si>
  <si>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</si>
  <si>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</si>
  <si>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</si>
  <si>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</si>
  <si>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</si>
  <si>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</si>
  <si>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</si>
  <si>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</si>
  <si>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</si>
  <si>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</si>
  <si>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</si>
  <si>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</si>
  <si>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</si>
  <si>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</si>
  <si>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</si>
  <si>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</si>
  <si>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</si>
  <si>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</si>
  <si>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</si>
  <si>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</si>
  <si>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</si>
  <si>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</si>
  <si>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</si>
  <si>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</si>
  <si>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</si>
  <si>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</si>
  <si>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</si>
  <si>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</si>
  <si>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</si>
  <si>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</si>
  <si>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</si>
  <si>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</si>
  <si>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</si>
  <si>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</si>
  <si>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</si>
  <si>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</si>
  <si>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</si>
  <si>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</si>
  <si>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</si>
  <si>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</si>
  <si>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</si>
  <si>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</si>
  <si>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</si>
  <si>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</si>
  <si>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</si>
  <si>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</si>
  <si>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</si>
  <si>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</si>
  <si>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</si>
  <si>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</si>
  <si>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</si>
  <si>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</si>
  <si>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</si>
  <si>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</si>
  <si>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</si>
  <si>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</si>
  <si>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</si>
  <si>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</si>
  <si>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</si>
  <si>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</si>
  <si>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</si>
  <si>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</si>
  <si>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</si>
  <si>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</si>
  <si>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</si>
  <si>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</si>
  <si>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</si>
  <si>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</si>
  <si>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</si>
  <si>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</si>
  <si>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</si>
  <si>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</si>
  <si>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</si>
  <si>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</si>
  <si>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</si>
  <si>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</si>
  <si>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</si>
  <si>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</si>
  <si>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</si>
  <si>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</si>
  <si>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</si>
  <si>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</si>
  <si>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</si>
  <si>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</si>
  <si>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</si>
  <si>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</si>
  <si>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Tenor Used</t>
  </si>
  <si>
    <t>Start</t>
  </si>
  <si>
    <t>End</t>
  </si>
  <si>
    <t>FRA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</si>
  <si>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</si>
  <si>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</si>
  <si>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</si>
  <si>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</si>
  <si>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</si>
  <si>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</si>
  <si>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</si>
  <si>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</si>
  <si>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</si>
  <si>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</si>
  <si>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</si>
  <si>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</si>
  <si>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</si>
  <si>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</si>
  <si>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</si>
  <si>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</si>
  <si>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</si>
  <si>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</si>
  <si>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</si>
  <si>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</si>
  <si>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</si>
  <si>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</si>
  <si>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</si>
  <si>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</si>
  <si>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</si>
  <si>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</si>
  <si>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</si>
  <si>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</si>
  <si>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</si>
  <si>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</si>
  <si>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</si>
  <si>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</si>
  <si>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</si>
  <si>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</si>
  <si>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</si>
  <si>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HKD</t>
  </si>
  <si>
    <t>HongKong::HKEx</t>
  </si>
  <si>
    <t>Hibor</t>
  </si>
  <si>
    <t>Quarterly</t>
  </si>
  <si>
    <t>Actual/365 (Fixed)</t>
  </si>
  <si>
    <t>3H</t>
  </si>
  <si>
    <t>QM</t>
  </si>
  <si>
    <t>3HI</t>
  </si>
  <si>
    <t>6HI</t>
  </si>
  <si>
    <t>AM</t>
  </si>
  <si>
    <t>1HI</t>
  </si>
  <si>
    <t>1H</t>
  </si>
  <si>
    <t>Annual</t>
  </si>
  <si>
    <t>Honix</t>
  </si>
  <si>
    <t>CheckExtrapolation</t>
  </si>
  <si>
    <t>Instruments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</si>
</sst>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78" fontId="5" fillId="0" borderId="2" xfId="0" applyNumberFormat="1" applyFont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0" fontId="5" fillId="3" borderId="8" xfId="0" applyNumberFormat="1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11" fontId="5" fillId="8" borderId="0" xfId="0" applyNumberFormat="1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2" borderId="2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164" fontId="5" fillId="11" borderId="2" xfId="0" applyNumberFormat="1" applyFont="1" applyFill="1" applyBorder="1"/>
    <xf numFmtId="166" fontId="5" fillId="11" borderId="2" xfId="0" applyNumberFormat="1" applyFont="1" applyFill="1" applyBorder="1" applyAlignment="1"/>
    <xf numFmtId="165" fontId="5" fillId="11" borderId="2" xfId="0" applyNumberFormat="1" applyFont="1" applyFill="1" applyBorder="1" applyAlignment="1">
      <alignment horizontal="center"/>
    </xf>
    <xf numFmtId="165" fontId="5" fillId="12" borderId="2" xfId="0" applyNumberFormat="1" applyFont="1" applyFill="1" applyBorder="1" applyAlignment="1">
      <alignment horizontal="center"/>
    </xf>
    <xf numFmtId="164" fontId="5" fillId="11" borderId="6" xfId="0" applyNumberFormat="1" applyFont="1" applyFill="1" applyBorder="1"/>
    <xf numFmtId="166" fontId="5" fillId="11" borderId="6" xfId="0" applyNumberFormat="1" applyFont="1" applyFill="1" applyBorder="1" applyAlignment="1"/>
    <xf numFmtId="165" fontId="5" fillId="11" borderId="6" xfId="0" applyNumberFormat="1" applyFont="1" applyFill="1" applyBorder="1" applyAlignment="1">
      <alignment horizontal="center"/>
    </xf>
    <xf numFmtId="165" fontId="5" fillId="12" borderId="6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164" fontId="5" fillId="11" borderId="1" xfId="0" applyNumberFormat="1" applyFont="1" applyFill="1" applyBorder="1"/>
    <xf numFmtId="0" fontId="5" fillId="11" borderId="1" xfId="0" applyFont="1" applyFill="1" applyBorder="1" applyAlignment="1"/>
    <xf numFmtId="165" fontId="5" fillId="11" borderId="1" xfId="0" applyNumberFormat="1" applyFont="1" applyFill="1" applyBorder="1" applyAlignment="1">
      <alignment horizontal="center"/>
    </xf>
    <xf numFmtId="165" fontId="5" fillId="12" borderId="1" xfId="0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16" xfId="1" applyNumberFormat="1" applyFont="1" applyFill="1" applyBorder="1" applyAlignment="1">
      <alignment horizontal="center"/>
    </xf>
    <xf numFmtId="166" fontId="5" fillId="11" borderId="1" xfId="0" applyNumberFormat="1" applyFont="1" applyFill="1" applyBorder="1" applyAlignment="1"/>
    <xf numFmtId="164" fontId="5" fillId="11" borderId="8" xfId="0" applyNumberFormat="1" applyFont="1" applyFill="1" applyBorder="1"/>
    <xf numFmtId="166" fontId="5" fillId="11" borderId="8" xfId="0" applyNumberFormat="1" applyFont="1" applyFill="1" applyBorder="1" applyAlignment="1"/>
    <xf numFmtId="165" fontId="5" fillId="11" borderId="8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>
      <alignment horizontal="center"/>
    </xf>
    <xf numFmtId="2" fontId="5" fillId="11" borderId="8" xfId="0" applyNumberFormat="1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2" fontId="5" fillId="11" borderId="6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2" fontId="5" fillId="11" borderId="1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/>
    <xf numFmtId="164" fontId="5" fillId="11" borderId="8" xfId="0" applyNumberFormat="1" applyFont="1" applyFill="1" applyBorder="1" applyAlignment="1"/>
    <xf numFmtId="0" fontId="5" fillId="3" borderId="2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 vertical="center"/>
    </xf>
    <xf numFmtId="164" fontId="3" fillId="10" borderId="2" xfId="1" applyNumberFormat="1" applyFont="1" applyFill="1" applyBorder="1" applyAlignment="1">
      <alignment horizontal="center" vertical="center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4">
          <cell r="D4" t="str">
            <v>HKDON#0000</v>
          </cell>
        </row>
        <row r="7">
          <cell r="D7" t="str">
            <v>HKD1M#0000</v>
          </cell>
        </row>
        <row r="9">
          <cell r="D9" t="str">
            <v>HKD3M#0000</v>
          </cell>
        </row>
        <row r="10">
          <cell r="D10" t="str">
            <v>HKD6M#0000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0" t="s">
        <v>21</v>
      </c>
      <c r="D3" s="77" t="s">
        <v>127</v>
      </c>
      <c r="E3" s="81"/>
      <c r="G3" s="83"/>
      <c r="H3" s="10" t="s">
        <v>29</v>
      </c>
      <c r="I3" s="11">
        <f>_xll.qlSettingsEvaluationDate(Trigger)</f>
        <v>42559</v>
      </c>
      <c r="J3" s="81"/>
    </row>
    <row r="4" spans="1:10" ht="11.25" customHeight="1" x14ac:dyDescent="0.2">
      <c r="B4" s="83"/>
      <c r="C4" s="12" t="s">
        <v>18</v>
      </c>
      <c r="D4" s="14" t="b">
        <v>1</v>
      </c>
      <c r="E4" s="81"/>
      <c r="G4" s="83"/>
      <c r="H4" s="12" t="s">
        <v>30</v>
      </c>
      <c r="I4" s="13">
        <f>_xll.qlCalendarAdvance(Calendar,Evaluationdate,"1D","F",,Trigger)</f>
        <v>42562</v>
      </c>
      <c r="J4" s="81"/>
    </row>
    <row r="5" spans="1:10" ht="11.25" customHeight="1" x14ac:dyDescent="0.2">
      <c r="A5" s="48"/>
      <c r="B5" s="84"/>
      <c r="C5" s="17" t="s">
        <v>17</v>
      </c>
      <c r="D5" s="18"/>
      <c r="E5" s="81"/>
      <c r="G5" s="83"/>
      <c r="H5" s="12" t="s">
        <v>13</v>
      </c>
      <c r="I5" s="13" t="s">
        <v>128</v>
      </c>
      <c r="J5" s="81"/>
    </row>
    <row r="6" spans="1:10" ht="11.25" customHeight="1" x14ac:dyDescent="0.2">
      <c r="A6" s="48"/>
      <c r="B6" s="84"/>
      <c r="C6" s="12" t="s">
        <v>19</v>
      </c>
      <c r="D6" s="14" t="b">
        <v>1</v>
      </c>
      <c r="E6" s="81"/>
      <c r="G6" s="83"/>
      <c r="H6" s="143"/>
      <c r="I6" s="143"/>
      <c r="J6" s="81"/>
    </row>
    <row r="7" spans="1:10" ht="11.25" customHeight="1" x14ac:dyDescent="0.2">
      <c r="A7" s="48"/>
      <c r="B7" s="84"/>
      <c r="C7" s="12" t="s">
        <v>20</v>
      </c>
      <c r="D7" s="15"/>
      <c r="E7" s="81"/>
      <c r="G7" s="83"/>
      <c r="H7" s="10" t="s">
        <v>34</v>
      </c>
      <c r="I7" s="139" t="s">
        <v>129</v>
      </c>
      <c r="J7" s="81"/>
    </row>
    <row r="8" spans="1:10" ht="11.25" customHeight="1" x14ac:dyDescent="0.2">
      <c r="A8" s="48"/>
      <c r="B8" s="85"/>
      <c r="C8" s="16" t="s">
        <v>73</v>
      </c>
      <c r="D8" s="157" t="s">
        <v>74</v>
      </c>
      <c r="E8" s="81"/>
      <c r="G8" s="83"/>
      <c r="H8" s="12" t="s">
        <v>71</v>
      </c>
      <c r="I8" s="140" t="s">
        <v>72</v>
      </c>
      <c r="J8" s="81"/>
    </row>
    <row r="9" spans="1:10" ht="11.25" customHeight="1" x14ac:dyDescent="0.2">
      <c r="B9" s="85"/>
      <c r="C9" s="142"/>
      <c r="D9" s="142"/>
      <c r="E9" s="81"/>
      <c r="G9" s="83"/>
      <c r="H9" s="16" t="s">
        <v>123</v>
      </c>
      <c r="I9" s="141" t="s">
        <v>122</v>
      </c>
      <c r="J9" s="81"/>
    </row>
    <row r="10" spans="1:10" ht="11.25" customHeight="1" x14ac:dyDescent="0.2">
      <c r="B10" s="86"/>
      <c r="C10" s="87"/>
      <c r="D10" s="88"/>
      <c r="E10" s="82"/>
      <c r="G10" s="86"/>
      <c r="H10" s="87"/>
      <c r="I10" s="88"/>
      <c r="J10" s="82"/>
    </row>
    <row r="11" spans="1:10" ht="11.25" customHeight="1" x14ac:dyDescent="0.2"/>
    <row r="12" spans="1:10" x14ac:dyDescent="0.2">
      <c r="B12" s="35"/>
      <c r="C12" s="36"/>
      <c r="D12" s="36"/>
      <c r="E12" s="37"/>
      <c r="G12" s="35"/>
      <c r="H12" s="36"/>
      <c r="I12" s="36"/>
      <c r="J12" s="37"/>
    </row>
    <row r="13" spans="1:10" x14ac:dyDescent="0.2">
      <c r="B13" s="20"/>
      <c r="C13" s="19" t="s">
        <v>9</v>
      </c>
      <c r="D13" s="39" t="str">
        <f>_xll.qlPiecewiseYieldCurve($D$15,$D$16,Calendar,_xll.ohPack(RateHelpersON),,JumpQuotes_ON,JumpDates_ON,D17,D18,D19,Permanent,,ObjectOverwrite)</f>
        <v>_HKDON#0010</v>
      </c>
      <c r="E13" s="40"/>
      <c r="G13" s="20"/>
      <c r="H13" s="19" t="s">
        <v>9</v>
      </c>
      <c r="I13" s="39" t="str">
        <f>_xll.qlPiecewiseYieldCurve(I15,I16,Calendar,_xll.ohPack(RateHelpers3M),,JumpQuotes_3M,JumpDates_3M,I17,I18,I19,Permanent,,ObjectOverwrite)</f>
        <v>_HKD3M#0002</v>
      </c>
      <c r="J13" s="40"/>
    </row>
    <row r="14" spans="1:10" x14ac:dyDescent="0.2">
      <c r="B14" s="20"/>
      <c r="C14" s="21" t="s">
        <v>10</v>
      </c>
      <c r="D14" s="41" t="str">
        <f>_xll.ohRangeRetrieveError(YieldCurve_ON)</f>
        <v/>
      </c>
      <c r="E14" s="40"/>
      <c r="G14" s="20"/>
      <c r="H14" s="21" t="s">
        <v>10</v>
      </c>
      <c r="I14" s="41" t="str">
        <f>_xll.ohRangeRetrieveError(YieldCurve_3M)</f>
        <v/>
      </c>
      <c r="J14" s="40"/>
    </row>
    <row r="15" spans="1:10" x14ac:dyDescent="0.2">
      <c r="B15" s="20"/>
      <c r="C15" s="19" t="s">
        <v>11</v>
      </c>
      <c r="D15" s="22" t="str">
        <f>"_"&amp;Currency&amp;"ON"</f>
        <v>_HKDON</v>
      </c>
      <c r="E15" s="40"/>
      <c r="G15" s="20"/>
      <c r="H15" s="19" t="s">
        <v>11</v>
      </c>
      <c r="I15" s="22" t="str">
        <f>"_"&amp;Currency&amp;"3M"</f>
        <v>_HKD3M</v>
      </c>
      <c r="J15" s="40"/>
    </row>
    <row r="16" spans="1:10" x14ac:dyDescent="0.2">
      <c r="B16" s="20"/>
      <c r="C16" s="23" t="s">
        <v>12</v>
      </c>
      <c r="D16" s="24">
        <v>0</v>
      </c>
      <c r="E16" s="40"/>
      <c r="G16" s="20"/>
      <c r="H16" s="23" t="s">
        <v>12</v>
      </c>
      <c r="I16" s="24">
        <v>0</v>
      </c>
      <c r="J16" s="40"/>
    </row>
    <row r="17" spans="1:10" x14ac:dyDescent="0.2">
      <c r="B17" s="20"/>
      <c r="C17" s="23" t="s">
        <v>14</v>
      </c>
      <c r="D17" s="25"/>
      <c r="E17" s="40"/>
      <c r="G17" s="20"/>
      <c r="H17" s="23" t="s">
        <v>14</v>
      </c>
      <c r="I17" s="25"/>
      <c r="J17" s="40"/>
    </row>
    <row r="18" spans="1:10" x14ac:dyDescent="0.2">
      <c r="B18" s="20"/>
      <c r="C18" s="23" t="s">
        <v>15</v>
      </c>
      <c r="D18" s="26" t="s">
        <v>31</v>
      </c>
      <c r="E18" s="40"/>
      <c r="G18" s="20"/>
      <c r="H18" s="23" t="s">
        <v>15</v>
      </c>
      <c r="I18" s="26" t="s">
        <v>31</v>
      </c>
      <c r="J18" s="40"/>
    </row>
    <row r="19" spans="1:10" x14ac:dyDescent="0.2">
      <c r="B19" s="20"/>
      <c r="C19" s="21" t="s">
        <v>16</v>
      </c>
      <c r="D19" s="27" t="s">
        <v>36</v>
      </c>
      <c r="E19" s="40"/>
      <c r="G19" s="20"/>
      <c r="H19" s="21" t="s">
        <v>16</v>
      </c>
      <c r="I19" s="27" t="s">
        <v>36</v>
      </c>
      <c r="J19" s="40"/>
    </row>
    <row r="20" spans="1:10" x14ac:dyDescent="0.2">
      <c r="B20" s="20"/>
      <c r="C20" s="28"/>
      <c r="D20" s="28"/>
      <c r="E20" s="40"/>
      <c r="G20" s="20"/>
      <c r="H20" s="28"/>
      <c r="I20" s="28"/>
      <c r="J20" s="40"/>
    </row>
    <row r="21" spans="1:10" x14ac:dyDescent="0.2">
      <c r="B21" s="20"/>
      <c r="C21" s="29">
        <f>_xll.qlTermStructureReferenceDate(YieldCurve_ON)</f>
        <v>42559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42559</v>
      </c>
      <c r="I21" s="30">
        <f>_xll.qlYieldTSDiscount(YieldCurve_3M,H21,,Trigger)</f>
        <v>1</v>
      </c>
      <c r="J21" s="40"/>
    </row>
    <row r="22" spans="1:10" x14ac:dyDescent="0.2">
      <c r="B22" s="20"/>
      <c r="C22" s="31">
        <f>_xll.qlTermStructureMaxDate(YieldCurve_ON,Trigger)</f>
        <v>42927</v>
      </c>
      <c r="D22" s="32">
        <f>_xll.qlYieldTSDiscount(YieldCurve_ON,C22,,Trigger)</f>
        <v>0.9984972995896928</v>
      </c>
      <c r="E22" s="40"/>
      <c r="G22" s="20"/>
      <c r="H22" s="31">
        <f>_xll.qlTermStructureMaxDate(YieldCurve_3M,Trigger)</f>
        <v>49867</v>
      </c>
      <c r="I22" s="32">
        <f>_xll.qlYieldTSDiscount(YieldCurve_3M,H22,,Trigger)</f>
        <v>0.62057989633696786</v>
      </c>
      <c r="J22" s="40"/>
    </row>
    <row r="23" spans="1:10" x14ac:dyDescent="0.2">
      <c r="B23" s="20"/>
      <c r="C23" s="31" t="str">
        <f>[1]Hibor!$D$4</f>
        <v>HKDON#0000</v>
      </c>
      <c r="D23" s="32" t="b">
        <f>_xll.qlRelinkableHandleLinkTo(C23,D13,Trigger)</f>
        <v>1</v>
      </c>
      <c r="E23" s="40"/>
      <c r="G23" s="20"/>
      <c r="H23" s="31" t="str">
        <f>[1]Hibor!$D$9</f>
        <v>HKD3M#0000</v>
      </c>
      <c r="I23" s="32" t="b">
        <f>_xll.qlRelinkableHandleLinkTo(H23,I13,Trigger)</f>
        <v>1</v>
      </c>
      <c r="J23" s="40"/>
    </row>
    <row r="24" spans="1:10" x14ac:dyDescent="0.2">
      <c r="B24" s="20"/>
      <c r="C24" s="33" t="s">
        <v>114</v>
      </c>
      <c r="D24" s="34" t="b">
        <v>0</v>
      </c>
      <c r="E24" s="40"/>
      <c r="G24" s="20"/>
      <c r="H24" s="33" t="s">
        <v>114</v>
      </c>
      <c r="I24" s="34" t="b">
        <v>0</v>
      </c>
      <c r="J24" s="40"/>
    </row>
    <row r="25" spans="1:10" x14ac:dyDescent="0.2">
      <c r="B25" s="20"/>
      <c r="C25" s="173" t="s">
        <v>141</v>
      </c>
      <c r="D25" s="174" t="b">
        <f>_xll.qlExtrapolatorEnableExtrapolation(YieldCurve_ON,D24,Trigger)</f>
        <v>1</v>
      </c>
      <c r="E25" s="40"/>
      <c r="G25" s="20"/>
      <c r="H25" s="173" t="s">
        <v>141</v>
      </c>
      <c r="I25" s="174" t="b">
        <f>_xll.qlExtrapolatorEnableExtrapolation(YieldCurve_3M,I24,Trigger)</f>
        <v>1</v>
      </c>
      <c r="J25" s="40"/>
    </row>
    <row r="26" spans="1:10" x14ac:dyDescent="0.2">
      <c r="B26" s="42"/>
      <c r="C26" s="43"/>
      <c r="D26" s="43"/>
      <c r="E26" s="44"/>
      <c r="G26" s="42"/>
      <c r="H26" s="43"/>
      <c r="I26" s="43"/>
      <c r="J26" s="44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x14ac:dyDescent="0.2">
      <c r="B29" s="38"/>
      <c r="C29" s="19" t="s">
        <v>9</v>
      </c>
      <c r="D29" s="39" t="str">
        <f>_xll.qlPiecewiseYieldCurve(D31,D32,Calendar,_xll.ohPack(RateHelpers6M),,JumpQuotes_6M,JumpDates_6M,D33,D34,D35,Permanent,,ObjectOverwrite)</f>
        <v>_HKD6M#0001</v>
      </c>
      <c r="E29" s="40"/>
      <c r="F29" s="47"/>
      <c r="G29" s="20"/>
      <c r="H29" s="19" t="s">
        <v>9</v>
      </c>
      <c r="I29" s="39" t="str">
        <f>_xll.qlPiecewiseYieldCurve(I31,I32,Calendar,_xll.ohPack(RateHelpers1M),,JumpQuotes_1M,JumpDates_1M,I33,I34,I35,Permanent,,ObjectOverwrite)</f>
        <v>_HKD1M#0001</v>
      </c>
      <c r="J29" s="40"/>
    </row>
    <row r="30" spans="1:10" x14ac:dyDescent="0.2">
      <c r="B30" s="38"/>
      <c r="C30" s="21" t="s">
        <v>10</v>
      </c>
      <c r="D30" s="41" t="str">
        <f>_xll.ohRangeRetrieveError(YieldCurve_6M)</f>
        <v/>
      </c>
      <c r="E30" s="40"/>
      <c r="F30" s="47"/>
      <c r="G30" s="20"/>
      <c r="H30" s="21" t="s">
        <v>10</v>
      </c>
      <c r="I30" s="41" t="str">
        <f>_xll.ohRangeRetrieveError(YieldCurve_1M)</f>
        <v/>
      </c>
      <c r="J30" s="40"/>
    </row>
    <row r="31" spans="1:10" x14ac:dyDescent="0.2">
      <c r="B31" s="20"/>
      <c r="C31" s="19" t="s">
        <v>11</v>
      </c>
      <c r="D31" s="22" t="str">
        <f>"_"&amp;Currency&amp;"6M"</f>
        <v>_HKD6M</v>
      </c>
      <c r="E31" s="40"/>
      <c r="F31" s="47"/>
      <c r="G31" s="20"/>
      <c r="H31" s="19" t="s">
        <v>11</v>
      </c>
      <c r="I31" s="22" t="str">
        <f>"_"&amp;Currency&amp;"1M"</f>
        <v>_HKD1M</v>
      </c>
      <c r="J31" s="40"/>
    </row>
    <row r="32" spans="1:10" x14ac:dyDescent="0.2">
      <c r="B32" s="20"/>
      <c r="C32" s="23" t="s">
        <v>12</v>
      </c>
      <c r="D32" s="24">
        <v>0</v>
      </c>
      <c r="E32" s="40"/>
      <c r="F32" s="47"/>
      <c r="G32" s="20"/>
      <c r="H32" s="23" t="s">
        <v>12</v>
      </c>
      <c r="I32" s="24">
        <v>0</v>
      </c>
      <c r="J32" s="40"/>
    </row>
    <row r="33" spans="2:10" x14ac:dyDescent="0.2">
      <c r="B33" s="20"/>
      <c r="C33" s="23" t="s">
        <v>14</v>
      </c>
      <c r="D33" s="25"/>
      <c r="E33" s="40"/>
      <c r="F33" s="47"/>
      <c r="G33" s="20"/>
      <c r="H33" s="23" t="s">
        <v>14</v>
      </c>
      <c r="I33" s="25"/>
      <c r="J33" s="40"/>
    </row>
    <row r="34" spans="2:10" x14ac:dyDescent="0.2">
      <c r="B34" s="20"/>
      <c r="C34" s="23" t="s">
        <v>15</v>
      </c>
      <c r="D34" s="26" t="s">
        <v>31</v>
      </c>
      <c r="E34" s="40"/>
      <c r="F34" s="47"/>
      <c r="G34" s="20"/>
      <c r="H34" s="23" t="s">
        <v>15</v>
      </c>
      <c r="I34" s="26" t="s">
        <v>31</v>
      </c>
      <c r="J34" s="40"/>
    </row>
    <row r="35" spans="2:10" x14ac:dyDescent="0.2">
      <c r="B35" s="20"/>
      <c r="C35" s="21" t="s">
        <v>16</v>
      </c>
      <c r="D35" s="27" t="s">
        <v>36</v>
      </c>
      <c r="E35" s="40"/>
      <c r="F35" s="47"/>
      <c r="G35" s="20"/>
      <c r="H35" s="21" t="s">
        <v>16</v>
      </c>
      <c r="I35" s="27" t="s">
        <v>36</v>
      </c>
      <c r="J35" s="40"/>
    </row>
    <row r="36" spans="2:10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x14ac:dyDescent="0.2">
      <c r="B37" s="20"/>
      <c r="C37" s="29">
        <f>_xll.qlTermStructureReferenceDate(YieldCurve_6M)</f>
        <v>42559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42559</v>
      </c>
      <c r="I37" s="30">
        <f>_xll.qlYieldTSDiscount(YieldCurve_1M,H37,,Trigger)</f>
        <v>1</v>
      </c>
      <c r="J37" s="40"/>
    </row>
    <row r="38" spans="2:10" x14ac:dyDescent="0.2">
      <c r="B38" s="20"/>
      <c r="C38" s="31">
        <f>_xll.qlTermStructureMaxDate(YieldCurve_6M,Trigger)</f>
        <v>43290</v>
      </c>
      <c r="D38" s="32">
        <f>_xll.qlYieldTSDiscount(YieldCurve_6M,C38,,Trigger)</f>
        <v>0.98222083865118914</v>
      </c>
      <c r="E38" s="40"/>
      <c r="F38" s="47"/>
      <c r="G38" s="20"/>
      <c r="H38" s="31">
        <f>_xll.qlTermStructureMaxDate(YieldCurve_1M,Trigger)</f>
        <v>48040</v>
      </c>
      <c r="I38" s="32">
        <f>_xll.qlYieldTSDiscount(YieldCurve_1M,H38,,Trigger)</f>
        <v>0.73501010645441756</v>
      </c>
      <c r="J38" s="40"/>
    </row>
    <row r="39" spans="2:10" x14ac:dyDescent="0.2">
      <c r="B39" s="20"/>
      <c r="C39" s="31" t="str">
        <f>[1]Hibor!$D$10</f>
        <v>HKD6M#0000</v>
      </c>
      <c r="D39" s="32" t="b">
        <f>_xll.qlRelinkableHandleLinkTo(C39,D29,Trigger)</f>
        <v>1</v>
      </c>
      <c r="E39" s="40"/>
      <c r="F39" s="47"/>
      <c r="G39" s="20"/>
      <c r="H39" s="31" t="str">
        <f>[1]Hibor!$D$7</f>
        <v>HKD1M#0000</v>
      </c>
      <c r="I39" s="32" t="b">
        <f>_xll.qlRelinkableHandleLinkTo(H39,I29,Trigger)</f>
        <v>1</v>
      </c>
      <c r="J39" s="40"/>
    </row>
    <row r="40" spans="2:10" x14ac:dyDescent="0.2">
      <c r="B40" s="20"/>
      <c r="C40" s="33" t="s">
        <v>114</v>
      </c>
      <c r="D40" s="34" t="b">
        <v>1</v>
      </c>
      <c r="E40" s="40"/>
      <c r="F40" s="47"/>
      <c r="G40" s="20"/>
      <c r="H40" s="33" t="s">
        <v>114</v>
      </c>
      <c r="I40" s="34" t="b">
        <v>0</v>
      </c>
      <c r="J40" s="40"/>
    </row>
    <row r="41" spans="2:10" x14ac:dyDescent="0.2">
      <c r="B41" s="20"/>
      <c r="C41" s="173" t="s">
        <v>141</v>
      </c>
      <c r="D41" s="174" t="b">
        <f>_xll.qlExtrapolatorEnableExtrapolation(YieldCurve_6M,D40,Trigger)</f>
        <v>1</v>
      </c>
      <c r="E41" s="40"/>
      <c r="F41" s="47"/>
      <c r="G41" s="20"/>
      <c r="H41" s="173" t="s">
        <v>141</v>
      </c>
      <c r="I41" s="174" t="b">
        <f>_xll.qlExtrapolatorEnableExtrapolation(YieldCurve_1M,I40,Trigger)</f>
        <v>1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F44" s="47"/>
    </row>
    <row r="45" spans="2:10" x14ac:dyDescent="0.2">
      <c r="F45" s="47"/>
    </row>
  </sheetData>
  <dataValidations count="6">
    <dataValidation type="list" allowBlank="1" showInputMessage="1" showErrorMessage="1" sqref="D34 D18 I18 I34">
      <formula1>"Discount,ZeroYield,ForwardRate"</formula1>
    </dataValidation>
    <dataValidation type="list" allowBlank="1" showInputMessage="1" showErrorMessage="1" sqref="D35 D19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  <dataValidation type="list" allowBlank="1" showInputMessage="1" showErrorMessage="1" sqref="D24 I24 D40 I4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2" hidden="1" customWidth="1" outlineLevel="1"/>
    <col min="8" max="9" width="20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145" customWidth="1"/>
    <col min="32" max="32" width="2.7109375" style="46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40" width="24.42578125" style="46" bestFit="1" customWidth="1"/>
    <col min="41" max="16384" width="9.140625" style="46"/>
  </cols>
  <sheetData>
    <row r="1" spans="1:39" ht="18" customHeight="1" x14ac:dyDescent="0.2">
      <c r="G1" s="50" t="s">
        <v>140</v>
      </c>
      <c r="L1" s="65" t="s">
        <v>142</v>
      </c>
      <c r="M1" s="100"/>
      <c r="N1" s="100"/>
      <c r="O1" s="92"/>
      <c r="P1" s="100" t="s">
        <v>24</v>
      </c>
      <c r="Q1" s="100"/>
      <c r="R1" s="100"/>
      <c r="S1" s="100"/>
      <c r="T1" s="100"/>
      <c r="U1" s="92"/>
      <c r="V1" s="89"/>
      <c r="W1" s="70" t="str">
        <f>Currency&amp;"OIS"</f>
        <v>HKDOIS</v>
      </c>
      <c r="X1" s="64"/>
      <c r="Y1" s="64"/>
      <c r="Z1" s="66"/>
      <c r="AA1" s="66"/>
      <c r="AB1" s="64"/>
      <c r="AC1" s="64"/>
      <c r="AD1" s="68" t="s">
        <v>31</v>
      </c>
    </row>
    <row r="2" spans="1:39" ht="21.75" customHeight="1" x14ac:dyDescent="0.2">
      <c r="A2" s="63" t="s">
        <v>8</v>
      </c>
      <c r="B2" s="63" t="s">
        <v>28</v>
      </c>
      <c r="C2" s="63" t="s">
        <v>75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69" t="s">
        <v>8</v>
      </c>
      <c r="M2" s="69" t="s">
        <v>76</v>
      </c>
      <c r="N2" s="69" t="s">
        <v>79</v>
      </c>
      <c r="O2" s="69" t="s">
        <v>81</v>
      </c>
      <c r="P2" s="69" t="s">
        <v>77</v>
      </c>
      <c r="Q2" s="69" t="s">
        <v>78</v>
      </c>
      <c r="R2" s="69" t="s">
        <v>80</v>
      </c>
      <c r="S2" s="69" t="s">
        <v>24</v>
      </c>
      <c r="T2" s="69" t="s">
        <v>22</v>
      </c>
      <c r="U2" s="69" t="s">
        <v>73</v>
      </c>
      <c r="V2" s="89"/>
      <c r="W2" s="69" t="s">
        <v>8</v>
      </c>
      <c r="X2" s="69" t="s">
        <v>24</v>
      </c>
      <c r="Y2" s="69" t="s">
        <v>76</v>
      </c>
      <c r="Z2" s="71" t="s">
        <v>23</v>
      </c>
      <c r="AA2" s="71" t="s">
        <v>81</v>
      </c>
      <c r="AB2" s="69" t="s">
        <v>22</v>
      </c>
      <c r="AC2" s="69" t="s">
        <v>73</v>
      </c>
      <c r="AD2" s="72">
        <f t="array" ref="AD2:AD22">_xll.qlPiecewiseYieldCurveData(YieldCurve_ON,Trigger)</f>
        <v>1</v>
      </c>
      <c r="AG2" s="146" t="s">
        <v>82</v>
      </c>
      <c r="AH2" s="147"/>
      <c r="AI2" s="147"/>
      <c r="AJ2" s="147"/>
      <c r="AK2" s="148"/>
    </row>
    <row r="3" spans="1:39" ht="11.25" customHeight="1" x14ac:dyDescent="0.2">
      <c r="A3" s="104" t="s">
        <v>26</v>
      </c>
      <c r="B3" s="105" t="s">
        <v>37</v>
      </c>
      <c r="C3" s="208">
        <v>0</v>
      </c>
      <c r="D3" s="209"/>
      <c r="E3" s="209"/>
      <c r="F3" s="209"/>
      <c r="G3" s="158" t="str">
        <f>$G$1</f>
        <v>Honix</v>
      </c>
      <c r="H3" s="159" t="str">
        <f>Currency&amp;$B3&amp;"D"&amp;QuoteSuffix</f>
        <v>HKDOND_Quote</v>
      </c>
      <c r="I3" s="159"/>
      <c r="J3" s="175" t="str">
        <f>IF(P3,_xll.qlDepositRateHelper(,H3,G3,Permanent,Trigger,ObjectOverwrite),"--")</f>
        <v>--</v>
      </c>
      <c r="K3" s="49"/>
      <c r="L3" s="179" t="str">
        <f>A3</f>
        <v>Dp</v>
      </c>
      <c r="M3" s="180" t="str">
        <f>H3</f>
        <v>HKDOND_Quote</v>
      </c>
      <c r="N3" s="181">
        <f>IFERROR(_xll.qlQuoteValue(H3,Trigger),"--")</f>
        <v>5.3000000000000009E-4</v>
      </c>
      <c r="O3" s="182"/>
      <c r="P3" s="161" t="b">
        <v>0</v>
      </c>
      <c r="Q3" s="160">
        <v>70</v>
      </c>
      <c r="R3" s="160">
        <v>1</v>
      </c>
      <c r="S3" s="160" t="str">
        <f>J3</f>
        <v>--</v>
      </c>
      <c r="T3" s="162" t="str">
        <f>IFERROR(_xll.qlRateHelperEarliestDate(S3,Trigger),"--")</f>
        <v>--</v>
      </c>
      <c r="U3" s="162" t="str">
        <f>IFERROR(_xll.qlRateHelperPillarDate(S3,Trigger),"--")</f>
        <v>--</v>
      </c>
      <c r="W3" s="3" t="str">
        <f t="shared" ref="W3:W22" si="0">IFERROR(INDEX($L$3:$L$22,MATCH(Y3,$M$3:$M$22,0),1),"")</f>
        <v>OIS</v>
      </c>
      <c r="X3" s="3" t="str">
        <f t="array" ref="X3:X22">_xll.qlRateHelperSelection(_xll.ohFilter(RateHelpers,IncludeFlag),_xll.ohFilter(Priority,IncludeFlag),AK3,AK4,AK5,AK6,_xll.ohFilter(MinDistance,IncludeFlag),Trigger)</f>
        <v>obj_00118</v>
      </c>
      <c r="Y3" s="3" t="str">
        <f>IFERROR(_xll.qlRateHelperQuoteName(X3,Trigger),"")</f>
        <v>HKDOIS1M_Quote</v>
      </c>
      <c r="Z3" s="67">
        <f>IFERROR(_xll.qlRateHelperRate(X3,Trigger),"")</f>
        <v>6.0000000000000006E-4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42562</v>
      </c>
      <c r="AC3" s="4">
        <f>IFERROR(_xll.qlRateHelperPillarDate(X3,Trigger),"")</f>
        <v>42593</v>
      </c>
      <c r="AD3" s="73">
        <v>0.99994408948372104</v>
      </c>
      <c r="AG3" s="101" t="s">
        <v>83</v>
      </c>
      <c r="AK3" s="102">
        <v>0</v>
      </c>
    </row>
    <row r="4" spans="1:39" ht="11.25" customHeight="1" x14ac:dyDescent="0.2">
      <c r="G4" s="46"/>
      <c r="K4" s="48"/>
      <c r="L4" s="183" t="str">
        <f t="shared" ref="L4:L22" si="1">A6</f>
        <v>OIS</v>
      </c>
      <c r="M4" s="184" t="str">
        <f>H6</f>
        <v>HKDOISSW_Quote</v>
      </c>
      <c r="N4" s="185" t="str">
        <f>IFERROR(_xll.qlQuoteValue(H6,Trigger),"--")</f>
        <v>--</v>
      </c>
      <c r="O4" s="186"/>
      <c r="P4" s="93" t="b">
        <v>0</v>
      </c>
      <c r="Q4" s="90">
        <v>50</v>
      </c>
      <c r="R4" s="90">
        <v>1</v>
      </c>
      <c r="S4" s="90" t="str">
        <f>J6</f>
        <v>--</v>
      </c>
      <c r="T4" s="94" t="str">
        <f>IFERROR(_xll.qlRateHelperEarliestDate(S4,Trigger),"--")</f>
        <v>--</v>
      </c>
      <c r="U4" s="94" t="str">
        <f>IFERROR(_xll.qlRateHelperPillarDate(S4,Trigger),"--")</f>
        <v>--</v>
      </c>
      <c r="W4" s="3" t="str">
        <f t="shared" si="0"/>
        <v>OIS</v>
      </c>
      <c r="X4" s="3" t="str">
        <v>obj_0011a</v>
      </c>
      <c r="Y4" s="3" t="str">
        <f>IFERROR(_xll.qlRateHelperQuoteName(X4,Trigger),"")</f>
        <v>HKDOIS2M_Quote</v>
      </c>
      <c r="Z4" s="67">
        <f>IFERROR(_xll.qlRateHelperRate(X4,Trigger),"")</f>
        <v>6.0000000000000006E-4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42562</v>
      </c>
      <c r="AC4" s="4">
        <f>IFERROR(_xll.qlRateHelperPillarDate(X4,Trigger),"")</f>
        <v>42625</v>
      </c>
      <c r="AD4" s="73">
        <v>0.99989149513236208</v>
      </c>
      <c r="AG4" s="101" t="s">
        <v>84</v>
      </c>
      <c r="AK4" s="102">
        <v>0</v>
      </c>
    </row>
    <row r="5" spans="1:39" ht="11.25" customHeight="1" x14ac:dyDescent="0.2">
      <c r="A5" s="63" t="s">
        <v>8</v>
      </c>
      <c r="B5" s="63" t="s">
        <v>28</v>
      </c>
      <c r="C5" s="63" t="s">
        <v>75</v>
      </c>
      <c r="D5" s="63"/>
      <c r="E5" s="63"/>
      <c r="F5" s="63"/>
      <c r="G5" s="63" t="s">
        <v>4</v>
      </c>
      <c r="H5" s="63" t="s">
        <v>1</v>
      </c>
      <c r="I5" s="63"/>
      <c r="J5" s="63" t="s">
        <v>24</v>
      </c>
      <c r="K5" s="48"/>
      <c r="L5" s="183" t="str">
        <f t="shared" si="1"/>
        <v>OIS</v>
      </c>
      <c r="M5" s="187" t="str">
        <f t="shared" ref="M5:M22" si="2">H7</f>
        <v>HKDOIS2W_Quote</v>
      </c>
      <c r="N5" s="185" t="str">
        <f>IFERROR(_xll.qlQuoteValue(H7,Trigger),"--")</f>
        <v>--</v>
      </c>
      <c r="O5" s="186"/>
      <c r="P5" s="93" t="b">
        <v>0</v>
      </c>
      <c r="Q5" s="90">
        <v>50</v>
      </c>
      <c r="R5" s="90">
        <v>1</v>
      </c>
      <c r="S5" s="90" t="str">
        <f t="shared" ref="S5:S22" si="3">J7</f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 t="shared" si="0"/>
        <v>OIS</v>
      </c>
      <c r="X5" s="3" t="str">
        <v>obj_00117</v>
      </c>
      <c r="Y5" s="3" t="str">
        <f>IFERROR(_xll.qlRateHelperQuoteName(X5,Trigger),"")</f>
        <v>HKDOIS3M_Quote</v>
      </c>
      <c r="Z5" s="67">
        <f>IFERROR(_xll.qlRateHelperRate(X5,Trigger),"")</f>
        <v>6.9999999999999988E-4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42562</v>
      </c>
      <c r="AC5" s="4">
        <f>IFERROR(_xll.qlRateHelperPillarDate(X5,Trigger),"")</f>
        <v>42654</v>
      </c>
      <c r="AD5" s="73">
        <v>0.99981863918187841</v>
      </c>
      <c r="AF5" s="76"/>
      <c r="AG5" s="101" t="s">
        <v>85</v>
      </c>
      <c r="AK5" s="102">
        <v>0</v>
      </c>
    </row>
    <row r="6" spans="1:39" ht="11.25" customHeight="1" x14ac:dyDescent="0.2">
      <c r="A6" s="53" t="s">
        <v>70</v>
      </c>
      <c r="B6" s="54" t="s">
        <v>38</v>
      </c>
      <c r="C6" s="55">
        <v>1</v>
      </c>
      <c r="D6" s="210"/>
      <c r="E6" s="210"/>
      <c r="F6" s="210"/>
      <c r="G6" s="61" t="str">
        <f t="shared" ref="G6:G24" si="4">$G$1</f>
        <v>Honix</v>
      </c>
      <c r="H6" s="57" t="str">
        <f t="shared" ref="H6:H24" si="5">Currency&amp;$A6&amp;IF($B6="1W","SW",$B6)&amp;QuoteSuffix</f>
        <v>HKDOISSW_Quote</v>
      </c>
      <c r="I6" s="57"/>
      <c r="J6" s="176" t="str">
        <f>IF(P4,_xll.qlOISRateHelper(,C6,B6,H6,$G6,,Permanent,Trigger,ObjectOverwrite),"--")</f>
        <v>--</v>
      </c>
      <c r="K6" s="48"/>
      <c r="L6" s="183" t="str">
        <f t="shared" si="1"/>
        <v>OIS</v>
      </c>
      <c r="M6" s="187" t="str">
        <f t="shared" si="2"/>
        <v>HKDOIS3W_Quote</v>
      </c>
      <c r="N6" s="185" t="str">
        <f>IFERROR(_xll.qlQuoteValue(H8,Trigger),"--")</f>
        <v>--</v>
      </c>
      <c r="O6" s="186"/>
      <c r="P6" s="93" t="b">
        <v>0</v>
      </c>
      <c r="Q6" s="90">
        <v>50</v>
      </c>
      <c r="R6" s="90">
        <v>1</v>
      </c>
      <c r="S6" s="90" t="str">
        <f t="shared" si="3"/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 t="shared" si="0"/>
        <v>OIS</v>
      </c>
      <c r="X6" s="3" t="str">
        <v>obj_00116</v>
      </c>
      <c r="Y6" s="3" t="str">
        <f>IFERROR(_xll.qlRateHelperQuoteName(X6,Trigger),"")</f>
        <v>HKDOIS4M_Quote</v>
      </c>
      <c r="Z6" s="67">
        <f>IFERROR(_xll.qlRateHelperRate(X6,Trigger),"")</f>
        <v>1E-3</v>
      </c>
      <c r="AA6" s="98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42562</v>
      </c>
      <c r="AC6" s="4">
        <f>IFERROR(_xll.qlRateHelperPillarDate(X6,Trigger),"")</f>
        <v>42685</v>
      </c>
      <c r="AD6" s="73">
        <v>0.99965817442825322</v>
      </c>
      <c r="AG6" s="101" t="s">
        <v>86</v>
      </c>
      <c r="AK6" s="103" t="s">
        <v>87</v>
      </c>
    </row>
    <row r="7" spans="1:39" ht="11.25" customHeight="1" x14ac:dyDescent="0.2">
      <c r="A7" s="58" t="s">
        <v>70</v>
      </c>
      <c r="B7" s="59" t="s">
        <v>39</v>
      </c>
      <c r="C7" s="60">
        <v>1</v>
      </c>
      <c r="D7" s="210"/>
      <c r="E7" s="210"/>
      <c r="F7" s="210"/>
      <c r="G7" s="61" t="str">
        <f t="shared" si="4"/>
        <v>Honix</v>
      </c>
      <c r="H7" s="62" t="str">
        <f t="shared" si="5"/>
        <v>HKDOIS2W_Quote</v>
      </c>
      <c r="I7" s="62"/>
      <c r="J7" s="177" t="str">
        <f>IF(P5,_xll.qlOISRateHelper(,C7,B7,H7,$G7,,Permanent,Trigger,ObjectOverwrite),"--")</f>
        <v>--</v>
      </c>
      <c r="K7" s="48"/>
      <c r="L7" s="183" t="str">
        <f t="shared" si="1"/>
        <v>OIS</v>
      </c>
      <c r="M7" s="187" t="str">
        <f t="shared" si="2"/>
        <v>HKDOIS1M_Quote</v>
      </c>
      <c r="N7" s="185">
        <f>IFERROR(_xll.qlQuoteValue(H9,Trigger),"--")</f>
        <v>6.0000000000000006E-4</v>
      </c>
      <c r="O7" s="186"/>
      <c r="P7" s="93" t="b">
        <v>1</v>
      </c>
      <c r="Q7" s="90">
        <v>50</v>
      </c>
      <c r="R7" s="90">
        <v>1</v>
      </c>
      <c r="S7" s="90" t="str">
        <f t="shared" si="3"/>
        <v>obj_00118#0005</v>
      </c>
      <c r="T7" s="94">
        <f>IFERROR(_xll.qlRateHelperEarliestDate(S7,Trigger),"--")</f>
        <v>42562</v>
      </c>
      <c r="U7" s="94">
        <f>IFERROR(_xll.qlRateHelperPillarDate(S7,Trigger),"--")</f>
        <v>42593</v>
      </c>
      <c r="W7" s="3" t="str">
        <f t="shared" si="0"/>
        <v>OIS</v>
      </c>
      <c r="X7" s="3" t="str">
        <v>obj_00119</v>
      </c>
      <c r="Y7" s="3" t="str">
        <f>IFERROR(_xll.qlRateHelperQuoteName(X7,Trigger),"")</f>
        <v>HKDOIS5M_Quote</v>
      </c>
      <c r="Z7" s="67">
        <f>IFERROR(_xll.qlRateHelperRate(X7,Trigger),"")</f>
        <v>1.1000000000000001E-3</v>
      </c>
      <c r="AA7" s="98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42562</v>
      </c>
      <c r="AC7" s="4">
        <f>IFERROR(_xll.qlRateHelperPillarDate(X7,Trigger),"")</f>
        <v>42716</v>
      </c>
      <c r="AD7" s="73">
        <v>0.9995311535461685</v>
      </c>
    </row>
    <row r="8" spans="1:39" ht="11.25" customHeight="1" x14ac:dyDescent="0.2">
      <c r="A8" s="58" t="s">
        <v>70</v>
      </c>
      <c r="B8" s="59" t="s">
        <v>40</v>
      </c>
      <c r="C8" s="60">
        <v>1</v>
      </c>
      <c r="D8" s="210"/>
      <c r="E8" s="210"/>
      <c r="F8" s="210"/>
      <c r="G8" s="61" t="str">
        <f t="shared" si="4"/>
        <v>Honix</v>
      </c>
      <c r="H8" s="62" t="str">
        <f t="shared" si="5"/>
        <v>HKDOIS3W_Quote</v>
      </c>
      <c r="I8" s="62"/>
      <c r="J8" s="177" t="str">
        <f>IF(P6,_xll.qlOISRateHelper(,C8,B8,H8,$G8,,Permanent,Trigger,ObjectOverwrite),"--")</f>
        <v>--</v>
      </c>
      <c r="K8" s="48"/>
      <c r="L8" s="183" t="str">
        <f t="shared" si="1"/>
        <v>OIS</v>
      </c>
      <c r="M8" s="187" t="str">
        <f t="shared" si="2"/>
        <v>HKDOIS2M_Quote</v>
      </c>
      <c r="N8" s="185">
        <f>IFERROR(_xll.qlQuoteValue(H10,Trigger),"--")</f>
        <v>6.0000000000000006E-4</v>
      </c>
      <c r="O8" s="186"/>
      <c r="P8" s="93" t="b">
        <v>1</v>
      </c>
      <c r="Q8" s="90">
        <v>50</v>
      </c>
      <c r="R8" s="90">
        <v>1</v>
      </c>
      <c r="S8" s="90" t="str">
        <f t="shared" si="3"/>
        <v>obj_0011a#0005</v>
      </c>
      <c r="T8" s="94">
        <f>IFERROR(_xll.qlRateHelperEarliestDate(S8,Trigger),"--")</f>
        <v>42562</v>
      </c>
      <c r="U8" s="94">
        <f>IFERROR(_xll.qlRateHelperPillarDate(S8,Trigger),"--")</f>
        <v>42625</v>
      </c>
      <c r="W8" s="3" t="str">
        <f t="shared" si="0"/>
        <v>OIS</v>
      </c>
      <c r="X8" s="3" t="str">
        <v>obj_0011b</v>
      </c>
      <c r="Y8" s="3" t="str">
        <f>IFERROR(_xll.qlRateHelperQuoteName(X8,Trigger),"")</f>
        <v>HKDOIS6M_Quote</v>
      </c>
      <c r="Z8" s="67">
        <f>IFERROR(_xll.qlRateHelperRate(X8,Trigger),"")</f>
        <v>1.1999999999999999E-3</v>
      </c>
      <c r="AA8" s="98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42562</v>
      </c>
      <c r="AC8" s="4">
        <f>IFERROR(_xll.qlRateHelperPillarDate(X8,Trigger),"")</f>
        <v>42746</v>
      </c>
      <c r="AD8" s="73">
        <v>0.99939048274841746</v>
      </c>
    </row>
    <row r="9" spans="1:39" ht="11.25" customHeight="1" x14ac:dyDescent="0.2">
      <c r="A9" s="58" t="s">
        <v>70</v>
      </c>
      <c r="B9" s="59" t="s">
        <v>2</v>
      </c>
      <c r="C9" s="60">
        <v>1</v>
      </c>
      <c r="D9" s="210"/>
      <c r="E9" s="210"/>
      <c r="F9" s="210"/>
      <c r="G9" s="61" t="str">
        <f t="shared" si="4"/>
        <v>Honix</v>
      </c>
      <c r="H9" s="62" t="str">
        <f t="shared" si="5"/>
        <v>HKDOIS1M_Quote</v>
      </c>
      <c r="I9" s="62"/>
      <c r="J9" s="177" t="str">
        <f>IF(P7,_xll.qlOISRateHelper(,C9,B9,H9,$G9,,Permanent,Trigger,ObjectOverwrite),"--")</f>
        <v>obj_00118#0005</v>
      </c>
      <c r="K9" s="48"/>
      <c r="L9" s="183" t="str">
        <f t="shared" si="1"/>
        <v>OIS</v>
      </c>
      <c r="M9" s="187" t="str">
        <f t="shared" si="2"/>
        <v>HKDOIS3M_Quote</v>
      </c>
      <c r="N9" s="185">
        <f>IFERROR(_xll.qlQuoteValue(H11,Trigger),"--")</f>
        <v>6.9999999999999988E-4</v>
      </c>
      <c r="O9" s="186"/>
      <c r="P9" s="93" t="b">
        <v>1</v>
      </c>
      <c r="Q9" s="90">
        <v>50</v>
      </c>
      <c r="R9" s="90">
        <v>1</v>
      </c>
      <c r="S9" s="90" t="str">
        <f t="shared" si="3"/>
        <v>obj_00117#0005</v>
      </c>
      <c r="T9" s="94">
        <f>IFERROR(_xll.qlRateHelperEarliestDate(S9,Trigger),"--")</f>
        <v>42562</v>
      </c>
      <c r="U9" s="94">
        <f>IFERROR(_xll.qlRateHelperPillarDate(S9,Trigger),"--")</f>
        <v>42654</v>
      </c>
      <c r="W9" s="3" t="str">
        <f t="shared" si="0"/>
        <v>OIS</v>
      </c>
      <c r="X9" s="3" t="str">
        <v>obj_0011c</v>
      </c>
      <c r="Y9" s="3" t="str">
        <f>IFERROR(_xll.qlRateHelperQuoteName(X9,Trigger),"")</f>
        <v>HKDOIS9M_Quote</v>
      </c>
      <c r="Z9" s="67">
        <f>IFERROR(_xll.qlRateHelperRate(X9,Trigger),"")</f>
        <v>1.2999999999999999E-3</v>
      </c>
      <c r="AA9" s="98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42562</v>
      </c>
      <c r="AC9" s="4">
        <f>IFERROR(_xll.qlRateHelperPillarDate(X9,Trigger),"")</f>
        <v>42836</v>
      </c>
      <c r="AD9" s="73">
        <v>0.99902011139201463</v>
      </c>
      <c r="AH9" s="46" t="s">
        <v>121</v>
      </c>
    </row>
    <row r="10" spans="1:39" ht="11.25" customHeight="1" x14ac:dyDescent="0.2">
      <c r="A10" s="58" t="s">
        <v>70</v>
      </c>
      <c r="B10" s="59" t="s">
        <v>41</v>
      </c>
      <c r="C10" s="60">
        <v>1</v>
      </c>
      <c r="D10" s="210"/>
      <c r="E10" s="210"/>
      <c r="F10" s="210"/>
      <c r="G10" s="61" t="str">
        <f t="shared" si="4"/>
        <v>Honix</v>
      </c>
      <c r="H10" s="62" t="str">
        <f t="shared" si="5"/>
        <v>HKDOIS2M_Quote</v>
      </c>
      <c r="I10" s="62"/>
      <c r="J10" s="177" t="str">
        <f>IF(P8,_xll.qlOISRateHelper(,C10,B10,H10,$G10,,Permanent,Trigger,ObjectOverwrite),"--")</f>
        <v>obj_0011a#0005</v>
      </c>
      <c r="K10" s="48"/>
      <c r="L10" s="183" t="str">
        <f t="shared" si="1"/>
        <v>OIS</v>
      </c>
      <c r="M10" s="187" t="str">
        <f t="shared" si="2"/>
        <v>HKDOIS4M_Quote</v>
      </c>
      <c r="N10" s="185">
        <f>IFERROR(_xll.qlQuoteValue(H12,Trigger),"--")</f>
        <v>1E-3</v>
      </c>
      <c r="O10" s="186"/>
      <c r="P10" s="93" t="b">
        <v>1</v>
      </c>
      <c r="Q10" s="90">
        <v>50</v>
      </c>
      <c r="R10" s="90">
        <v>1</v>
      </c>
      <c r="S10" s="90" t="str">
        <f t="shared" si="3"/>
        <v>obj_00116#0005</v>
      </c>
      <c r="T10" s="94">
        <f>IFERROR(_xll.qlRateHelperEarliestDate(S10,Trigger),"--")</f>
        <v>42562</v>
      </c>
      <c r="U10" s="94">
        <f>IFERROR(_xll.qlRateHelperPillarDate(S10,Trigger),"--")</f>
        <v>42685</v>
      </c>
      <c r="W10" s="3" t="str">
        <f t="shared" si="0"/>
        <v>OIS</v>
      </c>
      <c r="X10" s="3" t="str">
        <v>obj_0011d</v>
      </c>
      <c r="Y10" s="3" t="str">
        <f>IFERROR(_xll.qlRateHelperQuoteName(X10,Trigger),"")</f>
        <v>HKDOIS1Y_Quote</v>
      </c>
      <c r="Z10" s="67">
        <f>IFERROR(_xll.qlRateHelperRate(X10,Trigger),"")</f>
        <v>1.5000000000000002E-3</v>
      </c>
      <c r="AA10" s="98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42562</v>
      </c>
      <c r="AC10" s="4">
        <f>IFERROR(_xll.qlRateHelperPillarDate(X10,Trigger),"")</f>
        <v>42927</v>
      </c>
      <c r="AD10" s="73">
        <v>0.9984972995896928</v>
      </c>
      <c r="AF10" s="69" t="s">
        <v>115</v>
      </c>
      <c r="AG10" s="69" t="s">
        <v>116</v>
      </c>
      <c r="AH10" s="69" t="s">
        <v>117</v>
      </c>
      <c r="AI10" s="69" t="s">
        <v>125</v>
      </c>
      <c r="AJ10" s="69" t="s">
        <v>118</v>
      </c>
      <c r="AK10" s="69" t="s">
        <v>126</v>
      </c>
      <c r="AL10" s="69" t="s">
        <v>119</v>
      </c>
      <c r="AM10" s="69" t="s">
        <v>120</v>
      </c>
    </row>
    <row r="11" spans="1:39" ht="11.25" customHeight="1" x14ac:dyDescent="0.2">
      <c r="A11" s="58" t="s">
        <v>70</v>
      </c>
      <c r="B11" s="59" t="s">
        <v>0</v>
      </c>
      <c r="C11" s="60">
        <v>1</v>
      </c>
      <c r="D11" s="210"/>
      <c r="E11" s="210"/>
      <c r="F11" s="210"/>
      <c r="G11" s="61" t="str">
        <f t="shared" si="4"/>
        <v>Honix</v>
      </c>
      <c r="H11" s="62" t="str">
        <f t="shared" si="5"/>
        <v>HKDOIS3M_Quote</v>
      </c>
      <c r="I11" s="62"/>
      <c r="J11" s="177" t="str">
        <f>IF(P9,_xll.qlOISRateHelper(,C11,B11,H11,$G11,,Permanent,Trigger,ObjectOverwrite),"--")</f>
        <v>obj_00117#0005</v>
      </c>
      <c r="K11" s="48"/>
      <c r="L11" s="183" t="str">
        <f t="shared" si="1"/>
        <v>OIS</v>
      </c>
      <c r="M11" s="187" t="str">
        <f t="shared" si="2"/>
        <v>HKDOIS5M_Quote</v>
      </c>
      <c r="N11" s="185">
        <f>IFERROR(_xll.qlQuoteValue(H13,Trigger),"--")</f>
        <v>1.1000000000000001E-3</v>
      </c>
      <c r="O11" s="186"/>
      <c r="P11" s="93" t="b">
        <v>1</v>
      </c>
      <c r="Q11" s="90">
        <v>50</v>
      </c>
      <c r="R11" s="90">
        <v>1</v>
      </c>
      <c r="S11" s="90" t="str">
        <f t="shared" si="3"/>
        <v>obj_00119#0005</v>
      </c>
      <c r="T11" s="94">
        <f>IFERROR(_xll.qlRateHelperEarliestDate(S11,Trigger),"--")</f>
        <v>42562</v>
      </c>
      <c r="U11" s="94">
        <f>IFERROR(_xll.qlRateHelperPillarDate(S11,Trigger),"--")</f>
        <v>42716</v>
      </c>
      <c r="W11" s="3" t="str">
        <f t="shared" si="0"/>
        <v/>
      </c>
      <c r="X11" s="3" t="e">
        <v>#N/A</v>
      </c>
      <c r="Y11" s="3" t="str">
        <f>IFERROR(_xll.qlRateHelperQuoteName(X11,Trigger),"")</f>
        <v/>
      </c>
      <c r="Z11" s="67" t="str">
        <f>IFERROR(_xll.qlRateHelperRate(X11,Trigger),"")</f>
        <v/>
      </c>
      <c r="AA11" s="98" t="str">
        <f>IF(ISERROR(_xll.qlSwapRateHelperSpread($X11)),IF(ISERROR(_xll.qlFuturesRateHelperConvexityAdjustment($X11)),"",_xll.qlFuturesRateHelperConvexityAdjustment($X11)),_xll.qlSwapRateHelperSpread($X11))</f>
        <v/>
      </c>
      <c r="AB11" s="4" t="str">
        <f>IFERROR(_xll.qlRateHelperEarliestDate(X11,Trigger),"")</f>
        <v/>
      </c>
      <c r="AC11" s="4" t="str">
        <f>IFERROR(_xll.qlRateHelperPillarDate(X11,Trigger),"")</f>
        <v/>
      </c>
      <c r="AD11" s="73" t="e">
        <v>#N/A</v>
      </c>
      <c r="AF11" s="130">
        <v>1</v>
      </c>
      <c r="AG11" s="131">
        <f>_xll.qlCalendarEndOfMonth(Calendar,Settlementdate,Trigger)</f>
        <v>42580</v>
      </c>
      <c r="AH11" s="130" t="str">
        <f t="shared" ref="AH11:AH23" si="6">Currency&amp;$AH$9&amp;AF11&amp;JumpSuffix&amp;QuoteSuffix</f>
        <v>HKDJump1_SYNTHON_Quote</v>
      </c>
      <c r="AI11" s="149">
        <f>_xll.qlDayCounterYearFraction("actual/360",AG11,_xll.qlCalendarAdvance(Calendar,AG11,"1D",,,Trigger))</f>
        <v>8.3333333333333332E-3</v>
      </c>
      <c r="AJ11" s="132" t="e">
        <f>IF(_xll.qlQuoteIsValid(AH11,Trigger),_xll.qlQuoteValue(AH11,Trigger),1)</f>
        <v>#NUM!</v>
      </c>
      <c r="AK11" s="169" t="str">
        <f>IFERROR(-LN(AJ11)/AI11,"--")</f>
        <v>--</v>
      </c>
      <c r="AL11" s="154">
        <v>0</v>
      </c>
      <c r="AM11" s="132">
        <f>IF(ISBLANK(AL11),AH11,EXP(-AL11*AI11))</f>
        <v>1</v>
      </c>
    </row>
    <row r="12" spans="1:39" ht="11.25" customHeight="1" x14ac:dyDescent="0.2">
      <c r="A12" s="58" t="s">
        <v>70</v>
      </c>
      <c r="B12" s="59" t="s">
        <v>42</v>
      </c>
      <c r="C12" s="60">
        <v>1</v>
      </c>
      <c r="D12" s="210"/>
      <c r="E12" s="210"/>
      <c r="F12" s="210"/>
      <c r="G12" s="61" t="str">
        <f t="shared" si="4"/>
        <v>Honix</v>
      </c>
      <c r="H12" s="62" t="str">
        <f t="shared" si="5"/>
        <v>HKDOIS4M_Quote</v>
      </c>
      <c r="I12" s="62"/>
      <c r="J12" s="177" t="str">
        <f>IF(P10,_xll.qlOISRateHelper(,C12,B12,H12,$G12,,Permanent,Trigger,ObjectOverwrite),"--")</f>
        <v>obj_00116#0005</v>
      </c>
      <c r="K12" s="48"/>
      <c r="L12" s="183" t="str">
        <f t="shared" si="1"/>
        <v>OIS</v>
      </c>
      <c r="M12" s="187" t="str">
        <f t="shared" si="2"/>
        <v>HKDOIS6M_Quote</v>
      </c>
      <c r="N12" s="185">
        <f>IFERROR(_xll.qlQuoteValue(H14,Trigger),"--")</f>
        <v>1.1999999999999999E-3</v>
      </c>
      <c r="O12" s="186"/>
      <c r="P12" s="93" t="b">
        <v>1</v>
      </c>
      <c r="Q12" s="90">
        <v>50</v>
      </c>
      <c r="R12" s="90">
        <v>1</v>
      </c>
      <c r="S12" s="90" t="str">
        <f t="shared" si="3"/>
        <v>obj_0011b#0005</v>
      </c>
      <c r="T12" s="94">
        <f>IFERROR(_xll.qlRateHelperEarliestDate(S12,Trigger),"--")</f>
        <v>42562</v>
      </c>
      <c r="U12" s="94">
        <f>IFERROR(_xll.qlRateHelperPillarDate(S12,Trigger),"--")</f>
        <v>42746</v>
      </c>
      <c r="W12" s="3" t="str">
        <f t="shared" si="0"/>
        <v/>
      </c>
      <c r="X12" s="3" t="e">
        <v>#N/A</v>
      </c>
      <c r="Y12" s="3" t="str">
        <f>IFERROR(_xll.qlRateHelperQuoteName(X12,Trigger),"")</f>
        <v/>
      </c>
      <c r="Z12" s="67" t="str">
        <f>IFERROR(_xll.qlRateHelperRate(X12,Trigger),"")</f>
        <v/>
      </c>
      <c r="AA12" s="98" t="str">
        <f>IF(ISERROR(_xll.qlSwapRateHelperSpread($X12)),IF(ISERROR(_xll.qlFuturesRateHelperConvexityAdjustment($X12)),"",_xll.qlFuturesRateHelperConvexityAdjustment($X12)),_xll.qlSwapRateHelperSpread($X12))</f>
        <v/>
      </c>
      <c r="AB12" s="4" t="str">
        <f>IFERROR(_xll.qlRateHelperEarliestDate(X12,Trigger),"")</f>
        <v/>
      </c>
      <c r="AC12" s="4" t="str">
        <f>IFERROR(_xll.qlRateHelperPillarDate(X12,Trigger),"")</f>
        <v/>
      </c>
      <c r="AD12" s="73" t="e">
        <v>#N/A</v>
      </c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6"/>
        <v>HKDJump2_SYNTHON_Quote</v>
      </c>
      <c r="AI12" s="150">
        <f>_xll.qlDayCounterYearFraction("actual/360",AG12,_xll.qlCalendarAdvance(Calendar,AG12,"1D",,,Trigger))</f>
        <v>2.7777777777777779E-3</v>
      </c>
      <c r="AJ12" s="135" t="e">
        <f>IF(_xll.qlQuoteIsValid(AH12,Trigger),_xll.qlQuoteValue(AH12,Trigger),1)</f>
        <v>#NUM!</v>
      </c>
      <c r="AK12" s="170" t="str">
        <f t="shared" ref="AK12:AK23" si="7">IFERROR(-LN(AJ12)/AI12,"--")</f>
        <v>--</v>
      </c>
      <c r="AL12" s="155">
        <v>0</v>
      </c>
      <c r="AM12" s="135">
        <f t="shared" ref="AM12:AM23" si="8">IF(ISBLANK(AL12),AH12,EXP(-AL12*AI12))</f>
        <v>1</v>
      </c>
    </row>
    <row r="13" spans="1:39" ht="11.25" customHeight="1" x14ac:dyDescent="0.2">
      <c r="A13" s="58" t="s">
        <v>70</v>
      </c>
      <c r="B13" s="59" t="s">
        <v>43</v>
      </c>
      <c r="C13" s="60">
        <v>1</v>
      </c>
      <c r="D13" s="210"/>
      <c r="E13" s="210"/>
      <c r="F13" s="210"/>
      <c r="G13" s="61" t="str">
        <f t="shared" si="4"/>
        <v>Honix</v>
      </c>
      <c r="H13" s="62" t="str">
        <f t="shared" si="5"/>
        <v>HKDOIS5M_Quote</v>
      </c>
      <c r="I13" s="62"/>
      <c r="J13" s="177" t="str">
        <f>IF(P11,_xll.qlOISRateHelper(,C13,B13,H13,$G13,,Permanent,Trigger,ObjectOverwrite),"--")</f>
        <v>obj_00119#0005</v>
      </c>
      <c r="K13" s="48"/>
      <c r="L13" s="183" t="str">
        <f t="shared" si="1"/>
        <v>OIS</v>
      </c>
      <c r="M13" s="187" t="str">
        <f t="shared" si="2"/>
        <v>HKDOIS7M_Quote</v>
      </c>
      <c r="N13" s="185" t="str">
        <f>IFERROR(_xll.qlQuoteValue(H15,Trigger),"--")</f>
        <v>--</v>
      </c>
      <c r="O13" s="186"/>
      <c r="P13" s="93" t="b">
        <v>0</v>
      </c>
      <c r="Q13" s="90">
        <v>50</v>
      </c>
      <c r="R13" s="90">
        <v>1</v>
      </c>
      <c r="S13" s="90" t="str">
        <f t="shared" si="3"/>
        <v>--</v>
      </c>
      <c r="T13" s="94" t="str">
        <f>IFERROR(_xll.qlRateHelperEarliestDate(S13,Trigger),"--")</f>
        <v>--</v>
      </c>
      <c r="U13" s="94" t="str">
        <f>IFERROR(_xll.qlRateHelperPillarDate(S13,Trigger),"--")</f>
        <v>--</v>
      </c>
      <c r="W13" s="3" t="str">
        <f t="shared" si="0"/>
        <v/>
      </c>
      <c r="X13" s="3" t="e">
        <v>#N/A</v>
      </c>
      <c r="Y13" s="3" t="str">
        <f>IFERROR(_xll.qlRateHelperQuoteName(X13,Trigger),"")</f>
        <v/>
      </c>
      <c r="Z13" s="67" t="str">
        <f>IFERROR(_xll.qlRateHelperRate(X13,Trigger),"")</f>
        <v/>
      </c>
      <c r="AA13" s="98" t="str">
        <f>IF(ISERROR(_xll.qlSwapRateHelperSpread($X13)),IF(ISERROR(_xll.qlFuturesRateHelperConvexityAdjustment($X13)),"",_xll.qlFuturesRateHelperConvexityAdjustment($X13)),_xll.qlSwapRateHelperSpread($X13))</f>
        <v/>
      </c>
      <c r="AB13" s="4" t="str">
        <f>IFERROR(_xll.qlRateHelperEarliestDate(X13,Trigger),"")</f>
        <v/>
      </c>
      <c r="AC13" s="4" t="str">
        <f>IFERROR(_xll.qlRateHelperPillarDate(X13,Trigger),"")</f>
        <v/>
      </c>
      <c r="AD13" s="73" t="e">
        <v>#N/A</v>
      </c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6"/>
        <v>HKDJump3_SYNTHON_Quote</v>
      </c>
      <c r="AI13" s="150">
        <f>_xll.qlDayCounterYearFraction("actual/360",AG13,_xll.qlCalendarAdvance(Calendar,AG13,"1D",,,Trigger))</f>
        <v>1.1111111111111112E-2</v>
      </c>
      <c r="AJ13" s="135" t="e">
        <f>IF(_xll.qlQuoteIsValid(AH13,Trigger),_xll.qlQuoteValue(AH13,Trigger),1)</f>
        <v>#NUM!</v>
      </c>
      <c r="AK13" s="170" t="str">
        <f t="shared" si="7"/>
        <v>--</v>
      </c>
      <c r="AL13" s="155">
        <v>0</v>
      </c>
      <c r="AM13" s="135">
        <f t="shared" si="8"/>
        <v>1</v>
      </c>
    </row>
    <row r="14" spans="1:39" ht="11.25" customHeight="1" x14ac:dyDescent="0.2">
      <c r="A14" s="58" t="s">
        <v>70</v>
      </c>
      <c r="B14" s="59" t="s">
        <v>3</v>
      </c>
      <c r="C14" s="60">
        <v>1</v>
      </c>
      <c r="D14" s="210"/>
      <c r="E14" s="210"/>
      <c r="F14" s="210"/>
      <c r="G14" s="61" t="str">
        <f t="shared" si="4"/>
        <v>Honix</v>
      </c>
      <c r="H14" s="62" t="str">
        <f t="shared" si="5"/>
        <v>HKDOIS6M_Quote</v>
      </c>
      <c r="I14" s="62"/>
      <c r="J14" s="177" t="str">
        <f>IF(P12,_xll.qlOISRateHelper(,C14,B14,H14,$G14,,Permanent,Trigger,ObjectOverwrite),"--")</f>
        <v>obj_0011b#0005</v>
      </c>
      <c r="K14" s="48"/>
      <c r="L14" s="183" t="str">
        <f t="shared" si="1"/>
        <v>OIS</v>
      </c>
      <c r="M14" s="187" t="str">
        <f t="shared" si="2"/>
        <v>HKDOIS8M_Quote</v>
      </c>
      <c r="N14" s="185" t="str">
        <f>IFERROR(_xll.qlQuoteValue(H16,Trigger),"--")</f>
        <v>--</v>
      </c>
      <c r="O14" s="186"/>
      <c r="P14" s="93" t="b">
        <v>0</v>
      </c>
      <c r="Q14" s="90">
        <v>50</v>
      </c>
      <c r="R14" s="90">
        <v>1</v>
      </c>
      <c r="S14" s="90" t="str">
        <f t="shared" si="3"/>
        <v>--</v>
      </c>
      <c r="T14" s="94" t="str">
        <f>IFERROR(_xll.qlRateHelperEarliestDate(S14,Trigger),"--")</f>
        <v>--</v>
      </c>
      <c r="U14" s="94" t="str">
        <f>IFERROR(_xll.qlRateHelperPillarDate(S14,Trigger),"--")</f>
        <v>--</v>
      </c>
      <c r="W14" s="3" t="str">
        <f t="shared" si="0"/>
        <v/>
      </c>
      <c r="X14" s="3" t="e">
        <v>#N/A</v>
      </c>
      <c r="Y14" s="3" t="str">
        <f>IFERROR(_xll.qlRateHelperQuoteName(X14,Trigger),"")</f>
        <v/>
      </c>
      <c r="Z14" s="67" t="str">
        <f>IFERROR(_xll.qlRateHelperRate(X14,Trigger),"")</f>
        <v/>
      </c>
      <c r="AA14" s="98" t="str">
        <f>IF(ISERROR(_xll.qlSwapRateHelperSpread($X14)),IF(ISERROR(_xll.qlFuturesRateHelperConvexityAdjustment($X14)),"",_xll.qlFuturesRateHelperConvexityAdjustment($X14)),_xll.qlSwapRateHelperSpread($X14))</f>
        <v/>
      </c>
      <c r="AB14" s="4" t="str">
        <f>IFERROR(_xll.qlRateHelperEarliestDate(X14,Trigger),"")</f>
        <v/>
      </c>
      <c r="AC14" s="4" t="str">
        <f>IFERROR(_xll.qlRateHelperPillarDate(X14,Trigger),"")</f>
        <v/>
      </c>
      <c r="AD14" s="73" t="e">
        <v>#N/A</v>
      </c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6"/>
        <v>HKDJump4_SYNTHON_Quote</v>
      </c>
      <c r="AI14" s="150">
        <f>_xll.qlDayCounterYearFraction("actual/360",AG14,_xll.qlCalendarAdvance(Calendar,AG14,"1D",,,Trigger))</f>
        <v>2.7777777777777779E-3</v>
      </c>
      <c r="AJ14" s="135" t="e">
        <f>IF(_xll.qlQuoteIsValid(AH14,Trigger),_xll.qlQuoteValue(AH14,Trigger),1)</f>
        <v>#NUM!</v>
      </c>
      <c r="AK14" s="170" t="str">
        <f t="shared" si="7"/>
        <v>--</v>
      </c>
      <c r="AL14" s="155">
        <v>0</v>
      </c>
      <c r="AM14" s="135">
        <f t="shared" si="8"/>
        <v>1</v>
      </c>
    </row>
    <row r="15" spans="1:39" ht="11.25" customHeight="1" x14ac:dyDescent="0.2">
      <c r="A15" s="58" t="s">
        <v>70</v>
      </c>
      <c r="B15" s="59" t="s">
        <v>44</v>
      </c>
      <c r="C15" s="60">
        <v>1</v>
      </c>
      <c r="D15" s="210"/>
      <c r="E15" s="210"/>
      <c r="F15" s="210"/>
      <c r="G15" s="61" t="str">
        <f t="shared" si="4"/>
        <v>Honix</v>
      </c>
      <c r="H15" s="62" t="str">
        <f t="shared" si="5"/>
        <v>HKDOIS7M_Quote</v>
      </c>
      <c r="I15" s="62"/>
      <c r="J15" s="177" t="str">
        <f>IF(P13,_xll.qlOISRateHelper(,C15,B15,H15,$G15,,Permanent,Trigger,ObjectOverwrite),"--")</f>
        <v>--</v>
      </c>
      <c r="K15" s="48"/>
      <c r="L15" s="183" t="str">
        <f t="shared" si="1"/>
        <v>OIS</v>
      </c>
      <c r="M15" s="187" t="str">
        <f t="shared" si="2"/>
        <v>HKDOIS9M_Quote</v>
      </c>
      <c r="N15" s="185">
        <f>IFERROR(_xll.qlQuoteValue(H17,Trigger),"--")</f>
        <v>1.2999999999999999E-3</v>
      </c>
      <c r="O15" s="186"/>
      <c r="P15" s="93" t="b">
        <v>1</v>
      </c>
      <c r="Q15" s="90">
        <v>50</v>
      </c>
      <c r="R15" s="90">
        <v>1</v>
      </c>
      <c r="S15" s="90" t="str">
        <f t="shared" si="3"/>
        <v>obj_0011c#0005</v>
      </c>
      <c r="T15" s="94">
        <f>IFERROR(_xll.qlRateHelperEarliestDate(S15,Trigger),"--")</f>
        <v>42562</v>
      </c>
      <c r="U15" s="94">
        <f>IFERROR(_xll.qlRateHelperPillarDate(S15,Trigger),"--")</f>
        <v>42836</v>
      </c>
      <c r="W15" s="3" t="str">
        <f t="shared" si="0"/>
        <v/>
      </c>
      <c r="X15" s="3" t="e">
        <v>#N/A</v>
      </c>
      <c r="Y15" s="3" t="str">
        <f>IFERROR(_xll.qlRateHelperQuoteName(X15,Trigger),"")</f>
        <v/>
      </c>
      <c r="Z15" s="67" t="str">
        <f>IFERROR(_xll.qlRateHelperRate(X15,Trigger),"")</f>
        <v/>
      </c>
      <c r="AA15" s="98" t="str">
        <f>IF(ISERROR(_xll.qlSwapRateHelperSpread($X15)),IF(ISERROR(_xll.qlFuturesRateHelperConvexityAdjustment($X15)),"",_xll.qlFuturesRateHelperConvexityAdjustment($X15)),_xll.qlSwapRateHelperSpread($X15))</f>
        <v/>
      </c>
      <c r="AB15" s="4" t="str">
        <f>IFERROR(_xll.qlRateHelperEarliestDate(X15,Trigger),"")</f>
        <v/>
      </c>
      <c r="AC15" s="4" t="str">
        <f>IFERROR(_xll.qlRateHelperPillarDate(X15,Trigger),"")</f>
        <v/>
      </c>
      <c r="AD15" s="73" t="e">
        <v>#N/A</v>
      </c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6"/>
        <v>HKDJump5_SYNTHON_Quote</v>
      </c>
      <c r="AI15" s="150">
        <f>_xll.qlDayCounterYearFraction("actual/360",AG15,_xll.qlCalendarAdvance(Calendar,AG15,"1D",,,Trigger))</f>
        <v>2.7777777777777779E-3</v>
      </c>
      <c r="AJ15" s="135" t="e">
        <f>IF(_xll.qlQuoteIsValid(AH15,Trigger),_xll.qlQuoteValue(AH15,Trigger),1)</f>
        <v>#NUM!</v>
      </c>
      <c r="AK15" s="170" t="str">
        <f t="shared" si="7"/>
        <v>--</v>
      </c>
      <c r="AL15" s="155">
        <v>0</v>
      </c>
      <c r="AM15" s="135">
        <f t="shared" si="8"/>
        <v>1</v>
      </c>
    </row>
    <row r="16" spans="1:39" ht="11.25" customHeight="1" x14ac:dyDescent="0.2">
      <c r="A16" s="58" t="s">
        <v>70</v>
      </c>
      <c r="B16" s="59" t="s">
        <v>45</v>
      </c>
      <c r="C16" s="60">
        <v>1</v>
      </c>
      <c r="D16" s="210"/>
      <c r="E16" s="210"/>
      <c r="F16" s="210"/>
      <c r="G16" s="61" t="str">
        <f t="shared" si="4"/>
        <v>Honix</v>
      </c>
      <c r="H16" s="62" t="str">
        <f t="shared" si="5"/>
        <v>HKDOIS8M_Quote</v>
      </c>
      <c r="I16" s="62"/>
      <c r="J16" s="177" t="str">
        <f>IF(P14,_xll.qlOISRateHelper(,C16,B16,H16,$G16,,Permanent,Trigger,ObjectOverwrite),"--")</f>
        <v>--</v>
      </c>
      <c r="K16" s="48"/>
      <c r="L16" s="183" t="str">
        <f t="shared" si="1"/>
        <v>OIS</v>
      </c>
      <c r="M16" s="187" t="str">
        <f t="shared" si="2"/>
        <v>HKDOIS10M_Quote</v>
      </c>
      <c r="N16" s="185" t="str">
        <f>IFERROR(_xll.qlQuoteValue(H18,Trigger),"--")</f>
        <v>--</v>
      </c>
      <c r="O16" s="186"/>
      <c r="P16" s="93" t="b">
        <v>0</v>
      </c>
      <c r="Q16" s="90">
        <v>50</v>
      </c>
      <c r="R16" s="90">
        <v>1</v>
      </c>
      <c r="S16" s="90" t="str">
        <f t="shared" si="3"/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 t="shared" si="0"/>
        <v/>
      </c>
      <c r="X16" s="3" t="e">
        <v>#N/A</v>
      </c>
      <c r="Y16" s="3" t="str">
        <f>IFERROR(_xll.qlRateHelperQuoteName(X16,Trigger),"")</f>
        <v/>
      </c>
      <c r="Z16" s="67" t="str">
        <f>IFERROR(_xll.qlRateHelperRate(X16,Trigger),"")</f>
        <v/>
      </c>
      <c r="AA16" s="98" t="str">
        <f>IF(ISERROR(_xll.qlSwapRateHelperSpread($X16)),IF(ISERROR(_xll.qlFuturesRateHelperConvexityAdjustment($X16)),"",_xll.qlFuturesRateHelperConvexityAdjustment($X16)),_xll.qlSwapRateHelperSpread($X16))</f>
        <v/>
      </c>
      <c r="AB16" s="4" t="str">
        <f>IFERROR(_xll.qlRateHelperEarliestDate(X16,Trigger),"")</f>
        <v/>
      </c>
      <c r="AC16" s="4" t="str">
        <f>IFERROR(_xll.qlRateHelperPillarDate(X16,Trigger),"")</f>
        <v/>
      </c>
      <c r="AD16" s="73" t="e">
        <v>#N/A</v>
      </c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6"/>
        <v>HKDJump6_SYNTHON_Quote</v>
      </c>
      <c r="AI16" s="150">
        <f>_xll.qlDayCounterYearFraction("actual/360",AG16,_xll.qlCalendarAdvance(Calendar,AG16,"1D",,,Trigger))</f>
        <v>1.1111111111111112E-2</v>
      </c>
      <c r="AJ16" s="135" t="e">
        <f>IF(_xll.qlQuoteIsValid(AH16,Trigger),_xll.qlQuoteValue(AH16,Trigger),1)</f>
        <v>#NUM!</v>
      </c>
      <c r="AK16" s="170" t="str">
        <f t="shared" si="7"/>
        <v>--</v>
      </c>
      <c r="AL16" s="155">
        <v>0</v>
      </c>
      <c r="AM16" s="135">
        <f t="shared" si="8"/>
        <v>1</v>
      </c>
    </row>
    <row r="17" spans="1:39" ht="11.25" customHeight="1" x14ac:dyDescent="0.2">
      <c r="A17" s="58" t="s">
        <v>70</v>
      </c>
      <c r="B17" s="59" t="s">
        <v>46</v>
      </c>
      <c r="C17" s="60">
        <v>1</v>
      </c>
      <c r="D17" s="210"/>
      <c r="E17" s="210"/>
      <c r="F17" s="210"/>
      <c r="G17" s="61" t="str">
        <f t="shared" si="4"/>
        <v>Honix</v>
      </c>
      <c r="H17" s="62" t="str">
        <f t="shared" si="5"/>
        <v>HKDOIS9M_Quote</v>
      </c>
      <c r="I17" s="62"/>
      <c r="J17" s="177" t="str">
        <f>IF(P15,_xll.qlOISRateHelper(,C17,B17,H17,$G17,,Permanent,Trigger,ObjectOverwrite),"--")</f>
        <v>obj_0011c#0005</v>
      </c>
      <c r="K17" s="48"/>
      <c r="L17" s="183" t="str">
        <f t="shared" si="1"/>
        <v>OIS</v>
      </c>
      <c r="M17" s="187" t="str">
        <f t="shared" si="2"/>
        <v>HKDOIS11M_Quote</v>
      </c>
      <c r="N17" s="185" t="str">
        <f>IFERROR(_xll.qlQuoteValue(H19,Trigger),"--")</f>
        <v>--</v>
      </c>
      <c r="O17" s="186"/>
      <c r="P17" s="93" t="b">
        <v>0</v>
      </c>
      <c r="Q17" s="90">
        <v>50</v>
      </c>
      <c r="R17" s="90">
        <v>1</v>
      </c>
      <c r="S17" s="90" t="str">
        <f t="shared" si="3"/>
        <v>--</v>
      </c>
      <c r="T17" s="94" t="str">
        <f>IFERROR(_xll.qlRateHelperEarliestDate(S17,Trigger),"--")</f>
        <v>--</v>
      </c>
      <c r="U17" s="94" t="str">
        <f>IFERROR(_xll.qlRateHelperPillarDate(S17,Trigger),"--")</f>
        <v>--</v>
      </c>
      <c r="W17" s="3" t="str">
        <f t="shared" si="0"/>
        <v/>
      </c>
      <c r="X17" s="3" t="e">
        <v>#N/A</v>
      </c>
      <c r="Y17" s="3" t="str">
        <f>IFERROR(_xll.qlRateHelperQuoteName(X17,Trigger),"")</f>
        <v/>
      </c>
      <c r="Z17" s="67" t="str">
        <f>IFERROR(_xll.qlRateHelperRate(X17,Trigger),"")</f>
        <v/>
      </c>
      <c r="AA17" s="98" t="str">
        <f>IF(ISERROR(_xll.qlSwapRateHelperSpread($X17)),IF(ISERROR(_xll.qlFuturesRateHelperConvexityAdjustment($X17)),"",_xll.qlFuturesRateHelperConvexityAdjustment($X17)),_xll.qlSwapRateHelperSpread($X17))</f>
        <v/>
      </c>
      <c r="AB17" s="4" t="str">
        <f>IFERROR(_xll.qlRateHelperEarliestDate(X17,Trigger),"")</f>
        <v/>
      </c>
      <c r="AC17" s="4" t="str">
        <f>IFERROR(_xll.qlRateHelperPillarDate(X17,Trigger),"")</f>
        <v/>
      </c>
      <c r="AD17" s="73" t="e">
        <v>#N/A</v>
      </c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6"/>
        <v>HKDJump7_SYNTHON_Quote</v>
      </c>
      <c r="AI17" s="150">
        <f>_xll.qlDayCounterYearFraction("actual/360",AG17,_xll.qlCalendarAdvance(Calendar,AG17,"1D",,,Trigger))</f>
        <v>2.7777777777777779E-3</v>
      </c>
      <c r="AJ17" s="135" t="e">
        <f>IF(_xll.qlQuoteIsValid(AH17,Trigger),_xll.qlQuoteValue(AH17,Trigger),1)</f>
        <v>#NUM!</v>
      </c>
      <c r="AK17" s="170" t="str">
        <f t="shared" si="7"/>
        <v>--</v>
      </c>
      <c r="AL17" s="155">
        <v>0</v>
      </c>
      <c r="AM17" s="135">
        <f t="shared" si="8"/>
        <v>1</v>
      </c>
    </row>
    <row r="18" spans="1:39" ht="11.25" customHeight="1" x14ac:dyDescent="0.2">
      <c r="A18" s="58" t="s">
        <v>70</v>
      </c>
      <c r="B18" s="59" t="s">
        <v>47</v>
      </c>
      <c r="C18" s="60">
        <v>1</v>
      </c>
      <c r="D18" s="210"/>
      <c r="E18" s="210"/>
      <c r="F18" s="210"/>
      <c r="G18" s="61" t="str">
        <f t="shared" si="4"/>
        <v>Honix</v>
      </c>
      <c r="H18" s="62" t="str">
        <f t="shared" si="5"/>
        <v>HKDOIS10M_Quote</v>
      </c>
      <c r="I18" s="62"/>
      <c r="J18" s="177" t="str">
        <f>IF(P16,_xll.qlOISRateHelper(,C18,B18,H18,$G18,,Permanent,Trigger,ObjectOverwrite),"--")</f>
        <v>--</v>
      </c>
      <c r="K18" s="48"/>
      <c r="L18" s="183" t="str">
        <f t="shared" si="1"/>
        <v>OIS</v>
      </c>
      <c r="M18" s="187" t="str">
        <f t="shared" si="2"/>
        <v>HKDOIS1Y_Quote</v>
      </c>
      <c r="N18" s="185">
        <f>IFERROR(_xll.qlQuoteValue(H20,Trigger),"--")</f>
        <v>1.5000000000000002E-3</v>
      </c>
      <c r="O18" s="186"/>
      <c r="P18" s="93" t="b">
        <v>1</v>
      </c>
      <c r="Q18" s="90">
        <v>50</v>
      </c>
      <c r="R18" s="90">
        <v>1</v>
      </c>
      <c r="S18" s="90" t="str">
        <f t="shared" si="3"/>
        <v>obj_0011d#0005</v>
      </c>
      <c r="T18" s="94">
        <f>IFERROR(_xll.qlRateHelperEarliestDate(S18,Trigger),"--")</f>
        <v>42562</v>
      </c>
      <c r="U18" s="94">
        <f>IFERROR(_xll.qlRateHelperPillarDate(S18,Trigger),"--")</f>
        <v>42927</v>
      </c>
      <c r="W18" s="3" t="str">
        <f t="shared" si="0"/>
        <v/>
      </c>
      <c r="X18" s="3" t="e">
        <v>#N/A</v>
      </c>
      <c r="Y18" s="3" t="str">
        <f>IFERROR(_xll.qlRateHelperQuoteName(X18,Trigger),"")</f>
        <v/>
      </c>
      <c r="Z18" s="67" t="str">
        <f>IFERROR(_xll.qlRateHelperRate(X18,Trigger),"")</f>
        <v/>
      </c>
      <c r="AA18" s="98" t="str">
        <f>IF(ISERROR(_xll.qlSwapRateHelperSpread($X18)),IF(ISERROR(_xll.qlFuturesRateHelperConvexityAdjustment($X18)),"",_xll.qlFuturesRateHelperConvexityAdjustment($X18)),_xll.qlSwapRateHelperSpread($X18))</f>
        <v/>
      </c>
      <c r="AB18" s="4" t="str">
        <f>IFERROR(_xll.qlRateHelperEarliestDate(X18,Trigger),"")</f>
        <v/>
      </c>
      <c r="AC18" s="4" t="str">
        <f>IFERROR(_xll.qlRateHelperPillarDate(X18,Trigger),"")</f>
        <v/>
      </c>
      <c r="AD18" s="73" t="e">
        <v>#N/A</v>
      </c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6"/>
        <v>HKDJump8_SYNTHON_Quote</v>
      </c>
      <c r="AI18" s="150">
        <f>_xll.qlDayCounterYearFraction("actual/360",AG18,_xll.qlCalendarAdvance(Calendar,AG18,"1D",,,Trigger))</f>
        <v>2.7777777777777779E-3</v>
      </c>
      <c r="AJ18" s="135" t="e">
        <f>IF(_xll.qlQuoteIsValid(AH18,Trigger),_xll.qlQuoteValue(AH18,Trigger),1)</f>
        <v>#NUM!</v>
      </c>
      <c r="AK18" s="170" t="str">
        <f t="shared" si="7"/>
        <v>--</v>
      </c>
      <c r="AL18" s="155">
        <v>0</v>
      </c>
      <c r="AM18" s="135">
        <f t="shared" si="8"/>
        <v>1</v>
      </c>
    </row>
    <row r="19" spans="1:39" ht="11.25" customHeight="1" x14ac:dyDescent="0.2">
      <c r="A19" s="58" t="s">
        <v>70</v>
      </c>
      <c r="B19" s="59" t="s">
        <v>48</v>
      </c>
      <c r="C19" s="60">
        <v>1</v>
      </c>
      <c r="D19" s="210"/>
      <c r="E19" s="210"/>
      <c r="F19" s="210"/>
      <c r="G19" s="61" t="str">
        <f t="shared" si="4"/>
        <v>Honix</v>
      </c>
      <c r="H19" s="62" t="str">
        <f t="shared" si="5"/>
        <v>HKDOIS11M_Quote</v>
      </c>
      <c r="I19" s="62"/>
      <c r="J19" s="177" t="str">
        <f>IF(P17,_xll.qlOISRateHelper(,C19,B19,H19,$G19,,Permanent,Trigger,ObjectOverwrite),"--")</f>
        <v>--</v>
      </c>
      <c r="K19" s="48"/>
      <c r="L19" s="183" t="str">
        <f t="shared" si="1"/>
        <v>OIS</v>
      </c>
      <c r="M19" s="187" t="str">
        <f t="shared" si="2"/>
        <v>HKDOIS15M_Quote</v>
      </c>
      <c r="N19" s="185" t="str">
        <f>IFERROR(_xll.qlQuoteValue(H21,Trigger),"--")</f>
        <v>--</v>
      </c>
      <c r="O19" s="186"/>
      <c r="P19" s="93" t="b">
        <v>0</v>
      </c>
      <c r="Q19" s="90">
        <v>50</v>
      </c>
      <c r="R19" s="90">
        <v>1</v>
      </c>
      <c r="S19" s="90" t="str">
        <f t="shared" si="3"/>
        <v>--</v>
      </c>
      <c r="T19" s="94" t="str">
        <f>IFERROR(_xll.qlRateHelperEarliestDate(S19,Trigger),"--")</f>
        <v>--</v>
      </c>
      <c r="U19" s="94" t="str">
        <f>IFERROR(_xll.qlRateHelperPillarDate(S19,Trigger),"--")</f>
        <v>--</v>
      </c>
      <c r="W19" s="3" t="str">
        <f t="shared" si="0"/>
        <v/>
      </c>
      <c r="X19" s="3" t="e">
        <v>#N/A</v>
      </c>
      <c r="Y19" s="3" t="str">
        <f>IFERROR(_xll.qlRateHelperQuoteName(X19,Trigger),"")</f>
        <v/>
      </c>
      <c r="Z19" s="67" t="str">
        <f>IFERROR(_xll.qlRateHelperRate(X19,Trigger),"")</f>
        <v/>
      </c>
      <c r="AA19" s="98" t="str">
        <f>IF(ISERROR(_xll.qlSwapRateHelperSpread($X19)),IF(ISERROR(_xll.qlFuturesRateHelperConvexityAdjustment($X19)),"",_xll.qlFuturesRateHelperConvexityAdjustment($X19)),_xll.qlSwapRateHelperSpread($X19))</f>
        <v/>
      </c>
      <c r="AB19" s="4" t="str">
        <f>IFERROR(_xll.qlRateHelperEarliestDate(X19,Trigger),"")</f>
        <v/>
      </c>
      <c r="AC19" s="4" t="str">
        <f>IFERROR(_xll.qlRateHelperPillarDate(X19,Trigger),"")</f>
        <v/>
      </c>
      <c r="AD19" s="73" t="e">
        <v>#N/A</v>
      </c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6"/>
        <v>HKDJump9_SYNTHON_Quote</v>
      </c>
      <c r="AI19" s="150">
        <f>_xll.qlDayCounterYearFraction("actual/360",AG19,_xll.qlCalendarAdvance(Calendar,AG19,"1D",,,Trigger))</f>
        <v>8.3333333333333332E-3</v>
      </c>
      <c r="AJ19" s="135" t="e">
        <f>IF(_xll.qlQuoteIsValid(AH19,Trigger),_xll.qlQuoteValue(AH19,Trigger),1)</f>
        <v>#NUM!</v>
      </c>
      <c r="AK19" s="170" t="str">
        <f t="shared" si="7"/>
        <v>--</v>
      </c>
      <c r="AL19" s="155">
        <v>0</v>
      </c>
      <c r="AM19" s="135">
        <f t="shared" si="8"/>
        <v>1</v>
      </c>
    </row>
    <row r="20" spans="1:39" ht="11.25" customHeight="1" x14ac:dyDescent="0.2">
      <c r="A20" s="58" t="s">
        <v>70</v>
      </c>
      <c r="B20" s="59" t="s">
        <v>27</v>
      </c>
      <c r="C20" s="60">
        <v>1</v>
      </c>
      <c r="D20" s="210"/>
      <c r="E20" s="210"/>
      <c r="F20" s="210"/>
      <c r="G20" s="61" t="str">
        <f t="shared" si="4"/>
        <v>Honix</v>
      </c>
      <c r="H20" s="62" t="str">
        <f t="shared" si="5"/>
        <v>HKDOIS1Y_Quote</v>
      </c>
      <c r="I20" s="62"/>
      <c r="J20" s="177" t="str">
        <f>IF(P18,_xll.qlOISRateHelper(,C20,B20,H20,$G20,,Permanent,Trigger,ObjectOverwrite),"--")</f>
        <v>obj_0011d#0005</v>
      </c>
      <c r="K20" s="48"/>
      <c r="L20" s="183" t="str">
        <f t="shared" si="1"/>
        <v>OIS</v>
      </c>
      <c r="M20" s="187" t="str">
        <f t="shared" si="2"/>
        <v>HKDOIS18M_Quote</v>
      </c>
      <c r="N20" s="185" t="str">
        <f>IFERROR(_xll.qlQuoteValue(H22,Trigger),"--")</f>
        <v>--</v>
      </c>
      <c r="O20" s="186"/>
      <c r="P20" s="93" t="b">
        <v>0</v>
      </c>
      <c r="Q20" s="90">
        <v>50</v>
      </c>
      <c r="R20" s="90">
        <v>1</v>
      </c>
      <c r="S20" s="90" t="str">
        <f t="shared" si="3"/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 t="shared" si="0"/>
        <v/>
      </c>
      <c r="X20" s="3" t="e">
        <v>#N/A</v>
      </c>
      <c r="Y20" s="3" t="str">
        <f>IFERROR(_xll.qlRateHelperQuoteName(X20,Trigger),"")</f>
        <v/>
      </c>
      <c r="Z20" s="67" t="str">
        <f>IFERROR(_xll.qlRateHelperRate(X20,Trigger),"")</f>
        <v/>
      </c>
      <c r="AA20" s="98" t="str">
        <f>IF(ISERROR(_xll.qlSwapRateHelperSpread($X20)),IF(ISERROR(_xll.qlFuturesRateHelperConvexityAdjustment($X20)),"",_xll.qlFuturesRateHelperConvexityAdjustment($X20)),_xll.qlSwapRateHelperSpread($X20))</f>
        <v/>
      </c>
      <c r="AB20" s="4" t="str">
        <f>IFERROR(_xll.qlRateHelperEarliestDate(X20,Trigger),"")</f>
        <v/>
      </c>
      <c r="AC20" s="4" t="str">
        <f>IFERROR(_xll.qlRateHelperPillarDate(X20,Trigger),"")</f>
        <v/>
      </c>
      <c r="AD20" s="73" t="e">
        <v>#N/A</v>
      </c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6"/>
        <v>HKDJump10_SYNTHON_Quote</v>
      </c>
      <c r="AI20" s="150">
        <f>_xll.qlDayCounterYearFraction("actual/360",AG20,_xll.qlCalendarAdvance(Calendar,AG20,"1D",,,Trigger))</f>
        <v>1.1111111111111112E-2</v>
      </c>
      <c r="AJ20" s="135" t="e">
        <f>IF(_xll.qlQuoteIsValid(AH20,Trigger),_xll.qlQuoteValue(AH20,Trigger),1)</f>
        <v>#NUM!</v>
      </c>
      <c r="AK20" s="170" t="str">
        <f t="shared" si="7"/>
        <v>--</v>
      </c>
      <c r="AL20" s="155">
        <v>0</v>
      </c>
      <c r="AM20" s="135">
        <f t="shared" si="8"/>
        <v>1</v>
      </c>
    </row>
    <row r="21" spans="1:39" ht="11.25" customHeight="1" x14ac:dyDescent="0.2">
      <c r="A21" s="58" t="s">
        <v>70</v>
      </c>
      <c r="B21" s="59" t="s">
        <v>49</v>
      </c>
      <c r="C21" s="60">
        <v>1</v>
      </c>
      <c r="D21" s="210"/>
      <c r="E21" s="210"/>
      <c r="F21" s="210"/>
      <c r="G21" s="61" t="str">
        <f t="shared" si="4"/>
        <v>Honix</v>
      </c>
      <c r="H21" s="62" t="str">
        <f t="shared" si="5"/>
        <v>HKDOIS15M_Quote</v>
      </c>
      <c r="I21" s="62"/>
      <c r="J21" s="177" t="str">
        <f>IF(P19,_xll.qlOISRateHelper(,C21,B21,H21,$G21,,Permanent,Trigger,ObjectOverwrite),"--")</f>
        <v>--</v>
      </c>
      <c r="K21" s="48"/>
      <c r="L21" s="183" t="str">
        <f t="shared" si="1"/>
        <v>OIS</v>
      </c>
      <c r="M21" s="187" t="str">
        <f t="shared" si="2"/>
        <v>HKDOIS21M_Quote</v>
      </c>
      <c r="N21" s="185" t="str">
        <f>IFERROR(_xll.qlQuoteValue(H23,Trigger),"--")</f>
        <v>--</v>
      </c>
      <c r="O21" s="186"/>
      <c r="P21" s="93" t="b">
        <v>0</v>
      </c>
      <c r="Q21" s="90">
        <v>50</v>
      </c>
      <c r="R21" s="90">
        <v>1</v>
      </c>
      <c r="S21" s="90" t="str">
        <f t="shared" si="3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0"/>
        <v/>
      </c>
      <c r="X21" s="3" t="e">
        <v>#N/A</v>
      </c>
      <c r="Y21" s="3" t="str">
        <f>IFERROR(_xll.qlRateHelperQuoteName(X21,Trigger),"")</f>
        <v/>
      </c>
      <c r="Z21" s="67" t="str">
        <f>IFERROR(_xll.qlRateHelperRate(X21,Trigger),"")</f>
        <v/>
      </c>
      <c r="AA21" s="98" t="str">
        <f>IF(ISERROR(_xll.qlSwapRateHelperSpread($X21)),IF(ISERROR(_xll.qlFuturesRateHelperConvexityAdjustment($X21)),"",_xll.qlFuturesRateHelperConvexityAdjustment($X21)),_xll.qlSwapRateHelperSpread($X21))</f>
        <v/>
      </c>
      <c r="AB21" s="4" t="str">
        <f>IFERROR(_xll.qlRateHelperEarliestDate(X21,Trigger),"")</f>
        <v/>
      </c>
      <c r="AC21" s="4" t="str">
        <f>IFERROR(_xll.qlRateHelperPillarDate(X21,Trigger),"")</f>
        <v/>
      </c>
      <c r="AD21" s="73" t="e">
        <v>#N/A</v>
      </c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6"/>
        <v>HKDJump11_SYNTHON_Quote</v>
      </c>
      <c r="AI21" s="150">
        <f>_xll.qlDayCounterYearFraction("actual/360",AG21,_xll.qlCalendarAdvance(Calendar,AG21,"1D",,,Trigger))</f>
        <v>2.7777777777777779E-3</v>
      </c>
      <c r="AJ21" s="135" t="e">
        <f>IF(_xll.qlQuoteIsValid(AH21,Trigger),_xll.qlQuoteValue(AH21,Trigger),1)</f>
        <v>#NUM!</v>
      </c>
      <c r="AK21" s="170" t="str">
        <f t="shared" si="7"/>
        <v>--</v>
      </c>
      <c r="AL21" s="155">
        <v>0</v>
      </c>
      <c r="AM21" s="135">
        <f t="shared" si="8"/>
        <v>1</v>
      </c>
    </row>
    <row r="22" spans="1:39" ht="11.25" customHeight="1" x14ac:dyDescent="0.2">
      <c r="A22" s="58" t="s">
        <v>70</v>
      </c>
      <c r="B22" s="59" t="s">
        <v>50</v>
      </c>
      <c r="C22" s="60">
        <v>1</v>
      </c>
      <c r="D22" s="210"/>
      <c r="E22" s="210"/>
      <c r="F22" s="210"/>
      <c r="G22" s="61" t="str">
        <f t="shared" si="4"/>
        <v>Honix</v>
      </c>
      <c r="H22" s="62" t="str">
        <f t="shared" si="5"/>
        <v>HKDOIS18M_Quote</v>
      </c>
      <c r="I22" s="62"/>
      <c r="J22" s="177" t="str">
        <f>IF(P20,_xll.qlOISRateHelper(,C22,B22,H22,$G22,,Permanent,Trigger,ObjectOverwrite),"--")</f>
        <v>--</v>
      </c>
      <c r="L22" s="188" t="str">
        <f t="shared" si="1"/>
        <v>OIS</v>
      </c>
      <c r="M22" s="189" t="str">
        <f t="shared" si="2"/>
        <v>HKDOIS2Y_Quote</v>
      </c>
      <c r="N22" s="190" t="str">
        <f>IFERROR(_xll.qlQuoteValue(H24,Trigger),"--")</f>
        <v>--</v>
      </c>
      <c r="O22" s="191"/>
      <c r="P22" s="95" t="b">
        <v>0</v>
      </c>
      <c r="Q22" s="91">
        <v>50</v>
      </c>
      <c r="R22" s="91">
        <v>1</v>
      </c>
      <c r="S22" s="91" t="str">
        <f t="shared" si="3"/>
        <v>--</v>
      </c>
      <c r="T22" s="96" t="str">
        <f>IFERROR(_xll.qlRateHelperEarliestDate(S22,Trigger),"--")</f>
        <v>--</v>
      </c>
      <c r="U22" s="96" t="str">
        <f>IFERROR(_xll.qlRateHelperPillarDate(S22,Trigger),"--")</f>
        <v>--</v>
      </c>
      <c r="W22" s="5" t="str">
        <f t="shared" si="0"/>
        <v/>
      </c>
      <c r="X22" s="5" t="e">
        <v>#N/A</v>
      </c>
      <c r="Y22" s="5" t="str">
        <f>IFERROR(_xll.qlRateHelperQuoteName(X22,Trigger),"")</f>
        <v/>
      </c>
      <c r="Z22" s="75" t="str">
        <f>IFERROR(_xll.qlRateHelperRate(X22,Trigger),"")</f>
        <v/>
      </c>
      <c r="AA22" s="99" t="str">
        <f>IF(ISERROR(_xll.qlSwapRateHelperSpread($X22)),IF(ISERROR(_xll.qlFuturesRateHelperConvexityAdjustment($X22)),"",_xll.qlFuturesRateHelperConvexityAdjustment($X22)),_xll.qlSwapRateHelperSpread($X22))</f>
        <v/>
      </c>
      <c r="AB22" s="9" t="str">
        <f>IFERROR(_xll.qlRateHelperEarliestDate(X22,Trigger),"")</f>
        <v/>
      </c>
      <c r="AC22" s="9" t="str">
        <f>IFERROR(_xll.qlRateHelperPillarDate(X22,Trigger),"")</f>
        <v/>
      </c>
      <c r="AD22" s="74" t="e">
        <v>#N/A</v>
      </c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6"/>
        <v>HKDJump12_SYNTHON_Quote</v>
      </c>
      <c r="AI22" s="150">
        <f>_xll.qlDayCounterYearFraction("actual/360",AG22,_xll.qlCalendarAdvance(Calendar,AG22,"1D",,,Trigger))</f>
        <v>1.1111111111111112E-2</v>
      </c>
      <c r="AJ22" s="135" t="e">
        <f>IF(_xll.qlQuoteIsValid(AH22,Trigger),_xll.qlQuoteValue(AH22,Trigger),1)</f>
        <v>#NUM!</v>
      </c>
      <c r="AK22" s="170" t="str">
        <f t="shared" si="7"/>
        <v>--</v>
      </c>
      <c r="AL22" s="155">
        <v>0</v>
      </c>
      <c r="AM22" s="135">
        <f t="shared" si="8"/>
        <v>1</v>
      </c>
    </row>
    <row r="23" spans="1:39" ht="11.25" customHeight="1" x14ac:dyDescent="0.2">
      <c r="A23" s="58" t="s">
        <v>70</v>
      </c>
      <c r="B23" s="59" t="s">
        <v>51</v>
      </c>
      <c r="C23" s="60">
        <v>1</v>
      </c>
      <c r="D23" s="210"/>
      <c r="E23" s="210"/>
      <c r="F23" s="210"/>
      <c r="G23" s="61" t="str">
        <f t="shared" si="4"/>
        <v>Honix</v>
      </c>
      <c r="H23" s="62" t="str">
        <f t="shared" si="5"/>
        <v>HKDOIS21M_Quote</v>
      </c>
      <c r="I23" s="62"/>
      <c r="J23" s="177" t="str">
        <f>IF(P21,_xll.qlOISRateHelper(,C23,B23,H23,$G23,,Permanent,Trigger,ObjectOverwrite),"--")</f>
        <v>--</v>
      </c>
      <c r="Y23" s="192" t="str">
        <f>_xll.ohGroup("HKDON_instruments",Y3:Y22,Permanent,Trigger,ObjectOverwrite)</f>
        <v>HKDON_instruments#0010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HKDJump13_SYNTHON_Quote</v>
      </c>
      <c r="AI23" s="151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71" t="str">
        <f t="shared" si="7"/>
        <v>--</v>
      </c>
      <c r="AL23" s="156">
        <v>0</v>
      </c>
      <c r="AM23" s="138">
        <f t="shared" si="8"/>
        <v>1</v>
      </c>
    </row>
    <row r="24" spans="1:39" ht="11.25" customHeight="1" x14ac:dyDescent="0.2">
      <c r="A24" s="1" t="s">
        <v>70</v>
      </c>
      <c r="B24" s="7" t="s">
        <v>52</v>
      </c>
      <c r="C24" s="6">
        <v>1</v>
      </c>
      <c r="D24" s="211"/>
      <c r="E24" s="211"/>
      <c r="F24" s="211"/>
      <c r="G24" s="8" t="str">
        <f t="shared" si="4"/>
        <v>Honix</v>
      </c>
      <c r="H24" s="2" t="str">
        <f t="shared" si="5"/>
        <v>HKDOIS2Y_Quote</v>
      </c>
      <c r="I24" s="2"/>
      <c r="J24" s="178" t="str">
        <f>IF(P22,_xll.qlOISRateHelper(,C24,B24,H24,$G24,,Permanent,Trigger,ObjectOverwrite),"--")</f>
        <v>--</v>
      </c>
    </row>
    <row r="25" spans="1:39" ht="11.25" customHeight="1" x14ac:dyDescent="0.2"/>
    <row r="26" spans="1:39" ht="11.25" customHeight="1" x14ac:dyDescent="0.2"/>
    <row r="27" spans="1:39" ht="11.25" customHeight="1" x14ac:dyDescent="0.2"/>
    <row r="28" spans="1:39" ht="11.25" customHeight="1" x14ac:dyDescent="0.2"/>
    <row r="29" spans="1:39" ht="11.25" customHeight="1" x14ac:dyDescent="0.2"/>
    <row r="30" spans="1:39" ht="11.25" customHeight="1" x14ac:dyDescent="0.2"/>
    <row r="31" spans="1:39" ht="11.25" customHeight="1" x14ac:dyDescent="0.2"/>
    <row r="32" spans="1:39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22">
      <formula1>"TRUE, 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25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9" width="20.7109375" style="52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145" customWidth="1"/>
    <col min="32" max="32" width="2.7109375" style="46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0</v>
      </c>
      <c r="H1" s="50"/>
      <c r="I1" s="50"/>
      <c r="L1" s="65" t="s">
        <v>142</v>
      </c>
      <c r="M1" s="100"/>
      <c r="N1" s="100"/>
      <c r="O1" s="92"/>
      <c r="P1" s="100" t="s">
        <v>24</v>
      </c>
      <c r="Q1" s="100"/>
      <c r="R1" s="100"/>
      <c r="S1" s="100"/>
      <c r="T1" s="100"/>
      <c r="U1" s="92"/>
      <c r="V1" s="89"/>
      <c r="W1" s="70" t="str">
        <f>Currency&amp;$G$1</f>
        <v>HKD3M</v>
      </c>
      <c r="X1" s="64"/>
      <c r="Y1" s="64"/>
      <c r="Z1" s="66"/>
      <c r="AA1" s="66"/>
      <c r="AB1" s="64"/>
      <c r="AC1" s="64"/>
      <c r="AD1" s="68" t="s">
        <v>31</v>
      </c>
    </row>
    <row r="2" spans="1:39" ht="21.75" customHeight="1" x14ac:dyDescent="0.2">
      <c r="A2" s="63" t="s">
        <v>8</v>
      </c>
      <c r="B2" s="63" t="s">
        <v>28</v>
      </c>
      <c r="C2" s="63" t="s">
        <v>88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69" t="s">
        <v>8</v>
      </c>
      <c r="M2" s="69" t="s">
        <v>76</v>
      </c>
      <c r="N2" s="69" t="s">
        <v>79</v>
      </c>
      <c r="O2" s="69" t="s">
        <v>81</v>
      </c>
      <c r="P2" s="69" t="s">
        <v>77</v>
      </c>
      <c r="Q2" s="69" t="s">
        <v>78</v>
      </c>
      <c r="R2" s="69" t="s">
        <v>80</v>
      </c>
      <c r="S2" s="69" t="s">
        <v>24</v>
      </c>
      <c r="T2" s="69" t="s">
        <v>22</v>
      </c>
      <c r="U2" s="69" t="s">
        <v>73</v>
      </c>
      <c r="V2" s="89"/>
      <c r="W2" s="69" t="s">
        <v>8</v>
      </c>
      <c r="X2" s="69" t="s">
        <v>24</v>
      </c>
      <c r="Y2" s="69" t="s">
        <v>76</v>
      </c>
      <c r="Z2" s="71" t="s">
        <v>23</v>
      </c>
      <c r="AA2" s="71" t="s">
        <v>81</v>
      </c>
      <c r="AB2" s="69" t="s">
        <v>22</v>
      </c>
      <c r="AC2" s="69" t="s">
        <v>73</v>
      </c>
      <c r="AD2" s="72">
        <f t="array" ref="AD2:AD63">_xll.qlPiecewiseYieldCurveData(YieldCurve_3M,Trigger)</f>
        <v>1</v>
      </c>
      <c r="AG2" s="146" t="s">
        <v>82</v>
      </c>
      <c r="AH2" s="147"/>
      <c r="AI2" s="147"/>
      <c r="AJ2" s="147"/>
      <c r="AK2" s="148"/>
    </row>
    <row r="3" spans="1:39" ht="11.25" customHeight="1" x14ac:dyDescent="0.2">
      <c r="A3" s="163" t="s">
        <v>26</v>
      </c>
      <c r="B3" s="164" t="s">
        <v>0</v>
      </c>
      <c r="C3" s="165" t="str">
        <f t="shared" ref="C3" si="0">B3</f>
        <v>3M</v>
      </c>
      <c r="D3" s="166"/>
      <c r="E3" s="166"/>
      <c r="F3" s="166"/>
      <c r="G3" s="167" t="str">
        <f>PROPER(Currency)&amp;FamilyName&amp;B3</f>
        <v>HkdHibor3M</v>
      </c>
      <c r="H3" s="168" t="str">
        <f>Currency&amp;$B3&amp;"D"&amp;QuoteSuffix</f>
        <v>HKD3MD_Quote</v>
      </c>
      <c r="I3" s="168"/>
      <c r="J3" s="193" t="str">
        <f>IF(P3,_xll.qlDepositRateHelper(,H3,G3,Permanent,Trigger,ObjectOverwrite),"--")</f>
        <v>obj_00112#0002</v>
      </c>
      <c r="K3" s="49"/>
      <c r="L3" s="188" t="str">
        <f>A3</f>
        <v>Dp</v>
      </c>
      <c r="M3" s="194" t="str">
        <f>H3</f>
        <v>HKD3MD_Quote</v>
      </c>
      <c r="N3" s="190">
        <f>IFERROR(_xll.qlQuoteValue(H3,Trigger),"--")</f>
        <v>3.9664000000000001E-3</v>
      </c>
      <c r="O3" s="182"/>
      <c r="P3" s="95" t="b">
        <v>1</v>
      </c>
      <c r="Q3" s="91">
        <v>10</v>
      </c>
      <c r="R3" s="91">
        <v>1</v>
      </c>
      <c r="S3" s="91" t="str">
        <f>J3</f>
        <v>obj_00112#0002</v>
      </c>
      <c r="T3" s="96">
        <f>IFERROR(_xll.qlRateHelperEarliestDate(S3,Trigger),"--")</f>
        <v>42559</v>
      </c>
      <c r="U3" s="96">
        <f>IFERROR(_xll.qlRateHelperPillarDate(S3,Trigger),"--")</f>
        <v>42653</v>
      </c>
      <c r="W3" s="3" t="str">
        <f t="shared" ref="W3:W34" si="1">IFERROR(INDEX($L$3:$L$63,MATCH(Y3,$M$3:$M$63,0),1),"")</f>
        <v>Dp</v>
      </c>
      <c r="X3" s="3" t="str">
        <f t="array" ref="X3:X63">_xll.qlRateHelperSelection(_xll.ohFilter(RateHelpers,IncludeFlag),_xll.ohFilter(Priority,IncludeFlag),$AK$3,$AK$4,$AK$5,$AK$6,_xll.ohFilter(MinDistance,IncludeFlag),Trigger)</f>
        <v>obj_00112</v>
      </c>
      <c r="Y3" s="3" t="str">
        <f>IFERROR(_xll.qlRateHelperQuoteName(X3,Trigger),"")</f>
        <v>HKD3MD_Quote</v>
      </c>
      <c r="Z3" s="67">
        <f>IFERROR(_xll.qlRateHelperRate(X3,Trigger),"")</f>
        <v>3.9664000000000001E-3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42653</v>
      </c>
      <c r="AD3" s="73">
        <v>0.9989795585289174</v>
      </c>
      <c r="AG3" s="101" t="s">
        <v>83</v>
      </c>
      <c r="AK3" s="102">
        <v>0</v>
      </c>
    </row>
    <row r="4" spans="1:39" ht="11.25" customHeight="1" x14ac:dyDescent="0.2">
      <c r="B4" s="46"/>
      <c r="C4" s="46"/>
      <c r="D4" s="46"/>
      <c r="E4" s="46"/>
      <c r="F4" s="46"/>
      <c r="G4" s="46"/>
      <c r="H4" s="46"/>
      <c r="I4" s="46"/>
      <c r="K4" s="48"/>
      <c r="L4" s="195" t="str">
        <f t="shared" ref="L4:L12" si="2">A6</f>
        <v>FRA</v>
      </c>
      <c r="M4" s="196" t="str">
        <f>H6</f>
        <v>HKD1x4F_Quote</v>
      </c>
      <c r="N4" s="197">
        <f>IFERROR(_xll.qlQuoteValue(H6,Trigger),"--")</f>
        <v>4.2000000000000006E-3</v>
      </c>
      <c r="O4" s="198"/>
      <c r="P4" s="120" t="b">
        <v>0</v>
      </c>
      <c r="Q4" s="119">
        <v>20</v>
      </c>
      <c r="R4" s="119">
        <v>1</v>
      </c>
      <c r="S4" s="119" t="str">
        <f>J6</f>
        <v>--</v>
      </c>
      <c r="T4" s="121" t="str">
        <f>IFERROR(_xll.qlRateHelperEarliestDate(S4,Trigger),"--")</f>
        <v>--</v>
      </c>
      <c r="U4" s="121" t="str">
        <f>IFERROR(_xll.qlRateHelperPillarDate(S4,Trigger),"--")</f>
        <v>--</v>
      </c>
      <c r="W4" s="3" t="str">
        <f t="shared" si="1"/>
        <v>Sw</v>
      </c>
      <c r="X4" s="3" t="str">
        <v>obj_000f9</v>
      </c>
      <c r="Y4" s="3" t="str">
        <f>IFERROR(_xll.qlRateHelperQuoteName(X4,Trigger),"")</f>
        <v>HKDQM3H6M_Quote</v>
      </c>
      <c r="Z4" s="67">
        <f>IFERROR(_xll.qlRateHelperRate(X4,Trigger),"")</f>
        <v>4.5000000000000005E-3</v>
      </c>
      <c r="AA4" s="98">
        <f>IF(ISERROR(_xll.qlSwapRateHelperSpread($X4)),IF(ISERROR(_xll.qlFuturesRateHelperConvexityAdjustment($X4)),"",_xll.qlFuturesRateHelperConvexityAdjustment($X4)),_xll.qlSwapRateHelperSpread($X4))</f>
        <v>0</v>
      </c>
      <c r="AB4" s="4">
        <f>IFERROR(_xll.qlRateHelperEarliestDate(X4,Trigger),"")</f>
        <v>42562</v>
      </c>
      <c r="AC4" s="4">
        <f>IFERROR(_xll.qlRateHelperPillarDate(X4,Trigger),"")</f>
        <v>42746</v>
      </c>
      <c r="AD4" s="73">
        <v>0.997704580150794</v>
      </c>
      <c r="AG4" s="101" t="s">
        <v>84</v>
      </c>
      <c r="AK4" s="102">
        <v>0</v>
      </c>
    </row>
    <row r="5" spans="1:39" ht="11.25" customHeight="1" x14ac:dyDescent="0.2">
      <c r="A5" s="63" t="s">
        <v>8</v>
      </c>
      <c r="B5" s="63" t="s">
        <v>89</v>
      </c>
      <c r="C5" s="63" t="s">
        <v>90</v>
      </c>
      <c r="D5" s="63"/>
      <c r="E5" s="63"/>
      <c r="F5" s="63"/>
      <c r="G5" s="63" t="s">
        <v>4</v>
      </c>
      <c r="H5" s="63" t="s">
        <v>1</v>
      </c>
      <c r="I5" s="63"/>
      <c r="J5" s="63" t="s">
        <v>24</v>
      </c>
      <c r="K5" s="48"/>
      <c r="L5" s="183" t="str">
        <f t="shared" si="2"/>
        <v>FRA</v>
      </c>
      <c r="M5" s="187" t="str">
        <f t="shared" ref="M5:M12" si="3">H7</f>
        <v>HKD2x5F_Quote</v>
      </c>
      <c r="N5" s="185">
        <f>IFERROR(_xll.qlQuoteValue(H7,Trigger),"--")</f>
        <v>4.5000000000000005E-3</v>
      </c>
      <c r="O5" s="186"/>
      <c r="P5" s="93" t="b">
        <v>0</v>
      </c>
      <c r="Q5" s="90">
        <v>20</v>
      </c>
      <c r="R5" s="90">
        <v>1</v>
      </c>
      <c r="S5" s="90" t="str">
        <f t="shared" ref="S5:S12" si="4">J7</f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 t="shared" si="1"/>
        <v>Sw</v>
      </c>
      <c r="X5" s="3" t="str">
        <v>obj_000f6</v>
      </c>
      <c r="Y5" s="3" t="str">
        <f>IFERROR(_xll.qlRateHelperQuoteName(X5,Trigger),"")</f>
        <v>HKDQM3H9M_Quote</v>
      </c>
      <c r="Z5" s="67">
        <f>IFERROR(_xll.qlRateHelperRate(X5,Trigger),"")</f>
        <v>5.0000000000000001E-3</v>
      </c>
      <c r="AA5" s="98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42562</v>
      </c>
      <c r="AC5" s="4">
        <f>IFERROR(_xll.qlRateHelperPillarDate(X5,Trigger),"")</f>
        <v>42836</v>
      </c>
      <c r="AD5" s="73">
        <v>0.9962247225131331</v>
      </c>
      <c r="AF5" s="76"/>
      <c r="AG5" s="101" t="s">
        <v>85</v>
      </c>
      <c r="AK5" s="102">
        <v>0</v>
      </c>
    </row>
    <row r="6" spans="1:39" ht="11.25" customHeight="1" x14ac:dyDescent="0.2">
      <c r="A6" s="53" t="s">
        <v>91</v>
      </c>
      <c r="B6" s="106">
        <v>1</v>
      </c>
      <c r="C6" s="56" t="str">
        <f t="shared" ref="C6:C14" si="5">"x"&amp;B6+SUBSTITUTE($G$1,"M","")&amp;"F"</f>
        <v>x4F</v>
      </c>
      <c r="D6" s="113"/>
      <c r="E6" s="113"/>
      <c r="F6" s="113"/>
      <c r="G6" s="55" t="str">
        <f t="shared" ref="G6:G14" si="6">PROPER(Currency)&amp;FamilyName&amp;Tenor</f>
        <v>HkdHibor3M</v>
      </c>
      <c r="H6" s="109" t="str">
        <f t="shared" ref="H6:H14" si="7">Currency&amp;B6&amp;C6&amp;QuoteSuffix</f>
        <v>HKD1x4F_Quote</v>
      </c>
      <c r="I6" s="109"/>
      <c r="J6" s="176" t="str">
        <f>IF(P4,_xll.qlFraRateHelper(,H6,B6&amp;"M",G6,PillarDate,,Permanent,Trigger,ObjectOverwrite),"--")</f>
        <v>--</v>
      </c>
      <c r="K6" s="48"/>
      <c r="L6" s="183" t="str">
        <f t="shared" si="2"/>
        <v>FRA</v>
      </c>
      <c r="M6" s="187" t="str">
        <f t="shared" si="3"/>
        <v>HKD3x6F_Quote</v>
      </c>
      <c r="N6" s="185">
        <f>IFERROR(_xll.qlQuoteValue(H8,Trigger),"--")</f>
        <v>5.1000000000000004E-3</v>
      </c>
      <c r="O6" s="186"/>
      <c r="P6" s="93" t="b">
        <v>0</v>
      </c>
      <c r="Q6" s="90">
        <v>20</v>
      </c>
      <c r="R6" s="90">
        <v>1</v>
      </c>
      <c r="S6" s="90" t="str">
        <f t="shared" si="4"/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 t="shared" si="1"/>
        <v>Sw</v>
      </c>
      <c r="X6" s="3" t="str">
        <v>obj_00111</v>
      </c>
      <c r="Y6" s="3" t="str">
        <f>IFERROR(_xll.qlRateHelperQuoteName(X6,Trigger),"")</f>
        <v>HKDQM3H1Y_Quote</v>
      </c>
      <c r="Z6" s="67">
        <f>IFERROR(_xll.qlRateHelperRate(X6,Trigger),"")</f>
        <v>5.6000000000000008E-3</v>
      </c>
      <c r="AA6" s="98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42562</v>
      </c>
      <c r="AC6" s="4">
        <f>IFERROR(_xll.qlRateHelperPillarDate(X6,Trigger),"")</f>
        <v>42927</v>
      </c>
      <c r="AD6" s="73">
        <v>0.9943870456119579</v>
      </c>
      <c r="AG6" s="101" t="s">
        <v>86</v>
      </c>
      <c r="AK6" s="103" t="s">
        <v>87</v>
      </c>
    </row>
    <row r="7" spans="1:39" ht="11.25" customHeight="1" x14ac:dyDescent="0.2">
      <c r="A7" s="58" t="s">
        <v>91</v>
      </c>
      <c r="B7" s="107">
        <v>2</v>
      </c>
      <c r="C7" s="61" t="str">
        <f t="shared" si="5"/>
        <v>x5F</v>
      </c>
      <c r="D7" s="113"/>
      <c r="E7" s="113"/>
      <c r="F7" s="113"/>
      <c r="G7" s="60" t="str">
        <f t="shared" si="6"/>
        <v>HkdHibor3M</v>
      </c>
      <c r="H7" s="110" t="str">
        <f t="shared" si="7"/>
        <v>HKD2x5F_Quote</v>
      </c>
      <c r="I7" s="110"/>
      <c r="J7" s="177" t="str">
        <f>IF(P5,_xll.qlFraRateHelper(,H7,B7&amp;"M",G7,PillarDate,,Permanent,Trigger,ObjectOverwrite),"--")</f>
        <v>--</v>
      </c>
      <c r="K7" s="48"/>
      <c r="L7" s="183" t="str">
        <f t="shared" si="2"/>
        <v>FRA</v>
      </c>
      <c r="M7" s="187" t="str">
        <f t="shared" si="3"/>
        <v>HKD4x7F_Quote</v>
      </c>
      <c r="N7" s="185">
        <f>IFERROR(_xll.qlQuoteValue(H9,Trigger),"--")</f>
        <v>5.4000000000000003E-3</v>
      </c>
      <c r="O7" s="186"/>
      <c r="P7" s="93" t="b">
        <v>0</v>
      </c>
      <c r="Q7" s="90">
        <v>20</v>
      </c>
      <c r="R7" s="90">
        <v>1</v>
      </c>
      <c r="S7" s="90" t="str">
        <f t="shared" si="4"/>
        <v>--</v>
      </c>
      <c r="T7" s="94" t="str">
        <f>IFERROR(_xll.qlRateHelperEarliestDate(S7,Trigger),"--")</f>
        <v>--</v>
      </c>
      <c r="U7" s="94" t="str">
        <f>IFERROR(_xll.qlRateHelperPillarDate(S7,Trigger),"--")</f>
        <v>--</v>
      </c>
      <c r="W7" s="3" t="str">
        <f t="shared" si="1"/>
        <v>Sw</v>
      </c>
      <c r="X7" s="3" t="str">
        <v>obj_00114</v>
      </c>
      <c r="Y7" s="3" t="str">
        <f>IFERROR(_xll.qlRateHelperQuoteName(X7,Trigger),"")</f>
        <v>HKDQM3H18M_Quote</v>
      </c>
      <c r="Z7" s="67">
        <f>IFERROR(_xll.qlRateHelperRate(X7,Trigger),"")</f>
        <v>6.8999999999999999E-3</v>
      </c>
      <c r="AA7" s="98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42562</v>
      </c>
      <c r="AC7" s="4">
        <f>IFERROR(_xll.qlRateHelperPillarDate(X7,Trigger),"")</f>
        <v>43111</v>
      </c>
      <c r="AD7" s="73">
        <v>0.989644461299378</v>
      </c>
    </row>
    <row r="8" spans="1:39" ht="11.25" customHeight="1" x14ac:dyDescent="0.2">
      <c r="A8" s="58" t="s">
        <v>91</v>
      </c>
      <c r="B8" s="107">
        <v>3</v>
      </c>
      <c r="C8" s="61" t="str">
        <f t="shared" si="5"/>
        <v>x6F</v>
      </c>
      <c r="D8" s="113"/>
      <c r="E8" s="113"/>
      <c r="F8" s="113"/>
      <c r="G8" s="60" t="str">
        <f t="shared" si="6"/>
        <v>HkdHibor3M</v>
      </c>
      <c r="H8" s="110" t="str">
        <f t="shared" si="7"/>
        <v>HKD3x6F_Quote</v>
      </c>
      <c r="I8" s="110"/>
      <c r="J8" s="177" t="str">
        <f>IF(P6,_xll.qlFraRateHelper(,H8,B8&amp;"M",G8,PillarDate,,Permanent,Trigger,ObjectOverwrite),"--")</f>
        <v>--</v>
      </c>
      <c r="K8" s="48"/>
      <c r="L8" s="183" t="str">
        <f t="shared" si="2"/>
        <v>FRA</v>
      </c>
      <c r="M8" s="187" t="str">
        <f t="shared" si="3"/>
        <v>HKD5x8F_Quote</v>
      </c>
      <c r="N8" s="185">
        <f>IFERROR(_xll.qlQuoteValue(H10,Trigger),"--")</f>
        <v>5.8000000000000005E-3</v>
      </c>
      <c r="O8" s="186"/>
      <c r="P8" s="93" t="b">
        <v>0</v>
      </c>
      <c r="Q8" s="90">
        <v>20</v>
      </c>
      <c r="R8" s="90">
        <v>1</v>
      </c>
      <c r="S8" s="90" t="str">
        <f t="shared" si="4"/>
        <v>--</v>
      </c>
      <c r="T8" s="94" t="str">
        <f>IFERROR(_xll.qlRateHelperEarliestDate(S8,Trigger),"--")</f>
        <v>--</v>
      </c>
      <c r="U8" s="94" t="str">
        <f>IFERROR(_xll.qlRateHelperPillarDate(S8,Trigger),"--")</f>
        <v>--</v>
      </c>
      <c r="W8" s="3" t="str">
        <f t="shared" si="1"/>
        <v>Sw</v>
      </c>
      <c r="X8" s="3" t="str">
        <v>obj_00113</v>
      </c>
      <c r="Y8" s="3" t="str">
        <f>IFERROR(_xll.qlRateHelperQuoteName(X8,Trigger),"")</f>
        <v>HKDQM3H2Y_Quote</v>
      </c>
      <c r="Z8" s="67">
        <f>IFERROR(_xll.qlRateHelperRate(X8,Trigger),"")</f>
        <v>8.0000000000000002E-3</v>
      </c>
      <c r="AA8" s="98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42562</v>
      </c>
      <c r="AC8" s="4">
        <f>IFERROR(_xll.qlRateHelperPillarDate(X8,Trigger),"")</f>
        <v>43292</v>
      </c>
      <c r="AD8" s="73">
        <v>0.9840887328965553</v>
      </c>
    </row>
    <row r="9" spans="1:39" ht="11.25" customHeight="1" x14ac:dyDescent="0.2">
      <c r="A9" s="58" t="s">
        <v>91</v>
      </c>
      <c r="B9" s="107">
        <v>4</v>
      </c>
      <c r="C9" s="61" t="str">
        <f t="shared" si="5"/>
        <v>x7F</v>
      </c>
      <c r="D9" s="113"/>
      <c r="E9" s="113"/>
      <c r="F9" s="113"/>
      <c r="G9" s="60" t="str">
        <f t="shared" si="6"/>
        <v>HkdHibor3M</v>
      </c>
      <c r="H9" s="110" t="str">
        <f t="shared" si="7"/>
        <v>HKD4x7F_Quote</v>
      </c>
      <c r="I9" s="110"/>
      <c r="J9" s="177" t="str">
        <f>IF(P7,_xll.qlFraRateHelper(,H9,B9&amp;"M",G9,PillarDate,,Permanent,Trigger,ObjectOverwrite),"--")</f>
        <v>--</v>
      </c>
      <c r="K9" s="48"/>
      <c r="L9" s="183" t="str">
        <f t="shared" si="2"/>
        <v>FRA</v>
      </c>
      <c r="M9" s="187" t="str">
        <f t="shared" si="3"/>
        <v>HKD6x9F_Quote</v>
      </c>
      <c r="N9" s="185">
        <f>IFERROR(_xll.qlQuoteValue(H11,Trigger),"--")</f>
        <v>6.0999999999999987E-3</v>
      </c>
      <c r="O9" s="186"/>
      <c r="P9" s="93" t="b">
        <v>0</v>
      </c>
      <c r="Q9" s="90">
        <v>20</v>
      </c>
      <c r="R9" s="90">
        <v>1</v>
      </c>
      <c r="S9" s="90" t="str">
        <f t="shared" si="4"/>
        <v>--</v>
      </c>
      <c r="T9" s="94" t="str">
        <f>IFERROR(_xll.qlRateHelperEarliestDate(S9,Trigger),"--")</f>
        <v>--</v>
      </c>
      <c r="U9" s="94" t="str">
        <f>IFERROR(_xll.qlRateHelperPillarDate(S9,Trigger),"--")</f>
        <v>--</v>
      </c>
      <c r="W9" s="3" t="str">
        <f t="shared" si="1"/>
        <v>Sw</v>
      </c>
      <c r="X9" s="3" t="str">
        <v>obj_000ff</v>
      </c>
      <c r="Y9" s="3" t="str">
        <f>IFERROR(_xll.qlRateHelperQuoteName(X9,Trigger),"")</f>
        <v>HKDQM3H3Y_Quote</v>
      </c>
      <c r="Z9" s="67">
        <f>IFERROR(_xll.qlRateHelperRate(X9,Trigger),"")</f>
        <v>1.0200000000000001E-2</v>
      </c>
      <c r="AA9" s="98">
        <f>IF(ISERROR(_xll.qlSwapRateHelperSpread($X9)),IF(ISERROR(_xll.qlFuturesRateHelperConvexityAdjustment($X9)),"",_xll.qlFuturesRateHelperConvexityAdjustment($X9)),_xll.qlSwapRateHelperSpread($X9))</f>
        <v>0</v>
      </c>
      <c r="AB9" s="4">
        <f>IFERROR(_xll.qlRateHelperEarliestDate(X9,Trigger),"")</f>
        <v>42562</v>
      </c>
      <c r="AC9" s="4">
        <f>IFERROR(_xll.qlRateHelperPillarDate(X9,Trigger),"")</f>
        <v>43657</v>
      </c>
      <c r="AD9" s="73">
        <v>0.9697721357418978</v>
      </c>
      <c r="AH9" s="46" t="s">
        <v>121</v>
      </c>
    </row>
    <row r="10" spans="1:39" ht="11.25" customHeight="1" x14ac:dyDescent="0.2">
      <c r="A10" s="58" t="s">
        <v>91</v>
      </c>
      <c r="B10" s="107">
        <v>5</v>
      </c>
      <c r="C10" s="61" t="str">
        <f t="shared" si="5"/>
        <v>x8F</v>
      </c>
      <c r="D10" s="113"/>
      <c r="E10" s="113"/>
      <c r="F10" s="113"/>
      <c r="G10" s="60" t="str">
        <f t="shared" si="6"/>
        <v>HkdHibor3M</v>
      </c>
      <c r="H10" s="110" t="str">
        <f t="shared" si="7"/>
        <v>HKD5x8F_Quote</v>
      </c>
      <c r="I10" s="110"/>
      <c r="J10" s="177" t="str">
        <f>IF(P8,_xll.qlFraRateHelper(,H10,B10&amp;"M",G10,PillarDate,,Permanent,Trigger,ObjectOverwrite),"--")</f>
        <v>--</v>
      </c>
      <c r="K10" s="48"/>
      <c r="L10" s="183" t="str">
        <f t="shared" si="2"/>
        <v>FRA</v>
      </c>
      <c r="M10" s="187" t="str">
        <f t="shared" si="3"/>
        <v>HKD7x10F_Quote</v>
      </c>
      <c r="N10" s="185">
        <f>IFERROR(_xll.qlQuoteValue(H12,Trigger),"--")</f>
        <v>6.4999999999999988E-3</v>
      </c>
      <c r="O10" s="186"/>
      <c r="P10" s="93" t="b">
        <v>0</v>
      </c>
      <c r="Q10" s="90">
        <v>20</v>
      </c>
      <c r="R10" s="90">
        <v>1</v>
      </c>
      <c r="S10" s="90" t="str">
        <f t="shared" si="4"/>
        <v>--</v>
      </c>
      <c r="T10" s="94" t="str">
        <f>IFERROR(_xll.qlRateHelperEarliestDate(S10,Trigger),"--")</f>
        <v>--</v>
      </c>
      <c r="U10" s="94" t="str">
        <f>IFERROR(_xll.qlRateHelperPillarDate(S10,Trigger),"--")</f>
        <v>--</v>
      </c>
      <c r="W10" s="3" t="str">
        <f t="shared" si="1"/>
        <v>Sw</v>
      </c>
      <c r="X10" s="3" t="str">
        <v>obj_000f8</v>
      </c>
      <c r="Y10" s="3" t="str">
        <f>IFERROR(_xll.qlRateHelperQuoteName(X10,Trigger),"")</f>
        <v>HKDQM3H4Y_Quote</v>
      </c>
      <c r="Z10" s="67">
        <f>IFERROR(_xll.qlRateHelperRate(X10,Trigger),"")</f>
        <v>1.21E-2</v>
      </c>
      <c r="AA10" s="98">
        <f>IF(ISERROR(_xll.qlSwapRateHelperSpread($X10)),IF(ISERROR(_xll.qlFuturesRateHelperConvexityAdjustment($X10)),"",_xll.qlFuturesRateHelperConvexityAdjustment($X10)),_xll.qlSwapRateHelperSpread($X10))</f>
        <v>0</v>
      </c>
      <c r="AB10" s="4">
        <f>IFERROR(_xll.qlRateHelperEarliestDate(X10,Trigger),"")</f>
        <v>42562</v>
      </c>
      <c r="AC10" s="4">
        <f>IFERROR(_xll.qlRateHelperPillarDate(X10,Trigger),"")</f>
        <v>44025</v>
      </c>
      <c r="AD10" s="73">
        <v>0.95244642704129756</v>
      </c>
      <c r="AF10" s="69" t="s">
        <v>115</v>
      </c>
      <c r="AG10" s="69" t="s">
        <v>116</v>
      </c>
      <c r="AH10" s="69" t="s">
        <v>117</v>
      </c>
      <c r="AI10" s="69" t="s">
        <v>125</v>
      </c>
      <c r="AJ10" s="69" t="s">
        <v>118</v>
      </c>
      <c r="AK10" s="69" t="s">
        <v>126</v>
      </c>
      <c r="AL10" s="69" t="s">
        <v>119</v>
      </c>
      <c r="AM10" s="69" t="s">
        <v>120</v>
      </c>
    </row>
    <row r="11" spans="1:39" ht="11.25" customHeight="1" x14ac:dyDescent="0.2">
      <c r="A11" s="58" t="s">
        <v>91</v>
      </c>
      <c r="B11" s="107">
        <v>6</v>
      </c>
      <c r="C11" s="61" t="str">
        <f t="shared" si="5"/>
        <v>x9F</v>
      </c>
      <c r="D11" s="113"/>
      <c r="E11" s="113"/>
      <c r="F11" s="113"/>
      <c r="G11" s="60" t="str">
        <f t="shared" si="6"/>
        <v>HkdHibor3M</v>
      </c>
      <c r="H11" s="110" t="str">
        <f t="shared" si="7"/>
        <v>HKD6x9F_Quote</v>
      </c>
      <c r="I11" s="110"/>
      <c r="J11" s="177" t="str">
        <f>IF(P9,_xll.qlFraRateHelper(,H11,B11&amp;"M",G11,PillarDate,,Permanent,Trigger,ObjectOverwrite),"--")</f>
        <v>--</v>
      </c>
      <c r="K11" s="48"/>
      <c r="L11" s="183" t="str">
        <f t="shared" si="2"/>
        <v>FRA</v>
      </c>
      <c r="M11" s="187" t="str">
        <f t="shared" si="3"/>
        <v>HKD8x11F_Quote</v>
      </c>
      <c r="N11" s="185">
        <f>IFERROR(_xll.qlQuoteValue(H13,Trigger),"--")</f>
        <v>6.8999999999999999E-3</v>
      </c>
      <c r="O11" s="186"/>
      <c r="P11" s="93" t="b">
        <v>0</v>
      </c>
      <c r="Q11" s="90">
        <v>20</v>
      </c>
      <c r="R11" s="90">
        <v>1</v>
      </c>
      <c r="S11" s="90" t="str">
        <f t="shared" si="4"/>
        <v>--</v>
      </c>
      <c r="T11" s="94" t="str">
        <f>IFERROR(_xll.qlRateHelperEarliestDate(S11,Trigger),"--")</f>
        <v>--</v>
      </c>
      <c r="U11" s="94" t="str">
        <f>IFERROR(_xll.qlRateHelperPillarDate(S11,Trigger),"--")</f>
        <v>--</v>
      </c>
      <c r="W11" s="3" t="str">
        <f t="shared" si="1"/>
        <v>Sw</v>
      </c>
      <c r="X11" s="3" t="str">
        <v>obj_000f5</v>
      </c>
      <c r="Y11" s="3" t="str">
        <f>IFERROR(_xll.qlRateHelperQuoteName(X11,Trigger),"")</f>
        <v>HKDQM3H5Y_Quote</v>
      </c>
      <c r="Z11" s="67">
        <f>IFERROR(_xll.qlRateHelperRate(X11,Trigger),"")</f>
        <v>1.37E-2</v>
      </c>
      <c r="AA11" s="98">
        <f>IF(ISERROR(_xll.qlSwapRateHelperSpread($X11)),IF(ISERROR(_xll.qlFuturesRateHelperConvexityAdjustment($X11)),"",_xll.qlFuturesRateHelperConvexityAdjustment($X11)),_xll.qlSwapRateHelperSpread($X11))</f>
        <v>0</v>
      </c>
      <c r="AB11" s="4">
        <f>IFERROR(_xll.qlRateHelperEarliestDate(X11,Trigger),"")</f>
        <v>42562</v>
      </c>
      <c r="AC11" s="4">
        <f>IFERROR(_xll.qlRateHelperPillarDate(X11,Trigger),"")</f>
        <v>44389</v>
      </c>
      <c r="AD11" s="73">
        <v>0.93331103626352085</v>
      </c>
      <c r="AF11" s="130">
        <v>1</v>
      </c>
      <c r="AG11" s="131">
        <f>_xll.qlCalendarEndOfMonth(Calendar,Settlementdate,Trigger)</f>
        <v>42580</v>
      </c>
      <c r="AH11" s="130" t="str">
        <f t="shared" ref="AH11:AH23" si="8">Currency&amp;$AH$9&amp;AF11&amp;JumpSuffix&amp;QuoteSuffix</f>
        <v>HKDJump1_SYNTHON_Quote</v>
      </c>
      <c r="AI11" s="149">
        <f>_xll.qlDayCounterYearFraction("actual/360",AG11,_xll.qlCalendarAdvance(Calendar,AG11,"1D",,,Trigger))</f>
        <v>8.3333333333333332E-3</v>
      </c>
      <c r="AJ11" s="132" t="e">
        <f>IF(_xll.qlQuoteIsValid(AH11,Trigger),_xll.qlQuoteValue(AH11,Trigger),1)</f>
        <v>#NUM!</v>
      </c>
      <c r="AK11" s="169" t="str">
        <f>IFERROR(-LN(AJ11)/AI11,"--")</f>
        <v>--</v>
      </c>
      <c r="AL11" s="154">
        <v>0</v>
      </c>
      <c r="AM11" s="132">
        <f>IF(ISBLANK(AL11),AH11,EXP(-AL11*AI11))</f>
        <v>1</v>
      </c>
    </row>
    <row r="12" spans="1:39" ht="11.25" customHeight="1" x14ac:dyDescent="0.2">
      <c r="A12" s="58" t="s">
        <v>91</v>
      </c>
      <c r="B12" s="107">
        <v>7</v>
      </c>
      <c r="C12" s="61" t="str">
        <f t="shared" si="5"/>
        <v>x10F</v>
      </c>
      <c r="D12" s="113"/>
      <c r="E12" s="113"/>
      <c r="F12" s="113"/>
      <c r="G12" s="60" t="str">
        <f t="shared" si="6"/>
        <v>HkdHibor3M</v>
      </c>
      <c r="H12" s="110" t="str">
        <f t="shared" si="7"/>
        <v>HKD7x10F_Quote</v>
      </c>
      <c r="I12" s="110"/>
      <c r="J12" s="177" t="str">
        <f>IF(P10,_xll.qlFraRateHelper(,H12,B12&amp;"M",G12,PillarDate,,Permanent,Trigger,ObjectOverwrite),"--")</f>
        <v>--</v>
      </c>
      <c r="K12" s="48" t="s">
        <v>35</v>
      </c>
      <c r="L12" s="183" t="str">
        <f t="shared" si="2"/>
        <v>FRA</v>
      </c>
      <c r="M12" s="187" t="str">
        <f t="shared" si="3"/>
        <v>HKD9x12F_Quote</v>
      </c>
      <c r="N12" s="185">
        <f>IFERROR(_xll.qlQuoteValue(H14,Trigger),"--")</f>
        <v>7.3000000000000001E-3</v>
      </c>
      <c r="O12" s="191"/>
      <c r="P12" s="93" t="b">
        <v>0</v>
      </c>
      <c r="Q12" s="90">
        <v>20</v>
      </c>
      <c r="R12" s="90">
        <v>1</v>
      </c>
      <c r="S12" s="90" t="str">
        <f t="shared" si="4"/>
        <v>--</v>
      </c>
      <c r="T12" s="94" t="str">
        <f>IFERROR(_xll.qlRateHelperEarliestDate(S12,Trigger),"--")</f>
        <v>--</v>
      </c>
      <c r="U12" s="94" t="str">
        <f>IFERROR(_xll.qlRateHelperPillarDate(S12,Trigger),"--")</f>
        <v>--</v>
      </c>
      <c r="W12" s="3" t="str">
        <f t="shared" si="1"/>
        <v>Sw</v>
      </c>
      <c r="X12" s="3" t="str">
        <v>obj_00115</v>
      </c>
      <c r="Y12" s="3" t="str">
        <f>IFERROR(_xll.qlRateHelperQuoteName(X12,Trigger),"")</f>
        <v>HKDQM3H7Y_Quote</v>
      </c>
      <c r="Z12" s="67">
        <f>IFERROR(_xll.qlRateHelperRate(X12,Trigger),"")</f>
        <v>1.6400000000000001E-2</v>
      </c>
      <c r="AA12" s="98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42562</v>
      </c>
      <c r="AC12" s="4">
        <f>IFERROR(_xll.qlRateHelperPillarDate(X12,Trigger),"")</f>
        <v>45118</v>
      </c>
      <c r="AD12" s="73">
        <v>0.8903824907533282</v>
      </c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8"/>
        <v>HKDJump2_SYNTHON_Quote</v>
      </c>
      <c r="AI12" s="150">
        <f>_xll.qlDayCounterYearFraction("actual/360",AG12,_xll.qlCalendarAdvance(Calendar,AG12,"1D",,,Trigger))</f>
        <v>2.7777777777777779E-3</v>
      </c>
      <c r="AJ12" s="135" t="e">
        <f>IF(_xll.qlQuoteIsValid(AH12,Trigger),_xll.qlQuoteValue(AH12,Trigger),1)</f>
        <v>#NUM!</v>
      </c>
      <c r="AK12" s="170" t="str">
        <f t="shared" ref="AK12:AK23" si="9">IFERROR(-LN(AJ12)/AI12,"--")</f>
        <v>--</v>
      </c>
      <c r="AL12" s="155">
        <v>0</v>
      </c>
      <c r="AM12" s="135">
        <f t="shared" ref="AM12:AM23" si="10">IF(ISBLANK(AL12),AH12,EXP(-AL12*AI12))</f>
        <v>1</v>
      </c>
    </row>
    <row r="13" spans="1:39" ht="11.25" customHeight="1" x14ac:dyDescent="0.2">
      <c r="A13" s="58" t="s">
        <v>91</v>
      </c>
      <c r="B13" s="107">
        <v>8</v>
      </c>
      <c r="C13" s="61" t="str">
        <f t="shared" si="5"/>
        <v>x11F</v>
      </c>
      <c r="D13" s="113"/>
      <c r="E13" s="113"/>
      <c r="F13" s="113"/>
      <c r="G13" s="60" t="str">
        <f t="shared" si="6"/>
        <v>HkdHibor3M</v>
      </c>
      <c r="H13" s="110" t="str">
        <f t="shared" si="7"/>
        <v>HKD8x11F_Quote</v>
      </c>
      <c r="I13" s="110"/>
      <c r="J13" s="177" t="str">
        <f>IF(P11,_xll.qlFraRateHelper(,H13,B13&amp;"M",G13,PillarDate,,Permanent,Trigger,ObjectOverwrite),"--")</f>
        <v>--</v>
      </c>
      <c r="K13" s="48"/>
      <c r="L13" s="195" t="str">
        <f t="shared" ref="L13:L32" si="11">A17</f>
        <v>FUT</v>
      </c>
      <c r="M13" s="196" t="str">
        <f>H17</f>
        <v>HKDFUT3MN6_Quote</v>
      </c>
      <c r="N13" s="199">
        <f>IFERROR(_xll.qlQuoteValue(H17,Trigger),"--")</f>
        <v>99.57</v>
      </c>
      <c r="O13" s="200"/>
      <c r="P13" s="120" t="b">
        <v>0</v>
      </c>
      <c r="Q13" s="119">
        <v>60</v>
      </c>
      <c r="R13" s="119">
        <v>21</v>
      </c>
      <c r="S13" s="119" t="str">
        <f>J17</f>
        <v>--</v>
      </c>
      <c r="T13" s="121" t="str">
        <f>IFERROR(_xll.qlRateHelperEarliestDate(S13,Trigger),"--")</f>
        <v>--</v>
      </c>
      <c r="U13" s="121" t="str">
        <f>IFERROR(_xll.qlRateHelperPillarDate(S13,Trigger),"--")</f>
        <v>--</v>
      </c>
      <c r="W13" s="3" t="str">
        <f t="shared" si="1"/>
        <v>Sw</v>
      </c>
      <c r="X13" s="3" t="str">
        <v>obj_000fe</v>
      </c>
      <c r="Y13" s="3" t="str">
        <f>IFERROR(_xll.qlRateHelperQuoteName(X13,Trigger),"")</f>
        <v>HKDQM3H10Y_Quote</v>
      </c>
      <c r="Z13" s="67">
        <f>IFERROR(_xll.qlRateHelperRate(X13,Trigger),"")</f>
        <v>1.9E-2</v>
      </c>
      <c r="AA13" s="98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42562</v>
      </c>
      <c r="AC13" s="4">
        <f>IFERROR(_xll.qlRateHelperPillarDate(X13,Trigger),"")</f>
        <v>46216</v>
      </c>
      <c r="AD13" s="73">
        <v>0.8241887453800264</v>
      </c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8"/>
        <v>HKDJump3_SYNTHON_Quote</v>
      </c>
      <c r="AI13" s="150">
        <f>_xll.qlDayCounterYearFraction("actual/360",AG13,_xll.qlCalendarAdvance(Calendar,AG13,"1D",,,Trigger))</f>
        <v>1.1111111111111112E-2</v>
      </c>
      <c r="AJ13" s="135" t="e">
        <f>IF(_xll.qlQuoteIsValid(AH13,Trigger),_xll.qlQuoteValue(AH13,Trigger),1)</f>
        <v>#NUM!</v>
      </c>
      <c r="AK13" s="170" t="str">
        <f t="shared" si="9"/>
        <v>--</v>
      </c>
      <c r="AL13" s="155">
        <v>0</v>
      </c>
      <c r="AM13" s="135">
        <f t="shared" si="10"/>
        <v>1</v>
      </c>
    </row>
    <row r="14" spans="1:39" ht="11.25" customHeight="1" x14ac:dyDescent="0.2">
      <c r="A14" s="1" t="s">
        <v>91</v>
      </c>
      <c r="B14" s="108">
        <v>9</v>
      </c>
      <c r="C14" s="8" t="str">
        <f t="shared" si="5"/>
        <v>x12F</v>
      </c>
      <c r="D14" s="114"/>
      <c r="E14" s="114"/>
      <c r="F14" s="114"/>
      <c r="G14" s="6" t="str">
        <f t="shared" si="6"/>
        <v>HkdHibor3M</v>
      </c>
      <c r="H14" s="111" t="str">
        <f t="shared" si="7"/>
        <v>HKD9x12F_Quote</v>
      </c>
      <c r="I14" s="111"/>
      <c r="J14" s="178" t="str">
        <f>IF(P12,_xll.qlFraRateHelper(,H14,B14&amp;"M",G14,PillarDate,,Permanent,Trigger,ObjectOverwrite),"--")</f>
        <v>--</v>
      </c>
      <c r="K14" s="48"/>
      <c r="L14" s="183" t="str">
        <f t="shared" si="11"/>
        <v>FUT</v>
      </c>
      <c r="M14" s="187" t="str">
        <f t="shared" ref="M14:M32" si="12">H18</f>
        <v>HKDFUT3MQ6_Quote</v>
      </c>
      <c r="N14" s="201">
        <f>IFERROR(_xll.qlQuoteValue(H18,Trigger),"--")</f>
        <v>0</v>
      </c>
      <c r="O14" s="202"/>
      <c r="P14" s="93" t="b">
        <v>0</v>
      </c>
      <c r="Q14" s="90">
        <v>60</v>
      </c>
      <c r="R14" s="90">
        <v>21</v>
      </c>
      <c r="S14" s="90" t="str">
        <f t="shared" ref="S14:S32" si="13">J18</f>
        <v>--</v>
      </c>
      <c r="T14" s="94" t="str">
        <f>IFERROR(_xll.qlRateHelperEarliestDate(S14,Trigger),"--")</f>
        <v>--</v>
      </c>
      <c r="U14" s="94" t="str">
        <f>IFERROR(_xll.qlRateHelperPillarDate(S14,Trigger),"--")</f>
        <v>--</v>
      </c>
      <c r="W14" s="3" t="str">
        <f t="shared" si="1"/>
        <v>Sw</v>
      </c>
      <c r="X14" s="3" t="str">
        <v>obj_00106</v>
      </c>
      <c r="Y14" s="3" t="str">
        <f>IFERROR(_xll.qlRateHelperQuoteName(X14,Trigger),"")</f>
        <v>HKDQM3H12Y_Quote</v>
      </c>
      <c r="Z14" s="67">
        <f>IFERROR(_xll.qlRateHelperRate(X14,Trigger),"")</f>
        <v>1.9799999999999998E-2</v>
      </c>
      <c r="AA14" s="98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42562</v>
      </c>
      <c r="AC14" s="4">
        <f>IFERROR(_xll.qlRateHelperPillarDate(X14,Trigger),"")</f>
        <v>46945</v>
      </c>
      <c r="AD14" s="73">
        <v>0.78508125501386827</v>
      </c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8"/>
        <v>HKDJump4_SYNTHON_Quote</v>
      </c>
      <c r="AI14" s="150">
        <f>_xll.qlDayCounterYearFraction("actual/360",AG14,_xll.qlCalendarAdvance(Calendar,AG14,"1D",,,Trigger))</f>
        <v>2.7777777777777779E-3</v>
      </c>
      <c r="AJ14" s="135" t="e">
        <f>IF(_xll.qlQuoteIsValid(AH14,Trigger),_xll.qlQuoteValue(AH14,Trigger),1)</f>
        <v>#NUM!</v>
      </c>
      <c r="AK14" s="170" t="str">
        <f t="shared" si="9"/>
        <v>--</v>
      </c>
      <c r="AL14" s="155">
        <v>0</v>
      </c>
      <c r="AM14" s="135">
        <f t="shared" si="10"/>
        <v>1</v>
      </c>
    </row>
    <row r="15" spans="1:39" ht="11.25" customHeight="1" x14ac:dyDescent="0.2">
      <c r="B15" s="46"/>
      <c r="C15" s="46"/>
      <c r="D15" s="46"/>
      <c r="E15" s="46"/>
      <c r="F15" s="46"/>
      <c r="G15" s="46"/>
      <c r="H15" s="46" t="s">
        <v>93</v>
      </c>
      <c r="I15" s="46"/>
      <c r="K15" s="48"/>
      <c r="L15" s="183" t="str">
        <f t="shared" si="11"/>
        <v>FUT</v>
      </c>
      <c r="M15" s="187" t="str">
        <f t="shared" si="12"/>
        <v>HKDFUT3MU6_Quote</v>
      </c>
      <c r="N15" s="201">
        <f>IFERROR(_xll.qlQuoteValue(H19,Trigger),"--")</f>
        <v>99.539999999999992</v>
      </c>
      <c r="O15" s="202"/>
      <c r="P15" s="93" t="b">
        <v>0</v>
      </c>
      <c r="Q15" s="90">
        <v>60</v>
      </c>
      <c r="R15" s="90">
        <v>21</v>
      </c>
      <c r="S15" s="90" t="str">
        <f t="shared" si="13"/>
        <v>--</v>
      </c>
      <c r="T15" s="94" t="str">
        <f>IFERROR(_xll.qlRateHelperEarliestDate(S15,Trigger),"--")</f>
        <v>--</v>
      </c>
      <c r="U15" s="94" t="str">
        <f>IFERROR(_xll.qlRateHelperPillarDate(S15,Trigger),"--")</f>
        <v>--</v>
      </c>
      <c r="W15" s="3" t="str">
        <f t="shared" si="1"/>
        <v>Sw</v>
      </c>
      <c r="X15" s="3" t="str">
        <v>obj_00109</v>
      </c>
      <c r="Y15" s="3" t="str">
        <f>IFERROR(_xll.qlRateHelperQuoteName(X15,Trigger),"")</f>
        <v>HKDQM3H15Y_Quote</v>
      </c>
      <c r="Z15" s="67">
        <f>IFERROR(_xll.qlRateHelperRate(X15,Trigger),"")</f>
        <v>2.0499999999999997E-2</v>
      </c>
      <c r="AA15" s="98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42562</v>
      </c>
      <c r="AC15" s="4">
        <f>IFERROR(_xll.qlRateHelperPillarDate(X15,Trigger),"")</f>
        <v>48040</v>
      </c>
      <c r="AD15" s="73">
        <v>0.73098298684209284</v>
      </c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8"/>
        <v>HKDJump5_SYNTHON_Quote</v>
      </c>
      <c r="AI15" s="150">
        <f>_xll.qlDayCounterYearFraction("actual/360",AG15,_xll.qlCalendarAdvance(Calendar,AG15,"1D",,,Trigger))</f>
        <v>2.7777777777777779E-3</v>
      </c>
      <c r="AJ15" s="135" t="e">
        <f>IF(_xll.qlQuoteIsValid(AH15,Trigger),_xll.qlQuoteValue(AH15,Trigger),1)</f>
        <v>#NUM!</v>
      </c>
      <c r="AK15" s="170" t="str">
        <f t="shared" si="9"/>
        <v>--</v>
      </c>
      <c r="AL15" s="155">
        <v>0</v>
      </c>
      <c r="AM15" s="135">
        <f t="shared" si="10"/>
        <v>1</v>
      </c>
    </row>
    <row r="16" spans="1:39" ht="11.25" customHeight="1" x14ac:dyDescent="0.2">
      <c r="A16" s="63" t="s">
        <v>8</v>
      </c>
      <c r="B16" s="63" t="s">
        <v>94</v>
      </c>
      <c r="C16" s="63" t="s">
        <v>32</v>
      </c>
      <c r="D16" s="63"/>
      <c r="E16" s="63"/>
      <c r="F16" s="63"/>
      <c r="G16" s="63" t="s">
        <v>4</v>
      </c>
      <c r="H16" s="63" t="s">
        <v>1</v>
      </c>
      <c r="I16" s="63"/>
      <c r="J16" s="63" t="s">
        <v>24</v>
      </c>
      <c r="K16" s="48"/>
      <c r="L16" s="183" t="str">
        <f t="shared" si="11"/>
        <v>FUT</v>
      </c>
      <c r="M16" s="187" t="str">
        <f t="shared" si="12"/>
        <v>HKDFUT3MV6_Quote</v>
      </c>
      <c r="N16" s="201" t="str">
        <f>IFERROR(_xll.qlQuoteValue(H20,Trigger),"--")</f>
        <v>--</v>
      </c>
      <c r="O16" s="202"/>
      <c r="P16" s="93" t="b">
        <v>0</v>
      </c>
      <c r="Q16" s="90">
        <v>60</v>
      </c>
      <c r="R16" s="90">
        <v>21</v>
      </c>
      <c r="S16" s="90" t="str">
        <f t="shared" si="13"/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 t="shared" si="1"/>
        <v>Sw</v>
      </c>
      <c r="X16" s="3" t="str">
        <v>obj_000f7</v>
      </c>
      <c r="Y16" s="3" t="str">
        <f>IFERROR(_xll.qlRateHelperQuoteName(X16,Trigger),"")</f>
        <v>HKDQM3H20Y_Quote</v>
      </c>
      <c r="Z16" s="67">
        <f>IFERROR(_xll.qlRateHelperRate(X16,Trigger),"")</f>
        <v>2.3E-2</v>
      </c>
      <c r="AA16" s="98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42562</v>
      </c>
      <c r="AC16" s="4">
        <f>IFERROR(_xll.qlRateHelperPillarDate(X16,Trigger),"")</f>
        <v>49867</v>
      </c>
      <c r="AD16" s="73">
        <v>0.62057989633696786</v>
      </c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8"/>
        <v>HKDJump6_SYNTHON_Quote</v>
      </c>
      <c r="AI16" s="150">
        <f>_xll.qlDayCounterYearFraction("actual/360",AG16,_xll.qlCalendarAdvance(Calendar,AG16,"1D",,,Trigger))</f>
        <v>1.1111111111111112E-2</v>
      </c>
      <c r="AJ16" s="135" t="e">
        <f>IF(_xll.qlQuoteIsValid(AH16,Trigger),_xll.qlQuoteValue(AH16,Trigger),1)</f>
        <v>#NUM!</v>
      </c>
      <c r="AK16" s="170" t="str">
        <f t="shared" si="9"/>
        <v>--</v>
      </c>
      <c r="AL16" s="155">
        <v>0</v>
      </c>
      <c r="AM16" s="135">
        <f t="shared" si="10"/>
        <v>1</v>
      </c>
    </row>
    <row r="17" spans="1:39" ht="11.25" customHeight="1" x14ac:dyDescent="0.2">
      <c r="A17" s="53" t="s">
        <v>92</v>
      </c>
      <c r="B17" s="106" t="b">
        <v>0</v>
      </c>
      <c r="C17" s="56" t="str">
        <f>_xll.qlIMMNextCode(Evaluationdate-1,B17,Trigger)</f>
        <v>N6</v>
      </c>
      <c r="D17" s="117"/>
      <c r="E17" s="117"/>
      <c r="F17" s="117"/>
      <c r="G17" s="55" t="str">
        <f t="shared" ref="G17:G36" si="14">PROPER(Currency)&amp;FamilyName&amp;Tenor</f>
        <v>HkdHibor3M</v>
      </c>
      <c r="H17" s="109" t="str">
        <f t="shared" ref="H17:H36" si="15">Currency&amp;"FUT"&amp;$G$1&amp;$C17&amp;QuoteSuffix</f>
        <v>HKDFUT3MN6_Quote</v>
      </c>
      <c r="I17" s="109"/>
      <c r="J17" s="176" t="str">
        <f>IF(P13,_xll.qlFuturesRateHelper(,H17,$H$15,C17,G17,0,Permanent,Trigger,ObjectOverwrite),"--")</f>
        <v>--</v>
      </c>
      <c r="K17" s="48"/>
      <c r="L17" s="183" t="str">
        <f t="shared" si="11"/>
        <v>FUT</v>
      </c>
      <c r="M17" s="187" t="str">
        <f t="shared" si="12"/>
        <v>HKDFUT3MX6_Quote</v>
      </c>
      <c r="N17" s="201" t="str">
        <f>IFERROR(_xll.qlQuoteValue(H21,Trigger),"--")</f>
        <v>--</v>
      </c>
      <c r="O17" s="202"/>
      <c r="P17" s="93" t="b">
        <v>0</v>
      </c>
      <c r="Q17" s="90">
        <v>60</v>
      </c>
      <c r="R17" s="90">
        <v>21</v>
      </c>
      <c r="S17" s="90" t="str">
        <f t="shared" si="13"/>
        <v>--</v>
      </c>
      <c r="T17" s="94" t="str">
        <f>IFERROR(_xll.qlRateHelperEarliestDate(S17,Trigger),"--")</f>
        <v>--</v>
      </c>
      <c r="U17" s="94" t="str">
        <f>IFERROR(_xll.qlRateHelperPillarDate(S17,Trigger),"--")</f>
        <v>--</v>
      </c>
      <c r="W17" s="3" t="str">
        <f t="shared" si="1"/>
        <v/>
      </c>
      <c r="X17" s="3" t="e">
        <v>#N/A</v>
      </c>
      <c r="Y17" s="3" t="str">
        <f>IFERROR(_xll.qlRateHelperQuoteName(X17,Trigger),"")</f>
        <v/>
      </c>
      <c r="Z17" s="67" t="str">
        <f>IFERROR(_xll.qlRateHelperRate(X17,Trigger),"")</f>
        <v/>
      </c>
      <c r="AA17" s="98" t="str">
        <f>IF(ISERROR(_xll.qlSwapRateHelperSpread($X17)),IF(ISERROR(_xll.qlFuturesRateHelperConvexityAdjustment($X17)),"",_xll.qlFuturesRateHelperConvexityAdjustment($X17)),_xll.qlSwapRateHelperSpread($X17))</f>
        <v/>
      </c>
      <c r="AB17" s="4" t="str">
        <f>IFERROR(_xll.qlRateHelperEarliestDate(X17,Trigger),"")</f>
        <v/>
      </c>
      <c r="AC17" s="4" t="str">
        <f>IFERROR(_xll.qlRateHelperPillarDate(X17,Trigger),"")</f>
        <v/>
      </c>
      <c r="AD17" s="73" t="e">
        <v>#N/A</v>
      </c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8"/>
        <v>HKDJump7_SYNTHON_Quote</v>
      </c>
      <c r="AI17" s="150">
        <f>_xll.qlDayCounterYearFraction("actual/360",AG17,_xll.qlCalendarAdvance(Calendar,AG17,"1D",,,Trigger))</f>
        <v>2.7777777777777779E-3</v>
      </c>
      <c r="AJ17" s="135" t="e">
        <f>IF(_xll.qlQuoteIsValid(AH17,Trigger),_xll.qlQuoteValue(AH17,Trigger),1)</f>
        <v>#NUM!</v>
      </c>
      <c r="AK17" s="170" t="str">
        <f t="shared" si="9"/>
        <v>--</v>
      </c>
      <c r="AL17" s="155">
        <v>0</v>
      </c>
      <c r="AM17" s="135">
        <f t="shared" si="10"/>
        <v>1</v>
      </c>
    </row>
    <row r="18" spans="1:39" ht="11.25" customHeight="1" x14ac:dyDescent="0.2">
      <c r="A18" s="58" t="s">
        <v>92</v>
      </c>
      <c r="B18" s="107" t="b">
        <v>0</v>
      </c>
      <c r="C18" s="61" t="str">
        <f>_xll.qlIMMNextCode(C17,B18,Trigger)</f>
        <v>Q6</v>
      </c>
      <c r="D18" s="113"/>
      <c r="E18" s="113"/>
      <c r="F18" s="113"/>
      <c r="G18" s="60" t="str">
        <f t="shared" si="14"/>
        <v>HkdHibor3M</v>
      </c>
      <c r="H18" s="110" t="str">
        <f t="shared" si="15"/>
        <v>HKDFUT3MQ6_Quote</v>
      </c>
      <c r="I18" s="110"/>
      <c r="J18" s="177" t="str">
        <f>IF(P14,_xll.qlFuturesRateHelper(,H18,$H$15,C18,G18,0,Permanent,Trigger,ObjectOverwrite),"--")</f>
        <v>--</v>
      </c>
      <c r="K18" s="48"/>
      <c r="L18" s="183" t="str">
        <f t="shared" si="11"/>
        <v>FUT</v>
      </c>
      <c r="M18" s="187" t="str">
        <f t="shared" si="12"/>
        <v>HKDFUT3MZ6_Quote</v>
      </c>
      <c r="N18" s="201">
        <f>IFERROR(_xll.qlQuoteValue(H22,Trigger),"--")</f>
        <v>99.43</v>
      </c>
      <c r="O18" s="202"/>
      <c r="P18" s="93" t="b">
        <v>0</v>
      </c>
      <c r="Q18" s="90">
        <v>60</v>
      </c>
      <c r="R18" s="90">
        <v>21</v>
      </c>
      <c r="S18" s="90" t="str">
        <f t="shared" si="13"/>
        <v>--</v>
      </c>
      <c r="T18" s="94" t="str">
        <f>IFERROR(_xll.qlRateHelperEarliestDate(S18,Trigger),"--")</f>
        <v>--</v>
      </c>
      <c r="U18" s="94" t="str">
        <f>IFERROR(_xll.qlRateHelperPillarDate(S18,Trigger),"--")</f>
        <v>--</v>
      </c>
      <c r="W18" s="3" t="str">
        <f t="shared" si="1"/>
        <v/>
      </c>
      <c r="X18" s="3" t="e">
        <v>#N/A</v>
      </c>
      <c r="Y18" s="3" t="str">
        <f>IFERROR(_xll.qlRateHelperQuoteName(X18,Trigger),"")</f>
        <v/>
      </c>
      <c r="Z18" s="67" t="str">
        <f>IFERROR(_xll.qlRateHelperRate(X18,Trigger),"")</f>
        <v/>
      </c>
      <c r="AA18" s="98" t="str">
        <f>IF(ISERROR(_xll.qlSwapRateHelperSpread($X18)),IF(ISERROR(_xll.qlFuturesRateHelperConvexityAdjustment($X18)),"",_xll.qlFuturesRateHelperConvexityAdjustment($X18)),_xll.qlSwapRateHelperSpread($X18))</f>
        <v/>
      </c>
      <c r="AB18" s="4" t="str">
        <f>IFERROR(_xll.qlRateHelperEarliestDate(X18,Trigger),"")</f>
        <v/>
      </c>
      <c r="AC18" s="4" t="str">
        <f>IFERROR(_xll.qlRateHelperPillarDate(X18,Trigger),"")</f>
        <v/>
      </c>
      <c r="AD18" s="73" t="e">
        <v>#N/A</v>
      </c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8"/>
        <v>HKDJump8_SYNTHON_Quote</v>
      </c>
      <c r="AI18" s="150">
        <f>_xll.qlDayCounterYearFraction("actual/360",AG18,_xll.qlCalendarAdvance(Calendar,AG18,"1D",,,Trigger))</f>
        <v>2.7777777777777779E-3</v>
      </c>
      <c r="AJ18" s="135" t="e">
        <f>IF(_xll.qlQuoteIsValid(AH18,Trigger),_xll.qlQuoteValue(AH18,Trigger),1)</f>
        <v>#NUM!</v>
      </c>
      <c r="AK18" s="170" t="str">
        <f t="shared" si="9"/>
        <v>--</v>
      </c>
      <c r="AL18" s="155">
        <v>0</v>
      </c>
      <c r="AM18" s="135">
        <f t="shared" si="10"/>
        <v>1</v>
      </c>
    </row>
    <row r="19" spans="1:39" ht="11.25" customHeight="1" x14ac:dyDescent="0.2">
      <c r="A19" s="58" t="s">
        <v>92</v>
      </c>
      <c r="B19" s="107" t="b">
        <v>0</v>
      </c>
      <c r="C19" s="61" t="str">
        <f>_xll.qlIMMNextCode(C18,B19,Trigger)</f>
        <v>U6</v>
      </c>
      <c r="D19" s="113"/>
      <c r="E19" s="113"/>
      <c r="F19" s="113"/>
      <c r="G19" s="60" t="str">
        <f t="shared" si="14"/>
        <v>HkdHibor3M</v>
      </c>
      <c r="H19" s="110" t="str">
        <f t="shared" si="15"/>
        <v>HKDFUT3MU6_Quote</v>
      </c>
      <c r="I19" s="110"/>
      <c r="J19" s="177" t="str">
        <f>IF(P15,_xll.qlFuturesRateHelper(,H19,$H$15,C19,G19,0,Permanent,Trigger,ObjectOverwrite),"--")</f>
        <v>--</v>
      </c>
      <c r="K19" s="48"/>
      <c r="L19" s="183" t="str">
        <f t="shared" si="11"/>
        <v>FUT</v>
      </c>
      <c r="M19" s="187" t="str">
        <f t="shared" si="12"/>
        <v>HKDFUT3MF7_Quote</v>
      </c>
      <c r="N19" s="201" t="str">
        <f>IFERROR(_xll.qlQuoteValue(H23,Trigger),"--")</f>
        <v>--</v>
      </c>
      <c r="O19" s="202"/>
      <c r="P19" s="93" t="b">
        <v>0</v>
      </c>
      <c r="Q19" s="90">
        <v>60</v>
      </c>
      <c r="R19" s="90">
        <v>21</v>
      </c>
      <c r="S19" s="90" t="str">
        <f t="shared" si="13"/>
        <v>--</v>
      </c>
      <c r="T19" s="94" t="str">
        <f>IFERROR(_xll.qlRateHelperEarliestDate(S19,Trigger),"--")</f>
        <v>--</v>
      </c>
      <c r="U19" s="94" t="str">
        <f>IFERROR(_xll.qlRateHelperPillarDate(S19,Trigger),"--")</f>
        <v>--</v>
      </c>
      <c r="W19" s="3" t="str">
        <f t="shared" si="1"/>
        <v/>
      </c>
      <c r="X19" s="3" t="e">
        <v>#N/A</v>
      </c>
      <c r="Y19" s="3" t="str">
        <f>IFERROR(_xll.qlRateHelperQuoteName(X19,Trigger),"")</f>
        <v/>
      </c>
      <c r="Z19" s="67" t="str">
        <f>IFERROR(_xll.qlRateHelperRate(X19,Trigger),"")</f>
        <v/>
      </c>
      <c r="AA19" s="98" t="str">
        <f>IF(ISERROR(_xll.qlSwapRateHelperSpread($X19)),IF(ISERROR(_xll.qlFuturesRateHelperConvexityAdjustment($X19)),"",_xll.qlFuturesRateHelperConvexityAdjustment($X19)),_xll.qlSwapRateHelperSpread($X19))</f>
        <v/>
      </c>
      <c r="AB19" s="4" t="str">
        <f>IFERROR(_xll.qlRateHelperEarliestDate(X19,Trigger),"")</f>
        <v/>
      </c>
      <c r="AC19" s="4" t="str">
        <f>IFERROR(_xll.qlRateHelperPillarDate(X19,Trigger),"")</f>
        <v/>
      </c>
      <c r="AD19" s="73" t="e">
        <v>#N/A</v>
      </c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8"/>
        <v>HKDJump9_SYNTHON_Quote</v>
      </c>
      <c r="AI19" s="150">
        <f>_xll.qlDayCounterYearFraction("actual/360",AG19,_xll.qlCalendarAdvance(Calendar,AG19,"1D",,,Trigger))</f>
        <v>8.3333333333333332E-3</v>
      </c>
      <c r="AJ19" s="135" t="e">
        <f>IF(_xll.qlQuoteIsValid(AH19,Trigger),_xll.qlQuoteValue(AH19,Trigger),1)</f>
        <v>#NUM!</v>
      </c>
      <c r="AK19" s="170" t="str">
        <f t="shared" si="9"/>
        <v>--</v>
      </c>
      <c r="AL19" s="155">
        <v>0</v>
      </c>
      <c r="AM19" s="135">
        <f t="shared" si="10"/>
        <v>1</v>
      </c>
    </row>
    <row r="20" spans="1:39" ht="11.25" customHeight="1" x14ac:dyDescent="0.2">
      <c r="A20" s="58" t="s">
        <v>92</v>
      </c>
      <c r="B20" s="107" t="b">
        <v>0</v>
      </c>
      <c r="C20" s="61" t="str">
        <f>_xll.qlIMMNextCode(C19,B20,Trigger)</f>
        <v>V6</v>
      </c>
      <c r="D20" s="113"/>
      <c r="E20" s="113"/>
      <c r="F20" s="113"/>
      <c r="G20" s="60" t="str">
        <f t="shared" si="14"/>
        <v>HkdHibor3M</v>
      </c>
      <c r="H20" s="110" t="str">
        <f t="shared" si="15"/>
        <v>HKDFUT3MV6_Quote</v>
      </c>
      <c r="I20" s="110"/>
      <c r="J20" s="177" t="str">
        <f>IF(P16,_xll.qlFuturesRateHelper(,H20,$H$15,C20,G20,0,Permanent,Trigger,ObjectOverwrite),"--")</f>
        <v>--</v>
      </c>
      <c r="K20" s="48"/>
      <c r="L20" s="183" t="str">
        <f t="shared" si="11"/>
        <v>FUT</v>
      </c>
      <c r="M20" s="187" t="str">
        <f t="shared" si="12"/>
        <v>HKDFUT3MG7_Quote</v>
      </c>
      <c r="N20" s="201" t="str">
        <f>IFERROR(_xll.qlQuoteValue(H24,Trigger),"--")</f>
        <v>--</v>
      </c>
      <c r="O20" s="202"/>
      <c r="P20" s="93" t="b">
        <v>0</v>
      </c>
      <c r="Q20" s="90">
        <v>60</v>
      </c>
      <c r="R20" s="90">
        <v>21</v>
      </c>
      <c r="S20" s="90" t="str">
        <f t="shared" si="13"/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 t="shared" si="1"/>
        <v/>
      </c>
      <c r="X20" s="3" t="e">
        <v>#N/A</v>
      </c>
      <c r="Y20" s="3" t="str">
        <f>IFERROR(_xll.qlRateHelperQuoteName(X20,Trigger),"")</f>
        <v/>
      </c>
      <c r="Z20" s="67" t="str">
        <f>IFERROR(_xll.qlRateHelperRate(X20,Trigger),"")</f>
        <v/>
      </c>
      <c r="AA20" s="98" t="str">
        <f>IF(ISERROR(_xll.qlSwapRateHelperSpread($X20)),IF(ISERROR(_xll.qlFuturesRateHelperConvexityAdjustment($X20)),"",_xll.qlFuturesRateHelperConvexityAdjustment($X20)),_xll.qlSwapRateHelperSpread($X20))</f>
        <v/>
      </c>
      <c r="AB20" s="4" t="str">
        <f>IFERROR(_xll.qlRateHelperEarliestDate(X20,Trigger),"")</f>
        <v/>
      </c>
      <c r="AC20" s="4" t="str">
        <f>IFERROR(_xll.qlRateHelperPillarDate(X20,Trigger),"")</f>
        <v/>
      </c>
      <c r="AD20" s="73" t="e">
        <v>#N/A</v>
      </c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8"/>
        <v>HKDJump10_SYNTHON_Quote</v>
      </c>
      <c r="AI20" s="150">
        <f>_xll.qlDayCounterYearFraction("actual/360",AG20,_xll.qlCalendarAdvance(Calendar,AG20,"1D",,,Trigger))</f>
        <v>1.1111111111111112E-2</v>
      </c>
      <c r="AJ20" s="135" t="e">
        <f>IF(_xll.qlQuoteIsValid(AH20,Trigger),_xll.qlQuoteValue(AH20,Trigger),1)</f>
        <v>#NUM!</v>
      </c>
      <c r="AK20" s="170" t="str">
        <f t="shared" si="9"/>
        <v>--</v>
      </c>
      <c r="AL20" s="155">
        <v>0</v>
      </c>
      <c r="AM20" s="135">
        <f t="shared" si="10"/>
        <v>1</v>
      </c>
    </row>
    <row r="21" spans="1:39" ht="11.25" customHeight="1" x14ac:dyDescent="0.2">
      <c r="A21" s="58" t="s">
        <v>92</v>
      </c>
      <c r="B21" s="107" t="b">
        <v>0</v>
      </c>
      <c r="C21" s="61" t="str">
        <f>_xll.qlIMMNextCode(C20,B21,Trigger)</f>
        <v>X6</v>
      </c>
      <c r="D21" s="113"/>
      <c r="E21" s="113"/>
      <c r="F21" s="113"/>
      <c r="G21" s="60" t="str">
        <f t="shared" si="14"/>
        <v>HkdHibor3M</v>
      </c>
      <c r="H21" s="110" t="str">
        <f t="shared" si="15"/>
        <v>HKDFUT3MX6_Quote</v>
      </c>
      <c r="I21" s="110"/>
      <c r="J21" s="177" t="str">
        <f>IF(P17,_xll.qlFuturesRateHelper(,H21,$H$15,C21,G21,0,Permanent,Trigger,ObjectOverwrite),"--")</f>
        <v>--</v>
      </c>
      <c r="K21" s="48"/>
      <c r="L21" s="183" t="str">
        <f t="shared" si="11"/>
        <v>FUT</v>
      </c>
      <c r="M21" s="187" t="str">
        <f t="shared" si="12"/>
        <v>HKDFUT3MH7_Quote</v>
      </c>
      <c r="N21" s="201">
        <f>IFERROR(_xll.qlQuoteValue(H25,Trigger),"--")</f>
        <v>99.330000000000013</v>
      </c>
      <c r="O21" s="202"/>
      <c r="P21" s="93" t="b">
        <v>0</v>
      </c>
      <c r="Q21" s="90">
        <v>60</v>
      </c>
      <c r="R21" s="90">
        <v>21</v>
      </c>
      <c r="S21" s="90" t="str">
        <f t="shared" si="13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1"/>
        <v/>
      </c>
      <c r="X21" s="3" t="e">
        <v>#N/A</v>
      </c>
      <c r="Y21" s="3" t="str">
        <f>IFERROR(_xll.qlRateHelperQuoteName(X21,Trigger),"")</f>
        <v/>
      </c>
      <c r="Z21" s="67" t="str">
        <f>IFERROR(_xll.qlRateHelperRate(X21,Trigger),"")</f>
        <v/>
      </c>
      <c r="AA21" s="98" t="str">
        <f>IF(ISERROR(_xll.qlSwapRateHelperSpread($X21)),IF(ISERROR(_xll.qlFuturesRateHelperConvexityAdjustment($X21)),"",_xll.qlFuturesRateHelperConvexityAdjustment($X21)),_xll.qlSwapRateHelperSpread($X21))</f>
        <v/>
      </c>
      <c r="AB21" s="4" t="str">
        <f>IFERROR(_xll.qlRateHelperEarliestDate(X21,Trigger),"")</f>
        <v/>
      </c>
      <c r="AC21" s="4" t="str">
        <f>IFERROR(_xll.qlRateHelperPillarDate(X21,Trigger),"")</f>
        <v/>
      </c>
      <c r="AD21" s="73" t="e">
        <v>#N/A</v>
      </c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8"/>
        <v>HKDJump11_SYNTHON_Quote</v>
      </c>
      <c r="AI21" s="150">
        <f>_xll.qlDayCounterYearFraction("actual/360",AG21,_xll.qlCalendarAdvance(Calendar,AG21,"1D",,,Trigger))</f>
        <v>2.7777777777777779E-3</v>
      </c>
      <c r="AJ21" s="135" t="e">
        <f>IF(_xll.qlQuoteIsValid(AH21,Trigger),_xll.qlQuoteValue(AH21,Trigger),1)</f>
        <v>#NUM!</v>
      </c>
      <c r="AK21" s="170" t="str">
        <f t="shared" si="9"/>
        <v>--</v>
      </c>
      <c r="AL21" s="155">
        <v>0</v>
      </c>
      <c r="AM21" s="135">
        <f t="shared" si="10"/>
        <v>1</v>
      </c>
    </row>
    <row r="22" spans="1:39" ht="11.25" customHeight="1" x14ac:dyDescent="0.2">
      <c r="A22" s="58" t="s">
        <v>92</v>
      </c>
      <c r="B22" s="107" t="b">
        <v>0</v>
      </c>
      <c r="C22" s="61" t="str">
        <f>_xll.qlIMMNextCode(C21,B22,Trigger)</f>
        <v>Z6</v>
      </c>
      <c r="D22" s="113"/>
      <c r="E22" s="113"/>
      <c r="F22" s="113"/>
      <c r="G22" s="60" t="str">
        <f t="shared" si="14"/>
        <v>HkdHibor3M</v>
      </c>
      <c r="H22" s="110" t="str">
        <f t="shared" si="15"/>
        <v>HKDFUT3MZ6_Quote</v>
      </c>
      <c r="I22" s="110"/>
      <c r="J22" s="177" t="str">
        <f>IF(P18,_xll.qlFuturesRateHelper(,H22,$H$15,C22,G22,0,Permanent,Trigger,ObjectOverwrite),"--")</f>
        <v>--</v>
      </c>
      <c r="K22" s="48"/>
      <c r="L22" s="183" t="str">
        <f t="shared" si="11"/>
        <v>FUT</v>
      </c>
      <c r="M22" s="187" t="str">
        <f t="shared" si="12"/>
        <v>HKDFUT3MJ7_Quote</v>
      </c>
      <c r="N22" s="201" t="str">
        <f>IFERROR(_xll.qlQuoteValue(H26,Trigger),"--")</f>
        <v>--</v>
      </c>
      <c r="O22" s="202"/>
      <c r="P22" s="93" t="b">
        <v>0</v>
      </c>
      <c r="Q22" s="90">
        <v>60</v>
      </c>
      <c r="R22" s="90">
        <v>21</v>
      </c>
      <c r="S22" s="90" t="str">
        <f t="shared" si="13"/>
        <v>--</v>
      </c>
      <c r="T22" s="94" t="str">
        <f>IFERROR(_xll.qlRateHelperEarliestDate(S22,Trigger),"--")</f>
        <v>--</v>
      </c>
      <c r="U22" s="94" t="str">
        <f>IFERROR(_xll.qlRateHelperPillarDate(S22,Trigger),"--")</f>
        <v>--</v>
      </c>
      <c r="W22" s="3" t="str">
        <f t="shared" si="1"/>
        <v/>
      </c>
      <c r="X22" s="3" t="e">
        <v>#N/A</v>
      </c>
      <c r="Y22" s="3" t="str">
        <f>IFERROR(_xll.qlRateHelperQuoteName(X22,Trigger),"")</f>
        <v/>
      </c>
      <c r="Z22" s="67" t="str">
        <f>IFERROR(_xll.qlRateHelperRate(X22,Trigger),"")</f>
        <v/>
      </c>
      <c r="AA22" s="98" t="str">
        <f>IF(ISERROR(_xll.qlSwapRateHelperSpread($X22)),IF(ISERROR(_xll.qlFuturesRateHelperConvexityAdjustment($X22)),"",_xll.qlFuturesRateHelperConvexityAdjustment($X22)),_xll.qlSwapRateHelperSpread($X22))</f>
        <v/>
      </c>
      <c r="AB22" s="4" t="str">
        <f>IFERROR(_xll.qlRateHelperEarliestDate(X22,Trigger),"")</f>
        <v/>
      </c>
      <c r="AC22" s="4" t="str">
        <f>IFERROR(_xll.qlRateHelperPillarDate(X22,Trigger),"")</f>
        <v/>
      </c>
      <c r="AD22" s="73" t="e">
        <v>#N/A</v>
      </c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8"/>
        <v>HKDJump12_SYNTHON_Quote</v>
      </c>
      <c r="AI22" s="150">
        <f>_xll.qlDayCounterYearFraction("actual/360",AG22,_xll.qlCalendarAdvance(Calendar,AG22,"1D",,,Trigger))</f>
        <v>1.1111111111111112E-2</v>
      </c>
      <c r="AJ22" s="135" t="e">
        <f>IF(_xll.qlQuoteIsValid(AH22,Trigger),_xll.qlQuoteValue(AH22,Trigger),1)</f>
        <v>#NUM!</v>
      </c>
      <c r="AK22" s="170" t="str">
        <f t="shared" si="9"/>
        <v>--</v>
      </c>
      <c r="AL22" s="155">
        <v>0</v>
      </c>
      <c r="AM22" s="135">
        <f t="shared" si="10"/>
        <v>1</v>
      </c>
    </row>
    <row r="23" spans="1:39" ht="11.25" customHeight="1" x14ac:dyDescent="0.2">
      <c r="A23" s="58" t="s">
        <v>92</v>
      </c>
      <c r="B23" s="107" t="b">
        <v>0</v>
      </c>
      <c r="C23" s="61" t="str">
        <f>_xll.qlIMMNextCode(C22,B23,Trigger)</f>
        <v>F7</v>
      </c>
      <c r="D23" s="113"/>
      <c r="E23" s="113"/>
      <c r="F23" s="113"/>
      <c r="G23" s="60" t="str">
        <f t="shared" si="14"/>
        <v>HkdHibor3M</v>
      </c>
      <c r="H23" s="110" t="str">
        <f t="shared" si="15"/>
        <v>HKDFUT3MF7_Quote</v>
      </c>
      <c r="I23" s="110"/>
      <c r="J23" s="177" t="str">
        <f>IF(P19,_xll.qlFuturesRateHelper(,H23,$H$15,C23,G23,0,Permanent,Trigger,ObjectOverwrite),"--")</f>
        <v>--</v>
      </c>
      <c r="K23" s="48"/>
      <c r="L23" s="183" t="str">
        <f t="shared" si="11"/>
        <v>FUT</v>
      </c>
      <c r="M23" s="187" t="str">
        <f t="shared" si="12"/>
        <v>HKDFUT3MK7_Quote</v>
      </c>
      <c r="N23" s="201" t="str">
        <f>IFERROR(_xll.qlQuoteValue(H27,Trigger),"--")</f>
        <v>--</v>
      </c>
      <c r="O23" s="202"/>
      <c r="P23" s="93" t="b">
        <v>0</v>
      </c>
      <c r="Q23" s="90">
        <v>60</v>
      </c>
      <c r="R23" s="90">
        <v>21</v>
      </c>
      <c r="S23" s="90" t="str">
        <f t="shared" si="13"/>
        <v>--</v>
      </c>
      <c r="T23" s="94" t="str">
        <f>IFERROR(_xll.qlRateHelperEarliestDate(S23,Trigger),"--")</f>
        <v>--</v>
      </c>
      <c r="U23" s="94" t="str">
        <f>IFERROR(_xll.qlRateHelperPillarDate(S23,Trigger),"--")</f>
        <v>--</v>
      </c>
      <c r="W23" s="3" t="str">
        <f t="shared" si="1"/>
        <v/>
      </c>
      <c r="X23" s="3" t="e">
        <v>#N/A</v>
      </c>
      <c r="Y23" s="3" t="str">
        <f>IFERROR(_xll.qlRateHelperQuoteName(X23,Trigger),"")</f>
        <v/>
      </c>
      <c r="Z23" s="67" t="str">
        <f>IFERROR(_xll.qlRateHelperRate(X23,Trigger),"")</f>
        <v/>
      </c>
      <c r="AA23" s="98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3" t="e">
        <v>#N/A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HKDJump13_SYNTHON_Quote</v>
      </c>
      <c r="AI23" s="151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71" t="str">
        <f t="shared" si="9"/>
        <v>--</v>
      </c>
      <c r="AL23" s="156">
        <v>0</v>
      </c>
      <c r="AM23" s="138">
        <f t="shared" si="10"/>
        <v>1</v>
      </c>
    </row>
    <row r="24" spans="1:39" ht="11.25" customHeight="1" x14ac:dyDescent="0.2">
      <c r="A24" s="58" t="s">
        <v>92</v>
      </c>
      <c r="B24" s="107" t="b">
        <v>0</v>
      </c>
      <c r="C24" s="61" t="str">
        <f>_xll.qlIMMNextCode(C23,B24,Trigger)</f>
        <v>G7</v>
      </c>
      <c r="D24" s="113"/>
      <c r="E24" s="113"/>
      <c r="F24" s="113"/>
      <c r="G24" s="60" t="str">
        <f t="shared" si="14"/>
        <v>HkdHibor3M</v>
      </c>
      <c r="H24" s="110" t="str">
        <f t="shared" si="15"/>
        <v>HKDFUT3MG7_Quote</v>
      </c>
      <c r="I24" s="110"/>
      <c r="J24" s="177" t="str">
        <f>IF(P20,_xll.qlFuturesRateHelper(,H24,$H$15,C24,G24,0,Permanent,Trigger,ObjectOverwrite),"--")</f>
        <v>--</v>
      </c>
      <c r="K24" s="48"/>
      <c r="L24" s="183" t="str">
        <f t="shared" si="11"/>
        <v>FUT</v>
      </c>
      <c r="M24" s="187" t="str">
        <f t="shared" si="12"/>
        <v>HKDFUT3MM7_Quote</v>
      </c>
      <c r="N24" s="201">
        <f>IFERROR(_xll.qlQuoteValue(H28,Trigger),"--")</f>
        <v>99.22</v>
      </c>
      <c r="O24" s="202"/>
      <c r="P24" s="93" t="b">
        <v>0</v>
      </c>
      <c r="Q24" s="90">
        <v>60</v>
      </c>
      <c r="R24" s="90">
        <v>21</v>
      </c>
      <c r="S24" s="90" t="str">
        <f t="shared" si="13"/>
        <v>--</v>
      </c>
      <c r="T24" s="94" t="str">
        <f>IFERROR(_xll.qlRateHelperEarliestDate(S24,Trigger),"--")</f>
        <v>--</v>
      </c>
      <c r="U24" s="94" t="str">
        <f>IFERROR(_xll.qlRateHelperPillarDate(S24,Trigger),"--")</f>
        <v>--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</row>
    <row r="25" spans="1:39" ht="11.25" customHeight="1" x14ac:dyDescent="0.2">
      <c r="A25" s="58" t="s">
        <v>92</v>
      </c>
      <c r="B25" s="107" t="b">
        <v>0</v>
      </c>
      <c r="C25" s="61" t="str">
        <f>_xll.qlIMMNextCode(C24,B25,Trigger)</f>
        <v>H7</v>
      </c>
      <c r="D25" s="113"/>
      <c r="E25" s="113"/>
      <c r="F25" s="113"/>
      <c r="G25" s="60" t="str">
        <f t="shared" si="14"/>
        <v>HkdHibor3M</v>
      </c>
      <c r="H25" s="110" t="str">
        <f t="shared" si="15"/>
        <v>HKDFUT3MH7_Quote</v>
      </c>
      <c r="I25" s="110"/>
      <c r="J25" s="177" t="str">
        <f>IF(P21,_xll.qlFuturesRateHelper(,H25,$H$15,C25,G25,0,Permanent,Trigger,ObjectOverwrite),"--")</f>
        <v>--</v>
      </c>
      <c r="K25" s="48"/>
      <c r="L25" s="183" t="str">
        <f t="shared" si="11"/>
        <v>FUT</v>
      </c>
      <c r="M25" s="187" t="str">
        <f t="shared" si="12"/>
        <v>HKDFUT3MU7_Quote</v>
      </c>
      <c r="N25" s="201">
        <f>IFERROR(_xll.qlQuoteValue(H29,Trigger),"--")</f>
        <v>0</v>
      </c>
      <c r="O25" s="202"/>
      <c r="P25" s="93" t="b">
        <v>0</v>
      </c>
      <c r="Q25" s="90">
        <v>60</v>
      </c>
      <c r="R25" s="90">
        <v>21</v>
      </c>
      <c r="S25" s="90" t="str">
        <f t="shared" si="13"/>
        <v>--</v>
      </c>
      <c r="T25" s="94" t="str">
        <f>IFERROR(_xll.qlRateHelperEarliestDate(S25,Trigger),"--")</f>
        <v>--</v>
      </c>
      <c r="U25" s="94" t="str">
        <f>IFERROR(_xll.qlRateHelperPillarDate(S25,Trigger),"--")</f>
        <v>--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</row>
    <row r="26" spans="1:39" ht="11.25" customHeight="1" x14ac:dyDescent="0.2">
      <c r="A26" s="58" t="s">
        <v>92</v>
      </c>
      <c r="B26" s="107" t="b">
        <v>0</v>
      </c>
      <c r="C26" s="61" t="str">
        <f>_xll.qlIMMNextCode(C25,B26,Trigger)</f>
        <v>J7</v>
      </c>
      <c r="D26" s="113"/>
      <c r="E26" s="113"/>
      <c r="F26" s="113"/>
      <c r="G26" s="60" t="str">
        <f t="shared" si="14"/>
        <v>HkdHibor3M</v>
      </c>
      <c r="H26" s="110" t="str">
        <f t="shared" si="15"/>
        <v>HKDFUT3MJ7_Quote</v>
      </c>
      <c r="I26" s="110"/>
      <c r="J26" s="177" t="str">
        <f>IF(P22,_xll.qlFuturesRateHelper(,H26,$H$15,C26,G26,0,Permanent,Trigger,ObjectOverwrite),"--")</f>
        <v>--</v>
      </c>
      <c r="K26" s="48"/>
      <c r="L26" s="183" t="str">
        <f t="shared" si="11"/>
        <v>FUT</v>
      </c>
      <c r="M26" s="187" t="str">
        <f t="shared" si="12"/>
        <v>HKDFUT3MZ7_Quote</v>
      </c>
      <c r="N26" s="201">
        <f>IFERROR(_xll.qlQuoteValue(H30,Trigger),"--")</f>
        <v>0</v>
      </c>
      <c r="O26" s="202"/>
      <c r="P26" s="93" t="b">
        <v>0</v>
      </c>
      <c r="Q26" s="90">
        <v>60</v>
      </c>
      <c r="R26" s="90">
        <v>21</v>
      </c>
      <c r="S26" s="90" t="str">
        <f t="shared" si="13"/>
        <v>--</v>
      </c>
      <c r="T26" s="94" t="str">
        <f>IFERROR(_xll.qlRateHelperEarliestDate(S26,Trigger),"--")</f>
        <v>--</v>
      </c>
      <c r="U26" s="94" t="str">
        <f>IFERROR(_xll.qlRateHelperPillarDate(S26,Trigger),"--")</f>
        <v>--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</row>
    <row r="27" spans="1:39" ht="11.25" customHeight="1" x14ac:dyDescent="0.2">
      <c r="A27" s="58" t="s">
        <v>92</v>
      </c>
      <c r="B27" s="107" t="b">
        <v>0</v>
      </c>
      <c r="C27" s="61" t="str">
        <f>_xll.qlIMMNextCode(C26,B27,Trigger)</f>
        <v>K7</v>
      </c>
      <c r="D27" s="113"/>
      <c r="E27" s="113"/>
      <c r="F27" s="113"/>
      <c r="G27" s="60" t="str">
        <f t="shared" si="14"/>
        <v>HkdHibor3M</v>
      </c>
      <c r="H27" s="110" t="str">
        <f t="shared" si="15"/>
        <v>HKDFUT3MK7_Quote</v>
      </c>
      <c r="I27" s="110"/>
      <c r="J27" s="177" t="str">
        <f>IF(P23,_xll.qlFuturesRateHelper(,H27,$H$15,C27,G27,0,Permanent,Trigger,ObjectOverwrite),"--")</f>
        <v>--</v>
      </c>
      <c r="K27" s="48"/>
      <c r="L27" s="183" t="str">
        <f t="shared" si="11"/>
        <v>FUT</v>
      </c>
      <c r="M27" s="187" t="str">
        <f t="shared" si="12"/>
        <v>HKDFUT3MH8_Quote</v>
      </c>
      <c r="N27" s="201">
        <f>IFERROR(_xll.qlQuoteValue(H31,Trigger),"--")</f>
        <v>0</v>
      </c>
      <c r="O27" s="202"/>
      <c r="P27" s="93" t="b">
        <v>0</v>
      </c>
      <c r="Q27" s="90">
        <v>60</v>
      </c>
      <c r="R27" s="90">
        <v>21</v>
      </c>
      <c r="S27" s="90" t="str">
        <f t="shared" si="13"/>
        <v>--</v>
      </c>
      <c r="T27" s="94" t="str">
        <f>IFERROR(_xll.qlRateHelperEarliestDate(S27,Trigger),"--")</f>
        <v>--</v>
      </c>
      <c r="U27" s="94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</row>
    <row r="28" spans="1:39" ht="11.25" customHeight="1" x14ac:dyDescent="0.2">
      <c r="A28" s="1" t="s">
        <v>92</v>
      </c>
      <c r="B28" s="108" t="b">
        <v>0</v>
      </c>
      <c r="C28" s="8" t="str">
        <f>_xll.qlIMMNextCode(C27,B28,Trigger)</f>
        <v>M7</v>
      </c>
      <c r="D28" s="114"/>
      <c r="E28" s="114"/>
      <c r="F28" s="114"/>
      <c r="G28" s="6" t="str">
        <f t="shared" si="14"/>
        <v>HkdHibor3M</v>
      </c>
      <c r="H28" s="111" t="str">
        <f t="shared" si="15"/>
        <v>HKDFUT3MM7_Quote</v>
      </c>
      <c r="I28" s="111"/>
      <c r="J28" s="178" t="str">
        <f>IF(P24,_xll.qlFuturesRateHelper(,H28,$H$15,C28,G28,0,Permanent,Trigger,ObjectOverwrite),"--")</f>
        <v>--</v>
      </c>
      <c r="K28" s="48"/>
      <c r="L28" s="183" t="str">
        <f t="shared" si="11"/>
        <v>FUT</v>
      </c>
      <c r="M28" s="187" t="str">
        <f t="shared" si="12"/>
        <v>HKDFUT3MM8_Quote</v>
      </c>
      <c r="N28" s="201">
        <f>IFERROR(_xll.qlQuoteValue(H32,Trigger),"--")</f>
        <v>0</v>
      </c>
      <c r="O28" s="202"/>
      <c r="P28" s="93" t="b">
        <v>0</v>
      </c>
      <c r="Q28" s="90">
        <v>60</v>
      </c>
      <c r="R28" s="90">
        <v>21</v>
      </c>
      <c r="S28" s="90" t="str">
        <f t="shared" si="13"/>
        <v>--</v>
      </c>
      <c r="T28" s="94" t="str">
        <f>IFERROR(_xll.qlRateHelperEarliestDate(S28,Trigger),"--")</f>
        <v>--</v>
      </c>
      <c r="U28" s="94" t="str">
        <f>IFERROR(_xll.qlRateHelperPillarDate(S28,Trigger),"--")</f>
        <v>--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</row>
    <row r="29" spans="1:39" ht="11.25" customHeight="1" x14ac:dyDescent="0.2">
      <c r="A29" s="58" t="s">
        <v>92</v>
      </c>
      <c r="B29" s="107" t="b">
        <v>1</v>
      </c>
      <c r="C29" s="61" t="str">
        <f>_xll.qlIMMNextCode(C28,B29,Trigger)</f>
        <v>U7</v>
      </c>
      <c r="D29" s="113"/>
      <c r="E29" s="113"/>
      <c r="F29" s="113"/>
      <c r="G29" s="60" t="str">
        <f t="shared" si="14"/>
        <v>HkdHibor3M</v>
      </c>
      <c r="H29" s="110" t="str">
        <f t="shared" si="15"/>
        <v>HKDFUT3MU7_Quote</v>
      </c>
      <c r="I29" s="110"/>
      <c r="J29" s="177" t="str">
        <f>IF(P25,_xll.qlFuturesRateHelper(,H29,$H$15,C29,G29,0,Permanent,Trigger,ObjectOverwrite),"--")</f>
        <v>--</v>
      </c>
      <c r="K29" s="48"/>
      <c r="L29" s="183" t="str">
        <f t="shared" si="11"/>
        <v>FUT</v>
      </c>
      <c r="M29" s="187" t="str">
        <f t="shared" si="12"/>
        <v>HKDFUT3MU8_Quote</v>
      </c>
      <c r="N29" s="201" t="str">
        <f>IFERROR(_xll.qlQuoteValue(H33,Trigger),"--")</f>
        <v>--</v>
      </c>
      <c r="O29" s="202"/>
      <c r="P29" s="93" t="b">
        <v>0</v>
      </c>
      <c r="Q29" s="90">
        <v>60</v>
      </c>
      <c r="R29" s="90">
        <v>21</v>
      </c>
      <c r="S29" s="90" t="str">
        <f t="shared" si="13"/>
        <v>--</v>
      </c>
      <c r="T29" s="94" t="str">
        <f>IFERROR(_xll.qlRateHelperEarliestDate(S29,Trigger),"--")</f>
        <v>--</v>
      </c>
      <c r="U29" s="94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</row>
    <row r="30" spans="1:39" ht="11.25" customHeight="1" x14ac:dyDescent="0.2">
      <c r="A30" s="58" t="s">
        <v>92</v>
      </c>
      <c r="B30" s="107" t="b">
        <v>1</v>
      </c>
      <c r="C30" s="61" t="str">
        <f>_xll.qlIMMNextCode(C29,B30,Trigger)</f>
        <v>Z7</v>
      </c>
      <c r="D30" s="113"/>
      <c r="E30" s="113"/>
      <c r="F30" s="113"/>
      <c r="G30" s="60" t="str">
        <f t="shared" si="14"/>
        <v>HkdHibor3M</v>
      </c>
      <c r="H30" s="110" t="str">
        <f t="shared" si="15"/>
        <v>HKDFUT3MZ7_Quote</v>
      </c>
      <c r="I30" s="110"/>
      <c r="J30" s="177" t="str">
        <f>IF(P26,_xll.qlFuturesRateHelper(,H30,$H$15,C30,G30,0,Permanent,Trigger,ObjectOverwrite),"--")</f>
        <v>--</v>
      </c>
      <c r="K30" s="48"/>
      <c r="L30" s="183" t="str">
        <f t="shared" si="11"/>
        <v>FUT</v>
      </c>
      <c r="M30" s="187" t="str">
        <f t="shared" si="12"/>
        <v>HKDFUT3MZ8_Quote</v>
      </c>
      <c r="N30" s="201" t="str">
        <f>IFERROR(_xll.qlQuoteValue(H34,Trigger),"--")</f>
        <v>--</v>
      </c>
      <c r="O30" s="202"/>
      <c r="P30" s="93" t="b">
        <v>0</v>
      </c>
      <c r="Q30" s="90">
        <v>60</v>
      </c>
      <c r="R30" s="90">
        <v>21</v>
      </c>
      <c r="S30" s="90" t="str">
        <f t="shared" si="13"/>
        <v>--</v>
      </c>
      <c r="T30" s="94" t="str">
        <f>IFERROR(_xll.qlRateHelperEarliestDate(S30,Trigger),"--")</f>
        <v>--</v>
      </c>
      <c r="U30" s="94" t="str">
        <f>IFERROR(_xll.qlRateHelperPillarDate(S30,Trigger),"--")</f>
        <v>--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</row>
    <row r="31" spans="1:39" ht="11.25" customHeight="1" x14ac:dyDescent="0.2">
      <c r="A31" s="58" t="s">
        <v>92</v>
      </c>
      <c r="B31" s="107" t="b">
        <v>1</v>
      </c>
      <c r="C31" s="61" t="str">
        <f>_xll.qlIMMNextCode(C30,B31,Trigger)</f>
        <v>H8</v>
      </c>
      <c r="D31" s="113"/>
      <c r="E31" s="113"/>
      <c r="F31" s="113"/>
      <c r="G31" s="60" t="str">
        <f t="shared" si="14"/>
        <v>HkdHibor3M</v>
      </c>
      <c r="H31" s="110" t="str">
        <f t="shared" si="15"/>
        <v>HKDFUT3MH8_Quote</v>
      </c>
      <c r="I31" s="110"/>
      <c r="J31" s="177" t="str">
        <f>IF(P27,_xll.qlFuturesRateHelper(,H31,$H$15,C31,G31,0,Permanent,Trigger,ObjectOverwrite),"--")</f>
        <v>--</v>
      </c>
      <c r="K31" s="48"/>
      <c r="L31" s="183" t="str">
        <f t="shared" si="11"/>
        <v>FUT</v>
      </c>
      <c r="M31" s="187" t="str">
        <f t="shared" si="12"/>
        <v>HKDFUT3MH9_Quote</v>
      </c>
      <c r="N31" s="201" t="str">
        <f>IFERROR(_xll.qlQuoteValue(H35,Trigger),"--")</f>
        <v>--</v>
      </c>
      <c r="O31" s="202"/>
      <c r="P31" s="93" t="b">
        <v>0</v>
      </c>
      <c r="Q31" s="90">
        <v>60</v>
      </c>
      <c r="R31" s="90">
        <v>21</v>
      </c>
      <c r="S31" s="90" t="str">
        <f t="shared" si="13"/>
        <v>--</v>
      </c>
      <c r="T31" s="94" t="str">
        <f>IFERROR(_xll.qlRateHelperEarliestDate(S31,Trigger),"--")</f>
        <v>--</v>
      </c>
      <c r="U31" s="94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</row>
    <row r="32" spans="1:39" ht="11.25" customHeight="1" x14ac:dyDescent="0.2">
      <c r="A32" s="58" t="s">
        <v>92</v>
      </c>
      <c r="B32" s="107" t="b">
        <v>1</v>
      </c>
      <c r="C32" s="61" t="str">
        <f>_xll.qlIMMNextCode(C31,B32,Trigger)</f>
        <v>M8</v>
      </c>
      <c r="D32" s="113"/>
      <c r="E32" s="113"/>
      <c r="F32" s="113"/>
      <c r="G32" s="60" t="str">
        <f t="shared" si="14"/>
        <v>HkdHibor3M</v>
      </c>
      <c r="H32" s="110" t="str">
        <f t="shared" si="15"/>
        <v>HKDFUT3MM8_Quote</v>
      </c>
      <c r="I32" s="110"/>
      <c r="J32" s="177" t="str">
        <f>IF(P28,_xll.qlFuturesRateHelper(,H32,$H$15,C32,G32,0,Permanent,Trigger,ObjectOverwrite),"--")</f>
        <v>--</v>
      </c>
      <c r="K32" s="48"/>
      <c r="L32" s="188" t="str">
        <f t="shared" si="11"/>
        <v>FUT</v>
      </c>
      <c r="M32" s="189" t="str">
        <f t="shared" si="12"/>
        <v>HKDFUT3MM9_Quote</v>
      </c>
      <c r="N32" s="203" t="str">
        <f>IFERROR(_xll.qlQuoteValue(H36,Trigger),"--")</f>
        <v>--</v>
      </c>
      <c r="O32" s="204"/>
      <c r="P32" s="95" t="b">
        <v>0</v>
      </c>
      <c r="Q32" s="91">
        <v>60</v>
      </c>
      <c r="R32" s="91">
        <v>21</v>
      </c>
      <c r="S32" s="91" t="str">
        <f t="shared" si="13"/>
        <v>--</v>
      </c>
      <c r="T32" s="96" t="str">
        <f>IFERROR(_xll.qlRateHelperEarliestDate(S32,Trigger),"--")</f>
        <v>--</v>
      </c>
      <c r="U32" s="96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</row>
    <row r="33" spans="1:30" ht="11.25" customHeight="1" x14ac:dyDescent="0.2">
      <c r="A33" s="58" t="s">
        <v>92</v>
      </c>
      <c r="B33" s="107" t="b">
        <v>1</v>
      </c>
      <c r="C33" s="61" t="str">
        <f>_xll.qlIMMNextCode(C32,B33,Trigger)</f>
        <v>U8</v>
      </c>
      <c r="D33" s="113"/>
      <c r="E33" s="113"/>
      <c r="F33" s="113"/>
      <c r="G33" s="60" t="str">
        <f t="shared" si="14"/>
        <v>HkdHibor3M</v>
      </c>
      <c r="H33" s="110" t="str">
        <f t="shared" si="15"/>
        <v>HKDFUT3MU8_Quote</v>
      </c>
      <c r="I33" s="110"/>
      <c r="J33" s="177" t="str">
        <f>IF(P29,_xll.qlFuturesRateHelper(,H33,$H$15,C33,G33,0,Permanent,Trigger,ObjectOverwrite),"--")</f>
        <v>--</v>
      </c>
      <c r="K33" s="48"/>
      <c r="L33" s="183" t="str">
        <f t="shared" ref="L33:L34" si="16">A39</f>
        <v>Sw</v>
      </c>
      <c r="M33" s="205" t="str">
        <f>H39</f>
        <v>HKDQM3H6M_Quote</v>
      </c>
      <c r="N33" s="185">
        <f>IFERROR(_xll.qlQuoteValue(H39,Trigger),"--")</f>
        <v>4.5000000000000005E-3</v>
      </c>
      <c r="O33" s="202"/>
      <c r="P33" s="93" t="b">
        <v>1</v>
      </c>
      <c r="Q33" s="90">
        <v>50</v>
      </c>
      <c r="R33" s="90">
        <v>1</v>
      </c>
      <c r="S33" s="90" t="str">
        <f>J39</f>
        <v>obj_000f9#0002</v>
      </c>
      <c r="T33" s="94">
        <f>IFERROR(_xll.qlRateHelperEarliestDate(S33,Trigger),"--")</f>
        <v>42562</v>
      </c>
      <c r="U33" s="94">
        <f>IFERROR(_xll.qlRateHelperPillarDate(S33,Trigger),"--")</f>
        <v>42746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</row>
    <row r="34" spans="1:30" ht="11.25" customHeight="1" x14ac:dyDescent="0.2">
      <c r="A34" s="58" t="s">
        <v>92</v>
      </c>
      <c r="B34" s="107" t="b">
        <v>1</v>
      </c>
      <c r="C34" s="61" t="str">
        <f>_xll.qlIMMNextCode(C33,B34,Trigger)</f>
        <v>Z8</v>
      </c>
      <c r="D34" s="113"/>
      <c r="E34" s="113"/>
      <c r="F34" s="113"/>
      <c r="G34" s="60" t="str">
        <f t="shared" si="14"/>
        <v>HkdHibor3M</v>
      </c>
      <c r="H34" s="110" t="str">
        <f t="shared" si="15"/>
        <v>HKDFUT3MZ8_Quote</v>
      </c>
      <c r="I34" s="110"/>
      <c r="J34" s="177" t="str">
        <f>IF(P30,_xll.qlFuturesRateHelper(,H34,$H$15,C34,G34,0,Permanent,Trigger,ObjectOverwrite),"--")</f>
        <v>--</v>
      </c>
      <c r="K34" s="48"/>
      <c r="L34" s="183" t="str">
        <f t="shared" si="16"/>
        <v>Sw</v>
      </c>
      <c r="M34" s="187" t="str">
        <f t="shared" ref="M34:M63" si="17">H40</f>
        <v>HKDQM3H9M_Quote</v>
      </c>
      <c r="N34" s="185">
        <f>IFERROR(_xll.qlQuoteValue(H40,Trigger),"--")</f>
        <v>5.0000000000000001E-3</v>
      </c>
      <c r="O34" s="202"/>
      <c r="P34" s="93" t="b">
        <v>1</v>
      </c>
      <c r="Q34" s="90">
        <v>50</v>
      </c>
      <c r="R34" s="90">
        <v>1</v>
      </c>
      <c r="S34" s="90" t="str">
        <f t="shared" ref="S34:S63" si="18">J40</f>
        <v>obj_000f6#0002</v>
      </c>
      <c r="T34" s="94">
        <f>IFERROR(_xll.qlRateHelperEarliestDate(S34,Trigger),"--")</f>
        <v>42562</v>
      </c>
      <c r="U34" s="94">
        <f>IFERROR(_xll.qlRateHelperPillarDate(S34,Trigger),"--")</f>
        <v>42836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</row>
    <row r="35" spans="1:30" ht="11.25" customHeight="1" x14ac:dyDescent="0.2">
      <c r="A35" s="58" t="s">
        <v>92</v>
      </c>
      <c r="B35" s="107" t="b">
        <v>1</v>
      </c>
      <c r="C35" s="61" t="str">
        <f>_xll.qlIMMNextCode(C34,B35,Trigger)</f>
        <v>H9</v>
      </c>
      <c r="D35" s="113"/>
      <c r="E35" s="113"/>
      <c r="F35" s="113"/>
      <c r="G35" s="60" t="str">
        <f t="shared" si="14"/>
        <v>HkdHibor3M</v>
      </c>
      <c r="H35" s="110" t="str">
        <f t="shared" si="15"/>
        <v>HKDFUT3MH9_Quote</v>
      </c>
      <c r="I35" s="110"/>
      <c r="J35" s="177" t="str">
        <f>IF(P31,_xll.qlFuturesRateHelper(,H35,$H$15,C35,G35,0,Permanent,Trigger,ObjectOverwrite),"--")</f>
        <v>--</v>
      </c>
      <c r="K35" s="48"/>
      <c r="L35" s="183" t="str">
        <f t="shared" ref="L35:L63" si="19">A41</f>
        <v>Sw</v>
      </c>
      <c r="M35" s="187" t="str">
        <f t="shared" si="17"/>
        <v>HKDQM3H1Y_Quote</v>
      </c>
      <c r="N35" s="185">
        <f>IFERROR(_xll.qlQuoteValue(H41,Trigger),"--")</f>
        <v>5.6000000000000008E-3</v>
      </c>
      <c r="O35" s="186"/>
      <c r="P35" s="124" t="b">
        <v>1</v>
      </c>
      <c r="Q35" s="123">
        <v>50</v>
      </c>
      <c r="R35" s="123">
        <v>1</v>
      </c>
      <c r="S35" s="123" t="str">
        <f t="shared" si="18"/>
        <v>obj_00111#0002</v>
      </c>
      <c r="T35" s="125">
        <f>IFERROR(_xll.qlRateHelperEarliestDate(S35,Trigger),"--")</f>
        <v>42562</v>
      </c>
      <c r="U35" s="125">
        <f>IFERROR(_xll.qlRateHelperPillarDate(S35,Trigger),"--")</f>
        <v>42927</v>
      </c>
      <c r="W35" s="3" t="str">
        <f t="shared" ref="W35:W63" si="20">IFERROR(INDEX($L$3:$L$63,MATCH(Y35,$M$3:$M$63,0),1),"")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</row>
    <row r="36" spans="1:30" ht="11.25" customHeight="1" x14ac:dyDescent="0.2">
      <c r="A36" s="1" t="s">
        <v>92</v>
      </c>
      <c r="B36" s="108" t="b">
        <v>1</v>
      </c>
      <c r="C36" s="8" t="str">
        <f>_xll.qlIMMNextCode(C35,B36,Trigger)</f>
        <v>M9</v>
      </c>
      <c r="D36" s="114"/>
      <c r="E36" s="114"/>
      <c r="F36" s="114"/>
      <c r="G36" s="6" t="str">
        <f t="shared" si="14"/>
        <v>HkdHibor3M</v>
      </c>
      <c r="H36" s="111" t="str">
        <f t="shared" si="15"/>
        <v>HKDFUT3MM9_Quote</v>
      </c>
      <c r="I36" s="111"/>
      <c r="J36" s="178" t="str">
        <f>IF(P32,_xll.qlFuturesRateHelper(,H36,$H$15,C36,G36,0,Permanent,Trigger,ObjectOverwrite),"--")</f>
        <v>--</v>
      </c>
      <c r="K36" s="48"/>
      <c r="L36" s="183" t="str">
        <f t="shared" si="19"/>
        <v>Sw</v>
      </c>
      <c r="M36" s="187" t="str">
        <f t="shared" si="17"/>
        <v>HKDQM3H15M_Quote</v>
      </c>
      <c r="N36" s="185" t="str">
        <f>IFERROR(_xll.qlQuoteValue(H42,Trigger),"--")</f>
        <v>--</v>
      </c>
      <c r="O36" s="186"/>
      <c r="P36" s="124" t="b">
        <v>0</v>
      </c>
      <c r="Q36" s="123">
        <v>50</v>
      </c>
      <c r="R36" s="123">
        <v>1</v>
      </c>
      <c r="S36" s="123" t="str">
        <f t="shared" si="18"/>
        <v>--</v>
      </c>
      <c r="T36" s="125" t="str">
        <f>IFERROR(_xll.qlRateHelperEarliestDate(S36,Trigger),"--")</f>
        <v>--</v>
      </c>
      <c r="U36" s="125" t="str">
        <f>IFERROR(_xll.qlRateHelperPillarDate(S36,Trigger),"--")</f>
        <v>--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</row>
    <row r="37" spans="1:30" ht="11.25" customHeight="1" x14ac:dyDescent="0.2">
      <c r="G37" s="50" t="s">
        <v>133</v>
      </c>
      <c r="H37" s="50" t="s">
        <v>132</v>
      </c>
      <c r="I37" s="50"/>
      <c r="K37" s="48"/>
      <c r="L37" s="183" t="str">
        <f t="shared" si="19"/>
        <v>Sw</v>
      </c>
      <c r="M37" s="187" t="str">
        <f t="shared" si="17"/>
        <v>HKDQM3H18M_Quote</v>
      </c>
      <c r="N37" s="185">
        <f>IFERROR(_xll.qlQuoteValue(H43,Trigger),"--")</f>
        <v>6.8999999999999999E-3</v>
      </c>
      <c r="O37" s="186"/>
      <c r="P37" s="124" t="b">
        <v>1</v>
      </c>
      <c r="Q37" s="123">
        <v>50</v>
      </c>
      <c r="R37" s="123">
        <v>1</v>
      </c>
      <c r="S37" s="123" t="str">
        <f t="shared" si="18"/>
        <v>obj_00114#0002</v>
      </c>
      <c r="T37" s="125">
        <f>IFERROR(_xll.qlRateHelperEarliestDate(S37,Trigger),"--")</f>
        <v>42562</v>
      </c>
      <c r="U37" s="125">
        <f>IFERROR(_xll.qlRateHelperPillarDate(S37,Trigger),"--")</f>
        <v>43111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</row>
    <row r="38" spans="1:30" ht="11.25" customHeight="1" x14ac:dyDescent="0.2">
      <c r="A38" s="63" t="s">
        <v>8</v>
      </c>
      <c r="B38" s="63" t="s">
        <v>28</v>
      </c>
      <c r="C38" s="63" t="s">
        <v>111</v>
      </c>
      <c r="D38" s="63" t="s">
        <v>5</v>
      </c>
      <c r="E38" s="63" t="s">
        <v>33</v>
      </c>
      <c r="F38" s="63" t="s">
        <v>112</v>
      </c>
      <c r="G38" s="63" t="s">
        <v>4</v>
      </c>
      <c r="H38" s="63" t="s">
        <v>1</v>
      </c>
      <c r="I38" s="63"/>
      <c r="J38" s="63" t="s">
        <v>24</v>
      </c>
      <c r="K38" s="48"/>
      <c r="L38" s="183" t="str">
        <f t="shared" si="19"/>
        <v>Sw</v>
      </c>
      <c r="M38" s="187" t="str">
        <f t="shared" si="17"/>
        <v>HKDQM3H21M_Quote</v>
      </c>
      <c r="N38" s="185" t="str">
        <f>IFERROR(_xll.qlQuoteValue(H44,Trigger),"--")</f>
        <v>--</v>
      </c>
      <c r="O38" s="186"/>
      <c r="P38" s="124" t="b">
        <v>0</v>
      </c>
      <c r="Q38" s="123">
        <v>50</v>
      </c>
      <c r="R38" s="123">
        <v>1</v>
      </c>
      <c r="S38" s="123" t="str">
        <f t="shared" si="18"/>
        <v>--</v>
      </c>
      <c r="T38" s="125" t="str">
        <f>IFERROR(_xll.qlRateHelperEarliestDate(S38,Trigger),"--")</f>
        <v>--</v>
      </c>
      <c r="U38" s="125" t="str">
        <f>IFERROR(_xll.qlRateHelperPillarDate(S38,Trigger),"--")</f>
        <v>--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</row>
    <row r="39" spans="1:30" ht="11.25" customHeight="1" x14ac:dyDescent="0.2">
      <c r="A39" s="58" t="s">
        <v>25</v>
      </c>
      <c r="B39" s="59" t="s">
        <v>3</v>
      </c>
      <c r="C39" s="60" t="s">
        <v>6</v>
      </c>
      <c r="D39" s="60" t="s">
        <v>130</v>
      </c>
      <c r="E39" s="60" t="s">
        <v>7</v>
      </c>
      <c r="F39" s="60" t="s">
        <v>131</v>
      </c>
      <c r="G39" s="60" t="str">
        <f t="shared" ref="G39:G69" si="21">PROPER(Currency)&amp;FamilyName&amp;Tenor</f>
        <v>HkdHibor3M</v>
      </c>
      <c r="H39" s="58" t="str">
        <f t="shared" ref="H39:H69" si="22">Currency&amp;$G$37&amp;$H$37&amp;$B39&amp;QuoteSuffix</f>
        <v>HKDQM3H6M_Quote</v>
      </c>
      <c r="I39" s="58"/>
      <c r="J39" s="177" t="str">
        <f>IF(P33,_xll.qlSwapRateHelper2(,H39,1,B39,Calendar,D39,E39,F39,G39,0,C39,Discounting,PillarDate,,Permanent,Trigger,ObjectOverwrite),"--")</f>
        <v>obj_000f9#0002</v>
      </c>
      <c r="K39" s="48"/>
      <c r="L39" s="183" t="str">
        <f t="shared" si="19"/>
        <v>Sw</v>
      </c>
      <c r="M39" s="187" t="str">
        <f t="shared" si="17"/>
        <v>HKDQM3H2Y_Quote</v>
      </c>
      <c r="N39" s="185">
        <f>IFERROR(_xll.qlQuoteValue(H45,Trigger),"--")</f>
        <v>8.0000000000000002E-3</v>
      </c>
      <c r="O39" s="186"/>
      <c r="P39" s="124" t="b">
        <v>1</v>
      </c>
      <c r="Q39" s="123">
        <v>50</v>
      </c>
      <c r="R39" s="123">
        <v>1</v>
      </c>
      <c r="S39" s="123" t="str">
        <f t="shared" si="18"/>
        <v>obj_00113#0002</v>
      </c>
      <c r="T39" s="125">
        <f>IFERROR(_xll.qlRateHelperEarliestDate(S39,Trigger),"--")</f>
        <v>42562</v>
      </c>
      <c r="U39" s="125">
        <f>IFERROR(_xll.qlRateHelperPillarDate(S39,Trigger),"--")</f>
        <v>43292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8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3" t="e">
        <v>#N/A</v>
      </c>
    </row>
    <row r="40" spans="1:30" ht="11.25" customHeight="1" x14ac:dyDescent="0.2">
      <c r="A40" s="58" t="s">
        <v>25</v>
      </c>
      <c r="B40" s="59" t="s">
        <v>46</v>
      </c>
      <c r="C40" s="60" t="s">
        <v>6</v>
      </c>
      <c r="D40" s="60" t="s">
        <v>130</v>
      </c>
      <c r="E40" s="60" t="s">
        <v>7</v>
      </c>
      <c r="F40" s="60" t="s">
        <v>131</v>
      </c>
      <c r="G40" s="60" t="str">
        <f t="shared" si="21"/>
        <v>HkdHibor3M</v>
      </c>
      <c r="H40" s="58" t="str">
        <f t="shared" si="22"/>
        <v>HKDQM3H9M_Quote</v>
      </c>
      <c r="I40" s="58"/>
      <c r="J40" s="177" t="str">
        <f>IF(P34,_xll.qlSwapRateHelper2(,H40,1,B40,Calendar,D40,E40,F40,G40,0,C40,Discounting,PillarDate,,Permanent,Trigger,ObjectOverwrite),"--")</f>
        <v>obj_000f6#0002</v>
      </c>
      <c r="K40" s="48"/>
      <c r="L40" s="183" t="str">
        <f t="shared" si="19"/>
        <v>Sw</v>
      </c>
      <c r="M40" s="187" t="str">
        <f t="shared" si="17"/>
        <v>HKDQM3H3Y_Quote</v>
      </c>
      <c r="N40" s="185">
        <f>IFERROR(_xll.qlQuoteValue(H46,Trigger),"--")</f>
        <v>1.0200000000000001E-2</v>
      </c>
      <c r="O40" s="186"/>
      <c r="P40" s="124" t="b">
        <v>1</v>
      </c>
      <c r="Q40" s="123">
        <v>50</v>
      </c>
      <c r="R40" s="123">
        <v>1</v>
      </c>
      <c r="S40" s="123" t="str">
        <f t="shared" si="18"/>
        <v>obj_000ff#0002</v>
      </c>
      <c r="T40" s="125">
        <f>IFERROR(_xll.qlRateHelperEarliestDate(S40,Trigger),"--")</f>
        <v>42562</v>
      </c>
      <c r="U40" s="125">
        <f>IFERROR(_xll.qlRateHelperPillarDate(S40,Trigger),"--")</f>
        <v>43657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8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3" t="e">
        <v>#N/A</v>
      </c>
    </row>
    <row r="41" spans="1:30" ht="11.25" customHeight="1" x14ac:dyDescent="0.2">
      <c r="A41" s="58" t="s">
        <v>25</v>
      </c>
      <c r="B41" s="59" t="s">
        <v>27</v>
      </c>
      <c r="C41" s="60" t="s">
        <v>6</v>
      </c>
      <c r="D41" s="60" t="s">
        <v>130</v>
      </c>
      <c r="E41" s="60" t="s">
        <v>7</v>
      </c>
      <c r="F41" s="60" t="s">
        <v>131</v>
      </c>
      <c r="G41" s="60" t="str">
        <f t="shared" si="21"/>
        <v>HkdHibor3M</v>
      </c>
      <c r="H41" s="58" t="str">
        <f t="shared" si="22"/>
        <v>HKDQM3H1Y_Quote</v>
      </c>
      <c r="I41" s="58"/>
      <c r="J41" s="177" t="str">
        <f>IF(P35,_xll.qlSwapRateHelper2(,H41,1,B41,Calendar,D41,E41,F41,G41,0,C41,Discounting,PillarDate,,Permanent,Trigger,ObjectOverwrite),"--")</f>
        <v>obj_00111#0002</v>
      </c>
      <c r="L41" s="183" t="str">
        <f t="shared" si="19"/>
        <v>Sw</v>
      </c>
      <c r="M41" s="187" t="str">
        <f t="shared" si="17"/>
        <v>HKDQM3H4Y_Quote</v>
      </c>
      <c r="N41" s="185">
        <f>IFERROR(_xll.qlQuoteValue(H47,Trigger),"--")</f>
        <v>1.21E-2</v>
      </c>
      <c r="O41" s="186"/>
      <c r="P41" s="124" t="b">
        <v>1</v>
      </c>
      <c r="Q41" s="123">
        <v>50</v>
      </c>
      <c r="R41" s="123">
        <v>1</v>
      </c>
      <c r="S41" s="123" t="str">
        <f t="shared" si="18"/>
        <v>obj_000f8#0002</v>
      </c>
      <c r="T41" s="125">
        <f>IFERROR(_xll.qlRateHelperEarliestDate(S41,Trigger),"--")</f>
        <v>42562</v>
      </c>
      <c r="U41" s="125">
        <f>IFERROR(_xll.qlRateHelperPillarDate(S41,Trigger),"--")</f>
        <v>44025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8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3" t="e">
        <v>#N/A</v>
      </c>
    </row>
    <row r="42" spans="1:30" ht="11.25" customHeight="1" x14ac:dyDescent="0.2">
      <c r="A42" s="58" t="s">
        <v>25</v>
      </c>
      <c r="B42" s="59" t="s">
        <v>49</v>
      </c>
      <c r="C42" s="60" t="s">
        <v>6</v>
      </c>
      <c r="D42" s="60" t="s">
        <v>130</v>
      </c>
      <c r="E42" s="60" t="s">
        <v>7</v>
      </c>
      <c r="F42" s="60" t="s">
        <v>131</v>
      </c>
      <c r="G42" s="60" t="str">
        <f t="shared" si="21"/>
        <v>HkdHibor3M</v>
      </c>
      <c r="H42" s="58" t="str">
        <f t="shared" si="22"/>
        <v>HKDQM3H15M_Quote</v>
      </c>
      <c r="I42" s="58"/>
      <c r="J42" s="177" t="str">
        <f>IF(P36,_xll.qlSwapRateHelper2(,H42,1,B42,Calendar,D42,E42,F42,G42,0,C42,Discounting,PillarDate,,Permanent,Trigger,ObjectOverwrite),"--")</f>
        <v>--</v>
      </c>
      <c r="L42" s="183" t="str">
        <f t="shared" si="19"/>
        <v>Sw</v>
      </c>
      <c r="M42" s="187" t="str">
        <f t="shared" si="17"/>
        <v>HKDQM3H5Y_Quote</v>
      </c>
      <c r="N42" s="185">
        <f>IFERROR(_xll.qlQuoteValue(H48,Trigger),"--")</f>
        <v>1.37E-2</v>
      </c>
      <c r="O42" s="186"/>
      <c r="P42" s="124" t="b">
        <v>1</v>
      </c>
      <c r="Q42" s="123">
        <v>50</v>
      </c>
      <c r="R42" s="123">
        <v>1</v>
      </c>
      <c r="S42" s="123" t="str">
        <f t="shared" si="18"/>
        <v>obj_000f5#0002</v>
      </c>
      <c r="T42" s="125">
        <f>IFERROR(_xll.qlRateHelperEarliestDate(S42,Trigger),"--")</f>
        <v>42562</v>
      </c>
      <c r="U42" s="125">
        <f>IFERROR(_xll.qlRateHelperPillarDate(S42,Trigger),"--")</f>
        <v>44389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8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3" t="e">
        <v>#N/A</v>
      </c>
    </row>
    <row r="43" spans="1:30" ht="11.25" customHeight="1" x14ac:dyDescent="0.2">
      <c r="A43" s="58" t="s">
        <v>25</v>
      </c>
      <c r="B43" s="59" t="s">
        <v>50</v>
      </c>
      <c r="C43" s="60" t="s">
        <v>6</v>
      </c>
      <c r="D43" s="60" t="s">
        <v>130</v>
      </c>
      <c r="E43" s="60" t="s">
        <v>7</v>
      </c>
      <c r="F43" s="60" t="s">
        <v>131</v>
      </c>
      <c r="G43" s="60" t="str">
        <f t="shared" si="21"/>
        <v>HkdHibor3M</v>
      </c>
      <c r="H43" s="58" t="str">
        <f t="shared" si="22"/>
        <v>HKDQM3H18M_Quote</v>
      </c>
      <c r="I43" s="58"/>
      <c r="J43" s="177" t="str">
        <f>IF(P37,_xll.qlSwapRateHelper2(,H43,1,B43,Calendar,D43,E43,F43,G43,0,C43,Discounting,PillarDate,,Permanent,Trigger,ObjectOverwrite),"--")</f>
        <v>obj_00114#0002</v>
      </c>
      <c r="L43" s="183" t="str">
        <f t="shared" si="19"/>
        <v>Sw</v>
      </c>
      <c r="M43" s="187" t="str">
        <f t="shared" si="17"/>
        <v>HKDQM3H6Y_Quote</v>
      </c>
      <c r="N43" s="185" t="str">
        <f>IFERROR(_xll.qlQuoteValue(H49,Trigger),"--")</f>
        <v>--</v>
      </c>
      <c r="O43" s="186"/>
      <c r="P43" s="124" t="b">
        <v>0</v>
      </c>
      <c r="Q43" s="123">
        <v>50</v>
      </c>
      <c r="R43" s="123">
        <v>1</v>
      </c>
      <c r="S43" s="123" t="str">
        <f t="shared" si="18"/>
        <v>--</v>
      </c>
      <c r="T43" s="125" t="str">
        <f>IFERROR(_xll.qlRateHelperEarliestDate(S43,Trigger),"--")</f>
        <v>--</v>
      </c>
      <c r="U43" s="125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8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3" t="e">
        <v>#N/A</v>
      </c>
    </row>
    <row r="44" spans="1:30" ht="11.25" customHeight="1" x14ac:dyDescent="0.2">
      <c r="A44" s="58" t="s">
        <v>25</v>
      </c>
      <c r="B44" s="59" t="s">
        <v>51</v>
      </c>
      <c r="C44" s="60" t="s">
        <v>6</v>
      </c>
      <c r="D44" s="60" t="s">
        <v>130</v>
      </c>
      <c r="E44" s="60" t="s">
        <v>7</v>
      </c>
      <c r="F44" s="60" t="s">
        <v>131</v>
      </c>
      <c r="G44" s="60" t="str">
        <f t="shared" si="21"/>
        <v>HkdHibor3M</v>
      </c>
      <c r="H44" s="58" t="str">
        <f t="shared" si="22"/>
        <v>HKDQM3H21M_Quote</v>
      </c>
      <c r="I44" s="58"/>
      <c r="J44" s="177" t="str">
        <f>IF(P38,_xll.qlSwapRateHelper2(,H44,1,B44,Calendar,D44,E44,F44,G44,0,C44,Discounting,PillarDate,,Permanent,Trigger,ObjectOverwrite),"--")</f>
        <v>--</v>
      </c>
      <c r="L44" s="183" t="str">
        <f t="shared" si="19"/>
        <v>Sw</v>
      </c>
      <c r="M44" s="187" t="str">
        <f t="shared" si="17"/>
        <v>HKDQM3H7Y_Quote</v>
      </c>
      <c r="N44" s="185">
        <f>IFERROR(_xll.qlQuoteValue(H50,Trigger),"--")</f>
        <v>1.6400000000000001E-2</v>
      </c>
      <c r="O44" s="186"/>
      <c r="P44" s="124" t="b">
        <v>1</v>
      </c>
      <c r="Q44" s="123">
        <v>50</v>
      </c>
      <c r="R44" s="123">
        <v>1</v>
      </c>
      <c r="S44" s="123" t="str">
        <f t="shared" si="18"/>
        <v>obj_00115#0002</v>
      </c>
      <c r="T44" s="125">
        <f>IFERROR(_xll.qlRateHelperEarliestDate(S44,Trigger),"--")</f>
        <v>42562</v>
      </c>
      <c r="U44" s="125">
        <f>IFERROR(_xll.qlRateHelperPillarDate(S44,Trigger),"--")</f>
        <v>45118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8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3" t="e">
        <v>#N/A</v>
      </c>
    </row>
    <row r="45" spans="1:30" ht="11.25" customHeight="1" x14ac:dyDescent="0.2">
      <c r="A45" s="58" t="s">
        <v>25</v>
      </c>
      <c r="B45" s="59" t="s">
        <v>52</v>
      </c>
      <c r="C45" s="60" t="s">
        <v>6</v>
      </c>
      <c r="D45" s="60" t="s">
        <v>130</v>
      </c>
      <c r="E45" s="60" t="s">
        <v>7</v>
      </c>
      <c r="F45" s="60" t="s">
        <v>131</v>
      </c>
      <c r="G45" s="60" t="str">
        <f t="shared" si="21"/>
        <v>HkdHibor3M</v>
      </c>
      <c r="H45" s="58" t="str">
        <f t="shared" si="22"/>
        <v>HKDQM3H2Y_Quote</v>
      </c>
      <c r="I45" s="58"/>
      <c r="J45" s="177" t="str">
        <f>IF(P39,_xll.qlSwapRateHelper2(,H45,1,B45,Calendar,D45,E45,F45,G45,0,C45,Discounting,PillarDate,,Permanent,Trigger,ObjectOverwrite),"--")</f>
        <v>obj_00113#0002</v>
      </c>
      <c r="L45" s="183" t="str">
        <f t="shared" si="19"/>
        <v>Sw</v>
      </c>
      <c r="M45" s="187" t="str">
        <f t="shared" si="17"/>
        <v>HKDQM3H8Y_Quote</v>
      </c>
      <c r="N45" s="185" t="str">
        <f>IFERROR(_xll.qlQuoteValue(H51,Trigger),"--")</f>
        <v>--</v>
      </c>
      <c r="O45" s="186"/>
      <c r="P45" s="124" t="b">
        <v>0</v>
      </c>
      <c r="Q45" s="123">
        <v>50</v>
      </c>
      <c r="R45" s="123">
        <v>1</v>
      </c>
      <c r="S45" s="123" t="str">
        <f t="shared" si="18"/>
        <v>--</v>
      </c>
      <c r="T45" s="125" t="str">
        <f>IFERROR(_xll.qlRateHelperEarliestDate(S45,Trigger),"--")</f>
        <v>--</v>
      </c>
      <c r="U45" s="125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8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3" t="e">
        <v>#N/A</v>
      </c>
    </row>
    <row r="46" spans="1:30" ht="11.25" customHeight="1" x14ac:dyDescent="0.2">
      <c r="A46" s="58" t="s">
        <v>25</v>
      </c>
      <c r="B46" s="59" t="s">
        <v>53</v>
      </c>
      <c r="C46" s="60" t="s">
        <v>6</v>
      </c>
      <c r="D46" s="60" t="s">
        <v>130</v>
      </c>
      <c r="E46" s="60" t="s">
        <v>7</v>
      </c>
      <c r="F46" s="60" t="s">
        <v>131</v>
      </c>
      <c r="G46" s="60" t="str">
        <f t="shared" si="21"/>
        <v>HkdHibor3M</v>
      </c>
      <c r="H46" s="58" t="str">
        <f t="shared" si="22"/>
        <v>HKDQM3H3Y_Quote</v>
      </c>
      <c r="I46" s="58"/>
      <c r="J46" s="177" t="str">
        <f>IF(P40,_xll.qlSwapRateHelper2(,H46,1,B46,Calendar,D46,E46,F46,G46,0,C46,Discounting,PillarDate,,Permanent,Trigger,ObjectOverwrite),"--")</f>
        <v>obj_000ff#0002</v>
      </c>
      <c r="L46" s="183" t="str">
        <f t="shared" si="19"/>
        <v>Sw</v>
      </c>
      <c r="M46" s="187" t="str">
        <f t="shared" si="17"/>
        <v>HKDQM3H9Y_Quote</v>
      </c>
      <c r="N46" s="185" t="str">
        <f>IFERROR(_xll.qlQuoteValue(H52,Trigger),"--")</f>
        <v>--</v>
      </c>
      <c r="O46" s="186"/>
      <c r="P46" s="124" t="b">
        <v>0</v>
      </c>
      <c r="Q46" s="123">
        <v>50</v>
      </c>
      <c r="R46" s="123">
        <v>1</v>
      </c>
      <c r="S46" s="123" t="str">
        <f t="shared" si="18"/>
        <v>--</v>
      </c>
      <c r="T46" s="125" t="str">
        <f>IFERROR(_xll.qlRateHelperEarliestDate(S46,Trigger),"--")</f>
        <v>--</v>
      </c>
      <c r="U46" s="125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8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3" t="e">
        <v>#N/A</v>
      </c>
    </row>
    <row r="47" spans="1:30" ht="11.25" customHeight="1" x14ac:dyDescent="0.2">
      <c r="A47" s="58" t="s">
        <v>25</v>
      </c>
      <c r="B47" s="59" t="s">
        <v>54</v>
      </c>
      <c r="C47" s="60" t="s">
        <v>6</v>
      </c>
      <c r="D47" s="60" t="s">
        <v>130</v>
      </c>
      <c r="E47" s="60" t="s">
        <v>7</v>
      </c>
      <c r="F47" s="60" t="s">
        <v>131</v>
      </c>
      <c r="G47" s="60" t="str">
        <f t="shared" si="21"/>
        <v>HkdHibor3M</v>
      </c>
      <c r="H47" s="58" t="str">
        <f t="shared" si="22"/>
        <v>HKDQM3H4Y_Quote</v>
      </c>
      <c r="I47" s="58"/>
      <c r="J47" s="177" t="str">
        <f>IF(P41,_xll.qlSwapRateHelper2(,H47,1,B47,Calendar,D47,E47,F47,G47,0,C47,Discounting,PillarDate,,Permanent,Trigger,ObjectOverwrite),"--")</f>
        <v>obj_000f8#0002</v>
      </c>
      <c r="L47" s="183" t="str">
        <f t="shared" si="19"/>
        <v>Sw</v>
      </c>
      <c r="M47" s="187" t="str">
        <f t="shared" si="17"/>
        <v>HKDQM3H10Y_Quote</v>
      </c>
      <c r="N47" s="185">
        <f>IFERROR(_xll.qlQuoteValue(H53,Trigger),"--")</f>
        <v>1.9E-2</v>
      </c>
      <c r="O47" s="186"/>
      <c r="P47" s="124" t="b">
        <v>1</v>
      </c>
      <c r="Q47" s="124">
        <v>50</v>
      </c>
      <c r="R47" s="124">
        <v>1</v>
      </c>
      <c r="S47" s="124" t="str">
        <f t="shared" si="18"/>
        <v>obj_000fe#0002</v>
      </c>
      <c r="T47" s="125">
        <f>IFERROR(_xll.qlRateHelperEarliestDate(S47,Trigger),"--")</f>
        <v>42562</v>
      </c>
      <c r="U47" s="125">
        <f>IFERROR(_xll.qlRateHelperPillarDate(S47,Trigger),"--")</f>
        <v>46216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8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3" t="e">
        <v>#N/A</v>
      </c>
    </row>
    <row r="48" spans="1:30" ht="11.25" customHeight="1" x14ac:dyDescent="0.2">
      <c r="A48" s="58" t="s">
        <v>25</v>
      </c>
      <c r="B48" s="59" t="s">
        <v>55</v>
      </c>
      <c r="C48" s="60" t="s">
        <v>6</v>
      </c>
      <c r="D48" s="60" t="s">
        <v>130</v>
      </c>
      <c r="E48" s="60" t="s">
        <v>7</v>
      </c>
      <c r="F48" s="60" t="s">
        <v>131</v>
      </c>
      <c r="G48" s="60" t="str">
        <f t="shared" si="21"/>
        <v>HkdHibor3M</v>
      </c>
      <c r="H48" s="58" t="str">
        <f t="shared" si="22"/>
        <v>HKDQM3H5Y_Quote</v>
      </c>
      <c r="I48" s="58"/>
      <c r="J48" s="177" t="str">
        <f>IF(P42,_xll.qlSwapRateHelper2(,H48,1,B48,Calendar,D48,E48,F48,G48,0,C48,Discounting,PillarDate,,Permanent,Trigger,ObjectOverwrite),"--")</f>
        <v>obj_000f5#0002</v>
      </c>
      <c r="L48" s="183" t="str">
        <f t="shared" si="19"/>
        <v>Sw</v>
      </c>
      <c r="M48" s="187" t="str">
        <f t="shared" si="17"/>
        <v>HKDQM3H11Y_Quote</v>
      </c>
      <c r="N48" s="185" t="str">
        <f>IFERROR(_xll.qlQuoteValue(H54,Trigger),"--")</f>
        <v>--</v>
      </c>
      <c r="O48" s="186"/>
      <c r="P48" s="124" t="b">
        <v>0</v>
      </c>
      <c r="Q48" s="124">
        <v>50</v>
      </c>
      <c r="R48" s="124">
        <v>1</v>
      </c>
      <c r="S48" s="124" t="str">
        <f t="shared" si="18"/>
        <v>--</v>
      </c>
      <c r="T48" s="125" t="str">
        <f>IFERROR(_xll.qlRateHelperEarliestDate(S48,Trigger),"--")</f>
        <v>--</v>
      </c>
      <c r="U48" s="125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8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3" t="e">
        <v>#N/A</v>
      </c>
    </row>
    <row r="49" spans="1:30" ht="11.25" customHeight="1" x14ac:dyDescent="0.2">
      <c r="A49" s="58" t="s">
        <v>25</v>
      </c>
      <c r="B49" s="59" t="s">
        <v>56</v>
      </c>
      <c r="C49" s="60" t="s">
        <v>6</v>
      </c>
      <c r="D49" s="60" t="s">
        <v>130</v>
      </c>
      <c r="E49" s="60" t="s">
        <v>7</v>
      </c>
      <c r="F49" s="60" t="s">
        <v>131</v>
      </c>
      <c r="G49" s="60" t="str">
        <f t="shared" si="21"/>
        <v>HkdHibor3M</v>
      </c>
      <c r="H49" s="58" t="str">
        <f t="shared" si="22"/>
        <v>HKDQM3H6Y_Quote</v>
      </c>
      <c r="I49" s="58"/>
      <c r="J49" s="177" t="str">
        <f>IF(P43,_xll.qlSwapRateHelper2(,H49,1,B49,Calendar,D49,E49,F49,G49,0,C49,Discounting,PillarDate,,Permanent,Trigger,ObjectOverwrite),"--")</f>
        <v>--</v>
      </c>
      <c r="L49" s="183" t="str">
        <f t="shared" si="19"/>
        <v>Sw</v>
      </c>
      <c r="M49" s="187" t="str">
        <f t="shared" si="17"/>
        <v>HKDQM3H12Y_Quote</v>
      </c>
      <c r="N49" s="185">
        <f>IFERROR(_xll.qlQuoteValue(H55,Trigger),"--")</f>
        <v>1.9799999999999998E-2</v>
      </c>
      <c r="O49" s="186"/>
      <c r="P49" s="124" t="b">
        <v>1</v>
      </c>
      <c r="Q49" s="124">
        <v>50</v>
      </c>
      <c r="R49" s="124">
        <v>1</v>
      </c>
      <c r="S49" s="124" t="str">
        <f t="shared" si="18"/>
        <v>obj_00106#0002</v>
      </c>
      <c r="T49" s="125">
        <f>IFERROR(_xll.qlRateHelperEarliestDate(S49,Trigger),"--")</f>
        <v>42562</v>
      </c>
      <c r="U49" s="125">
        <f>IFERROR(_xll.qlRateHelperPillarDate(S49,Trigger),"--")</f>
        <v>46945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8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3" t="e">
        <v>#N/A</v>
      </c>
    </row>
    <row r="50" spans="1:30" ht="11.25" customHeight="1" x14ac:dyDescent="0.2">
      <c r="A50" s="58" t="s">
        <v>25</v>
      </c>
      <c r="B50" s="59" t="s">
        <v>57</v>
      </c>
      <c r="C50" s="60" t="s">
        <v>6</v>
      </c>
      <c r="D50" s="60" t="s">
        <v>130</v>
      </c>
      <c r="E50" s="60" t="s">
        <v>7</v>
      </c>
      <c r="F50" s="60" t="s">
        <v>131</v>
      </c>
      <c r="G50" s="60" t="str">
        <f t="shared" si="21"/>
        <v>HkdHibor3M</v>
      </c>
      <c r="H50" s="58" t="str">
        <f t="shared" si="22"/>
        <v>HKDQM3H7Y_Quote</v>
      </c>
      <c r="I50" s="58"/>
      <c r="J50" s="177" t="str">
        <f>IF(P44,_xll.qlSwapRateHelper2(,H50,1,B50,Calendar,D50,E50,F50,G50,0,C50,Discounting,PillarDate,,Permanent,Trigger,ObjectOverwrite),"--")</f>
        <v>obj_00115#0002</v>
      </c>
      <c r="L50" s="183" t="str">
        <f t="shared" si="19"/>
        <v>Sw</v>
      </c>
      <c r="M50" s="187" t="str">
        <f t="shared" si="17"/>
        <v>HKDQM3H13Y_Quote</v>
      </c>
      <c r="N50" s="185" t="str">
        <f>IFERROR(_xll.qlQuoteValue(H56,Trigger),"--")</f>
        <v>--</v>
      </c>
      <c r="O50" s="186"/>
      <c r="P50" s="124" t="b">
        <v>0</v>
      </c>
      <c r="Q50" s="124">
        <v>50</v>
      </c>
      <c r="R50" s="124">
        <v>1</v>
      </c>
      <c r="S50" s="124" t="str">
        <f t="shared" si="18"/>
        <v>--</v>
      </c>
      <c r="T50" s="125" t="str">
        <f>IFERROR(_xll.qlRateHelperEarliestDate(S50,Trigger),"--")</f>
        <v>--</v>
      </c>
      <c r="U50" s="125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8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3" t="e">
        <v>#N/A</v>
      </c>
    </row>
    <row r="51" spans="1:30" ht="11.25" customHeight="1" x14ac:dyDescent="0.2">
      <c r="A51" s="58" t="s">
        <v>25</v>
      </c>
      <c r="B51" s="59" t="s">
        <v>58</v>
      </c>
      <c r="C51" s="60" t="s">
        <v>6</v>
      </c>
      <c r="D51" s="60" t="s">
        <v>130</v>
      </c>
      <c r="E51" s="60" t="s">
        <v>7</v>
      </c>
      <c r="F51" s="60" t="s">
        <v>131</v>
      </c>
      <c r="G51" s="60" t="str">
        <f t="shared" si="21"/>
        <v>HkdHibor3M</v>
      </c>
      <c r="H51" s="58" t="str">
        <f t="shared" si="22"/>
        <v>HKDQM3H8Y_Quote</v>
      </c>
      <c r="I51" s="58"/>
      <c r="J51" s="177" t="str">
        <f>IF(P45,_xll.qlSwapRateHelper2(,H51,1,B51,Calendar,D51,E51,F51,G51,0,C51,Discounting,PillarDate,,Permanent,Trigger,ObjectOverwrite),"--")</f>
        <v>--</v>
      </c>
      <c r="L51" s="183" t="str">
        <f t="shared" si="19"/>
        <v>Sw</v>
      </c>
      <c r="M51" s="187" t="str">
        <f t="shared" si="17"/>
        <v>HKDQM3H14Y_Quote</v>
      </c>
      <c r="N51" s="185" t="str">
        <f>IFERROR(_xll.qlQuoteValue(H57,Trigger),"--")</f>
        <v>--</v>
      </c>
      <c r="O51" s="186"/>
      <c r="P51" s="124" t="b">
        <v>0</v>
      </c>
      <c r="Q51" s="124">
        <v>50</v>
      </c>
      <c r="R51" s="124">
        <v>1</v>
      </c>
      <c r="S51" s="124" t="str">
        <f t="shared" si="18"/>
        <v>--</v>
      </c>
      <c r="T51" s="125" t="str">
        <f>IFERROR(_xll.qlRateHelperEarliestDate(S51,Trigger),"--")</f>
        <v>--</v>
      </c>
      <c r="U51" s="125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8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3" t="e">
        <v>#N/A</v>
      </c>
    </row>
    <row r="52" spans="1:30" ht="11.25" customHeight="1" x14ac:dyDescent="0.2">
      <c r="A52" s="58" t="s">
        <v>25</v>
      </c>
      <c r="B52" s="59" t="s">
        <v>59</v>
      </c>
      <c r="C52" s="60" t="s">
        <v>6</v>
      </c>
      <c r="D52" s="60" t="s">
        <v>130</v>
      </c>
      <c r="E52" s="60" t="s">
        <v>7</v>
      </c>
      <c r="F52" s="60" t="s">
        <v>131</v>
      </c>
      <c r="G52" s="60" t="str">
        <f t="shared" si="21"/>
        <v>HkdHibor3M</v>
      </c>
      <c r="H52" s="58" t="str">
        <f t="shared" si="22"/>
        <v>HKDQM3H9Y_Quote</v>
      </c>
      <c r="I52" s="58"/>
      <c r="J52" s="177" t="str">
        <f>IF(P46,_xll.qlSwapRateHelper2(,H52,1,B52,Calendar,D52,E52,F52,G52,0,C52,Discounting,PillarDate,,Permanent,Trigger,ObjectOverwrite),"--")</f>
        <v>--</v>
      </c>
      <c r="L52" s="183" t="str">
        <f t="shared" si="19"/>
        <v>Sw</v>
      </c>
      <c r="M52" s="187" t="str">
        <f t="shared" si="17"/>
        <v>HKDQM3H15Y_Quote</v>
      </c>
      <c r="N52" s="185">
        <f>IFERROR(_xll.qlQuoteValue(H58,Trigger),"--")</f>
        <v>2.0499999999999997E-2</v>
      </c>
      <c r="O52" s="186"/>
      <c r="P52" s="124" t="b">
        <v>1</v>
      </c>
      <c r="Q52" s="124">
        <v>50</v>
      </c>
      <c r="R52" s="124">
        <v>1</v>
      </c>
      <c r="S52" s="124" t="str">
        <f t="shared" si="18"/>
        <v>obj_00109#0002</v>
      </c>
      <c r="T52" s="125">
        <f>IFERROR(_xll.qlRateHelperEarliestDate(S52,Trigger),"--")</f>
        <v>42562</v>
      </c>
      <c r="U52" s="125">
        <f>IFERROR(_xll.qlRateHelperPillarDate(S52,Trigger),"--")</f>
        <v>48040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8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3" t="e">
        <v>#N/A</v>
      </c>
    </row>
    <row r="53" spans="1:30" ht="11.25" customHeight="1" x14ac:dyDescent="0.2">
      <c r="A53" s="58" t="s">
        <v>25</v>
      </c>
      <c r="B53" s="59" t="s">
        <v>60</v>
      </c>
      <c r="C53" s="60" t="s">
        <v>6</v>
      </c>
      <c r="D53" s="60" t="s">
        <v>130</v>
      </c>
      <c r="E53" s="60" t="s">
        <v>7</v>
      </c>
      <c r="F53" s="60" t="s">
        <v>131</v>
      </c>
      <c r="G53" s="60" t="str">
        <f t="shared" si="21"/>
        <v>HkdHibor3M</v>
      </c>
      <c r="H53" s="58" t="str">
        <f t="shared" si="22"/>
        <v>HKDQM3H10Y_Quote</v>
      </c>
      <c r="I53" s="58"/>
      <c r="J53" s="177" t="str">
        <f>IF(P47,_xll.qlSwapRateHelper2(,H53,1,B53,Calendar,D53,E53,F53,G53,0,C53,Discounting,PillarDate,,Permanent,Trigger,ObjectOverwrite),"--")</f>
        <v>obj_000fe#0002</v>
      </c>
      <c r="L53" s="183" t="str">
        <f t="shared" si="19"/>
        <v>Sw</v>
      </c>
      <c r="M53" s="187" t="str">
        <f t="shared" si="17"/>
        <v>HKDQM3H16Y_Quote</v>
      </c>
      <c r="N53" s="185" t="str">
        <f>IFERROR(_xll.qlQuoteValue(H59,Trigger),"--")</f>
        <v>--</v>
      </c>
      <c r="O53" s="186"/>
      <c r="P53" s="124" t="b">
        <v>0</v>
      </c>
      <c r="Q53" s="124">
        <v>50</v>
      </c>
      <c r="R53" s="124">
        <v>1</v>
      </c>
      <c r="S53" s="124" t="str">
        <f t="shared" si="18"/>
        <v>--</v>
      </c>
      <c r="T53" s="125" t="str">
        <f>IFERROR(_xll.qlRateHelperEarliestDate(S53,Trigger),"--")</f>
        <v>--</v>
      </c>
      <c r="U53" s="125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8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3" t="e">
        <v>#N/A</v>
      </c>
    </row>
    <row r="54" spans="1:30" ht="11.25" customHeight="1" x14ac:dyDescent="0.2">
      <c r="A54" s="58" t="s">
        <v>25</v>
      </c>
      <c r="B54" s="59" t="s">
        <v>95</v>
      </c>
      <c r="C54" s="60" t="s">
        <v>6</v>
      </c>
      <c r="D54" s="60" t="s">
        <v>130</v>
      </c>
      <c r="E54" s="60" t="s">
        <v>7</v>
      </c>
      <c r="F54" s="60" t="s">
        <v>131</v>
      </c>
      <c r="G54" s="60" t="str">
        <f t="shared" si="21"/>
        <v>HkdHibor3M</v>
      </c>
      <c r="H54" s="58" t="str">
        <f t="shared" si="22"/>
        <v>HKDQM3H11Y_Quote</v>
      </c>
      <c r="I54" s="58"/>
      <c r="J54" s="177" t="str">
        <f>IF(P48,_xll.qlSwapRateHelper2(,H54,1,B54,Calendar,D54,E54,F54,G54,0,C54,Discounting,PillarDate,,Permanent,Trigger,ObjectOverwrite),"--")</f>
        <v>--</v>
      </c>
      <c r="L54" s="183" t="str">
        <f t="shared" si="19"/>
        <v>Sw</v>
      </c>
      <c r="M54" s="187" t="str">
        <f t="shared" si="17"/>
        <v>HKDQM3H17Y_Quote</v>
      </c>
      <c r="N54" s="185" t="str">
        <f>IFERROR(_xll.qlQuoteValue(H60,Trigger),"--")</f>
        <v>--</v>
      </c>
      <c r="O54" s="186"/>
      <c r="P54" s="124" t="b">
        <v>0</v>
      </c>
      <c r="Q54" s="124">
        <v>50</v>
      </c>
      <c r="R54" s="124">
        <v>1</v>
      </c>
      <c r="S54" s="124" t="str">
        <f t="shared" si="18"/>
        <v>--</v>
      </c>
      <c r="T54" s="125" t="str">
        <f>IFERROR(_xll.qlRateHelperEarliestDate(S54,Trigger),"--")</f>
        <v>--</v>
      </c>
      <c r="U54" s="125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8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3" t="e">
        <v>#N/A</v>
      </c>
    </row>
    <row r="55" spans="1:30" ht="11.25" customHeight="1" x14ac:dyDescent="0.2">
      <c r="A55" s="58" t="s">
        <v>25</v>
      </c>
      <c r="B55" s="59" t="s">
        <v>61</v>
      </c>
      <c r="C55" s="60" t="s">
        <v>6</v>
      </c>
      <c r="D55" s="60" t="s">
        <v>130</v>
      </c>
      <c r="E55" s="60" t="s">
        <v>7</v>
      </c>
      <c r="F55" s="60" t="s">
        <v>131</v>
      </c>
      <c r="G55" s="60" t="str">
        <f t="shared" si="21"/>
        <v>HkdHibor3M</v>
      </c>
      <c r="H55" s="58" t="str">
        <f t="shared" si="22"/>
        <v>HKDQM3H12Y_Quote</v>
      </c>
      <c r="I55" s="58"/>
      <c r="J55" s="177" t="str">
        <f>IF(P49,_xll.qlSwapRateHelper2(,H55,1,B55,Calendar,D55,E55,F55,G55,0,C55,Discounting,PillarDate,,Permanent,Trigger,ObjectOverwrite),"--")</f>
        <v>obj_00106#0002</v>
      </c>
      <c r="L55" s="183" t="str">
        <f t="shared" si="19"/>
        <v>Sw</v>
      </c>
      <c r="M55" s="187" t="str">
        <f t="shared" si="17"/>
        <v>HKDQM3H18Y_Quote</v>
      </c>
      <c r="N55" s="185" t="str">
        <f>IFERROR(_xll.qlQuoteValue(H61,Trigger),"--")</f>
        <v>--</v>
      </c>
      <c r="O55" s="186"/>
      <c r="P55" s="124" t="b">
        <v>0</v>
      </c>
      <c r="Q55" s="124">
        <v>50</v>
      </c>
      <c r="R55" s="124">
        <v>1</v>
      </c>
      <c r="S55" s="124" t="str">
        <f t="shared" si="18"/>
        <v>--</v>
      </c>
      <c r="T55" s="125" t="str">
        <f>IFERROR(_xll.qlRateHelperEarliestDate(S55,Trigger),"--")</f>
        <v>--</v>
      </c>
      <c r="U55" s="125" t="str">
        <f>IFERROR(_xll.qlRateHelperPillarDate(S55,Trigger),"--")</f>
        <v>--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8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3" t="e">
        <v>#N/A</v>
      </c>
    </row>
    <row r="56" spans="1:30" ht="11.25" customHeight="1" x14ac:dyDescent="0.2">
      <c r="A56" s="58" t="s">
        <v>25</v>
      </c>
      <c r="B56" s="59" t="s">
        <v>96</v>
      </c>
      <c r="C56" s="60" t="s">
        <v>6</v>
      </c>
      <c r="D56" s="60" t="s">
        <v>130</v>
      </c>
      <c r="E56" s="60" t="s">
        <v>7</v>
      </c>
      <c r="F56" s="60" t="s">
        <v>131</v>
      </c>
      <c r="G56" s="60" t="str">
        <f t="shared" si="21"/>
        <v>HkdHibor3M</v>
      </c>
      <c r="H56" s="58" t="str">
        <f t="shared" si="22"/>
        <v>HKDQM3H13Y_Quote</v>
      </c>
      <c r="I56" s="58"/>
      <c r="J56" s="177" t="str">
        <f>IF(P50,_xll.qlSwapRateHelper2(,H56,1,B56,Calendar,D56,E56,F56,G56,0,C56,Discounting,PillarDate,,Permanent,Trigger,ObjectOverwrite),"--")</f>
        <v>--</v>
      </c>
      <c r="L56" s="183" t="str">
        <f t="shared" si="19"/>
        <v>Sw</v>
      </c>
      <c r="M56" s="187" t="str">
        <f t="shared" si="17"/>
        <v>HKDQM3H19Y_Quote</v>
      </c>
      <c r="N56" s="185" t="str">
        <f>IFERROR(_xll.qlQuoteValue(H62,Trigger),"--")</f>
        <v>--</v>
      </c>
      <c r="O56" s="186"/>
      <c r="P56" s="124" t="b">
        <v>0</v>
      </c>
      <c r="Q56" s="124">
        <v>50</v>
      </c>
      <c r="R56" s="124">
        <v>1</v>
      </c>
      <c r="S56" s="124" t="str">
        <f t="shared" si="18"/>
        <v>--</v>
      </c>
      <c r="T56" s="125" t="str">
        <f>IFERROR(_xll.qlRateHelperEarliestDate(S56,Trigger),"--")</f>
        <v>--</v>
      </c>
      <c r="U56" s="125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8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3" t="e">
        <v>#N/A</v>
      </c>
    </row>
    <row r="57" spans="1:30" ht="11.25" customHeight="1" x14ac:dyDescent="0.2">
      <c r="A57" s="58" t="s">
        <v>25</v>
      </c>
      <c r="B57" s="59" t="s">
        <v>97</v>
      </c>
      <c r="C57" s="60" t="s">
        <v>6</v>
      </c>
      <c r="D57" s="60" t="s">
        <v>130</v>
      </c>
      <c r="E57" s="60" t="s">
        <v>7</v>
      </c>
      <c r="F57" s="60" t="s">
        <v>131</v>
      </c>
      <c r="G57" s="60" t="str">
        <f t="shared" si="21"/>
        <v>HkdHibor3M</v>
      </c>
      <c r="H57" s="58" t="str">
        <f t="shared" si="22"/>
        <v>HKDQM3H14Y_Quote</v>
      </c>
      <c r="I57" s="58"/>
      <c r="J57" s="177" t="str">
        <f>IF(P51,_xll.qlSwapRateHelper2(,H57,1,B57,Calendar,D57,E57,F57,G57,0,C57,Discounting,PillarDate,,Permanent,Trigger,ObjectOverwrite),"--")</f>
        <v>--</v>
      </c>
      <c r="L57" s="183" t="str">
        <f t="shared" si="19"/>
        <v>Sw</v>
      </c>
      <c r="M57" s="187" t="str">
        <f t="shared" si="17"/>
        <v>HKDQM3H20Y_Quote</v>
      </c>
      <c r="N57" s="185">
        <f>IFERROR(_xll.qlQuoteValue(H63,Trigger),"--")</f>
        <v>2.3E-2</v>
      </c>
      <c r="O57" s="186"/>
      <c r="P57" s="124" t="b">
        <v>1</v>
      </c>
      <c r="Q57" s="124">
        <v>50</v>
      </c>
      <c r="R57" s="124">
        <v>1</v>
      </c>
      <c r="S57" s="124" t="str">
        <f t="shared" si="18"/>
        <v>obj_000f7#0002</v>
      </c>
      <c r="T57" s="125">
        <f>IFERROR(_xll.qlRateHelperEarliestDate(S57,Trigger),"--")</f>
        <v>42562</v>
      </c>
      <c r="U57" s="125">
        <f>IFERROR(_xll.qlRateHelperPillarDate(S57,Trigger),"--")</f>
        <v>49867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8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3" t="e">
        <v>#N/A</v>
      </c>
    </row>
    <row r="58" spans="1:30" ht="11.25" customHeight="1" x14ac:dyDescent="0.2">
      <c r="A58" s="58" t="s">
        <v>25</v>
      </c>
      <c r="B58" s="59" t="s">
        <v>62</v>
      </c>
      <c r="C58" s="60" t="s">
        <v>6</v>
      </c>
      <c r="D58" s="60" t="s">
        <v>130</v>
      </c>
      <c r="E58" s="60" t="s">
        <v>7</v>
      </c>
      <c r="F58" s="60" t="s">
        <v>131</v>
      </c>
      <c r="G58" s="60" t="str">
        <f t="shared" si="21"/>
        <v>HkdHibor3M</v>
      </c>
      <c r="H58" s="58" t="str">
        <f t="shared" si="22"/>
        <v>HKDQM3H15Y_Quote</v>
      </c>
      <c r="I58" s="58"/>
      <c r="J58" s="177" t="str">
        <f>IF(P52,_xll.qlSwapRateHelper2(,H58,1,B58,Calendar,D58,E58,F58,G58,0,C58,Discounting,PillarDate,,Permanent,Trigger,ObjectOverwrite),"--")</f>
        <v>obj_00109#0002</v>
      </c>
      <c r="L58" s="183" t="str">
        <f t="shared" si="19"/>
        <v>Sw</v>
      </c>
      <c r="M58" s="187" t="str">
        <f t="shared" si="17"/>
        <v>HKDQM3H25Y_Quote</v>
      </c>
      <c r="N58" s="185" t="str">
        <f>IFERROR(_xll.qlQuoteValue(H64,Trigger),"--")</f>
        <v>--</v>
      </c>
      <c r="O58" s="186"/>
      <c r="P58" s="124" t="b">
        <v>0</v>
      </c>
      <c r="Q58" s="124">
        <v>50</v>
      </c>
      <c r="R58" s="124">
        <v>1</v>
      </c>
      <c r="S58" s="124" t="str">
        <f t="shared" si="18"/>
        <v>--</v>
      </c>
      <c r="T58" s="125" t="str">
        <f>IFERROR(_xll.qlRateHelperEarliestDate(S58,Trigger),"--")</f>
        <v>--</v>
      </c>
      <c r="U58" s="125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8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3" t="e">
        <v>#N/A</v>
      </c>
    </row>
    <row r="59" spans="1:30" ht="11.25" customHeight="1" x14ac:dyDescent="0.2">
      <c r="A59" s="58" t="s">
        <v>25</v>
      </c>
      <c r="B59" s="59" t="s">
        <v>98</v>
      </c>
      <c r="C59" s="60" t="s">
        <v>6</v>
      </c>
      <c r="D59" s="60" t="s">
        <v>130</v>
      </c>
      <c r="E59" s="60" t="s">
        <v>7</v>
      </c>
      <c r="F59" s="60" t="s">
        <v>131</v>
      </c>
      <c r="G59" s="60" t="str">
        <f t="shared" si="21"/>
        <v>HkdHibor3M</v>
      </c>
      <c r="H59" s="58" t="str">
        <f t="shared" si="22"/>
        <v>HKDQM3H16Y_Quote</v>
      </c>
      <c r="I59" s="58"/>
      <c r="J59" s="177" t="str">
        <f>IF(P53,_xll.qlSwapRateHelper2(,H59,1,B59,Calendar,D59,E59,F59,G59,0,C59,Discounting,PillarDate,,Permanent,Trigger,ObjectOverwrite),"--")</f>
        <v>--</v>
      </c>
      <c r="L59" s="183" t="str">
        <f t="shared" si="19"/>
        <v>Sw</v>
      </c>
      <c r="M59" s="187" t="str">
        <f t="shared" si="17"/>
        <v>HKDQM3H30Y_Quote</v>
      </c>
      <c r="N59" s="185" t="str">
        <f>IFERROR(_xll.qlQuoteValue(H65,Trigger),"--")</f>
        <v>--</v>
      </c>
      <c r="O59" s="186"/>
      <c r="P59" s="124" t="b">
        <v>0</v>
      </c>
      <c r="Q59" s="124">
        <v>50</v>
      </c>
      <c r="R59" s="124">
        <v>1</v>
      </c>
      <c r="S59" s="124" t="str">
        <f t="shared" si="18"/>
        <v>--</v>
      </c>
      <c r="T59" s="125" t="str">
        <f>IFERROR(_xll.qlRateHelperEarliestDate(S59,Trigger),"--")</f>
        <v>--</v>
      </c>
      <c r="U59" s="125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8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3" t="e">
        <v>#N/A</v>
      </c>
    </row>
    <row r="60" spans="1:30" ht="11.25" customHeight="1" x14ac:dyDescent="0.2">
      <c r="A60" s="58" t="s">
        <v>25</v>
      </c>
      <c r="B60" s="59" t="s">
        <v>99</v>
      </c>
      <c r="C60" s="60" t="s">
        <v>6</v>
      </c>
      <c r="D60" s="60" t="s">
        <v>130</v>
      </c>
      <c r="E60" s="60" t="s">
        <v>7</v>
      </c>
      <c r="F60" s="60" t="s">
        <v>131</v>
      </c>
      <c r="G60" s="60" t="str">
        <f t="shared" si="21"/>
        <v>HkdHibor3M</v>
      </c>
      <c r="H60" s="58" t="str">
        <f t="shared" si="22"/>
        <v>HKDQM3H17Y_Quote</v>
      </c>
      <c r="I60" s="58"/>
      <c r="J60" s="177" t="str">
        <f>IF(P54,_xll.qlSwapRateHelper2(,H60,1,B60,Calendar,D60,E60,F60,G60,0,C60,Discounting,PillarDate,,Permanent,Trigger,ObjectOverwrite),"--")</f>
        <v>--</v>
      </c>
      <c r="L60" s="183" t="str">
        <f t="shared" si="19"/>
        <v>Sw</v>
      </c>
      <c r="M60" s="187" t="str">
        <f t="shared" si="17"/>
        <v>HKDQM3H35Y_Quote</v>
      </c>
      <c r="N60" s="185" t="str">
        <f>IFERROR(_xll.qlQuoteValue(H66,Trigger),"--")</f>
        <v>--</v>
      </c>
      <c r="O60" s="186"/>
      <c r="P60" s="124" t="b">
        <v>0</v>
      </c>
      <c r="Q60" s="124">
        <v>50</v>
      </c>
      <c r="R60" s="124">
        <v>1</v>
      </c>
      <c r="S60" s="124" t="str">
        <f t="shared" si="18"/>
        <v>--</v>
      </c>
      <c r="T60" s="125" t="str">
        <f>IFERROR(_xll.qlRateHelperEarliestDate(S60,Trigger),"--")</f>
        <v>--</v>
      </c>
      <c r="U60" s="125" t="str">
        <f>IFERROR(_xll.qlRateHelperPillarDate(S60,Trigger),"--")</f>
        <v>--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8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3" t="e">
        <v>#N/A</v>
      </c>
    </row>
    <row r="61" spans="1:30" ht="11.25" customHeight="1" x14ac:dyDescent="0.2">
      <c r="A61" s="58" t="s">
        <v>25</v>
      </c>
      <c r="B61" s="59" t="s">
        <v>100</v>
      </c>
      <c r="C61" s="60" t="s">
        <v>6</v>
      </c>
      <c r="D61" s="60" t="s">
        <v>130</v>
      </c>
      <c r="E61" s="60" t="s">
        <v>7</v>
      </c>
      <c r="F61" s="60" t="s">
        <v>131</v>
      </c>
      <c r="G61" s="60" t="str">
        <f t="shared" si="21"/>
        <v>HkdHibor3M</v>
      </c>
      <c r="H61" s="58" t="str">
        <f t="shared" si="22"/>
        <v>HKDQM3H18Y_Quote</v>
      </c>
      <c r="I61" s="58"/>
      <c r="J61" s="177" t="str">
        <f>IF(P55,_xll.qlSwapRateHelper2(,H61,1,B61,Calendar,D61,E61,F61,G61,0,C61,Discounting,PillarDate,,Permanent,Trigger,ObjectOverwrite),"--")</f>
        <v>--</v>
      </c>
      <c r="L61" s="183" t="str">
        <f t="shared" si="19"/>
        <v>Sw</v>
      </c>
      <c r="M61" s="187" t="str">
        <f t="shared" si="17"/>
        <v>HKDQM3H40Y_Quote</v>
      </c>
      <c r="N61" s="185" t="str">
        <f>IFERROR(_xll.qlQuoteValue(H67,Trigger),"--")</f>
        <v>--</v>
      </c>
      <c r="O61" s="186"/>
      <c r="P61" s="124" t="b">
        <v>0</v>
      </c>
      <c r="Q61" s="124">
        <v>50</v>
      </c>
      <c r="R61" s="124">
        <v>1</v>
      </c>
      <c r="S61" s="124" t="str">
        <f t="shared" si="18"/>
        <v>--</v>
      </c>
      <c r="T61" s="125" t="str">
        <f>IFERROR(_xll.qlRateHelperEarliestDate(S61,Trigger),"--")</f>
        <v>--</v>
      </c>
      <c r="U61" s="125" t="str">
        <f>IFERROR(_xll.qlRateHelperPillarDate(S61,Trigger),"--")</f>
        <v>--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8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3" t="e">
        <v>#N/A</v>
      </c>
    </row>
    <row r="62" spans="1:30" ht="11.25" customHeight="1" x14ac:dyDescent="0.2">
      <c r="A62" s="58" t="s">
        <v>25</v>
      </c>
      <c r="B62" s="59" t="s">
        <v>101</v>
      </c>
      <c r="C62" s="60" t="s">
        <v>6</v>
      </c>
      <c r="D62" s="60" t="s">
        <v>130</v>
      </c>
      <c r="E62" s="60" t="s">
        <v>7</v>
      </c>
      <c r="F62" s="60" t="s">
        <v>131</v>
      </c>
      <c r="G62" s="60" t="str">
        <f t="shared" si="21"/>
        <v>HkdHibor3M</v>
      </c>
      <c r="H62" s="58" t="str">
        <f t="shared" si="22"/>
        <v>HKDQM3H19Y_Quote</v>
      </c>
      <c r="I62" s="58"/>
      <c r="J62" s="177" t="str">
        <f>IF(P56,_xll.qlSwapRateHelper2(,H62,1,B62,Calendar,D62,E62,F62,G62,0,C62,Discounting,PillarDate,,Permanent,Trigger,ObjectOverwrite),"--")</f>
        <v>--</v>
      </c>
      <c r="L62" s="183" t="str">
        <f t="shared" si="19"/>
        <v>Sw</v>
      </c>
      <c r="M62" s="187" t="str">
        <f t="shared" si="17"/>
        <v>HKDQM3H50Y_Quote</v>
      </c>
      <c r="N62" s="185" t="str">
        <f>IFERROR(_xll.qlQuoteValue(H68,Trigger),"--")</f>
        <v>--</v>
      </c>
      <c r="O62" s="186"/>
      <c r="P62" s="124" t="b">
        <v>0</v>
      </c>
      <c r="Q62" s="124">
        <v>50</v>
      </c>
      <c r="R62" s="124">
        <v>1</v>
      </c>
      <c r="S62" s="124" t="str">
        <f t="shared" si="18"/>
        <v>--</v>
      </c>
      <c r="T62" s="125" t="str">
        <f>IFERROR(_xll.qlRateHelperEarliestDate(S62,Trigger),"--")</f>
        <v>--</v>
      </c>
      <c r="U62" s="125" t="str">
        <f>IFERROR(_xll.qlRateHelperPillarDate(S62,Trigger),"--")</f>
        <v>--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8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3" t="e">
        <v>#N/A</v>
      </c>
    </row>
    <row r="63" spans="1:30" ht="11.25" customHeight="1" x14ac:dyDescent="0.2">
      <c r="A63" s="58" t="s">
        <v>25</v>
      </c>
      <c r="B63" s="59" t="s">
        <v>63</v>
      </c>
      <c r="C63" s="60" t="s">
        <v>6</v>
      </c>
      <c r="D63" s="60" t="s">
        <v>130</v>
      </c>
      <c r="E63" s="60" t="s">
        <v>7</v>
      </c>
      <c r="F63" s="60" t="s">
        <v>131</v>
      </c>
      <c r="G63" s="60" t="str">
        <f t="shared" si="21"/>
        <v>HkdHibor3M</v>
      </c>
      <c r="H63" s="58" t="str">
        <f t="shared" si="22"/>
        <v>HKDQM3H20Y_Quote</v>
      </c>
      <c r="I63" s="58"/>
      <c r="J63" s="177" t="str">
        <f>IF(P57,_xll.qlSwapRateHelper2(,H63,1,B63,Calendar,D63,E63,F63,G63,0,C63,Discounting,PillarDate,,Permanent,Trigger,ObjectOverwrite),"--")</f>
        <v>obj_000f7#0002</v>
      </c>
      <c r="L63" s="188" t="str">
        <f t="shared" si="19"/>
        <v>Sw</v>
      </c>
      <c r="M63" s="189" t="str">
        <f t="shared" si="17"/>
        <v>HKDQM3H60Y_Quote</v>
      </c>
      <c r="N63" s="190" t="str">
        <f>IFERROR(_xll.qlQuoteValue(H69,Trigger),"--")</f>
        <v>--</v>
      </c>
      <c r="O63" s="191"/>
      <c r="P63" s="126" t="b">
        <v>0</v>
      </c>
      <c r="Q63" s="126">
        <v>50</v>
      </c>
      <c r="R63" s="126">
        <v>1</v>
      </c>
      <c r="S63" s="126" t="str">
        <f t="shared" si="18"/>
        <v>--</v>
      </c>
      <c r="T63" s="127" t="str">
        <f>IFERROR(_xll.qlRateHelperEarliestDate(S63,Trigger),"--")</f>
        <v>--</v>
      </c>
      <c r="U63" s="127" t="str">
        <f>IFERROR(_xll.qlRateHelperPillarDate(S63,Trigger),"--")</f>
        <v>--</v>
      </c>
      <c r="W63" s="5" t="str">
        <f t="shared" si="20"/>
        <v/>
      </c>
      <c r="X63" s="5" t="e">
        <v>#N/A</v>
      </c>
      <c r="Y63" s="5" t="str">
        <f>IFERROR(_xll.qlRateHelperQuoteName(X63,Trigger),"")</f>
        <v/>
      </c>
      <c r="Z63" s="75" t="str">
        <f>IFERROR(_xll.qlRateHelperRate(X63,Trigger),"")</f>
        <v/>
      </c>
      <c r="AA63" s="99" t="str">
        <f>IF(ISERROR(_xll.qlSwapRateHelperSpread($X63)),IF(ISERROR(_xll.qlFuturesRateHelperConvexityAdjustment($X63)),"",_xll.qlFuturesRateHelperConvexityAdjustment($X63)),_xll.qlSwapRateHelperSpread($X63))</f>
        <v/>
      </c>
      <c r="AB63" s="9" t="str">
        <f>IFERROR(_xll.qlRateHelperEarliestDate(X63,Trigger),"")</f>
        <v/>
      </c>
      <c r="AC63" s="9" t="str">
        <f>IFERROR(_xll.qlRateHelperPillarDate(X63,Trigger),"")</f>
        <v/>
      </c>
      <c r="AD63" s="74" t="e">
        <v>#N/A</v>
      </c>
    </row>
    <row r="64" spans="1:30" ht="11.25" customHeight="1" x14ac:dyDescent="0.2">
      <c r="A64" s="58" t="s">
        <v>25</v>
      </c>
      <c r="B64" s="59" t="s">
        <v>64</v>
      </c>
      <c r="C64" s="60" t="s">
        <v>6</v>
      </c>
      <c r="D64" s="60" t="s">
        <v>130</v>
      </c>
      <c r="E64" s="60" t="s">
        <v>7</v>
      </c>
      <c r="F64" s="60" t="s">
        <v>131</v>
      </c>
      <c r="G64" s="60" t="str">
        <f t="shared" si="21"/>
        <v>HkdHibor3M</v>
      </c>
      <c r="H64" s="58" t="str">
        <f t="shared" si="22"/>
        <v>HKDQM3H25Y_Quote</v>
      </c>
      <c r="I64" s="58"/>
      <c r="J64" s="177" t="str">
        <f>IF(P58,_xll.qlSwapRateHelper2(,H64,1,B64,Calendar,D64,E64,F64,G64,0,C64,Discounting,PillarDate,,Permanent,Trigger,ObjectOverwrite),"--")</f>
        <v>--</v>
      </c>
      <c r="L64" s="144"/>
      <c r="W64" s="48"/>
      <c r="X64" s="48"/>
      <c r="Y64" s="192" t="str">
        <f>_xll.ohGroup("HKD3M_instruments",Y3:Y63,Permanent,Trigger,ObjectOverwrite)</f>
        <v>HKD3M_instruments#0002</v>
      </c>
      <c r="Z64" s="48"/>
      <c r="AA64" s="48"/>
      <c r="AB64" s="48"/>
      <c r="AC64" s="48"/>
      <c r="AD64" s="48"/>
    </row>
    <row r="65" spans="1:32" ht="11.25" customHeight="1" x14ac:dyDescent="0.2">
      <c r="A65" s="58" t="s">
        <v>25</v>
      </c>
      <c r="B65" s="59" t="s">
        <v>66</v>
      </c>
      <c r="C65" s="60" t="s">
        <v>6</v>
      </c>
      <c r="D65" s="60" t="s">
        <v>130</v>
      </c>
      <c r="E65" s="60" t="s">
        <v>7</v>
      </c>
      <c r="F65" s="60" t="s">
        <v>131</v>
      </c>
      <c r="G65" s="60" t="str">
        <f t="shared" si="21"/>
        <v>HkdHibor3M</v>
      </c>
      <c r="H65" s="58" t="str">
        <f t="shared" si="22"/>
        <v>HKDQM3H30Y_Quote</v>
      </c>
      <c r="I65" s="58"/>
      <c r="J65" s="177" t="str">
        <f>IF(P59,_xll.qlSwapRateHelper2(,H65,1,B65,Calendar,D65,E65,F65,G65,0,C65,Discounting,PillarDate,,Permanent,Trigger,ObjectOverwrite),"--")</f>
        <v>--</v>
      </c>
      <c r="L65" s="144"/>
      <c r="W65" s="48"/>
      <c r="X65" s="48"/>
      <c r="Y65" s="48"/>
      <c r="Z65" s="48"/>
      <c r="AA65" s="48"/>
      <c r="AB65" s="48"/>
      <c r="AC65" s="48"/>
      <c r="AD65" s="48"/>
    </row>
    <row r="66" spans="1:32" ht="11.25" customHeight="1" x14ac:dyDescent="0.2">
      <c r="A66" s="58" t="s">
        <v>25</v>
      </c>
      <c r="B66" s="59" t="s">
        <v>67</v>
      </c>
      <c r="C66" s="60" t="s">
        <v>6</v>
      </c>
      <c r="D66" s="60" t="s">
        <v>130</v>
      </c>
      <c r="E66" s="60" t="s">
        <v>7</v>
      </c>
      <c r="F66" s="60" t="s">
        <v>131</v>
      </c>
      <c r="G66" s="60" t="str">
        <f t="shared" si="21"/>
        <v>HkdHibor3M</v>
      </c>
      <c r="H66" s="58" t="str">
        <f t="shared" si="22"/>
        <v>HKDQM3H35Y_Quote</v>
      </c>
      <c r="I66" s="58"/>
      <c r="J66" s="177" t="str">
        <f>IF(P60,_xll.qlSwapRateHelper2(,H66,1,B66,Calendar,D66,E66,F66,G66,0,C66,Discounting,PillarDate,,Permanent,Trigger,ObjectOverwrite),"--")</f>
        <v>--</v>
      </c>
      <c r="L66" s="144"/>
      <c r="W66" s="48"/>
      <c r="X66" s="48"/>
      <c r="Y66" s="48"/>
      <c r="Z66" s="48"/>
      <c r="AA66" s="48"/>
      <c r="AB66" s="48"/>
      <c r="AC66" s="48"/>
      <c r="AD66" s="48"/>
    </row>
    <row r="67" spans="1:32" ht="11.25" customHeight="1" x14ac:dyDescent="0.2">
      <c r="A67" s="58" t="s">
        <v>25</v>
      </c>
      <c r="B67" s="59" t="s">
        <v>68</v>
      </c>
      <c r="C67" s="60" t="s">
        <v>6</v>
      </c>
      <c r="D67" s="60" t="s">
        <v>130</v>
      </c>
      <c r="E67" s="60" t="s">
        <v>7</v>
      </c>
      <c r="F67" s="60" t="s">
        <v>131</v>
      </c>
      <c r="G67" s="60" t="str">
        <f t="shared" si="21"/>
        <v>HkdHibor3M</v>
      </c>
      <c r="H67" s="58" t="str">
        <f t="shared" si="22"/>
        <v>HKDQM3H40Y_Quote</v>
      </c>
      <c r="I67" s="58"/>
      <c r="J67" s="177" t="str">
        <f>IF(P61,_xll.qlSwapRateHelper2(,H67,1,B67,Calendar,D67,E67,F67,G67,0,C67,Discounting,PillarDate,,Permanent,Trigger,ObjectOverwrite),"--")</f>
        <v>--</v>
      </c>
      <c r="L67" s="144"/>
      <c r="W67" s="48"/>
      <c r="X67" s="48"/>
      <c r="Y67" s="48"/>
      <c r="Z67" s="48"/>
      <c r="AA67" s="48"/>
      <c r="AC67" s="48"/>
      <c r="AD67" s="48"/>
    </row>
    <row r="68" spans="1:32" ht="11.25" customHeight="1" x14ac:dyDescent="0.2">
      <c r="A68" s="58" t="s">
        <v>25</v>
      </c>
      <c r="B68" s="59" t="s">
        <v>69</v>
      </c>
      <c r="C68" s="60" t="s">
        <v>6</v>
      </c>
      <c r="D68" s="60" t="s">
        <v>130</v>
      </c>
      <c r="E68" s="60" t="s">
        <v>7</v>
      </c>
      <c r="F68" s="60" t="s">
        <v>131</v>
      </c>
      <c r="G68" s="60" t="str">
        <f t="shared" si="21"/>
        <v>HkdHibor3M</v>
      </c>
      <c r="H68" s="58" t="str">
        <f t="shared" si="22"/>
        <v>HKDQM3H50Y_Quote</v>
      </c>
      <c r="I68" s="58"/>
      <c r="J68" s="177" t="str">
        <f>IF(P62,_xll.qlSwapRateHelper2(,H68,1,B68,Calendar,D68,E68,F68,G68,0,C68,Discounting,PillarDate,,Permanent,Trigger,ObjectOverwrite),"--")</f>
        <v>--</v>
      </c>
      <c r="W68" s="48"/>
      <c r="X68" s="48"/>
      <c r="Y68" s="48"/>
      <c r="Z68" s="48"/>
      <c r="AA68" s="48"/>
      <c r="AC68" s="48"/>
      <c r="AD68" s="48"/>
      <c r="AE68" s="172"/>
      <c r="AF68" s="48"/>
    </row>
    <row r="69" spans="1:32" ht="11.25" customHeight="1" x14ac:dyDescent="0.2">
      <c r="A69" s="1" t="s">
        <v>25</v>
      </c>
      <c r="B69" s="7" t="s">
        <v>109</v>
      </c>
      <c r="C69" s="6" t="s">
        <v>6</v>
      </c>
      <c r="D69" s="6" t="s">
        <v>130</v>
      </c>
      <c r="E69" s="6" t="s">
        <v>7</v>
      </c>
      <c r="F69" s="6" t="s">
        <v>131</v>
      </c>
      <c r="G69" s="6" t="str">
        <f t="shared" si="21"/>
        <v>HkdHibor3M</v>
      </c>
      <c r="H69" s="1" t="str">
        <f t="shared" si="22"/>
        <v>HKDQM3H60Y_Quote</v>
      </c>
      <c r="I69" s="1"/>
      <c r="J69" s="178" t="str">
        <f>IF(P63,_xll.qlSwapRateHelper2(,H69,1,B69,Calendar,D69,E69,F69,G69,0,C69,Discounting,PillarDate,,Permanent,Trigger,ObjectOverwrite),"--")</f>
        <v>--</v>
      </c>
      <c r="W69" s="48"/>
      <c r="X69" s="48"/>
      <c r="Y69" s="48"/>
      <c r="Z69" s="48"/>
      <c r="AA69" s="48"/>
      <c r="AB69" s="48"/>
      <c r="AC69" s="48"/>
      <c r="AD69" s="48"/>
      <c r="AE69" s="172"/>
      <c r="AF69" s="48"/>
    </row>
    <row r="70" spans="1:32" ht="11.25" customHeight="1" x14ac:dyDescent="0.2">
      <c r="W70" s="48"/>
      <c r="X70" s="48"/>
      <c r="Y70" s="48"/>
      <c r="Z70" s="48"/>
      <c r="AA70" s="48"/>
      <c r="AB70" s="48"/>
      <c r="AC70" s="48"/>
      <c r="AD70" s="48"/>
      <c r="AE70" s="172"/>
      <c r="AF70" s="48"/>
    </row>
    <row r="71" spans="1:32" ht="11.25" customHeight="1" x14ac:dyDescent="0.2">
      <c r="W71" s="48"/>
      <c r="X71" s="48"/>
      <c r="Y71" s="48"/>
      <c r="Z71" s="48"/>
      <c r="AA71" s="48"/>
      <c r="AB71" s="48"/>
      <c r="AC71" s="48"/>
      <c r="AD71" s="48"/>
      <c r="AE71" s="172"/>
      <c r="AF71" s="48"/>
    </row>
    <row r="72" spans="1:32" ht="11.25" customHeight="1" x14ac:dyDescent="0.2">
      <c r="W72" s="48"/>
      <c r="X72" s="48"/>
      <c r="Y72" s="48"/>
      <c r="Z72" s="48"/>
      <c r="AA72" s="48"/>
      <c r="AB72" s="48"/>
      <c r="AC72" s="48"/>
      <c r="AD72" s="48"/>
      <c r="AE72" s="172"/>
      <c r="AF72" s="48"/>
    </row>
    <row r="73" spans="1:32" ht="11.25" customHeight="1" x14ac:dyDescent="0.2">
      <c r="W73" s="48"/>
      <c r="X73" s="48"/>
      <c r="Y73" s="48"/>
      <c r="Z73" s="48"/>
      <c r="AA73" s="48"/>
      <c r="AB73" s="48"/>
      <c r="AC73" s="48"/>
      <c r="AD73" s="48"/>
      <c r="AE73" s="172"/>
      <c r="AF73" s="48"/>
    </row>
    <row r="74" spans="1:32" ht="11.25" customHeight="1" x14ac:dyDescent="0.2">
      <c r="W74" s="48"/>
      <c r="X74" s="48"/>
      <c r="Y74" s="48"/>
      <c r="Z74" s="48"/>
      <c r="AA74" s="48"/>
      <c r="AB74" s="48"/>
      <c r="AC74" s="48"/>
      <c r="AD74" s="48"/>
      <c r="AE74" s="172"/>
      <c r="AF74" s="48"/>
    </row>
    <row r="75" spans="1:32" ht="11.25" customHeight="1" x14ac:dyDescent="0.2">
      <c r="W75" s="48"/>
      <c r="X75" s="48"/>
      <c r="Y75" s="48"/>
      <c r="Z75" s="48"/>
      <c r="AA75" s="48"/>
      <c r="AB75" s="48"/>
      <c r="AC75" s="48"/>
      <c r="AD75" s="48"/>
      <c r="AE75" s="172"/>
      <c r="AF75" s="48"/>
    </row>
    <row r="76" spans="1:32" ht="11.25" customHeight="1" x14ac:dyDescent="0.2">
      <c r="W76" s="48"/>
      <c r="X76" s="48"/>
      <c r="Y76" s="48"/>
      <c r="Z76" s="48"/>
      <c r="AA76" s="48"/>
      <c r="AB76" s="48"/>
      <c r="AC76" s="48"/>
      <c r="AD76" s="48"/>
      <c r="AE76" s="172"/>
      <c r="AF76" s="48"/>
    </row>
    <row r="77" spans="1:32" ht="11.25" customHeight="1" x14ac:dyDescent="0.2">
      <c r="W77" s="48"/>
      <c r="X77" s="48"/>
      <c r="Y77" s="48"/>
      <c r="Z77" s="48"/>
      <c r="AA77" s="48"/>
      <c r="AB77" s="48"/>
      <c r="AC77" s="48"/>
      <c r="AD77" s="48"/>
      <c r="AE77" s="172"/>
      <c r="AF77" s="48"/>
    </row>
    <row r="78" spans="1:32" ht="11.25" customHeight="1" x14ac:dyDescent="0.2">
      <c r="W78" s="48"/>
      <c r="X78" s="48"/>
      <c r="Y78" s="48"/>
      <c r="Z78" s="48"/>
      <c r="AA78" s="48"/>
      <c r="AB78" s="48"/>
      <c r="AC78" s="48"/>
      <c r="AD78" s="48"/>
      <c r="AE78" s="172"/>
      <c r="AF78" s="48"/>
    </row>
    <row r="79" spans="1:32" ht="11.25" customHeight="1" x14ac:dyDescent="0.2">
      <c r="W79" s="48"/>
      <c r="X79" s="48"/>
      <c r="Y79" s="48"/>
      <c r="Z79" s="48"/>
      <c r="AA79" s="48"/>
      <c r="AB79" s="48"/>
      <c r="AC79" s="48"/>
      <c r="AD79" s="48"/>
      <c r="AE79" s="172"/>
      <c r="AF79" s="48"/>
    </row>
    <row r="80" spans="1:32" ht="11.25" customHeight="1" x14ac:dyDescent="0.2">
      <c r="W80" s="48"/>
      <c r="X80" s="48"/>
      <c r="Y80" s="48"/>
      <c r="Z80" s="48"/>
      <c r="AA80" s="48"/>
      <c r="AB80" s="48"/>
      <c r="AC80" s="48"/>
      <c r="AD80" s="48"/>
      <c r="AE80" s="172"/>
      <c r="AF80" s="48"/>
    </row>
    <row r="81" spans="11:32" x14ac:dyDescent="0.2">
      <c r="W81" s="48"/>
      <c r="X81" s="48"/>
      <c r="Y81" s="48"/>
      <c r="Z81" s="48"/>
      <c r="AA81" s="48"/>
      <c r="AB81" s="48"/>
      <c r="AC81" s="48"/>
      <c r="AD81" s="48"/>
      <c r="AE81" s="172"/>
      <c r="AF81" s="48"/>
    </row>
    <row r="82" spans="11:32" x14ac:dyDescent="0.2">
      <c r="W82" s="48"/>
      <c r="X82" s="48"/>
      <c r="Y82" s="48"/>
      <c r="Z82" s="48"/>
      <c r="AA82" s="48"/>
      <c r="AB82" s="48"/>
      <c r="AC82" s="48"/>
      <c r="AD82" s="48"/>
      <c r="AE82" s="172"/>
      <c r="AF82" s="48"/>
    </row>
    <row r="83" spans="11:32" x14ac:dyDescent="0.2">
      <c r="W83" s="48"/>
      <c r="X83" s="48"/>
      <c r="Y83" s="48"/>
      <c r="Z83" s="48"/>
      <c r="AA83" s="48"/>
      <c r="AB83" s="48"/>
      <c r="AC83" s="48"/>
      <c r="AD83" s="48"/>
      <c r="AE83" s="172"/>
      <c r="AF83" s="48"/>
    </row>
    <row r="84" spans="11:32" x14ac:dyDescent="0.2">
      <c r="W84" s="48"/>
      <c r="X84" s="48"/>
      <c r="Y84" s="48"/>
      <c r="Z84" s="48"/>
      <c r="AA84" s="48"/>
      <c r="AB84" s="48"/>
      <c r="AC84" s="48"/>
      <c r="AD84" s="48"/>
      <c r="AE84" s="172"/>
      <c r="AF84" s="48"/>
    </row>
    <row r="85" spans="11:32" x14ac:dyDescent="0.2">
      <c r="W85" s="48"/>
      <c r="X85" s="48"/>
      <c r="Y85" s="48"/>
      <c r="Z85" s="48"/>
      <c r="AA85" s="48"/>
      <c r="AB85" s="48"/>
      <c r="AC85" s="48"/>
      <c r="AD85" s="48"/>
      <c r="AE85" s="172"/>
      <c r="AF85" s="48"/>
    </row>
    <row r="86" spans="11:32" x14ac:dyDescent="0.2">
      <c r="W86" s="48"/>
      <c r="X86" s="48"/>
      <c r="Y86" s="48"/>
      <c r="Z86" s="48"/>
      <c r="AA86" s="48"/>
      <c r="AB86" s="48"/>
      <c r="AC86" s="48"/>
      <c r="AD86" s="48"/>
      <c r="AE86" s="172"/>
      <c r="AF86" s="48"/>
    </row>
    <row r="87" spans="11:32" x14ac:dyDescent="0.2">
      <c r="W87" s="48"/>
      <c r="X87" s="48"/>
      <c r="Y87" s="48"/>
      <c r="Z87" s="48"/>
      <c r="AA87" s="48"/>
      <c r="AB87" s="48"/>
      <c r="AC87" s="48"/>
      <c r="AD87" s="48"/>
      <c r="AE87" s="172"/>
      <c r="AF87" s="48"/>
    </row>
    <row r="88" spans="11:32" x14ac:dyDescent="0.2">
      <c r="W88" s="48"/>
      <c r="X88" s="48"/>
      <c r="Y88" s="48"/>
      <c r="Z88" s="48"/>
      <c r="AA88" s="48"/>
      <c r="AB88" s="48"/>
      <c r="AC88" s="48"/>
      <c r="AD88" s="48"/>
      <c r="AE88" s="172"/>
      <c r="AF88" s="48"/>
    </row>
    <row r="89" spans="11:32" x14ac:dyDescent="0.2">
      <c r="W89" s="48"/>
      <c r="X89" s="48"/>
      <c r="Y89" s="48"/>
      <c r="Z89" s="48"/>
      <c r="AA89" s="48"/>
      <c r="AB89" s="48"/>
      <c r="AC89" s="48"/>
      <c r="AD89" s="48"/>
      <c r="AE89" s="172"/>
      <c r="AF89" s="48"/>
    </row>
    <row r="90" spans="11:32" x14ac:dyDescent="0.2">
      <c r="K90" s="46" t="s">
        <v>35</v>
      </c>
      <c r="W90" s="48"/>
      <c r="X90" s="48"/>
      <c r="Y90" s="48"/>
      <c r="Z90" s="48"/>
      <c r="AA90" s="48"/>
      <c r="AB90" s="48"/>
      <c r="AC90" s="48"/>
      <c r="AD90" s="48"/>
      <c r="AE90" s="172"/>
      <c r="AF90" s="48"/>
    </row>
    <row r="91" spans="11:32" x14ac:dyDescent="0.2">
      <c r="W91" s="48"/>
      <c r="X91" s="48"/>
      <c r="Y91" s="48"/>
      <c r="Z91" s="48"/>
      <c r="AA91" s="48"/>
      <c r="AB91" s="48"/>
      <c r="AC91" s="48"/>
      <c r="AD91" s="48"/>
      <c r="AE91" s="172"/>
      <c r="AF91" s="48"/>
    </row>
    <row r="92" spans="11:32" x14ac:dyDescent="0.2">
      <c r="W92" s="48"/>
      <c r="X92" s="48"/>
      <c r="Y92" s="48"/>
      <c r="Z92" s="48"/>
      <c r="AA92" s="48"/>
      <c r="AB92" s="48"/>
      <c r="AC92" s="48"/>
      <c r="AD92" s="48"/>
      <c r="AE92" s="172"/>
      <c r="AF92" s="48"/>
    </row>
    <row r="93" spans="11:32" x14ac:dyDescent="0.2">
      <c r="W93" s="48"/>
      <c r="X93" s="48"/>
      <c r="Y93" s="48"/>
      <c r="Z93" s="48"/>
      <c r="AA93" s="48"/>
      <c r="AB93" s="48"/>
      <c r="AC93" s="48"/>
      <c r="AD93" s="48"/>
      <c r="AE93" s="172"/>
      <c r="AF93" s="48"/>
    </row>
    <row r="94" spans="11:32" x14ac:dyDescent="0.2">
      <c r="W94" s="48"/>
      <c r="X94" s="48"/>
      <c r="Y94" s="48"/>
      <c r="Z94" s="48"/>
      <c r="AA94" s="48"/>
      <c r="AB94" s="48"/>
      <c r="AC94" s="48"/>
      <c r="AD94" s="48"/>
      <c r="AE94" s="172"/>
      <c r="AF94" s="48"/>
    </row>
    <row r="95" spans="11:32" x14ac:dyDescent="0.2">
      <c r="W95" s="48"/>
      <c r="X95" s="48"/>
      <c r="Y95" s="48"/>
      <c r="Z95" s="48"/>
      <c r="AA95" s="48"/>
      <c r="AB95" s="48"/>
      <c r="AC95" s="48"/>
      <c r="AD95" s="48"/>
      <c r="AE95" s="172"/>
      <c r="AF95" s="48"/>
    </row>
    <row r="96" spans="11:32" x14ac:dyDescent="0.2">
      <c r="W96" s="48"/>
      <c r="X96" s="48"/>
      <c r="Y96" s="48"/>
      <c r="Z96" s="48"/>
      <c r="AA96" s="48"/>
      <c r="AB96" s="48"/>
      <c r="AC96" s="48"/>
      <c r="AD96" s="48"/>
      <c r="AE96" s="172"/>
      <c r="AF96" s="48"/>
    </row>
    <row r="97" spans="23:32" x14ac:dyDescent="0.2">
      <c r="W97" s="48"/>
      <c r="X97" s="48"/>
      <c r="Y97" s="48"/>
      <c r="Z97" s="48"/>
      <c r="AA97" s="48"/>
      <c r="AB97" s="48"/>
      <c r="AC97" s="48"/>
      <c r="AD97" s="48"/>
      <c r="AE97" s="172"/>
      <c r="AF97" s="48"/>
    </row>
    <row r="98" spans="23:32" x14ac:dyDescent="0.2">
      <c r="W98" s="48"/>
      <c r="X98" s="48"/>
      <c r="Y98" s="48"/>
      <c r="Z98" s="48"/>
      <c r="AA98" s="48"/>
      <c r="AB98" s="48"/>
      <c r="AC98" s="48"/>
      <c r="AD98" s="48"/>
      <c r="AE98" s="172"/>
      <c r="AF98" s="48"/>
    </row>
    <row r="99" spans="23:32" x14ac:dyDescent="0.2">
      <c r="W99" s="48"/>
      <c r="X99" s="48"/>
      <c r="Y99" s="48"/>
      <c r="Z99" s="48"/>
      <c r="AA99" s="48"/>
      <c r="AB99" s="48"/>
      <c r="AC99" s="48"/>
      <c r="AD99" s="48"/>
      <c r="AE99" s="172"/>
      <c r="AF99" s="48"/>
    </row>
    <row r="100" spans="23:32" x14ac:dyDescent="0.2">
      <c r="W100" s="48"/>
      <c r="X100" s="48"/>
      <c r="Y100" s="48"/>
      <c r="Z100" s="48"/>
      <c r="AA100" s="48"/>
      <c r="AB100" s="48"/>
      <c r="AC100" s="48"/>
      <c r="AD100" s="48"/>
      <c r="AE100" s="172"/>
      <c r="AF100" s="48"/>
    </row>
    <row r="101" spans="23:32" x14ac:dyDescent="0.2">
      <c r="W101" s="48"/>
      <c r="X101" s="48"/>
      <c r="Y101" s="48"/>
      <c r="Z101" s="48"/>
      <c r="AA101" s="48"/>
      <c r="AB101" s="48"/>
      <c r="AC101" s="48"/>
      <c r="AD101" s="48"/>
      <c r="AE101" s="172"/>
      <c r="AF101" s="48"/>
    </row>
    <row r="102" spans="23:32" x14ac:dyDescent="0.2">
      <c r="W102" s="48"/>
      <c r="X102" s="48"/>
      <c r="Y102" s="48"/>
      <c r="Z102" s="48"/>
      <c r="AA102" s="48"/>
      <c r="AB102" s="48"/>
      <c r="AC102" s="48"/>
      <c r="AD102" s="48"/>
      <c r="AE102" s="172"/>
      <c r="AF102" s="48"/>
    </row>
    <row r="103" spans="23:32" x14ac:dyDescent="0.2">
      <c r="W103" s="48"/>
      <c r="X103" s="48"/>
      <c r="Y103" s="48"/>
      <c r="Z103" s="48"/>
      <c r="AA103" s="48"/>
      <c r="AB103" s="48"/>
      <c r="AC103" s="48"/>
      <c r="AD103" s="48"/>
      <c r="AE103" s="172"/>
      <c r="AF103" s="48"/>
    </row>
    <row r="104" spans="23:32" x14ac:dyDescent="0.2">
      <c r="W104" s="48"/>
      <c r="X104" s="48"/>
      <c r="Y104" s="48"/>
      <c r="Z104" s="48"/>
      <c r="AA104" s="48"/>
      <c r="AB104" s="48"/>
      <c r="AC104" s="48"/>
      <c r="AD104" s="48"/>
      <c r="AE104" s="172"/>
      <c r="AF104" s="48"/>
    </row>
    <row r="105" spans="23:32" x14ac:dyDescent="0.2">
      <c r="W105" s="48"/>
      <c r="X105" s="48"/>
      <c r="Y105" s="48"/>
      <c r="Z105" s="48"/>
      <c r="AA105" s="48"/>
      <c r="AB105" s="48"/>
      <c r="AC105" s="48"/>
      <c r="AD105" s="48"/>
      <c r="AE105" s="172"/>
      <c r="AF105" s="48"/>
    </row>
    <row r="106" spans="23:32" x14ac:dyDescent="0.2">
      <c r="W106" s="48"/>
      <c r="X106" s="48"/>
      <c r="Y106" s="48"/>
      <c r="Z106" s="48"/>
      <c r="AA106" s="48"/>
      <c r="AB106" s="48"/>
      <c r="AC106" s="48"/>
      <c r="AD106" s="48"/>
      <c r="AE106" s="172"/>
      <c r="AF106" s="48"/>
    </row>
    <row r="107" spans="23:32" x14ac:dyDescent="0.2">
      <c r="W107" s="48"/>
      <c r="X107" s="48"/>
      <c r="Y107" s="48"/>
      <c r="Z107" s="48"/>
      <c r="AA107" s="48"/>
      <c r="AB107" s="48"/>
      <c r="AC107" s="48"/>
      <c r="AD107" s="48"/>
      <c r="AE107" s="172"/>
      <c r="AF107" s="48"/>
    </row>
    <row r="108" spans="23:32" x14ac:dyDescent="0.2">
      <c r="W108" s="48"/>
      <c r="X108" s="48"/>
      <c r="Y108" s="48"/>
      <c r="Z108" s="48"/>
      <c r="AA108" s="48"/>
      <c r="AB108" s="48"/>
      <c r="AC108" s="48"/>
      <c r="AD108" s="48"/>
      <c r="AE108" s="172"/>
      <c r="AF108" s="48"/>
    </row>
    <row r="109" spans="23:32" x14ac:dyDescent="0.2">
      <c r="W109" s="48"/>
      <c r="X109" s="48"/>
      <c r="Y109" s="48"/>
      <c r="Z109" s="48"/>
      <c r="AA109" s="48"/>
      <c r="AB109" s="48"/>
      <c r="AC109" s="48"/>
      <c r="AD109" s="48"/>
      <c r="AE109" s="172"/>
      <c r="AF109" s="48"/>
    </row>
    <row r="110" spans="23:32" x14ac:dyDescent="0.2">
      <c r="W110" s="48"/>
      <c r="X110" s="48"/>
      <c r="Y110" s="48"/>
      <c r="Z110" s="48"/>
      <c r="AA110" s="48"/>
      <c r="AB110" s="48"/>
      <c r="AC110" s="48"/>
      <c r="AD110" s="48"/>
      <c r="AE110" s="172"/>
      <c r="AF110" s="48"/>
    </row>
    <row r="111" spans="23:32" x14ac:dyDescent="0.2">
      <c r="W111" s="48"/>
      <c r="X111" s="48"/>
      <c r="Y111" s="48"/>
      <c r="Z111" s="48"/>
      <c r="AA111" s="48"/>
      <c r="AB111" s="48"/>
      <c r="AC111" s="48"/>
      <c r="AD111" s="48"/>
      <c r="AE111" s="172"/>
      <c r="AF111" s="48"/>
    </row>
    <row r="112" spans="23:32" x14ac:dyDescent="0.2">
      <c r="W112" s="48"/>
      <c r="X112" s="48"/>
      <c r="Y112" s="48"/>
      <c r="Z112" s="48"/>
      <c r="AA112" s="48"/>
      <c r="AB112" s="48"/>
      <c r="AC112" s="48"/>
      <c r="AD112" s="48"/>
      <c r="AE112" s="172"/>
      <c r="AF112" s="48"/>
    </row>
    <row r="113" spans="23:32" x14ac:dyDescent="0.2">
      <c r="W113" s="48"/>
      <c r="X113" s="48"/>
      <c r="Y113" s="48"/>
      <c r="Z113" s="48"/>
      <c r="AA113" s="48"/>
      <c r="AB113" s="48"/>
      <c r="AC113" s="48"/>
      <c r="AD113" s="48"/>
      <c r="AE113" s="172"/>
      <c r="AF113" s="48"/>
    </row>
    <row r="114" spans="23:32" x14ac:dyDescent="0.2">
      <c r="W114" s="48"/>
      <c r="X114" s="48"/>
      <c r="Y114" s="48"/>
      <c r="Z114" s="48"/>
      <c r="AA114" s="48"/>
      <c r="AB114" s="48"/>
      <c r="AC114" s="48"/>
      <c r="AD114" s="48"/>
      <c r="AE114" s="172"/>
      <c r="AF114" s="48"/>
    </row>
    <row r="115" spans="23:32" x14ac:dyDescent="0.2">
      <c r="W115" s="48"/>
      <c r="X115" s="48"/>
      <c r="Y115" s="48"/>
      <c r="Z115" s="48"/>
      <c r="AA115" s="48"/>
      <c r="AB115" s="48"/>
      <c r="AC115" s="48"/>
      <c r="AD115" s="48"/>
      <c r="AE115" s="172"/>
      <c r="AF115" s="48"/>
    </row>
    <row r="116" spans="23:32" x14ac:dyDescent="0.2">
      <c r="W116" s="48"/>
      <c r="X116" s="48"/>
      <c r="Y116" s="48"/>
      <c r="Z116" s="48"/>
      <c r="AA116" s="48"/>
      <c r="AB116" s="48"/>
      <c r="AC116" s="48"/>
      <c r="AD116" s="48"/>
      <c r="AE116" s="172"/>
      <c r="AF116" s="48"/>
    </row>
    <row r="117" spans="23:32" x14ac:dyDescent="0.2">
      <c r="W117" s="48"/>
      <c r="X117" s="48"/>
      <c r="Y117" s="48"/>
      <c r="Z117" s="48"/>
      <c r="AA117" s="48"/>
      <c r="AB117" s="48"/>
      <c r="AC117" s="48"/>
      <c r="AD117" s="48"/>
      <c r="AE117" s="172"/>
      <c r="AF117" s="48"/>
    </row>
    <row r="118" spans="23:32" x14ac:dyDescent="0.2">
      <c r="W118" s="48"/>
      <c r="X118" s="48"/>
      <c r="Y118" s="48"/>
      <c r="Z118" s="48"/>
      <c r="AA118" s="48"/>
      <c r="AB118" s="48"/>
      <c r="AC118" s="48"/>
      <c r="AD118" s="48"/>
      <c r="AE118" s="172"/>
      <c r="AF118" s="48"/>
    </row>
    <row r="119" spans="23:32" x14ac:dyDescent="0.2">
      <c r="W119" s="48"/>
      <c r="X119" s="48"/>
      <c r="Y119" s="48"/>
      <c r="Z119" s="48"/>
      <c r="AA119" s="48"/>
      <c r="AB119" s="48"/>
      <c r="AC119" s="48"/>
      <c r="AD119" s="48"/>
      <c r="AE119" s="172"/>
      <c r="AF119" s="48"/>
    </row>
    <row r="120" spans="23:32" x14ac:dyDescent="0.2">
      <c r="W120" s="48"/>
      <c r="X120" s="48"/>
      <c r="Y120" s="48"/>
      <c r="Z120" s="48"/>
      <c r="AA120" s="48"/>
      <c r="AB120" s="48"/>
      <c r="AC120" s="48"/>
      <c r="AD120" s="48"/>
      <c r="AE120" s="172"/>
      <c r="AF120" s="48"/>
    </row>
    <row r="121" spans="23:32" x14ac:dyDescent="0.2">
      <c r="W121" s="48"/>
      <c r="X121" s="48"/>
      <c r="Y121" s="48"/>
      <c r="Z121" s="48"/>
      <c r="AA121" s="48"/>
      <c r="AB121" s="48"/>
      <c r="AC121" s="48"/>
      <c r="AD121" s="48"/>
      <c r="AE121" s="172"/>
      <c r="AF121" s="48"/>
    </row>
    <row r="122" spans="23:32" x14ac:dyDescent="0.2">
      <c r="AE122" s="172"/>
      <c r="AF122" s="48"/>
    </row>
    <row r="123" spans="23:32" x14ac:dyDescent="0.2">
      <c r="AE123" s="172"/>
      <c r="AF123" s="48"/>
    </row>
    <row r="124" spans="23:32" x14ac:dyDescent="0.2">
      <c r="AE124" s="172"/>
      <c r="AF124" s="48"/>
    </row>
    <row r="125" spans="23:32" x14ac:dyDescent="0.2">
      <c r="AE125" s="172"/>
      <c r="AF125" s="48"/>
    </row>
  </sheetData>
  <dataValidations count="5">
    <dataValidation type="list" allowBlank="1" showInputMessage="1" showErrorMessage="1" sqref="E39:E69">
      <formula1>"Following,Modified Following,Preceding,Modified Preceding,Unadjusted,Half-Month Modified Following"</formula1>
    </dataValidation>
    <dataValidation type="list" allowBlank="1" showInputMessage="1" showErrorMessage="1" sqref="F39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39:D69">
      <formula1>"Annual,Semiannual,EveryFourthMonth,Quarterly,Bimonthly,Monthly,Biweekly,Weekly,Daily,Once,NoFrequency"</formula1>
    </dataValidation>
    <dataValidation type="list" allowBlank="1" showInputMessage="1" showErrorMessage="1" sqref="P3:P63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45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9" width="20.7109375" style="52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2" width="2.7109375" style="46" customWidth="1"/>
    <col min="33" max="33" width="24.42578125" style="46" bestFit="1" customWidth="1"/>
    <col min="34" max="34" width="21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3</v>
      </c>
      <c r="H1" s="50"/>
      <c r="I1" s="50"/>
      <c r="L1" s="65" t="s">
        <v>142</v>
      </c>
      <c r="M1" s="100"/>
      <c r="N1" s="100"/>
      <c r="O1" s="92"/>
      <c r="P1" s="100" t="s">
        <v>24</v>
      </c>
      <c r="Q1" s="100"/>
      <c r="R1" s="100"/>
      <c r="S1" s="100"/>
      <c r="T1" s="100"/>
      <c r="U1" s="92"/>
      <c r="V1" s="89"/>
      <c r="W1" s="70" t="str">
        <f>Currency&amp;$G$1</f>
        <v>HKD6M</v>
      </c>
      <c r="X1" s="64"/>
      <c r="Y1" s="64"/>
      <c r="Z1" s="66"/>
      <c r="AA1" s="66"/>
      <c r="AB1" s="64"/>
      <c r="AC1" s="64"/>
      <c r="AD1" s="68" t="s">
        <v>31</v>
      </c>
    </row>
    <row r="2" spans="1:39" ht="21.75" customHeight="1" x14ac:dyDescent="0.2">
      <c r="A2" s="63" t="s">
        <v>8</v>
      </c>
      <c r="B2" s="63" t="s">
        <v>28</v>
      </c>
      <c r="C2" s="63" t="s">
        <v>88</v>
      </c>
      <c r="D2" s="63" t="s">
        <v>124</v>
      </c>
      <c r="E2" s="63" t="s">
        <v>33</v>
      </c>
      <c r="F2" s="63" t="s">
        <v>112</v>
      </c>
      <c r="G2" s="63" t="s">
        <v>4</v>
      </c>
      <c r="H2" s="63" t="s">
        <v>1</v>
      </c>
      <c r="I2" s="63"/>
      <c r="J2" s="63" t="s">
        <v>24</v>
      </c>
      <c r="L2" s="69" t="s">
        <v>8</v>
      </c>
      <c r="M2" s="69" t="s">
        <v>76</v>
      </c>
      <c r="N2" s="69" t="s">
        <v>79</v>
      </c>
      <c r="O2" s="69" t="s">
        <v>81</v>
      </c>
      <c r="P2" s="69" t="s">
        <v>77</v>
      </c>
      <c r="Q2" s="69" t="s">
        <v>78</v>
      </c>
      <c r="R2" s="69" t="s">
        <v>80</v>
      </c>
      <c r="S2" s="69" t="s">
        <v>24</v>
      </c>
      <c r="T2" s="69" t="s">
        <v>22</v>
      </c>
      <c r="U2" s="69" t="s">
        <v>73</v>
      </c>
      <c r="V2" s="89"/>
      <c r="W2" s="69" t="s">
        <v>8</v>
      </c>
      <c r="X2" s="69" t="s">
        <v>24</v>
      </c>
      <c r="Y2" s="69" t="s">
        <v>76</v>
      </c>
      <c r="Z2" s="71" t="s">
        <v>23</v>
      </c>
      <c r="AA2" s="71" t="s">
        <v>81</v>
      </c>
      <c r="AB2" s="69" t="s">
        <v>22</v>
      </c>
      <c r="AC2" s="69" t="s">
        <v>73</v>
      </c>
      <c r="AD2" s="72">
        <f t="array" ref="AD2:AD60">_xll.qlPiecewiseYieldCurveData(YieldCurve_6M,Trigger)</f>
        <v>1</v>
      </c>
      <c r="AE2" s="145"/>
      <c r="AG2" s="146" t="s">
        <v>82</v>
      </c>
      <c r="AH2" s="147"/>
      <c r="AI2" s="147"/>
      <c r="AJ2" s="147"/>
      <c r="AK2" s="148"/>
    </row>
    <row r="3" spans="1:39" ht="11.25" customHeight="1" x14ac:dyDescent="0.2">
      <c r="A3" s="1" t="s">
        <v>26</v>
      </c>
      <c r="B3" s="7" t="s">
        <v>3</v>
      </c>
      <c r="C3" s="8" t="str">
        <f t="shared" ref="C3" si="0">B3</f>
        <v>6M</v>
      </c>
      <c r="D3" s="114"/>
      <c r="E3" s="114"/>
      <c r="F3" s="114"/>
      <c r="G3" s="6" t="str">
        <f>PROPER(Currency)&amp;FamilyName&amp;Tenor</f>
        <v>HkdHibor6M</v>
      </c>
      <c r="H3" s="112" t="str">
        <f>Currency&amp;$B3&amp;"D"&amp;QuoteSuffix</f>
        <v>HKD6MD_Quote</v>
      </c>
      <c r="I3" s="114"/>
      <c r="J3" s="178" t="str">
        <f>IF(P3,_xll.qlDepositRateHelper(,H3,G3,Permanent,Trigger,ObjectOverwrite),"--")</f>
        <v>obj_000fd#0001</v>
      </c>
      <c r="K3" s="48" t="s">
        <v>35</v>
      </c>
      <c r="L3" s="188" t="str">
        <f t="shared" ref="L3" si="1">A3</f>
        <v>Dp</v>
      </c>
      <c r="M3" s="194" t="str">
        <f>H3</f>
        <v>HKD6MD_Quote</v>
      </c>
      <c r="N3" s="190">
        <f>IFERROR(_xll.qlQuoteValue(H3,Trigger),"--")</f>
        <v>5.5929000000000005E-3</v>
      </c>
      <c r="O3" s="191"/>
      <c r="P3" s="126" t="b">
        <v>1</v>
      </c>
      <c r="Q3" s="91">
        <v>10</v>
      </c>
      <c r="R3" s="91">
        <v>1</v>
      </c>
      <c r="S3" s="91" t="str">
        <f>J3</f>
        <v>obj_000fd#0001</v>
      </c>
      <c r="T3" s="96">
        <f>IFERROR(_xll.qlRateHelperEarliestDate(S3,Trigger),"--")</f>
        <v>42559</v>
      </c>
      <c r="U3" s="96">
        <f>IFERROR(_xll.qlRateHelperPillarDate(S3,Trigger),"--")</f>
        <v>42744</v>
      </c>
      <c r="W3" s="3" t="str">
        <f t="shared" ref="W3:W34" si="2">IFERROR(INDEX($L$3:$L$60,MATCH(Y3,$M$3:$M$60,0),1),"")</f>
        <v>Dp</v>
      </c>
      <c r="X3" s="3" t="str">
        <f t="array" ref="X3:X60">_xll.qlRateHelperSelection(_xll.ohFilter(RateHelpers,IncludeFlag),_xll.ohFilter(Priority,IncludeFlag),$AK$3,$AK$4,$AK$5,$AK$6,_xll.ohFilter(MinDistance,IncludeFlag),Trigger)</f>
        <v>obj_000fd</v>
      </c>
      <c r="Y3" s="3" t="str">
        <f>IFERROR(_xll.qlRateHelperQuoteName(X3,Trigger),"")</f>
        <v>HKD6MD_Quote</v>
      </c>
      <c r="Z3" s="67">
        <f>IFERROR(_xll.qlRateHelperRate(X3,Trigger),"")</f>
        <v>5.5929000000000005E-3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42744</v>
      </c>
      <c r="AD3" s="73">
        <v>0.99717325560073655</v>
      </c>
      <c r="AE3" s="145"/>
      <c r="AG3" s="152" t="s">
        <v>83</v>
      </c>
      <c r="AK3" s="153">
        <v>0</v>
      </c>
    </row>
    <row r="4" spans="1:39" ht="11.25" customHeight="1" x14ac:dyDescent="0.2">
      <c r="B4" s="46"/>
      <c r="C4" s="46"/>
      <c r="D4" s="46"/>
      <c r="E4" s="46"/>
      <c r="F4" s="46"/>
      <c r="G4" s="46"/>
      <c r="H4" s="46"/>
      <c r="I4" s="46"/>
      <c r="K4" s="48"/>
      <c r="L4" s="195" t="str">
        <f t="shared" ref="L4:L20" si="3">A6</f>
        <v>FRA</v>
      </c>
      <c r="M4" s="196" t="str">
        <f>H6</f>
        <v>HKD1x7F_Quote</v>
      </c>
      <c r="N4" s="197">
        <f>IFERROR(_xll.qlQuoteValue(H6,Trigger),"--")</f>
        <v>5.5000000000000005E-3</v>
      </c>
      <c r="O4" s="198"/>
      <c r="P4" s="122" t="b">
        <v>1</v>
      </c>
      <c r="Q4" s="119">
        <v>20</v>
      </c>
      <c r="R4" s="119">
        <v>1</v>
      </c>
      <c r="S4" s="119" t="str">
        <f>J6</f>
        <v>obj_000f4#0001</v>
      </c>
      <c r="T4" s="121">
        <f>IFERROR(_xll.qlRateHelperEarliestDate(S4,Trigger),"--")</f>
        <v>42590</v>
      </c>
      <c r="U4" s="121">
        <f>IFERROR(_xll.qlRateHelperPillarDate(S4,Trigger),"--")</f>
        <v>42774</v>
      </c>
      <c r="W4" s="3" t="str">
        <f t="shared" si="2"/>
        <v>FRA</v>
      </c>
      <c r="X4" s="3" t="str">
        <v>obj_000f4</v>
      </c>
      <c r="Y4" s="3" t="str">
        <f>IFERROR(_xll.qlRateHelperQuoteName(X4,Trigger),"")</f>
        <v>HKD1x7F_Quote</v>
      </c>
      <c r="Z4" s="67">
        <f>IFERROR(_xll.qlRateHelperRate(X4,Trigger),"")</f>
        <v>5.5000000000000005E-3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42590</v>
      </c>
      <c r="AC4" s="4">
        <f>IFERROR(_xll.qlRateHelperPillarDate(X4,Trigger),"")</f>
        <v>42774</v>
      </c>
      <c r="AD4" s="73">
        <v>0.99673206196417308</v>
      </c>
      <c r="AE4" s="145"/>
      <c r="AG4" s="101" t="s">
        <v>84</v>
      </c>
      <c r="AK4" s="102">
        <v>0</v>
      </c>
    </row>
    <row r="5" spans="1:39" ht="11.25" customHeight="1" x14ac:dyDescent="0.2">
      <c r="A5" s="63" t="s">
        <v>8</v>
      </c>
      <c r="B5" s="63" t="s">
        <v>89</v>
      </c>
      <c r="C5" s="63" t="s">
        <v>90</v>
      </c>
      <c r="D5" s="63"/>
      <c r="E5" s="63"/>
      <c r="F5" s="63"/>
      <c r="G5" s="63" t="s">
        <v>4</v>
      </c>
      <c r="H5" s="63" t="s">
        <v>1</v>
      </c>
      <c r="I5" s="63"/>
      <c r="J5" s="63" t="s">
        <v>24</v>
      </c>
      <c r="K5" s="48"/>
      <c r="L5" s="183" t="str">
        <f t="shared" si="3"/>
        <v>FRA</v>
      </c>
      <c r="M5" s="187" t="str">
        <f t="shared" ref="M5:M21" si="4">H7</f>
        <v>HKD2x8F_Quote</v>
      </c>
      <c r="N5" s="185">
        <f>IFERROR(_xll.qlQuoteValue(H7,Trigger),"--")</f>
        <v>5.8000000000000005E-3</v>
      </c>
      <c r="O5" s="186"/>
      <c r="P5" s="124" t="b">
        <v>1</v>
      </c>
      <c r="Q5" s="90">
        <v>20</v>
      </c>
      <c r="R5" s="90">
        <v>1</v>
      </c>
      <c r="S5" s="90" t="str">
        <f t="shared" ref="S5:S21" si="5">J7</f>
        <v>obj_00101#0001</v>
      </c>
      <c r="T5" s="94">
        <f>IFERROR(_xll.qlRateHelperEarliestDate(S5,Trigger),"--")</f>
        <v>42621</v>
      </c>
      <c r="U5" s="94">
        <f>IFERROR(_xll.qlRateHelperPillarDate(S5,Trigger),"--")</f>
        <v>42802</v>
      </c>
      <c r="W5" s="3" t="str">
        <f t="shared" si="2"/>
        <v>FRA</v>
      </c>
      <c r="X5" s="3" t="str">
        <v>obj_00101</v>
      </c>
      <c r="Y5" s="3" t="str">
        <f>IFERROR(_xll.qlRateHelperQuoteName(X5,Trigger),"")</f>
        <v>HKD2x8F_Quote</v>
      </c>
      <c r="Z5" s="67">
        <f>IFERROR(_xll.qlRateHelperRate(X5,Trigger),"")</f>
        <v>5.8000000000000005E-3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42621</v>
      </c>
      <c r="AC5" s="4">
        <f>IFERROR(_xll.qlRateHelperPillarDate(X5,Trigger),"")</f>
        <v>42802</v>
      </c>
      <c r="AD5" s="73">
        <v>0.99613165053131381</v>
      </c>
      <c r="AE5" s="145"/>
      <c r="AF5" s="76"/>
      <c r="AG5" s="101" t="s">
        <v>85</v>
      </c>
      <c r="AK5" s="102">
        <v>0</v>
      </c>
    </row>
    <row r="6" spans="1:39" ht="11.25" customHeight="1" x14ac:dyDescent="0.2">
      <c r="A6" s="53" t="s">
        <v>91</v>
      </c>
      <c r="B6" s="106">
        <v>1</v>
      </c>
      <c r="C6" s="56" t="str">
        <f t="shared" ref="C6:C23" si="6">"x"&amp;B6+SUBSTITUTE($G$1,"M","")&amp;"F"</f>
        <v>x7F</v>
      </c>
      <c r="D6" s="117"/>
      <c r="E6" s="117"/>
      <c r="F6" s="117"/>
      <c r="G6" s="55" t="str">
        <f t="shared" ref="G6:G23" si="7">PROPER(Currency)&amp;FamilyName&amp;Tenor</f>
        <v>HkdHibor6M</v>
      </c>
      <c r="H6" s="109" t="str">
        <f t="shared" ref="H6:H15" si="8">Currency&amp;B6&amp;C6&amp;QuoteSuffix</f>
        <v>HKD1x7F_Quote</v>
      </c>
      <c r="I6" s="117"/>
      <c r="J6" s="176" t="str">
        <f>IF(P4,_xll.qlFraRateHelper(,H6,B6&amp;"M",G6,PillarDate,,Permanent,Trigger,ObjectOverwrite),"--")</f>
        <v>obj_000f4#0001</v>
      </c>
      <c r="K6" s="48"/>
      <c r="L6" s="183" t="str">
        <f t="shared" si="3"/>
        <v>FRA</v>
      </c>
      <c r="M6" s="187" t="str">
        <f t="shared" si="4"/>
        <v>HKD3x9F_Quote</v>
      </c>
      <c r="N6" s="185">
        <f>IFERROR(_xll.qlQuoteValue(H8,Trigger),"--")</f>
        <v>6.2999999999999992E-3</v>
      </c>
      <c r="O6" s="186"/>
      <c r="P6" s="124" t="b">
        <v>1</v>
      </c>
      <c r="Q6" s="90">
        <v>20</v>
      </c>
      <c r="R6" s="90">
        <v>1</v>
      </c>
      <c r="S6" s="90" t="str">
        <f t="shared" si="5"/>
        <v>obj_00108#0001</v>
      </c>
      <c r="T6" s="94">
        <f>IFERROR(_xll.qlRateHelperEarliestDate(S6,Trigger),"--")</f>
        <v>42653</v>
      </c>
      <c r="U6" s="94">
        <f>IFERROR(_xll.qlRateHelperPillarDate(S6,Trigger),"--")</f>
        <v>42835</v>
      </c>
      <c r="W6" s="3" t="str">
        <f t="shared" si="2"/>
        <v>FRA</v>
      </c>
      <c r="X6" s="3" t="str">
        <v>obj_00108</v>
      </c>
      <c r="Y6" s="3" t="str">
        <f>IFERROR(_xll.qlRateHelperQuoteName(X6,Trigger),"")</f>
        <v>HKD3x9F_Quote</v>
      </c>
      <c r="Z6" s="67">
        <f>IFERROR(_xll.qlRateHelperRate(X6,Trigger),"")</f>
        <v>6.2999999999999992E-3</v>
      </c>
      <c r="AA6" s="98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42653</v>
      </c>
      <c r="AC6" s="4">
        <f>IFERROR(_xll.qlRateHelperPillarDate(X6,Trigger),"")</f>
        <v>42835</v>
      </c>
      <c r="AD6" s="73">
        <v>0.99536614530016831</v>
      </c>
      <c r="AE6" s="145"/>
      <c r="AG6" s="101" t="s">
        <v>86</v>
      </c>
      <c r="AK6" s="103" t="s">
        <v>87</v>
      </c>
    </row>
    <row r="7" spans="1:39" ht="11.25" customHeight="1" x14ac:dyDescent="0.2">
      <c r="A7" s="58" t="s">
        <v>91</v>
      </c>
      <c r="B7" s="107">
        <v>2</v>
      </c>
      <c r="C7" s="61" t="str">
        <f t="shared" si="6"/>
        <v>x8F</v>
      </c>
      <c r="D7" s="113"/>
      <c r="E7" s="113"/>
      <c r="F7" s="113"/>
      <c r="G7" s="60" t="str">
        <f t="shared" si="7"/>
        <v>HkdHibor6M</v>
      </c>
      <c r="H7" s="110" t="str">
        <f t="shared" si="8"/>
        <v>HKD2x8F_Quote</v>
      </c>
      <c r="I7" s="113"/>
      <c r="J7" s="177" t="str">
        <f>IF(P5,_xll.qlFraRateHelper(,H7,B7&amp;"M",G7,PillarDate,,Permanent,Trigger,ObjectOverwrite),"--")</f>
        <v>obj_00101#0001</v>
      </c>
      <c r="K7" s="48"/>
      <c r="L7" s="183" t="str">
        <f t="shared" si="3"/>
        <v>FRA</v>
      </c>
      <c r="M7" s="187" t="str">
        <f t="shared" si="4"/>
        <v>HKD4x10F_Quote</v>
      </c>
      <c r="N7" s="185">
        <f>IFERROR(_xll.qlQuoteValue(H9,Trigger),"--")</f>
        <v>6.6999999999999994E-3</v>
      </c>
      <c r="O7" s="186"/>
      <c r="P7" s="124" t="b">
        <v>1</v>
      </c>
      <c r="Q7" s="90">
        <v>20</v>
      </c>
      <c r="R7" s="90">
        <v>1</v>
      </c>
      <c r="S7" s="90" t="str">
        <f t="shared" si="5"/>
        <v>obj_0010c#0001</v>
      </c>
      <c r="T7" s="94">
        <f>IFERROR(_xll.qlRateHelperEarliestDate(S7,Trigger),"--")</f>
        <v>42682</v>
      </c>
      <c r="U7" s="94">
        <f>IFERROR(_xll.qlRateHelperPillarDate(S7,Trigger),"--")</f>
        <v>42863</v>
      </c>
      <c r="W7" s="3" t="str">
        <f t="shared" si="2"/>
        <v>FRA</v>
      </c>
      <c r="X7" s="3" t="str">
        <v>obj_0010c</v>
      </c>
      <c r="Y7" s="3" t="str">
        <f>IFERROR(_xll.qlRateHelperQuoteName(X7,Trigger),"")</f>
        <v>HKD4x10F_Quote</v>
      </c>
      <c r="Z7" s="67">
        <f>IFERROR(_xll.qlRateHelperRate(X7,Trigger),"")</f>
        <v>6.6999999999999994E-3</v>
      </c>
      <c r="AA7" s="98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42682</v>
      </c>
      <c r="AC7" s="4">
        <f>IFERROR(_xll.qlRateHelperPillarDate(X7,Trigger),"")</f>
        <v>42863</v>
      </c>
      <c r="AD7" s="73">
        <v>0.99474607998873732</v>
      </c>
      <c r="AE7" s="145"/>
    </row>
    <row r="8" spans="1:39" ht="11.25" customHeight="1" x14ac:dyDescent="0.2">
      <c r="A8" s="58" t="s">
        <v>91</v>
      </c>
      <c r="B8" s="107">
        <v>3</v>
      </c>
      <c r="C8" s="61" t="str">
        <f t="shared" si="6"/>
        <v>x9F</v>
      </c>
      <c r="D8" s="113"/>
      <c r="E8" s="113"/>
      <c r="F8" s="113"/>
      <c r="G8" s="60" t="str">
        <f t="shared" si="7"/>
        <v>HkdHibor6M</v>
      </c>
      <c r="H8" s="110" t="str">
        <f t="shared" si="8"/>
        <v>HKD3x9F_Quote</v>
      </c>
      <c r="I8" s="113"/>
      <c r="J8" s="177" t="str">
        <f>IF(P6,_xll.qlFraRateHelper(,H8,B8&amp;"M",G8,PillarDate,,Permanent,Trigger,ObjectOverwrite),"--")</f>
        <v>obj_00108#0001</v>
      </c>
      <c r="K8" s="48"/>
      <c r="L8" s="183" t="str">
        <f t="shared" si="3"/>
        <v>FRA</v>
      </c>
      <c r="M8" s="187" t="str">
        <f t="shared" si="4"/>
        <v>HKD5x11F_Quote</v>
      </c>
      <c r="N8" s="185">
        <f>IFERROR(_xll.qlQuoteValue(H10,Trigger),"--")</f>
        <v>6.9999999999999993E-3</v>
      </c>
      <c r="O8" s="186"/>
      <c r="P8" s="124" t="b">
        <v>1</v>
      </c>
      <c r="Q8" s="90">
        <v>20</v>
      </c>
      <c r="R8" s="90">
        <v>1</v>
      </c>
      <c r="S8" s="90" t="str">
        <f t="shared" si="5"/>
        <v>obj_00105#0001</v>
      </c>
      <c r="T8" s="94">
        <f>IFERROR(_xll.qlRateHelperEarliestDate(S8,Trigger),"--")</f>
        <v>42712</v>
      </c>
      <c r="U8" s="94">
        <f>IFERROR(_xll.qlRateHelperPillarDate(S8,Trigger),"--")</f>
        <v>42894</v>
      </c>
      <c r="W8" s="3" t="str">
        <f t="shared" si="2"/>
        <v>FRA</v>
      </c>
      <c r="X8" s="3" t="str">
        <v>obj_00105</v>
      </c>
      <c r="Y8" s="3" t="str">
        <f>IFERROR(_xll.qlRateHelperQuoteName(X8,Trigger),"")</f>
        <v>HKD5x11F_Quote</v>
      </c>
      <c r="Z8" s="67">
        <f>IFERROR(_xll.qlRateHelperRate(X8,Trigger),"")</f>
        <v>6.9999999999999993E-3</v>
      </c>
      <c r="AA8" s="98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42712</v>
      </c>
      <c r="AC8" s="4">
        <f>IFERROR(_xll.qlRateHelperPillarDate(X8,Trigger),"")</f>
        <v>42894</v>
      </c>
      <c r="AD8" s="73">
        <v>0.99414334352925171</v>
      </c>
      <c r="AE8" s="145"/>
    </row>
    <row r="9" spans="1:39" ht="11.25" customHeight="1" x14ac:dyDescent="0.2">
      <c r="A9" s="58" t="s">
        <v>91</v>
      </c>
      <c r="B9" s="107">
        <v>4</v>
      </c>
      <c r="C9" s="61" t="str">
        <f t="shared" si="6"/>
        <v>x10F</v>
      </c>
      <c r="D9" s="113"/>
      <c r="E9" s="113"/>
      <c r="F9" s="113"/>
      <c r="G9" s="60" t="str">
        <f t="shared" si="7"/>
        <v>HkdHibor6M</v>
      </c>
      <c r="H9" s="110" t="str">
        <f t="shared" si="8"/>
        <v>HKD4x10F_Quote</v>
      </c>
      <c r="I9" s="113"/>
      <c r="J9" s="177" t="str">
        <f>IF(P7,_xll.qlFraRateHelper(,H9,B9&amp;"M",G9,PillarDate,,Permanent,Trigger,ObjectOverwrite),"--")</f>
        <v>obj_0010c#0001</v>
      </c>
      <c r="K9" s="48"/>
      <c r="L9" s="183" t="str">
        <f t="shared" si="3"/>
        <v>FRA</v>
      </c>
      <c r="M9" s="187" t="str">
        <f t="shared" si="4"/>
        <v>HKD6x12F_Quote</v>
      </c>
      <c r="N9" s="185">
        <f>IFERROR(_xll.qlQuoteValue(H11,Trigger),"--")</f>
        <v>7.4000000000000003E-3</v>
      </c>
      <c r="O9" s="186"/>
      <c r="P9" s="124" t="b">
        <v>1</v>
      </c>
      <c r="Q9" s="90">
        <v>20</v>
      </c>
      <c r="R9" s="90">
        <v>1</v>
      </c>
      <c r="S9" s="90" t="str">
        <f t="shared" si="5"/>
        <v>obj_00110#0001</v>
      </c>
      <c r="T9" s="94">
        <f>IFERROR(_xll.qlRateHelperEarliestDate(S9,Trigger),"--")</f>
        <v>42744</v>
      </c>
      <c r="U9" s="94">
        <f>IFERROR(_xll.qlRateHelperPillarDate(S9,Trigger),"--")</f>
        <v>42926</v>
      </c>
      <c r="W9" s="3" t="str">
        <f t="shared" si="2"/>
        <v>FRA</v>
      </c>
      <c r="X9" s="3" t="str">
        <v>obj_00110</v>
      </c>
      <c r="Y9" s="3" t="str">
        <f>IFERROR(_xll.qlRateHelperQuoteName(X9,Trigger),"")</f>
        <v>HKD6x12F_Quote</v>
      </c>
      <c r="Z9" s="67">
        <f>IFERROR(_xll.qlRateHelperRate(X9,Trigger),"")</f>
        <v>7.4000000000000003E-3</v>
      </c>
      <c r="AA9" s="98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42744</v>
      </c>
      <c r="AC9" s="4">
        <f>IFERROR(_xll.qlRateHelperPillarDate(X9,Trigger),"")</f>
        <v>42926</v>
      </c>
      <c r="AD9" s="73">
        <v>0.99350734957769227</v>
      </c>
      <c r="AE9" s="145"/>
      <c r="AH9" s="46" t="s">
        <v>121</v>
      </c>
    </row>
    <row r="10" spans="1:39" ht="11.25" customHeight="1" x14ac:dyDescent="0.2">
      <c r="A10" s="58" t="s">
        <v>91</v>
      </c>
      <c r="B10" s="107">
        <v>5</v>
      </c>
      <c r="C10" s="61" t="str">
        <f t="shared" si="6"/>
        <v>x11F</v>
      </c>
      <c r="D10" s="113"/>
      <c r="E10" s="113"/>
      <c r="F10" s="113"/>
      <c r="G10" s="60" t="str">
        <f t="shared" si="7"/>
        <v>HkdHibor6M</v>
      </c>
      <c r="H10" s="110" t="str">
        <f t="shared" si="8"/>
        <v>HKD5x11F_Quote</v>
      </c>
      <c r="I10" s="113"/>
      <c r="J10" s="177" t="str">
        <f>IF(P8,_xll.qlFraRateHelper(,H10,B10&amp;"M",G10,PillarDate,,Permanent,Trigger,ObjectOverwrite),"--")</f>
        <v>obj_00105#0001</v>
      </c>
      <c r="K10" s="48"/>
      <c r="L10" s="183" t="str">
        <f t="shared" si="3"/>
        <v>FRA</v>
      </c>
      <c r="M10" s="187" t="str">
        <f t="shared" si="4"/>
        <v>HKD7x13F_Quote</v>
      </c>
      <c r="N10" s="185" t="str">
        <f>IFERROR(_xll.qlQuoteValue(H12,Trigger),"--")</f>
        <v>--</v>
      </c>
      <c r="O10" s="186"/>
      <c r="P10" s="124" t="b">
        <v>0</v>
      </c>
      <c r="Q10" s="90">
        <v>20</v>
      </c>
      <c r="R10" s="90">
        <v>1</v>
      </c>
      <c r="S10" s="90" t="str">
        <f t="shared" si="5"/>
        <v>--</v>
      </c>
      <c r="T10" s="94" t="str">
        <f>IFERROR(_xll.qlRateHelperEarliestDate(S10,Trigger),"--")</f>
        <v>--</v>
      </c>
      <c r="U10" s="94" t="str">
        <f>IFERROR(_xll.qlRateHelperPillarDate(S10,Trigger),"--")</f>
        <v>--</v>
      </c>
      <c r="W10" s="3" t="str">
        <f t="shared" si="2"/>
        <v>FRA</v>
      </c>
      <c r="X10" s="3" t="str">
        <v>obj_0010a</v>
      </c>
      <c r="Y10" s="3" t="str">
        <f>IFERROR(_xll.qlRateHelperQuoteName(X10,Trigger),"")</f>
        <v>HKD12x18F_Quote</v>
      </c>
      <c r="Z10" s="67">
        <f>IFERROR(_xll.qlRateHelperRate(X10,Trigger),"")</f>
        <v>1.0200000000000001E-2</v>
      </c>
      <c r="AA10" s="98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42926</v>
      </c>
      <c r="AC10" s="4">
        <f>IFERROR(_xll.qlRateHelperPillarDate(X10,Trigger),"")</f>
        <v>43108</v>
      </c>
      <c r="AD10" s="73">
        <v>0.9884898295161586</v>
      </c>
      <c r="AE10" s="145"/>
      <c r="AF10" s="69" t="s">
        <v>115</v>
      </c>
      <c r="AG10" s="69" t="s">
        <v>116</v>
      </c>
      <c r="AH10" s="69" t="s">
        <v>117</v>
      </c>
      <c r="AI10" s="69" t="s">
        <v>125</v>
      </c>
      <c r="AJ10" s="69" t="s">
        <v>118</v>
      </c>
      <c r="AK10" s="69" t="s">
        <v>126</v>
      </c>
      <c r="AL10" s="69" t="s">
        <v>119</v>
      </c>
      <c r="AM10" s="69" t="s">
        <v>120</v>
      </c>
    </row>
    <row r="11" spans="1:39" ht="11.25" customHeight="1" x14ac:dyDescent="0.2">
      <c r="A11" s="58" t="s">
        <v>91</v>
      </c>
      <c r="B11" s="107">
        <v>6</v>
      </c>
      <c r="C11" s="61" t="str">
        <f t="shared" si="6"/>
        <v>x12F</v>
      </c>
      <c r="D11" s="113"/>
      <c r="E11" s="113"/>
      <c r="F11" s="113"/>
      <c r="G11" s="60" t="str">
        <f t="shared" si="7"/>
        <v>HkdHibor6M</v>
      </c>
      <c r="H11" s="110" t="str">
        <f t="shared" si="8"/>
        <v>HKD6x12F_Quote</v>
      </c>
      <c r="I11" s="113"/>
      <c r="J11" s="177" t="str">
        <f>IF(P9,_xll.qlFraRateHelper(,H11,B11&amp;"M",G11,PillarDate,,Permanent,Trigger,ObjectOverwrite),"--")</f>
        <v>obj_00110#0001</v>
      </c>
      <c r="K11" s="48"/>
      <c r="L11" s="183" t="str">
        <f t="shared" si="3"/>
        <v>FRA</v>
      </c>
      <c r="M11" s="187" t="str">
        <f t="shared" si="4"/>
        <v>HKD8x14F_Quote</v>
      </c>
      <c r="N11" s="185" t="str">
        <f>IFERROR(_xll.qlQuoteValue(H13,Trigger),"--")</f>
        <v>--</v>
      </c>
      <c r="O11" s="186"/>
      <c r="P11" s="124" t="b">
        <v>0</v>
      </c>
      <c r="Q11" s="90">
        <v>20</v>
      </c>
      <c r="R11" s="90">
        <v>1</v>
      </c>
      <c r="S11" s="90" t="str">
        <f t="shared" si="5"/>
        <v>--</v>
      </c>
      <c r="T11" s="94" t="str">
        <f>IFERROR(_xll.qlRateHelperEarliestDate(S11,Trigger),"--")</f>
        <v>--</v>
      </c>
      <c r="U11" s="94" t="str">
        <f>IFERROR(_xll.qlRateHelperPillarDate(S11,Trigger),"--")</f>
        <v>--</v>
      </c>
      <c r="W11" s="3" t="str">
        <f t="shared" si="2"/>
        <v>FRA</v>
      </c>
      <c r="X11" s="3" t="str">
        <v>obj_000fc</v>
      </c>
      <c r="Y11" s="3" t="str">
        <f>IFERROR(_xll.qlRateHelperQuoteName(X11,Trigger),"")</f>
        <v>HKD18x24F_Quote</v>
      </c>
      <c r="Z11" s="67">
        <f>IFERROR(_xll.qlRateHelperRate(X11,Trigger),"")</f>
        <v>1.2800000000000001E-2</v>
      </c>
      <c r="AA11" s="98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43108</v>
      </c>
      <c r="AC11" s="4">
        <f>IFERROR(_xll.qlRateHelperPillarDate(X11,Trigger),"")</f>
        <v>43290</v>
      </c>
      <c r="AD11" s="73">
        <v>0.98222083865118914</v>
      </c>
      <c r="AE11" s="145"/>
      <c r="AF11" s="130">
        <v>1</v>
      </c>
      <c r="AG11" s="131">
        <f>_xll.qlCalendarEndOfMonth(Calendar,Settlementdate,Trigger)</f>
        <v>42580</v>
      </c>
      <c r="AH11" s="130" t="str">
        <f t="shared" ref="AH11:AH23" si="9">Currency&amp;$AH$9&amp;AF11&amp;JumpSuffix&amp;QuoteSuffix</f>
        <v>HKDJump1_SYNTHON_Quote</v>
      </c>
      <c r="AI11" s="149">
        <f>_xll.qlDayCounterYearFraction("actual/360",AG11,_xll.qlCalendarAdvance(Calendar,AG11,"1D",,,Trigger))</f>
        <v>8.3333333333333332E-3</v>
      </c>
      <c r="AJ11" s="132" t="e">
        <f>IF(_xll.qlQuoteIsValid(AH11,Trigger),_xll.qlQuoteValue(AH11,Trigger),1)</f>
        <v>#NUM!</v>
      </c>
      <c r="AK11" s="169" t="str">
        <f>IFERROR(-LN(AJ11)/AI11,"--")</f>
        <v>--</v>
      </c>
      <c r="AL11" s="154">
        <v>0</v>
      </c>
      <c r="AM11" s="132">
        <f>IF(ISBLANK(AL11),AH11,EXP(-AL11*AI11))</f>
        <v>1</v>
      </c>
    </row>
    <row r="12" spans="1:39" ht="11.25" customHeight="1" x14ac:dyDescent="0.2">
      <c r="A12" s="58" t="s">
        <v>91</v>
      </c>
      <c r="B12" s="107">
        <v>7</v>
      </c>
      <c r="C12" s="61" t="str">
        <f t="shared" si="6"/>
        <v>x13F</v>
      </c>
      <c r="D12" s="113"/>
      <c r="E12" s="113"/>
      <c r="F12" s="113"/>
      <c r="G12" s="60" t="str">
        <f t="shared" si="7"/>
        <v>HkdHibor6M</v>
      </c>
      <c r="H12" s="110" t="str">
        <f t="shared" si="8"/>
        <v>HKD7x13F_Quote</v>
      </c>
      <c r="I12" s="113"/>
      <c r="J12" s="177" t="str">
        <f>IF(P10,_xll.qlFraRateHelper(,H12,B12&amp;"M",G12,PillarDate,,Permanent,Trigger,ObjectOverwrite),"--")</f>
        <v>--</v>
      </c>
      <c r="K12" s="48"/>
      <c r="L12" s="183" t="str">
        <f t="shared" si="3"/>
        <v>FRA</v>
      </c>
      <c r="M12" s="187" t="str">
        <f t="shared" si="4"/>
        <v>HKD9x15F_Quote</v>
      </c>
      <c r="N12" s="185" t="str">
        <f>IFERROR(_xll.qlQuoteValue(H14,Trigger),"--")</f>
        <v>--</v>
      </c>
      <c r="O12" s="186"/>
      <c r="P12" s="124" t="b">
        <v>0</v>
      </c>
      <c r="Q12" s="90">
        <v>20</v>
      </c>
      <c r="R12" s="90">
        <v>1</v>
      </c>
      <c r="S12" s="90" t="str">
        <f t="shared" si="5"/>
        <v>--</v>
      </c>
      <c r="T12" s="94" t="str">
        <f>IFERROR(_xll.qlRateHelperEarliestDate(S12,Trigger),"--")</f>
        <v>--</v>
      </c>
      <c r="U12" s="94" t="str">
        <f>IFERROR(_xll.qlRateHelperPillarDate(S12,Trigger),"--")</f>
        <v>--</v>
      </c>
      <c r="W12" s="3" t="str">
        <f t="shared" si="2"/>
        <v/>
      </c>
      <c r="X12" s="3" t="e">
        <v>#N/A</v>
      </c>
      <c r="Y12" s="3" t="str">
        <f>IFERROR(_xll.qlRateHelperQuoteName(X12,Trigger),"")</f>
        <v/>
      </c>
      <c r="Z12" s="67" t="str">
        <f>IFERROR(_xll.qlRateHelperRate(X12,Trigger),"")</f>
        <v/>
      </c>
      <c r="AA12" s="98" t="str">
        <f>IF(ISERROR(_xll.qlSwapRateHelperSpread($X12)),IF(ISERROR(_xll.qlFuturesRateHelperConvexityAdjustment($X12)),"",_xll.qlFuturesRateHelperConvexityAdjustment($X12)),_xll.qlSwapRateHelperSpread($X12))</f>
        <v/>
      </c>
      <c r="AB12" s="4" t="str">
        <f>IFERROR(_xll.qlRateHelperEarliestDate(X12,Trigger),"")</f>
        <v/>
      </c>
      <c r="AC12" s="4" t="str">
        <f>IFERROR(_xll.qlRateHelperPillarDate(X12,Trigger),"")</f>
        <v/>
      </c>
      <c r="AD12" s="73" t="e">
        <v>#N/A</v>
      </c>
      <c r="AE12" s="145"/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9"/>
        <v>HKDJump2_SYNTHON_Quote</v>
      </c>
      <c r="AI12" s="150">
        <f>_xll.qlDayCounterYearFraction("actual/360",AG12,_xll.qlCalendarAdvance(Calendar,AG12,"1D",,,Trigger))</f>
        <v>2.7777777777777779E-3</v>
      </c>
      <c r="AJ12" s="135" t="e">
        <f>IF(_xll.qlQuoteIsValid(AH12,Trigger),_xll.qlQuoteValue(AH12,Trigger),1)</f>
        <v>#NUM!</v>
      </c>
      <c r="AK12" s="170" t="str">
        <f t="shared" ref="AK12:AK23" si="10">IFERROR(-LN(AJ12)/AI12,"--")</f>
        <v>--</v>
      </c>
      <c r="AL12" s="155">
        <v>0</v>
      </c>
      <c r="AM12" s="135">
        <f t="shared" ref="AM12:AM23" si="11">IF(ISBLANK(AL12),AH12,EXP(-AL12*AI12))</f>
        <v>1</v>
      </c>
    </row>
    <row r="13" spans="1:39" ht="11.25" customHeight="1" x14ac:dyDescent="0.2">
      <c r="A13" s="58" t="s">
        <v>91</v>
      </c>
      <c r="B13" s="107">
        <v>8</v>
      </c>
      <c r="C13" s="61" t="str">
        <f t="shared" si="6"/>
        <v>x14F</v>
      </c>
      <c r="D13" s="113"/>
      <c r="E13" s="113"/>
      <c r="F13" s="113"/>
      <c r="G13" s="60" t="str">
        <f t="shared" si="7"/>
        <v>HkdHibor6M</v>
      </c>
      <c r="H13" s="110" t="str">
        <f t="shared" si="8"/>
        <v>HKD8x14F_Quote</v>
      </c>
      <c r="I13" s="113"/>
      <c r="J13" s="177" t="str">
        <f>IF(P11,_xll.qlFraRateHelper(,H13,B13&amp;"M",G13,PillarDate,,Permanent,Trigger,ObjectOverwrite),"--")</f>
        <v>--</v>
      </c>
      <c r="K13" s="48"/>
      <c r="L13" s="183" t="str">
        <f t="shared" si="3"/>
        <v>FRA</v>
      </c>
      <c r="M13" s="187" t="str">
        <f t="shared" si="4"/>
        <v>HKD10x16F_Quote</v>
      </c>
      <c r="N13" s="185" t="str">
        <f>IFERROR(_xll.qlQuoteValue(H15,Trigger),"--")</f>
        <v>--</v>
      </c>
      <c r="O13" s="186"/>
      <c r="P13" s="124" t="b">
        <v>0</v>
      </c>
      <c r="Q13" s="90">
        <v>20</v>
      </c>
      <c r="R13" s="90">
        <v>1</v>
      </c>
      <c r="S13" s="90" t="str">
        <f t="shared" si="5"/>
        <v>--</v>
      </c>
      <c r="T13" s="94" t="str">
        <f>IFERROR(_xll.qlRateHelperEarliestDate(S13,Trigger),"--")</f>
        <v>--</v>
      </c>
      <c r="U13" s="94" t="str">
        <f>IFERROR(_xll.qlRateHelperPillarDate(S13,Trigger),"--")</f>
        <v>--</v>
      </c>
      <c r="W13" s="3" t="str">
        <f t="shared" si="2"/>
        <v/>
      </c>
      <c r="X13" s="3" t="e">
        <v>#N/A</v>
      </c>
      <c r="Y13" s="3" t="str">
        <f>IFERROR(_xll.qlRateHelperQuoteName(X13,Trigger),"")</f>
        <v/>
      </c>
      <c r="Z13" s="67" t="str">
        <f>IFERROR(_xll.qlRateHelperRate(X13,Trigger),"")</f>
        <v/>
      </c>
      <c r="AA13" s="98" t="str">
        <f>IF(ISERROR(_xll.qlSwapRateHelperSpread($X13)),IF(ISERROR(_xll.qlFuturesRateHelperConvexityAdjustment($X13)),"",_xll.qlFuturesRateHelperConvexityAdjustment($X13)),_xll.qlSwapRateHelperSpread($X13))</f>
        <v/>
      </c>
      <c r="AB13" s="4" t="str">
        <f>IFERROR(_xll.qlRateHelperEarliestDate(X13,Trigger),"")</f>
        <v/>
      </c>
      <c r="AC13" s="4" t="str">
        <f>IFERROR(_xll.qlRateHelperPillarDate(X13,Trigger),"")</f>
        <v/>
      </c>
      <c r="AD13" s="73" t="e">
        <v>#N/A</v>
      </c>
      <c r="AE13" s="145"/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9"/>
        <v>HKDJump3_SYNTHON_Quote</v>
      </c>
      <c r="AI13" s="150">
        <f>_xll.qlDayCounterYearFraction("actual/360",AG13,_xll.qlCalendarAdvance(Calendar,AG13,"1D",,,Trigger))</f>
        <v>1.1111111111111112E-2</v>
      </c>
      <c r="AJ13" s="135" t="e">
        <f>IF(_xll.qlQuoteIsValid(AH13,Trigger),_xll.qlQuoteValue(AH13,Trigger),1)</f>
        <v>#NUM!</v>
      </c>
      <c r="AK13" s="170" t="str">
        <f t="shared" si="10"/>
        <v>--</v>
      </c>
      <c r="AL13" s="155">
        <v>0</v>
      </c>
      <c r="AM13" s="135">
        <f t="shared" si="11"/>
        <v>1</v>
      </c>
    </row>
    <row r="14" spans="1:39" ht="11.25" customHeight="1" x14ac:dyDescent="0.2">
      <c r="A14" s="58" t="s">
        <v>91</v>
      </c>
      <c r="B14" s="107">
        <v>9</v>
      </c>
      <c r="C14" s="61" t="str">
        <f t="shared" si="6"/>
        <v>x15F</v>
      </c>
      <c r="D14" s="113"/>
      <c r="E14" s="113"/>
      <c r="F14" s="113"/>
      <c r="G14" s="60" t="str">
        <f t="shared" si="7"/>
        <v>HkdHibor6M</v>
      </c>
      <c r="H14" s="110" t="str">
        <f t="shared" si="8"/>
        <v>HKD9x15F_Quote</v>
      </c>
      <c r="I14" s="113"/>
      <c r="J14" s="177" t="str">
        <f>IF(P12,_xll.qlFraRateHelper(,H14,B14&amp;"M",G14,PillarDate,,Permanent,Trigger,ObjectOverwrite),"--")</f>
        <v>--</v>
      </c>
      <c r="K14" s="48"/>
      <c r="L14" s="183" t="str">
        <f t="shared" si="3"/>
        <v>FRA</v>
      </c>
      <c r="M14" s="187" t="str">
        <f t="shared" si="4"/>
        <v>HKD11x17F_Quote</v>
      </c>
      <c r="N14" s="185" t="str">
        <f>IFERROR(_xll.qlQuoteValue(H16,Trigger),"--")</f>
        <v>--</v>
      </c>
      <c r="O14" s="186"/>
      <c r="P14" s="124" t="b">
        <v>0</v>
      </c>
      <c r="Q14" s="90">
        <v>20</v>
      </c>
      <c r="R14" s="90">
        <v>1</v>
      </c>
      <c r="S14" s="90" t="str">
        <f t="shared" si="5"/>
        <v>--</v>
      </c>
      <c r="T14" s="94" t="str">
        <f>IFERROR(_xll.qlRateHelperEarliestDate(S14,Trigger),"--")</f>
        <v>--</v>
      </c>
      <c r="U14" s="94" t="str">
        <f>IFERROR(_xll.qlRateHelperPillarDate(S14,Trigger),"--")</f>
        <v>--</v>
      </c>
      <c r="W14" s="3" t="str">
        <f t="shared" si="2"/>
        <v/>
      </c>
      <c r="X14" s="3" t="e">
        <v>#N/A</v>
      </c>
      <c r="Y14" s="3" t="str">
        <f>IFERROR(_xll.qlRateHelperQuoteName(X14,Trigger),"")</f>
        <v/>
      </c>
      <c r="Z14" s="67" t="str">
        <f>IFERROR(_xll.qlRateHelperRate(X14,Trigger),"")</f>
        <v/>
      </c>
      <c r="AA14" s="98" t="str">
        <f>IF(ISERROR(_xll.qlSwapRateHelperSpread($X14)),IF(ISERROR(_xll.qlFuturesRateHelperConvexityAdjustment($X14)),"",_xll.qlFuturesRateHelperConvexityAdjustment($X14)),_xll.qlSwapRateHelperSpread($X14))</f>
        <v/>
      </c>
      <c r="AB14" s="4" t="str">
        <f>IFERROR(_xll.qlRateHelperEarliestDate(X14,Trigger),"")</f>
        <v/>
      </c>
      <c r="AC14" s="4" t="str">
        <f>IFERROR(_xll.qlRateHelperPillarDate(X14,Trigger),"")</f>
        <v/>
      </c>
      <c r="AD14" s="73" t="e">
        <v>#N/A</v>
      </c>
      <c r="AE14" s="145"/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9"/>
        <v>HKDJump4_SYNTHON_Quote</v>
      </c>
      <c r="AI14" s="150">
        <f>_xll.qlDayCounterYearFraction("actual/360",AG14,_xll.qlCalendarAdvance(Calendar,AG14,"1D",,,Trigger))</f>
        <v>2.7777777777777779E-3</v>
      </c>
      <c r="AJ14" s="135" t="e">
        <f>IF(_xll.qlQuoteIsValid(AH14,Trigger),_xll.qlQuoteValue(AH14,Trigger),1)</f>
        <v>#NUM!</v>
      </c>
      <c r="AK14" s="170" t="str">
        <f t="shared" si="10"/>
        <v>--</v>
      </c>
      <c r="AL14" s="155">
        <v>0</v>
      </c>
      <c r="AM14" s="135">
        <f t="shared" si="11"/>
        <v>1</v>
      </c>
    </row>
    <row r="15" spans="1:39" ht="11.25" customHeight="1" x14ac:dyDescent="0.2">
      <c r="A15" s="58" t="s">
        <v>91</v>
      </c>
      <c r="B15" s="107">
        <v>10</v>
      </c>
      <c r="C15" s="61" t="str">
        <f t="shared" si="6"/>
        <v>x16F</v>
      </c>
      <c r="D15" s="113"/>
      <c r="E15" s="113"/>
      <c r="F15" s="113"/>
      <c r="G15" s="60" t="str">
        <f t="shared" si="7"/>
        <v>HkdHibor6M</v>
      </c>
      <c r="H15" s="110" t="str">
        <f t="shared" si="8"/>
        <v>HKD10x16F_Quote</v>
      </c>
      <c r="I15" s="113"/>
      <c r="J15" s="177" t="str">
        <f>IF(P13,_xll.qlFraRateHelper(,H15,B15&amp;"M",G15,PillarDate,,Permanent,Trigger,ObjectOverwrite),"--")</f>
        <v>--</v>
      </c>
      <c r="K15" s="48"/>
      <c r="L15" s="183" t="str">
        <f t="shared" si="3"/>
        <v>FRA</v>
      </c>
      <c r="M15" s="187" t="str">
        <f t="shared" si="4"/>
        <v>HKD12x18F_Quote</v>
      </c>
      <c r="N15" s="185">
        <f>IFERROR(_xll.qlQuoteValue(H17,Trigger),"--")</f>
        <v>1.0200000000000001E-2</v>
      </c>
      <c r="O15" s="186"/>
      <c r="P15" s="124" t="b">
        <v>1</v>
      </c>
      <c r="Q15" s="90">
        <v>20</v>
      </c>
      <c r="R15" s="90">
        <v>1</v>
      </c>
      <c r="S15" s="90" t="str">
        <f t="shared" si="5"/>
        <v>obj_0010a#0001</v>
      </c>
      <c r="T15" s="94">
        <f>IFERROR(_xll.qlRateHelperEarliestDate(S15,Trigger),"--")</f>
        <v>42926</v>
      </c>
      <c r="U15" s="94">
        <f>IFERROR(_xll.qlRateHelperPillarDate(S15,Trigger),"--")</f>
        <v>43108</v>
      </c>
      <c r="W15" s="3" t="str">
        <f t="shared" si="2"/>
        <v/>
      </c>
      <c r="X15" s="3" t="e">
        <v>#N/A</v>
      </c>
      <c r="Y15" s="3" t="str">
        <f>IFERROR(_xll.qlRateHelperQuoteName(X15,Trigger),"")</f>
        <v/>
      </c>
      <c r="Z15" s="67" t="str">
        <f>IFERROR(_xll.qlRateHelperRate(X15,Trigger),"")</f>
        <v/>
      </c>
      <c r="AA15" s="98" t="str">
        <f>IF(ISERROR(_xll.qlSwapRateHelperSpread($X15)),IF(ISERROR(_xll.qlFuturesRateHelperConvexityAdjustment($X15)),"",_xll.qlFuturesRateHelperConvexityAdjustment($X15)),_xll.qlSwapRateHelperSpread($X15))</f>
        <v/>
      </c>
      <c r="AB15" s="4" t="str">
        <f>IFERROR(_xll.qlRateHelperEarliestDate(X15,Trigger),"")</f>
        <v/>
      </c>
      <c r="AC15" s="4" t="str">
        <f>IFERROR(_xll.qlRateHelperPillarDate(X15,Trigger),"")</f>
        <v/>
      </c>
      <c r="AD15" s="73" t="e">
        <v>#N/A</v>
      </c>
      <c r="AE15" s="145"/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9"/>
        <v>HKDJump5_SYNTHON_Quote</v>
      </c>
      <c r="AI15" s="150">
        <f>_xll.qlDayCounterYearFraction("actual/360",AG15,_xll.qlCalendarAdvance(Calendar,AG15,"1D",,,Trigger))</f>
        <v>2.7777777777777779E-3</v>
      </c>
      <c r="AJ15" s="135" t="e">
        <f>IF(_xll.qlQuoteIsValid(AH15,Trigger),_xll.qlQuoteValue(AH15,Trigger),1)</f>
        <v>#NUM!</v>
      </c>
      <c r="AK15" s="170" t="str">
        <f t="shared" si="10"/>
        <v>--</v>
      </c>
      <c r="AL15" s="155">
        <v>0</v>
      </c>
      <c r="AM15" s="135">
        <f t="shared" si="11"/>
        <v>1</v>
      </c>
    </row>
    <row r="16" spans="1:39" ht="11.25" customHeight="1" x14ac:dyDescent="0.2">
      <c r="A16" s="58" t="s">
        <v>91</v>
      </c>
      <c r="B16" s="107">
        <v>11</v>
      </c>
      <c r="C16" s="61" t="str">
        <f t="shared" si="6"/>
        <v>x17F</v>
      </c>
      <c r="D16" s="113"/>
      <c r="E16" s="113"/>
      <c r="F16" s="113"/>
      <c r="G16" s="60" t="str">
        <f t="shared" si="7"/>
        <v>HkdHibor6M</v>
      </c>
      <c r="H16" s="110" t="str">
        <f t="shared" ref="H16:H23" si="12">Currency&amp;B16&amp;C16&amp;QuoteSuffix</f>
        <v>HKD11x17F_Quote</v>
      </c>
      <c r="I16" s="113"/>
      <c r="J16" s="177" t="str">
        <f>IF(P14,_xll.qlFraRateHelper(,H16,B16&amp;"M",G16,PillarDate,,Permanent,Trigger,ObjectOverwrite),"--")</f>
        <v>--</v>
      </c>
      <c r="K16" s="48"/>
      <c r="L16" s="183" t="str">
        <f t="shared" si="3"/>
        <v>FRA</v>
      </c>
      <c r="M16" s="187" t="str">
        <f t="shared" si="4"/>
        <v>HKD13x19F_Quote</v>
      </c>
      <c r="N16" s="185" t="str">
        <f>IFERROR(_xll.qlQuoteValue(H18,Trigger),"--")</f>
        <v>--</v>
      </c>
      <c r="O16" s="186"/>
      <c r="P16" s="124" t="b">
        <v>0</v>
      </c>
      <c r="Q16" s="90">
        <v>20</v>
      </c>
      <c r="R16" s="90">
        <v>1</v>
      </c>
      <c r="S16" s="90" t="str">
        <f t="shared" si="5"/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 t="shared" si="2"/>
        <v/>
      </c>
      <c r="X16" s="3" t="e">
        <v>#N/A</v>
      </c>
      <c r="Y16" s="3" t="str">
        <f>IFERROR(_xll.qlRateHelperQuoteName(X16,Trigger),"")</f>
        <v/>
      </c>
      <c r="Z16" s="67" t="str">
        <f>IFERROR(_xll.qlRateHelperRate(X16,Trigger),"")</f>
        <v/>
      </c>
      <c r="AA16" s="98" t="str">
        <f>IF(ISERROR(_xll.qlSwapRateHelperSpread($X16)),IF(ISERROR(_xll.qlFuturesRateHelperConvexityAdjustment($X16)),"",_xll.qlFuturesRateHelperConvexityAdjustment($X16)),_xll.qlSwapRateHelperSpread($X16))</f>
        <v/>
      </c>
      <c r="AB16" s="4" t="str">
        <f>IFERROR(_xll.qlRateHelperEarliestDate(X16,Trigger),"")</f>
        <v/>
      </c>
      <c r="AC16" s="4" t="str">
        <f>IFERROR(_xll.qlRateHelperPillarDate(X16,Trigger),"")</f>
        <v/>
      </c>
      <c r="AD16" s="73" t="e">
        <v>#N/A</v>
      </c>
      <c r="AE16" s="145"/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9"/>
        <v>HKDJump6_SYNTHON_Quote</v>
      </c>
      <c r="AI16" s="150">
        <f>_xll.qlDayCounterYearFraction("actual/360",AG16,_xll.qlCalendarAdvance(Calendar,AG16,"1D",,,Trigger))</f>
        <v>1.1111111111111112E-2</v>
      </c>
      <c r="AJ16" s="135" t="e">
        <f>IF(_xll.qlQuoteIsValid(AH16,Trigger),_xll.qlQuoteValue(AH16,Trigger),1)</f>
        <v>#NUM!</v>
      </c>
      <c r="AK16" s="170" t="str">
        <f t="shared" si="10"/>
        <v>--</v>
      </c>
      <c r="AL16" s="155">
        <v>0</v>
      </c>
      <c r="AM16" s="135">
        <f t="shared" si="11"/>
        <v>1</v>
      </c>
    </row>
    <row r="17" spans="1:39" ht="11.25" customHeight="1" x14ac:dyDescent="0.2">
      <c r="A17" s="58" t="s">
        <v>91</v>
      </c>
      <c r="B17" s="107">
        <v>12</v>
      </c>
      <c r="C17" s="61" t="str">
        <f t="shared" si="6"/>
        <v>x18F</v>
      </c>
      <c r="D17" s="113"/>
      <c r="E17" s="113"/>
      <c r="F17" s="113"/>
      <c r="G17" s="60" t="str">
        <f t="shared" si="7"/>
        <v>HkdHibor6M</v>
      </c>
      <c r="H17" s="110" t="str">
        <f t="shared" si="12"/>
        <v>HKD12x18F_Quote</v>
      </c>
      <c r="I17" s="113"/>
      <c r="J17" s="177" t="str">
        <f>IF(P15,_xll.qlFraRateHelper(,H17,B17&amp;"M",G17,PillarDate,,Permanent,Trigger,ObjectOverwrite),"--")</f>
        <v>obj_0010a#0001</v>
      </c>
      <c r="K17" s="48"/>
      <c r="L17" s="183" t="str">
        <f t="shared" si="3"/>
        <v>FRA</v>
      </c>
      <c r="M17" s="187" t="str">
        <f t="shared" si="4"/>
        <v>HKD14x20F_Quote</v>
      </c>
      <c r="N17" s="185" t="str">
        <f>IFERROR(_xll.qlQuoteValue(H19,Trigger),"--")</f>
        <v>--</v>
      </c>
      <c r="O17" s="186"/>
      <c r="P17" s="124" t="b">
        <v>0</v>
      </c>
      <c r="Q17" s="90">
        <v>20</v>
      </c>
      <c r="R17" s="90">
        <v>1</v>
      </c>
      <c r="S17" s="90" t="str">
        <f t="shared" si="5"/>
        <v>--</v>
      </c>
      <c r="T17" s="94" t="str">
        <f>IFERROR(_xll.qlRateHelperEarliestDate(S17,Trigger),"--")</f>
        <v>--</v>
      </c>
      <c r="U17" s="94" t="str">
        <f>IFERROR(_xll.qlRateHelperPillarDate(S17,Trigger),"--")</f>
        <v>--</v>
      </c>
      <c r="W17" s="3" t="str">
        <f t="shared" si="2"/>
        <v/>
      </c>
      <c r="X17" s="3" t="e">
        <v>#N/A</v>
      </c>
      <c r="Y17" s="3" t="str">
        <f>IFERROR(_xll.qlRateHelperQuoteName(X17,Trigger),"")</f>
        <v/>
      </c>
      <c r="Z17" s="67" t="str">
        <f>IFERROR(_xll.qlRateHelperRate(X17,Trigger),"")</f>
        <v/>
      </c>
      <c r="AA17" s="98" t="str">
        <f>IF(ISERROR(_xll.qlSwapRateHelperSpread($X17)),IF(ISERROR(_xll.qlFuturesRateHelperConvexityAdjustment($X17)),"",_xll.qlFuturesRateHelperConvexityAdjustment($X17)),_xll.qlSwapRateHelperSpread($X17))</f>
        <v/>
      </c>
      <c r="AB17" s="4" t="str">
        <f>IFERROR(_xll.qlRateHelperEarliestDate(X17,Trigger),"")</f>
        <v/>
      </c>
      <c r="AC17" s="4" t="str">
        <f>IFERROR(_xll.qlRateHelperPillarDate(X17,Trigger),"")</f>
        <v/>
      </c>
      <c r="AD17" s="73" t="e">
        <v>#N/A</v>
      </c>
      <c r="AE17" s="145"/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9"/>
        <v>HKDJump7_SYNTHON_Quote</v>
      </c>
      <c r="AI17" s="150">
        <f>_xll.qlDayCounterYearFraction("actual/360",AG17,_xll.qlCalendarAdvance(Calendar,AG17,"1D",,,Trigger))</f>
        <v>2.7777777777777779E-3</v>
      </c>
      <c r="AJ17" s="135" t="e">
        <f>IF(_xll.qlQuoteIsValid(AH17,Trigger),_xll.qlQuoteValue(AH17,Trigger),1)</f>
        <v>#NUM!</v>
      </c>
      <c r="AK17" s="170" t="str">
        <f t="shared" si="10"/>
        <v>--</v>
      </c>
      <c r="AL17" s="155">
        <v>0</v>
      </c>
      <c r="AM17" s="135">
        <f t="shared" si="11"/>
        <v>1</v>
      </c>
    </row>
    <row r="18" spans="1:39" ht="11.25" customHeight="1" x14ac:dyDescent="0.2">
      <c r="A18" s="58" t="s">
        <v>91</v>
      </c>
      <c r="B18" s="107">
        <v>13</v>
      </c>
      <c r="C18" s="61" t="str">
        <f t="shared" si="6"/>
        <v>x19F</v>
      </c>
      <c r="D18" s="113"/>
      <c r="E18" s="113"/>
      <c r="F18" s="113"/>
      <c r="G18" s="60" t="str">
        <f t="shared" si="7"/>
        <v>HkdHibor6M</v>
      </c>
      <c r="H18" s="110" t="str">
        <f t="shared" si="12"/>
        <v>HKD13x19F_Quote</v>
      </c>
      <c r="I18" s="113"/>
      <c r="J18" s="177" t="str">
        <f>IF(P16,_xll.qlFraRateHelper(,H18,B18&amp;"M",G18,PillarDate,,Permanent,Trigger,ObjectOverwrite),"--")</f>
        <v>--</v>
      </c>
      <c r="K18" s="48"/>
      <c r="L18" s="183" t="str">
        <f t="shared" si="3"/>
        <v>FRA</v>
      </c>
      <c r="M18" s="187" t="str">
        <f t="shared" si="4"/>
        <v>HKD15x21F_Quote</v>
      </c>
      <c r="N18" s="185" t="str">
        <f>IFERROR(_xll.qlQuoteValue(H20,Trigger),"--")</f>
        <v>--</v>
      </c>
      <c r="O18" s="186"/>
      <c r="P18" s="124" t="b">
        <v>0</v>
      </c>
      <c r="Q18" s="90">
        <v>20</v>
      </c>
      <c r="R18" s="90">
        <v>1</v>
      </c>
      <c r="S18" s="90" t="str">
        <f t="shared" si="5"/>
        <v>--</v>
      </c>
      <c r="T18" s="94" t="str">
        <f>IFERROR(_xll.qlRateHelperEarliestDate(S18,Trigger),"--")</f>
        <v>--</v>
      </c>
      <c r="U18" s="94" t="str">
        <f>IFERROR(_xll.qlRateHelperPillarDate(S18,Trigger),"--")</f>
        <v>--</v>
      </c>
      <c r="W18" s="3" t="str">
        <f t="shared" si="2"/>
        <v/>
      </c>
      <c r="X18" s="3" t="e">
        <v>#N/A</v>
      </c>
      <c r="Y18" s="3" t="str">
        <f>IFERROR(_xll.qlRateHelperQuoteName(X18,Trigger),"")</f>
        <v/>
      </c>
      <c r="Z18" s="67" t="str">
        <f>IFERROR(_xll.qlRateHelperRate(X18,Trigger),"")</f>
        <v/>
      </c>
      <c r="AA18" s="98" t="str">
        <f>IF(ISERROR(_xll.qlSwapRateHelperSpread($X18)),IF(ISERROR(_xll.qlFuturesRateHelperConvexityAdjustment($X18)),"",_xll.qlFuturesRateHelperConvexityAdjustment($X18)),_xll.qlSwapRateHelperSpread($X18))</f>
        <v/>
      </c>
      <c r="AB18" s="4" t="str">
        <f>IFERROR(_xll.qlRateHelperEarliestDate(X18,Trigger),"")</f>
        <v/>
      </c>
      <c r="AC18" s="4" t="str">
        <f>IFERROR(_xll.qlRateHelperPillarDate(X18,Trigger),"")</f>
        <v/>
      </c>
      <c r="AD18" s="73" t="e">
        <v>#N/A</v>
      </c>
      <c r="AE18" s="145"/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9"/>
        <v>HKDJump8_SYNTHON_Quote</v>
      </c>
      <c r="AI18" s="150">
        <f>_xll.qlDayCounterYearFraction("actual/360",AG18,_xll.qlCalendarAdvance(Calendar,AG18,"1D",,,Trigger))</f>
        <v>2.7777777777777779E-3</v>
      </c>
      <c r="AJ18" s="135" t="e">
        <f>IF(_xll.qlQuoteIsValid(AH18,Trigger),_xll.qlQuoteValue(AH18,Trigger),1)</f>
        <v>#NUM!</v>
      </c>
      <c r="AK18" s="170" t="str">
        <f t="shared" si="10"/>
        <v>--</v>
      </c>
      <c r="AL18" s="155">
        <v>0</v>
      </c>
      <c r="AM18" s="135">
        <f t="shared" si="11"/>
        <v>1</v>
      </c>
    </row>
    <row r="19" spans="1:39" ht="11.25" customHeight="1" x14ac:dyDescent="0.2">
      <c r="A19" s="58" t="s">
        <v>91</v>
      </c>
      <c r="B19" s="107">
        <v>14</v>
      </c>
      <c r="C19" s="61" t="str">
        <f t="shared" si="6"/>
        <v>x20F</v>
      </c>
      <c r="D19" s="113"/>
      <c r="E19" s="113"/>
      <c r="F19" s="113"/>
      <c r="G19" s="60" t="str">
        <f t="shared" si="7"/>
        <v>HkdHibor6M</v>
      </c>
      <c r="H19" s="110" t="str">
        <f t="shared" si="12"/>
        <v>HKD14x20F_Quote</v>
      </c>
      <c r="I19" s="113"/>
      <c r="J19" s="177" t="str">
        <f>IF(P17,_xll.qlFraRateHelper(,H19,B19&amp;"M",G19,PillarDate,,Permanent,Trigger,ObjectOverwrite),"--")</f>
        <v>--</v>
      </c>
      <c r="K19" s="48"/>
      <c r="L19" s="183" t="str">
        <f t="shared" si="3"/>
        <v>FRA</v>
      </c>
      <c r="M19" s="187" t="str">
        <f t="shared" si="4"/>
        <v>HKD16x22F_Quote</v>
      </c>
      <c r="N19" s="185" t="str">
        <f>IFERROR(_xll.qlQuoteValue(H21,Trigger),"--")</f>
        <v>--</v>
      </c>
      <c r="O19" s="186"/>
      <c r="P19" s="124" t="b">
        <v>0</v>
      </c>
      <c r="Q19" s="90">
        <v>20</v>
      </c>
      <c r="R19" s="90">
        <v>1</v>
      </c>
      <c r="S19" s="90" t="str">
        <f t="shared" si="5"/>
        <v>--</v>
      </c>
      <c r="T19" s="94" t="str">
        <f>IFERROR(_xll.qlRateHelperEarliestDate(S19,Trigger),"--")</f>
        <v>--</v>
      </c>
      <c r="U19" s="94" t="str">
        <f>IFERROR(_xll.qlRateHelperPillarDate(S19,Trigger),"--")</f>
        <v>--</v>
      </c>
      <c r="W19" s="3" t="str">
        <f t="shared" si="2"/>
        <v/>
      </c>
      <c r="X19" s="3" t="e">
        <v>#N/A</v>
      </c>
      <c r="Y19" s="3" t="str">
        <f>IFERROR(_xll.qlRateHelperQuoteName(X19,Trigger),"")</f>
        <v/>
      </c>
      <c r="Z19" s="67" t="str">
        <f>IFERROR(_xll.qlRateHelperRate(X19,Trigger),"")</f>
        <v/>
      </c>
      <c r="AA19" s="98" t="str">
        <f>IF(ISERROR(_xll.qlSwapRateHelperSpread($X19)),IF(ISERROR(_xll.qlFuturesRateHelperConvexityAdjustment($X19)),"",_xll.qlFuturesRateHelperConvexityAdjustment($X19)),_xll.qlSwapRateHelperSpread($X19))</f>
        <v/>
      </c>
      <c r="AB19" s="4" t="str">
        <f>IFERROR(_xll.qlRateHelperEarliestDate(X19,Trigger),"")</f>
        <v/>
      </c>
      <c r="AC19" s="4" t="str">
        <f>IFERROR(_xll.qlRateHelperPillarDate(X19,Trigger),"")</f>
        <v/>
      </c>
      <c r="AD19" s="73" t="e">
        <v>#N/A</v>
      </c>
      <c r="AE19" s="145"/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9"/>
        <v>HKDJump9_SYNTHON_Quote</v>
      </c>
      <c r="AI19" s="150">
        <f>_xll.qlDayCounterYearFraction("actual/360",AG19,_xll.qlCalendarAdvance(Calendar,AG19,"1D",,,Trigger))</f>
        <v>8.3333333333333332E-3</v>
      </c>
      <c r="AJ19" s="135" t="e">
        <f>IF(_xll.qlQuoteIsValid(AH19,Trigger),_xll.qlQuoteValue(AH19,Trigger),1)</f>
        <v>#NUM!</v>
      </c>
      <c r="AK19" s="170" t="str">
        <f t="shared" si="10"/>
        <v>--</v>
      </c>
      <c r="AL19" s="155">
        <v>0</v>
      </c>
      <c r="AM19" s="135">
        <f t="shared" si="11"/>
        <v>1</v>
      </c>
    </row>
    <row r="20" spans="1:39" ht="11.25" customHeight="1" x14ac:dyDescent="0.2">
      <c r="A20" s="58" t="s">
        <v>91</v>
      </c>
      <c r="B20" s="107">
        <v>15</v>
      </c>
      <c r="C20" s="61" t="str">
        <f t="shared" si="6"/>
        <v>x21F</v>
      </c>
      <c r="D20" s="113"/>
      <c r="E20" s="113"/>
      <c r="F20" s="113"/>
      <c r="G20" s="60" t="str">
        <f t="shared" si="7"/>
        <v>HkdHibor6M</v>
      </c>
      <c r="H20" s="110" t="str">
        <f t="shared" si="12"/>
        <v>HKD15x21F_Quote</v>
      </c>
      <c r="I20" s="113"/>
      <c r="J20" s="177" t="str">
        <f>IF(P18,_xll.qlFraRateHelper(,H20,B20&amp;"M",G20,PillarDate,,Permanent,Trigger,ObjectOverwrite),"--")</f>
        <v>--</v>
      </c>
      <c r="K20" s="48"/>
      <c r="L20" s="183" t="str">
        <f t="shared" si="3"/>
        <v>FRA</v>
      </c>
      <c r="M20" s="187" t="str">
        <f t="shared" si="4"/>
        <v>HKD17x23F_Quote</v>
      </c>
      <c r="N20" s="185" t="str">
        <f>IFERROR(_xll.qlQuoteValue(H22,Trigger),"--")</f>
        <v>--</v>
      </c>
      <c r="O20" s="186"/>
      <c r="P20" s="124" t="b">
        <v>0</v>
      </c>
      <c r="Q20" s="90">
        <v>20</v>
      </c>
      <c r="R20" s="90">
        <v>1</v>
      </c>
      <c r="S20" s="90" t="str">
        <f t="shared" si="5"/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 t="shared" si="2"/>
        <v/>
      </c>
      <c r="X20" s="3" t="e">
        <v>#N/A</v>
      </c>
      <c r="Y20" s="3" t="str">
        <f>IFERROR(_xll.qlRateHelperQuoteName(X20,Trigger),"")</f>
        <v/>
      </c>
      <c r="Z20" s="67" t="str">
        <f>IFERROR(_xll.qlRateHelperRate(X20,Trigger),"")</f>
        <v/>
      </c>
      <c r="AA20" s="98" t="str">
        <f>IF(ISERROR(_xll.qlSwapRateHelperSpread($X20)),IF(ISERROR(_xll.qlFuturesRateHelperConvexityAdjustment($X20)),"",_xll.qlFuturesRateHelperConvexityAdjustment($X20)),_xll.qlSwapRateHelperSpread($X20))</f>
        <v/>
      </c>
      <c r="AB20" s="4" t="str">
        <f>IFERROR(_xll.qlRateHelperEarliestDate(X20,Trigger),"")</f>
        <v/>
      </c>
      <c r="AC20" s="4" t="str">
        <f>IFERROR(_xll.qlRateHelperPillarDate(X20,Trigger),"")</f>
        <v/>
      </c>
      <c r="AD20" s="73" t="e">
        <v>#N/A</v>
      </c>
      <c r="AE20" s="145"/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9"/>
        <v>HKDJump10_SYNTHON_Quote</v>
      </c>
      <c r="AI20" s="150">
        <f>_xll.qlDayCounterYearFraction("actual/360",AG20,_xll.qlCalendarAdvance(Calendar,AG20,"1D",,,Trigger))</f>
        <v>1.1111111111111112E-2</v>
      </c>
      <c r="AJ20" s="135" t="e">
        <f>IF(_xll.qlQuoteIsValid(AH20,Trigger),_xll.qlQuoteValue(AH20,Trigger),1)</f>
        <v>#NUM!</v>
      </c>
      <c r="AK20" s="170" t="str">
        <f t="shared" si="10"/>
        <v>--</v>
      </c>
      <c r="AL20" s="155">
        <v>0</v>
      </c>
      <c r="AM20" s="135">
        <f t="shared" si="11"/>
        <v>1</v>
      </c>
    </row>
    <row r="21" spans="1:39" ht="11.25" customHeight="1" x14ac:dyDescent="0.2">
      <c r="A21" s="58" t="s">
        <v>91</v>
      </c>
      <c r="B21" s="107">
        <v>16</v>
      </c>
      <c r="C21" s="61" t="str">
        <f t="shared" si="6"/>
        <v>x22F</v>
      </c>
      <c r="D21" s="113"/>
      <c r="E21" s="113"/>
      <c r="F21" s="113"/>
      <c r="G21" s="60" t="str">
        <f t="shared" si="7"/>
        <v>HkdHibor6M</v>
      </c>
      <c r="H21" s="110" t="str">
        <f t="shared" si="12"/>
        <v>HKD16x22F_Quote</v>
      </c>
      <c r="I21" s="113"/>
      <c r="J21" s="177" t="str">
        <f>IF(P19,_xll.qlFraRateHelper(,H21,B21&amp;"M",G21,PillarDate,,Permanent,Trigger,ObjectOverwrite),"--")</f>
        <v>--</v>
      </c>
      <c r="K21" s="48"/>
      <c r="L21" s="183" t="str">
        <f t="shared" ref="L21" si="13">A23</f>
        <v>FRA</v>
      </c>
      <c r="M21" s="187" t="str">
        <f t="shared" si="4"/>
        <v>HKD18x24F_Quote</v>
      </c>
      <c r="N21" s="185">
        <f>IFERROR(_xll.qlQuoteValue(H23,Trigger),"--")</f>
        <v>1.2800000000000001E-2</v>
      </c>
      <c r="O21" s="186"/>
      <c r="P21" s="124" t="b">
        <v>1</v>
      </c>
      <c r="Q21" s="90">
        <v>20</v>
      </c>
      <c r="R21" s="90">
        <v>1</v>
      </c>
      <c r="S21" s="90" t="str">
        <f t="shared" si="5"/>
        <v>obj_000fc#0001</v>
      </c>
      <c r="T21" s="94">
        <f>IFERROR(_xll.qlRateHelperEarliestDate(S21,Trigger),"--")</f>
        <v>43108</v>
      </c>
      <c r="U21" s="94">
        <f>IFERROR(_xll.qlRateHelperPillarDate(S21,Trigger),"--")</f>
        <v>43290</v>
      </c>
      <c r="W21" s="3" t="str">
        <f t="shared" si="2"/>
        <v/>
      </c>
      <c r="X21" s="3" t="e">
        <v>#N/A</v>
      </c>
      <c r="Y21" s="3" t="str">
        <f>IFERROR(_xll.qlRateHelperQuoteName(X21,Trigger),"")</f>
        <v/>
      </c>
      <c r="Z21" s="67" t="str">
        <f>IFERROR(_xll.qlRateHelperRate(X21,Trigger),"")</f>
        <v/>
      </c>
      <c r="AA21" s="98" t="str">
        <f>IF(ISERROR(_xll.qlSwapRateHelperSpread($X21)),IF(ISERROR(_xll.qlFuturesRateHelperConvexityAdjustment($X21)),"",_xll.qlFuturesRateHelperConvexityAdjustment($X21)),_xll.qlSwapRateHelperSpread($X21))</f>
        <v/>
      </c>
      <c r="AB21" s="4" t="str">
        <f>IFERROR(_xll.qlRateHelperEarliestDate(X21,Trigger),"")</f>
        <v/>
      </c>
      <c r="AC21" s="4" t="str">
        <f>IFERROR(_xll.qlRateHelperPillarDate(X21,Trigger),"")</f>
        <v/>
      </c>
      <c r="AD21" s="73" t="e">
        <v>#N/A</v>
      </c>
      <c r="AE21" s="145"/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9"/>
        <v>HKDJump11_SYNTHON_Quote</v>
      </c>
      <c r="AI21" s="150">
        <f>_xll.qlDayCounterYearFraction("actual/360",AG21,_xll.qlCalendarAdvance(Calendar,AG21,"1D",,,Trigger))</f>
        <v>2.7777777777777779E-3</v>
      </c>
      <c r="AJ21" s="135" t="e">
        <f>IF(_xll.qlQuoteIsValid(AH21,Trigger),_xll.qlQuoteValue(AH21,Trigger),1)</f>
        <v>#NUM!</v>
      </c>
      <c r="AK21" s="170" t="str">
        <f t="shared" si="10"/>
        <v>--</v>
      </c>
      <c r="AL21" s="155">
        <v>0</v>
      </c>
      <c r="AM21" s="135">
        <f t="shared" si="11"/>
        <v>1</v>
      </c>
    </row>
    <row r="22" spans="1:39" ht="11.25" customHeight="1" x14ac:dyDescent="0.2">
      <c r="A22" s="58" t="s">
        <v>91</v>
      </c>
      <c r="B22" s="107">
        <v>17</v>
      </c>
      <c r="C22" s="61" t="str">
        <f t="shared" si="6"/>
        <v>x23F</v>
      </c>
      <c r="D22" s="113"/>
      <c r="E22" s="113"/>
      <c r="F22" s="113"/>
      <c r="G22" s="60" t="str">
        <f t="shared" si="7"/>
        <v>HkdHibor6M</v>
      </c>
      <c r="H22" s="110" t="str">
        <f t="shared" si="12"/>
        <v>HKD17x23F_Quote</v>
      </c>
      <c r="I22" s="113"/>
      <c r="J22" s="177" t="str">
        <f>IF(P20,_xll.qlFraRateHelper(,H22,B22&amp;"M",G22,PillarDate,,Permanent,Trigger,ObjectOverwrite),"--")</f>
        <v>--</v>
      </c>
      <c r="K22" s="48"/>
      <c r="L22" s="195" t="str">
        <f>A26</f>
        <v>BasSw</v>
      </c>
      <c r="M22" s="206" t="str">
        <f>H26</f>
        <v>HKDQM3H6M_Quote</v>
      </c>
      <c r="N22" s="197">
        <f>IFERROR(_xll.qlQuoteValue(H26,Trigger),"--")</f>
        <v>4.5000000000000005E-3</v>
      </c>
      <c r="O22" s="197">
        <f>IFERROR(_xll.qlQuoteValue(I26,Trigger),"--")</f>
        <v>-1.6000000000000001E-3</v>
      </c>
      <c r="P22" s="122" t="b">
        <v>0</v>
      </c>
      <c r="Q22" s="119">
        <v>50</v>
      </c>
      <c r="R22" s="119">
        <v>1</v>
      </c>
      <c r="S22" s="119" t="str">
        <f>J26</f>
        <v>--</v>
      </c>
      <c r="T22" s="121" t="str">
        <f>IFERROR(_xll.qlRateHelperEarliestDate(S22,Trigger),"--")</f>
        <v>--</v>
      </c>
      <c r="U22" s="121" t="str">
        <f>IFERROR(_xll.qlRateHelperPillarDate(S22,Trigger),"--")</f>
        <v>--</v>
      </c>
      <c r="V22" s="46"/>
      <c r="W22" s="3" t="str">
        <f t="shared" si="2"/>
        <v/>
      </c>
      <c r="X22" s="3" t="e">
        <v>#N/A</v>
      </c>
      <c r="Y22" s="3" t="str">
        <f>IFERROR(_xll.qlRateHelperQuoteName(X22,Trigger),"")</f>
        <v/>
      </c>
      <c r="Z22" s="67" t="str">
        <f>IFERROR(_xll.qlRateHelperRate(X22,Trigger),"")</f>
        <v/>
      </c>
      <c r="AA22" s="98" t="str">
        <f>IF(ISERROR(_xll.qlSwapRateHelperSpread($X22)),IF(ISERROR(_xll.qlFuturesRateHelperConvexityAdjustment($X22)),"",_xll.qlFuturesRateHelperConvexityAdjustment($X22)),_xll.qlSwapRateHelperSpread($X22))</f>
        <v/>
      </c>
      <c r="AB22" s="4" t="str">
        <f>IFERROR(_xll.qlRateHelperEarliestDate(X22,Trigger),"")</f>
        <v/>
      </c>
      <c r="AC22" s="4" t="str">
        <f>IFERROR(_xll.qlRateHelperPillarDate(X22,Trigger),"")</f>
        <v/>
      </c>
      <c r="AD22" s="73" t="e">
        <v>#N/A</v>
      </c>
      <c r="AE22" s="145"/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9"/>
        <v>HKDJump12_SYNTHON_Quote</v>
      </c>
      <c r="AI22" s="150">
        <f>_xll.qlDayCounterYearFraction("actual/360",AG22,_xll.qlCalendarAdvance(Calendar,AG22,"1D",,,Trigger))</f>
        <v>1.1111111111111112E-2</v>
      </c>
      <c r="AJ22" s="135" t="e">
        <f>IF(_xll.qlQuoteIsValid(AH22,Trigger),_xll.qlQuoteValue(AH22,Trigger),1)</f>
        <v>#NUM!</v>
      </c>
      <c r="AK22" s="170" t="str">
        <f t="shared" si="10"/>
        <v>--</v>
      </c>
      <c r="AL22" s="155">
        <v>0</v>
      </c>
      <c r="AM22" s="135">
        <f t="shared" si="11"/>
        <v>1</v>
      </c>
    </row>
    <row r="23" spans="1:39" ht="11.25" customHeight="1" x14ac:dyDescent="0.2">
      <c r="A23" s="1" t="s">
        <v>91</v>
      </c>
      <c r="B23" s="108">
        <v>18</v>
      </c>
      <c r="C23" s="8" t="str">
        <f t="shared" si="6"/>
        <v>x24F</v>
      </c>
      <c r="D23" s="114"/>
      <c r="E23" s="114"/>
      <c r="F23" s="114"/>
      <c r="G23" s="6" t="str">
        <f t="shared" si="7"/>
        <v>HkdHibor6M</v>
      </c>
      <c r="H23" s="111" t="str">
        <f t="shared" si="12"/>
        <v>HKD18x24F_Quote</v>
      </c>
      <c r="I23" s="114"/>
      <c r="J23" s="178" t="str">
        <f>IF(P21,_xll.qlFraRateHelper(,H23,B23&amp;"M",G23,PillarDate,,Permanent,Trigger,ObjectOverwrite),"--")</f>
        <v>obj_000fc#0001</v>
      </c>
      <c r="K23" s="48"/>
      <c r="L23" s="183" t="str">
        <f t="shared" ref="L23:L60" si="14">A27</f>
        <v>BasSw</v>
      </c>
      <c r="M23" s="187" t="str">
        <f t="shared" ref="M23:M60" si="15">H27</f>
        <v>HKDQM3H9M_Quote</v>
      </c>
      <c r="N23" s="185">
        <f>IFERROR(_xll.qlQuoteValue(H27,Trigger),"--")</f>
        <v>5.0000000000000001E-3</v>
      </c>
      <c r="O23" s="185">
        <f>IFERROR(_xll.qlQuoteValue(I27,Trigger),"--")</f>
        <v>-1.5E-3</v>
      </c>
      <c r="P23" s="124" t="b">
        <v>0</v>
      </c>
      <c r="Q23" s="90">
        <v>50</v>
      </c>
      <c r="R23" s="90">
        <v>1</v>
      </c>
      <c r="S23" s="90" t="str">
        <f t="shared" ref="S23:S60" si="16">J27</f>
        <v>--</v>
      </c>
      <c r="T23" s="94" t="str">
        <f>IFERROR(_xll.qlRateHelperEarliestDate(S23,Trigger),"--")</f>
        <v>--</v>
      </c>
      <c r="U23" s="94" t="str">
        <f>IFERROR(_xll.qlRateHelperPillarDate(S23,Trigger),"--")</f>
        <v>--</v>
      </c>
      <c r="V23" s="46"/>
      <c r="W23" s="3" t="str">
        <f t="shared" si="2"/>
        <v/>
      </c>
      <c r="X23" s="3" t="e">
        <v>#N/A</v>
      </c>
      <c r="Y23" s="3" t="str">
        <f>IFERROR(_xll.qlRateHelperQuoteName(X23,Trigger),"")</f>
        <v/>
      </c>
      <c r="Z23" s="67" t="str">
        <f>IFERROR(_xll.qlRateHelperRate(X23,Trigger),"")</f>
        <v/>
      </c>
      <c r="AA23" s="98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3" t="e">
        <v>#N/A</v>
      </c>
      <c r="AE23" s="145"/>
      <c r="AF23" s="136">
        <v>13</v>
      </c>
      <c r="AG23" s="137">
        <f>_xll.qlCalendarAdjust(Calendar,DATE(YEAR(AG11)+1,12,31),"preceding",Trigger)</f>
        <v>43098</v>
      </c>
      <c r="AH23" s="136" t="str">
        <f t="shared" si="9"/>
        <v>HKDJump13_SYNTHON_Quote</v>
      </c>
      <c r="AI23" s="151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71" t="str">
        <f t="shared" si="10"/>
        <v>--</v>
      </c>
      <c r="AL23" s="156">
        <v>0</v>
      </c>
      <c r="AM23" s="138">
        <f t="shared" si="11"/>
        <v>1</v>
      </c>
    </row>
    <row r="24" spans="1:39" ht="11.25" customHeight="1" x14ac:dyDescent="0.2">
      <c r="F24" s="50" t="s">
        <v>133</v>
      </c>
      <c r="G24" s="50" t="s">
        <v>134</v>
      </c>
      <c r="H24" s="50" t="s">
        <v>135</v>
      </c>
      <c r="I24" s="46"/>
      <c r="K24" s="48"/>
      <c r="L24" s="183" t="str">
        <f t="shared" si="14"/>
        <v>BasSw</v>
      </c>
      <c r="M24" s="187" t="str">
        <f t="shared" si="15"/>
        <v>HKDQM3H1Y_Quote</v>
      </c>
      <c r="N24" s="185">
        <f>IFERROR(_xll.qlQuoteValue(H28,Trigger),"--")</f>
        <v>5.6000000000000008E-3</v>
      </c>
      <c r="O24" s="185">
        <f>IFERROR(_xll.qlQuoteValue(I28,Trigger),"--")</f>
        <v>-1.5E-3</v>
      </c>
      <c r="P24" s="124" t="b">
        <v>0</v>
      </c>
      <c r="Q24" s="90">
        <v>50</v>
      </c>
      <c r="R24" s="90">
        <v>1</v>
      </c>
      <c r="S24" s="90" t="str">
        <f t="shared" si="16"/>
        <v>--</v>
      </c>
      <c r="T24" s="94" t="str">
        <f>IFERROR(_xll.qlRateHelperEarliestDate(S24,Trigger),"--")</f>
        <v>--</v>
      </c>
      <c r="U24" s="94" t="str">
        <f>IFERROR(_xll.qlRateHelperPillarDate(S24,Trigger),"--")</f>
        <v>--</v>
      </c>
      <c r="V24" s="46"/>
      <c r="W24" s="3" t="str">
        <f t="shared" si="2"/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  <c r="AE24" s="145"/>
    </row>
    <row r="25" spans="1:39" ht="11.25" customHeight="1" x14ac:dyDescent="0.2">
      <c r="A25" s="63" t="s">
        <v>8</v>
      </c>
      <c r="B25" s="63" t="s">
        <v>28</v>
      </c>
      <c r="C25" s="63" t="s">
        <v>111</v>
      </c>
      <c r="D25" s="63" t="s">
        <v>5</v>
      </c>
      <c r="E25" s="63" t="s">
        <v>33</v>
      </c>
      <c r="F25" s="63" t="s">
        <v>112</v>
      </c>
      <c r="G25" s="63" t="s">
        <v>4</v>
      </c>
      <c r="H25" s="63" t="s">
        <v>1</v>
      </c>
      <c r="I25" s="63" t="s">
        <v>110</v>
      </c>
      <c r="J25" s="63" t="s">
        <v>24</v>
      </c>
      <c r="K25" s="48"/>
      <c r="L25" s="183" t="str">
        <f t="shared" si="14"/>
        <v>BasSw</v>
      </c>
      <c r="M25" s="187" t="str">
        <f t="shared" si="15"/>
        <v>HKDQM3H15M_Quote</v>
      </c>
      <c r="N25" s="185" t="str">
        <f>IFERROR(_xll.qlQuoteValue(H29,Trigger),"--")</f>
        <v>--</v>
      </c>
      <c r="O25" s="185" t="str">
        <f>IFERROR(_xll.qlQuoteValue(I29,Trigger),"--")</f>
        <v>--</v>
      </c>
      <c r="P25" s="124" t="b">
        <v>0</v>
      </c>
      <c r="Q25" s="90">
        <v>50</v>
      </c>
      <c r="R25" s="90">
        <v>1</v>
      </c>
      <c r="S25" s="90" t="str">
        <f t="shared" si="16"/>
        <v>--</v>
      </c>
      <c r="T25" s="94" t="str">
        <f>IFERROR(_xll.qlRateHelperEarliestDate(S25,Trigger),"--")</f>
        <v>--</v>
      </c>
      <c r="U25" s="94" t="str">
        <f>IFERROR(_xll.qlRateHelperPillarDate(S25,Trigger),"--")</f>
        <v>--</v>
      </c>
      <c r="V25" s="46"/>
      <c r="W25" s="3" t="str">
        <f t="shared" si="2"/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  <c r="AE25" s="145"/>
    </row>
    <row r="26" spans="1:39" ht="11.25" customHeight="1" x14ac:dyDescent="0.2">
      <c r="A26" s="58" t="s">
        <v>113</v>
      </c>
      <c r="B26" s="59" t="s">
        <v>3</v>
      </c>
      <c r="C26" s="60" t="s">
        <v>6</v>
      </c>
      <c r="D26" s="60" t="s">
        <v>130</v>
      </c>
      <c r="E26" s="60" t="s">
        <v>7</v>
      </c>
      <c r="F26" s="60" t="s">
        <v>131</v>
      </c>
      <c r="G26" s="60" t="str">
        <f t="shared" ref="G26:G64" si="17">PROPER(Currency)&amp;FamilyName&amp;Tenor</f>
        <v>HkdHibor6M</v>
      </c>
      <c r="H26" s="58" t="str">
        <f t="shared" ref="H26:H64" si="18">Currency&amp;$F$24&amp;SUBSTITUTE($G$24,"I","")&amp;B26&amp;QuoteSuffix</f>
        <v>HKDQM3H6M_Quote</v>
      </c>
      <c r="I26" s="128" t="str">
        <f t="shared" ref="I26:I64" si="19">Currency&amp;$G$24&amp;$H$24&amp;$B26&amp;QuoteSuffix</f>
        <v>HKD3HI6HI6M_Quote</v>
      </c>
      <c r="J26" s="177" t="str">
        <f>IF(P22,_xll.qlSwapRateHelper2(,H26,1,B26,Calendar,D26,E26,F26,G26,I26,C26,Discounting,PillarDate,,Permanent,Trigger,ObjectOverwrite),"--")</f>
        <v>--</v>
      </c>
      <c r="K26" s="48"/>
      <c r="L26" s="183" t="str">
        <f t="shared" si="14"/>
        <v>BasSw</v>
      </c>
      <c r="M26" s="187" t="str">
        <f t="shared" si="15"/>
        <v>HKDQM3H18M_Quote</v>
      </c>
      <c r="N26" s="185">
        <f>IFERROR(_xll.qlQuoteValue(H30,Trigger),"--")</f>
        <v>6.8999999999999999E-3</v>
      </c>
      <c r="O26" s="185">
        <f>IFERROR(_xll.qlQuoteValue(I30,Trigger),"--")</f>
        <v>-1.4E-3</v>
      </c>
      <c r="P26" s="124" t="b">
        <v>0</v>
      </c>
      <c r="Q26" s="90">
        <v>50</v>
      </c>
      <c r="R26" s="90">
        <v>1</v>
      </c>
      <c r="S26" s="90" t="str">
        <f t="shared" si="16"/>
        <v>--</v>
      </c>
      <c r="T26" s="94" t="str">
        <f>IFERROR(_xll.qlRateHelperEarliestDate(S26,Trigger),"--")</f>
        <v>--</v>
      </c>
      <c r="U26" s="94" t="str">
        <f>IFERROR(_xll.qlRateHelperPillarDate(S26,Trigger),"--")</f>
        <v>--</v>
      </c>
      <c r="V26" s="46"/>
      <c r="W26" s="3" t="str">
        <f t="shared" si="2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145"/>
    </row>
    <row r="27" spans="1:39" ht="11.25" customHeight="1" x14ac:dyDescent="0.2">
      <c r="A27" s="58" t="s">
        <v>113</v>
      </c>
      <c r="B27" s="59" t="s">
        <v>46</v>
      </c>
      <c r="C27" s="60" t="s">
        <v>6</v>
      </c>
      <c r="D27" s="60" t="s">
        <v>130</v>
      </c>
      <c r="E27" s="60" t="s">
        <v>7</v>
      </c>
      <c r="F27" s="60" t="s">
        <v>131</v>
      </c>
      <c r="G27" s="60" t="str">
        <f t="shared" si="17"/>
        <v>HkdHibor6M</v>
      </c>
      <c r="H27" s="58" t="str">
        <f t="shared" si="18"/>
        <v>HKDQM3H9M_Quote</v>
      </c>
      <c r="I27" s="128" t="str">
        <f t="shared" si="19"/>
        <v>HKD3HI6HI9M_Quote</v>
      </c>
      <c r="J27" s="177" t="str">
        <f>IF(P23,_xll.qlSwapRateHelper2(,H27,1,B27,Calendar,D27,E27,F27,G27,I27,C27,Discounting,PillarDate,,Permanent,Trigger,ObjectOverwrite),"--")</f>
        <v>--</v>
      </c>
      <c r="K27" s="48"/>
      <c r="L27" s="183" t="str">
        <f t="shared" si="14"/>
        <v>BasSw</v>
      </c>
      <c r="M27" s="187" t="str">
        <f t="shared" si="15"/>
        <v>HKDQM3H21M_Quote</v>
      </c>
      <c r="N27" s="185" t="str">
        <f>IFERROR(_xll.qlQuoteValue(H31,Trigger),"--")</f>
        <v>--</v>
      </c>
      <c r="O27" s="185" t="str">
        <f>IFERROR(_xll.qlQuoteValue(I31,Trigger),"--")</f>
        <v>--</v>
      </c>
      <c r="P27" s="124" t="b">
        <v>0</v>
      </c>
      <c r="Q27" s="90">
        <v>50</v>
      </c>
      <c r="R27" s="90">
        <v>1</v>
      </c>
      <c r="S27" s="90" t="str">
        <f t="shared" si="16"/>
        <v>--</v>
      </c>
      <c r="T27" s="94" t="str">
        <f>IFERROR(_xll.qlRateHelperEarliestDate(S27,Trigger),"--")</f>
        <v>--</v>
      </c>
      <c r="U27" s="94" t="str">
        <f>IFERROR(_xll.qlRateHelperPillarDate(S27,Trigger),"--")</f>
        <v>--</v>
      </c>
      <c r="V27" s="46"/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145"/>
    </row>
    <row r="28" spans="1:39" ht="11.25" customHeight="1" x14ac:dyDescent="0.2">
      <c r="A28" s="58" t="s">
        <v>113</v>
      </c>
      <c r="B28" s="59" t="s">
        <v>27</v>
      </c>
      <c r="C28" s="60" t="s">
        <v>6</v>
      </c>
      <c r="D28" s="60" t="s">
        <v>130</v>
      </c>
      <c r="E28" s="60" t="s">
        <v>7</v>
      </c>
      <c r="F28" s="60" t="s">
        <v>131</v>
      </c>
      <c r="G28" s="60" t="str">
        <f t="shared" si="17"/>
        <v>HkdHibor6M</v>
      </c>
      <c r="H28" s="58" t="str">
        <f t="shared" si="18"/>
        <v>HKDQM3H1Y_Quote</v>
      </c>
      <c r="I28" s="128" t="str">
        <f t="shared" si="19"/>
        <v>HKD3HI6HI1Y_Quote</v>
      </c>
      <c r="J28" s="177" t="str">
        <f>IF(P24,_xll.qlSwapRateHelper2(,H28,1,B28,Calendar,D28,E28,F28,G28,I28,C28,Discounting,PillarDate,,Permanent,Trigger,ObjectOverwrite),"--")</f>
        <v>--</v>
      </c>
      <c r="K28" s="48"/>
      <c r="L28" s="183" t="str">
        <f t="shared" si="14"/>
        <v>BasSw</v>
      </c>
      <c r="M28" s="187" t="str">
        <f t="shared" si="15"/>
        <v>HKDQM3H2Y_Quote</v>
      </c>
      <c r="N28" s="185">
        <f>IFERROR(_xll.qlQuoteValue(H32,Trigger),"--")</f>
        <v>8.0000000000000002E-3</v>
      </c>
      <c r="O28" s="185">
        <f>IFERROR(_xll.qlQuoteValue(I32,Trigger),"--")</f>
        <v>-1.4E-3</v>
      </c>
      <c r="P28" s="124" t="b">
        <v>0</v>
      </c>
      <c r="Q28" s="90">
        <v>50</v>
      </c>
      <c r="R28" s="90">
        <v>1</v>
      </c>
      <c r="S28" s="90" t="str">
        <f t="shared" si="16"/>
        <v>--</v>
      </c>
      <c r="T28" s="94" t="str">
        <f>IFERROR(_xll.qlRateHelperEarliestDate(S28,Trigger),"--")</f>
        <v>--</v>
      </c>
      <c r="U28" s="94" t="str">
        <f>IFERROR(_xll.qlRateHelperPillarDate(S28,Trigger),"--")</f>
        <v>--</v>
      </c>
      <c r="V28" s="46"/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145"/>
    </row>
    <row r="29" spans="1:39" ht="11.25" customHeight="1" x14ac:dyDescent="0.2">
      <c r="A29" s="58" t="s">
        <v>113</v>
      </c>
      <c r="B29" s="59" t="s">
        <v>49</v>
      </c>
      <c r="C29" s="60" t="s">
        <v>6</v>
      </c>
      <c r="D29" s="60" t="s">
        <v>130</v>
      </c>
      <c r="E29" s="60" t="s">
        <v>7</v>
      </c>
      <c r="F29" s="60" t="s">
        <v>131</v>
      </c>
      <c r="G29" s="60" t="str">
        <f t="shared" si="17"/>
        <v>HkdHibor6M</v>
      </c>
      <c r="H29" s="58" t="str">
        <f t="shared" si="18"/>
        <v>HKDQM3H15M_Quote</v>
      </c>
      <c r="I29" s="128" t="str">
        <f t="shared" si="19"/>
        <v>HKD3HI6HI15M_Quote</v>
      </c>
      <c r="J29" s="177" t="str">
        <f>IF(P25,_xll.qlSwapRateHelper2(,H29,1,B29,Calendar,D29,E29,F29,G29,I29,C29,Discounting,PillarDate,,Permanent,Trigger,ObjectOverwrite),"--")</f>
        <v>--</v>
      </c>
      <c r="K29" s="48"/>
      <c r="L29" s="183" t="str">
        <f t="shared" si="14"/>
        <v>BasSw</v>
      </c>
      <c r="M29" s="187" t="str">
        <f t="shared" si="15"/>
        <v>HKDQM3H3Y_Quote</v>
      </c>
      <c r="N29" s="185">
        <f>IFERROR(_xll.qlQuoteValue(H33,Trigger),"--")</f>
        <v>1.0200000000000001E-2</v>
      </c>
      <c r="O29" s="185">
        <f>IFERROR(_xll.qlQuoteValue(I33,Trigger),"--")</f>
        <v>-1.2999999999999999E-3</v>
      </c>
      <c r="P29" s="124" t="b">
        <v>0</v>
      </c>
      <c r="Q29" s="90">
        <v>50</v>
      </c>
      <c r="R29" s="90">
        <v>1</v>
      </c>
      <c r="S29" s="90" t="str">
        <f t="shared" si="16"/>
        <v>--</v>
      </c>
      <c r="T29" s="94" t="str">
        <f>IFERROR(_xll.qlRateHelperEarliestDate(S29,Trigger),"--")</f>
        <v>--</v>
      </c>
      <c r="U29" s="94" t="str">
        <f>IFERROR(_xll.qlRateHelperPillarDate(S29,Trigger),"--")</f>
        <v>--</v>
      </c>
      <c r="V29" s="46"/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145"/>
    </row>
    <row r="30" spans="1:39" ht="11.25" customHeight="1" x14ac:dyDescent="0.2">
      <c r="A30" s="58" t="s">
        <v>113</v>
      </c>
      <c r="B30" s="59" t="s">
        <v>50</v>
      </c>
      <c r="C30" s="60" t="s">
        <v>6</v>
      </c>
      <c r="D30" s="60" t="s">
        <v>130</v>
      </c>
      <c r="E30" s="60" t="s">
        <v>7</v>
      </c>
      <c r="F30" s="60" t="s">
        <v>131</v>
      </c>
      <c r="G30" s="60" t="str">
        <f t="shared" si="17"/>
        <v>HkdHibor6M</v>
      </c>
      <c r="H30" s="58" t="str">
        <f t="shared" si="18"/>
        <v>HKDQM3H18M_Quote</v>
      </c>
      <c r="I30" s="128" t="str">
        <f t="shared" si="19"/>
        <v>HKD3HI6HI18M_Quote</v>
      </c>
      <c r="J30" s="177" t="str">
        <f>IF(P26,_xll.qlSwapRateHelper2(,H30,1,B30,Calendar,D30,E30,F30,G30,I30,C30,Discounting,PillarDate,,Permanent,Trigger,ObjectOverwrite),"--")</f>
        <v>--</v>
      </c>
      <c r="K30" s="48"/>
      <c r="L30" s="183" t="str">
        <f t="shared" si="14"/>
        <v>BasSw</v>
      </c>
      <c r="M30" s="187" t="str">
        <f t="shared" si="15"/>
        <v>HKDQM3H4Y_Quote</v>
      </c>
      <c r="N30" s="185">
        <f>IFERROR(_xll.qlQuoteValue(H34,Trigger),"--")</f>
        <v>1.21E-2</v>
      </c>
      <c r="O30" s="185">
        <f>IFERROR(_xll.qlQuoteValue(I34,Trigger),"--")</f>
        <v>-1.1999999999999999E-3</v>
      </c>
      <c r="P30" s="124" t="b">
        <v>0</v>
      </c>
      <c r="Q30" s="90">
        <v>50</v>
      </c>
      <c r="R30" s="90">
        <v>1</v>
      </c>
      <c r="S30" s="90" t="str">
        <f t="shared" si="16"/>
        <v>--</v>
      </c>
      <c r="T30" s="94" t="str">
        <f>IFERROR(_xll.qlRateHelperEarliestDate(S30,Trigger),"--")</f>
        <v>--</v>
      </c>
      <c r="U30" s="94" t="str">
        <f>IFERROR(_xll.qlRateHelperPillarDate(S30,Trigger),"--")</f>
        <v>--</v>
      </c>
      <c r="V30" s="46"/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  <c r="AE30" s="145"/>
    </row>
    <row r="31" spans="1:39" ht="11.25" customHeight="1" x14ac:dyDescent="0.2">
      <c r="A31" s="58" t="s">
        <v>113</v>
      </c>
      <c r="B31" s="59" t="s">
        <v>51</v>
      </c>
      <c r="C31" s="60" t="s">
        <v>6</v>
      </c>
      <c r="D31" s="60" t="s">
        <v>130</v>
      </c>
      <c r="E31" s="60" t="s">
        <v>7</v>
      </c>
      <c r="F31" s="60" t="s">
        <v>131</v>
      </c>
      <c r="G31" s="60" t="str">
        <f t="shared" si="17"/>
        <v>HkdHibor6M</v>
      </c>
      <c r="H31" s="58" t="str">
        <f t="shared" si="18"/>
        <v>HKDQM3H21M_Quote</v>
      </c>
      <c r="I31" s="128" t="str">
        <f t="shared" si="19"/>
        <v>HKD3HI6HI21M_Quote</v>
      </c>
      <c r="J31" s="177" t="str">
        <f>IF(P27,_xll.qlSwapRateHelper2(,H31,1,B31,Calendar,D31,E31,F31,G31,I31,C31,Discounting,PillarDate,,Permanent,Trigger,ObjectOverwrite),"--")</f>
        <v>--</v>
      </c>
      <c r="K31" s="48"/>
      <c r="L31" s="183" t="str">
        <f t="shared" si="14"/>
        <v>BasSw</v>
      </c>
      <c r="M31" s="187" t="str">
        <f t="shared" si="15"/>
        <v>HKDQM3H5Y_Quote</v>
      </c>
      <c r="N31" s="185">
        <f>IFERROR(_xll.qlQuoteValue(H35,Trigger),"--")</f>
        <v>1.37E-2</v>
      </c>
      <c r="O31" s="185">
        <f>IFERROR(_xll.qlQuoteValue(I35,Trigger),"--")</f>
        <v>-1.1000000000000001E-3</v>
      </c>
      <c r="P31" s="124" t="b">
        <v>0</v>
      </c>
      <c r="Q31" s="90">
        <v>50</v>
      </c>
      <c r="R31" s="90">
        <v>1</v>
      </c>
      <c r="S31" s="90" t="str">
        <f t="shared" si="16"/>
        <v>--</v>
      </c>
      <c r="T31" s="94" t="str">
        <f>IFERROR(_xll.qlRateHelperEarliestDate(S31,Trigger),"--")</f>
        <v>--</v>
      </c>
      <c r="U31" s="94" t="str">
        <f>IFERROR(_xll.qlRateHelperPillarDate(S31,Trigger),"--")</f>
        <v>--</v>
      </c>
      <c r="V31" s="46"/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  <c r="AE31" s="145"/>
    </row>
    <row r="32" spans="1:39" ht="11.25" customHeight="1" x14ac:dyDescent="0.2">
      <c r="A32" s="58" t="s">
        <v>113</v>
      </c>
      <c r="B32" s="59" t="s">
        <v>52</v>
      </c>
      <c r="C32" s="60" t="s">
        <v>6</v>
      </c>
      <c r="D32" s="60" t="s">
        <v>130</v>
      </c>
      <c r="E32" s="60" t="s">
        <v>7</v>
      </c>
      <c r="F32" s="60" t="s">
        <v>131</v>
      </c>
      <c r="G32" s="60" t="str">
        <f t="shared" si="17"/>
        <v>HkdHibor6M</v>
      </c>
      <c r="H32" s="58" t="str">
        <f t="shared" si="18"/>
        <v>HKDQM3H2Y_Quote</v>
      </c>
      <c r="I32" s="128" t="str">
        <f t="shared" si="19"/>
        <v>HKD3HI6HI2Y_Quote</v>
      </c>
      <c r="J32" s="177" t="str">
        <f>IF(P28,_xll.qlSwapRateHelper2(,H32,1,B32,Calendar,D32,E32,F32,G32,I32,C32,Discounting,PillarDate,,Permanent,Trigger,ObjectOverwrite),"--")</f>
        <v>--</v>
      </c>
      <c r="L32" s="183" t="str">
        <f t="shared" si="14"/>
        <v>BasSw</v>
      </c>
      <c r="M32" s="187" t="str">
        <f t="shared" si="15"/>
        <v>HKDQM3H6Y_Quote</v>
      </c>
      <c r="N32" s="185" t="str">
        <f>IFERROR(_xll.qlQuoteValue(H36,Trigger),"--")</f>
        <v>--</v>
      </c>
      <c r="O32" s="185" t="str">
        <f>IFERROR(_xll.qlQuoteValue(I36,Trigger),"--")</f>
        <v>--</v>
      </c>
      <c r="P32" s="124" t="b">
        <v>0</v>
      </c>
      <c r="Q32" s="90">
        <v>50</v>
      </c>
      <c r="R32" s="90">
        <v>1</v>
      </c>
      <c r="S32" s="90" t="str">
        <f t="shared" si="16"/>
        <v>--</v>
      </c>
      <c r="T32" s="94" t="str">
        <f>IFERROR(_xll.qlRateHelperEarliestDate(S32,Trigger),"--")</f>
        <v>--</v>
      </c>
      <c r="U32" s="94" t="str">
        <f>IFERROR(_xll.qlRateHelperPillarDate(S32,Trigger),"--")</f>
        <v>--</v>
      </c>
      <c r="V32" s="46"/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  <c r="AE32" s="145"/>
    </row>
    <row r="33" spans="1:31" ht="11.25" customHeight="1" x14ac:dyDescent="0.2">
      <c r="A33" s="58" t="s">
        <v>113</v>
      </c>
      <c r="B33" s="59" t="s">
        <v>53</v>
      </c>
      <c r="C33" s="60" t="s">
        <v>6</v>
      </c>
      <c r="D33" s="60" t="s">
        <v>130</v>
      </c>
      <c r="E33" s="60" t="s">
        <v>7</v>
      </c>
      <c r="F33" s="60" t="s">
        <v>131</v>
      </c>
      <c r="G33" s="60" t="str">
        <f t="shared" si="17"/>
        <v>HkdHibor6M</v>
      </c>
      <c r="H33" s="58" t="str">
        <f t="shared" si="18"/>
        <v>HKDQM3H3Y_Quote</v>
      </c>
      <c r="I33" s="128" t="str">
        <f t="shared" si="19"/>
        <v>HKD3HI6HI3Y_Quote</v>
      </c>
      <c r="J33" s="177" t="str">
        <f>IF(P29,_xll.qlSwapRateHelper2(,H33,1,B33,Calendar,D33,E33,F33,G33,I33,C33,Discounting,PillarDate,,Permanent,Trigger,ObjectOverwrite),"--")</f>
        <v>--</v>
      </c>
      <c r="L33" s="183" t="str">
        <f t="shared" si="14"/>
        <v>BasSw</v>
      </c>
      <c r="M33" s="187" t="str">
        <f t="shared" si="15"/>
        <v>HKDQM3H7Y_Quote</v>
      </c>
      <c r="N33" s="185">
        <f>IFERROR(_xll.qlQuoteValue(H37,Trigger),"--")</f>
        <v>1.6400000000000001E-2</v>
      </c>
      <c r="O33" s="185">
        <f>IFERROR(_xll.qlQuoteValue(I37,Trigger),"--")</f>
        <v>-1E-3</v>
      </c>
      <c r="P33" s="124" t="b">
        <v>0</v>
      </c>
      <c r="Q33" s="90">
        <v>50</v>
      </c>
      <c r="R33" s="90">
        <v>1</v>
      </c>
      <c r="S33" s="90" t="str">
        <f t="shared" si="16"/>
        <v>--</v>
      </c>
      <c r="T33" s="94" t="str">
        <f>IFERROR(_xll.qlRateHelperEarliestDate(S33,Trigger),"--")</f>
        <v>--</v>
      </c>
      <c r="U33" s="94" t="str">
        <f>IFERROR(_xll.qlRateHelperPillarDate(S33,Trigger),"--")</f>
        <v>--</v>
      </c>
      <c r="V33" s="46"/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  <c r="AE33" s="145"/>
    </row>
    <row r="34" spans="1:31" ht="11.25" customHeight="1" x14ac:dyDescent="0.2">
      <c r="A34" s="58" t="s">
        <v>113</v>
      </c>
      <c r="B34" s="59" t="s">
        <v>54</v>
      </c>
      <c r="C34" s="60" t="s">
        <v>6</v>
      </c>
      <c r="D34" s="60" t="s">
        <v>130</v>
      </c>
      <c r="E34" s="60" t="s">
        <v>7</v>
      </c>
      <c r="F34" s="60" t="s">
        <v>131</v>
      </c>
      <c r="G34" s="60" t="str">
        <f t="shared" si="17"/>
        <v>HkdHibor6M</v>
      </c>
      <c r="H34" s="58" t="str">
        <f t="shared" si="18"/>
        <v>HKDQM3H4Y_Quote</v>
      </c>
      <c r="I34" s="128" t="str">
        <f t="shared" si="19"/>
        <v>HKD3HI6HI4Y_Quote</v>
      </c>
      <c r="J34" s="177" t="str">
        <f>IF(P30,_xll.qlSwapRateHelper2(,H34,1,B34,Calendar,D34,E34,F34,G34,I34,C34,Discounting,PillarDate,,Permanent,Trigger,ObjectOverwrite),"--")</f>
        <v>--</v>
      </c>
      <c r="L34" s="183" t="str">
        <f t="shared" si="14"/>
        <v>BasSw</v>
      </c>
      <c r="M34" s="187" t="str">
        <f t="shared" si="15"/>
        <v>HKDQM3H8Y_Quote</v>
      </c>
      <c r="N34" s="185" t="str">
        <f>IFERROR(_xll.qlQuoteValue(H38,Trigger),"--")</f>
        <v>--</v>
      </c>
      <c r="O34" s="185" t="str">
        <f>IFERROR(_xll.qlQuoteValue(I38,Trigger),"--")</f>
        <v>--</v>
      </c>
      <c r="P34" s="124" t="b">
        <v>0</v>
      </c>
      <c r="Q34" s="90">
        <v>50</v>
      </c>
      <c r="R34" s="90">
        <v>1</v>
      </c>
      <c r="S34" s="90" t="str">
        <f t="shared" si="16"/>
        <v>--</v>
      </c>
      <c r="T34" s="94" t="str">
        <f>IFERROR(_xll.qlRateHelperEarliestDate(S34,Trigger),"--")</f>
        <v>--</v>
      </c>
      <c r="U34" s="94" t="str">
        <f>IFERROR(_xll.qlRateHelperPillarDate(S34,Trigger),"--")</f>
        <v>--</v>
      </c>
      <c r="V34" s="46"/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  <c r="AE34" s="145"/>
    </row>
    <row r="35" spans="1:31" ht="11.25" customHeight="1" x14ac:dyDescent="0.2">
      <c r="A35" s="58" t="s">
        <v>113</v>
      </c>
      <c r="B35" s="59" t="s">
        <v>55</v>
      </c>
      <c r="C35" s="60" t="s">
        <v>6</v>
      </c>
      <c r="D35" s="60" t="s">
        <v>130</v>
      </c>
      <c r="E35" s="60" t="s">
        <v>7</v>
      </c>
      <c r="F35" s="60" t="s">
        <v>131</v>
      </c>
      <c r="G35" s="60" t="str">
        <f t="shared" si="17"/>
        <v>HkdHibor6M</v>
      </c>
      <c r="H35" s="58" t="str">
        <f t="shared" si="18"/>
        <v>HKDQM3H5Y_Quote</v>
      </c>
      <c r="I35" s="128" t="str">
        <f t="shared" si="19"/>
        <v>HKD3HI6HI5Y_Quote</v>
      </c>
      <c r="J35" s="177" t="str">
        <f>IF(P31,_xll.qlSwapRateHelper2(,H35,1,B35,Calendar,D35,E35,F35,G35,I35,C35,Discounting,PillarDate,,Permanent,Trigger,ObjectOverwrite),"--")</f>
        <v>--</v>
      </c>
      <c r="L35" s="183" t="str">
        <f t="shared" si="14"/>
        <v>BasSw</v>
      </c>
      <c r="M35" s="187" t="str">
        <f t="shared" si="15"/>
        <v>HKDQM3H9Y_Quote</v>
      </c>
      <c r="N35" s="185" t="str">
        <f>IFERROR(_xll.qlQuoteValue(H39,Trigger),"--")</f>
        <v>--</v>
      </c>
      <c r="O35" s="185" t="str">
        <f>IFERROR(_xll.qlQuoteValue(I39,Trigger),"--")</f>
        <v>--</v>
      </c>
      <c r="P35" s="124" t="b">
        <v>0</v>
      </c>
      <c r="Q35" s="90">
        <v>50</v>
      </c>
      <c r="R35" s="90">
        <v>1</v>
      </c>
      <c r="S35" s="90" t="str">
        <f t="shared" si="16"/>
        <v>--</v>
      </c>
      <c r="T35" s="94" t="str">
        <f>IFERROR(_xll.qlRateHelperEarliestDate(S35,Trigger),"--")</f>
        <v>--</v>
      </c>
      <c r="U35" s="94" t="str">
        <f>IFERROR(_xll.qlRateHelperPillarDate(S35,Trigger),"--")</f>
        <v>--</v>
      </c>
      <c r="V35" s="46"/>
      <c r="W35" s="3" t="str">
        <f t="shared" ref="W35:W60" si="20">IFERROR(INDEX($L$3:$L$60,MATCH(Y35,$M$3:$M$60,0),1),"")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  <c r="AE35" s="145"/>
    </row>
    <row r="36" spans="1:31" ht="11.25" customHeight="1" x14ac:dyDescent="0.2">
      <c r="A36" s="58" t="s">
        <v>113</v>
      </c>
      <c r="B36" s="59" t="s">
        <v>56</v>
      </c>
      <c r="C36" s="60" t="s">
        <v>6</v>
      </c>
      <c r="D36" s="60" t="s">
        <v>130</v>
      </c>
      <c r="E36" s="60" t="s">
        <v>7</v>
      </c>
      <c r="F36" s="60" t="s">
        <v>131</v>
      </c>
      <c r="G36" s="60" t="str">
        <f t="shared" si="17"/>
        <v>HkdHibor6M</v>
      </c>
      <c r="H36" s="58" t="str">
        <f t="shared" si="18"/>
        <v>HKDQM3H6Y_Quote</v>
      </c>
      <c r="I36" s="128" t="str">
        <f t="shared" si="19"/>
        <v>HKD3HI6HI6Y_Quote</v>
      </c>
      <c r="J36" s="177" t="str">
        <f>IF(P32,_xll.qlSwapRateHelper2(,H36,1,B36,Calendar,D36,E36,F36,G36,I36,C36,Discounting,PillarDate,,Permanent,Trigger,ObjectOverwrite),"--")</f>
        <v>--</v>
      </c>
      <c r="L36" s="183" t="str">
        <f t="shared" si="14"/>
        <v>BasSw</v>
      </c>
      <c r="M36" s="187" t="str">
        <f t="shared" si="15"/>
        <v>HKDQM3H10Y_Quote</v>
      </c>
      <c r="N36" s="185">
        <f>IFERROR(_xll.qlQuoteValue(H40,Trigger),"--")</f>
        <v>1.9E-2</v>
      </c>
      <c r="O36" s="185">
        <f>IFERROR(_xll.qlQuoteValue(I40,Trigger),"--")</f>
        <v>-1E-3</v>
      </c>
      <c r="P36" s="124" t="b">
        <v>0</v>
      </c>
      <c r="Q36" s="90">
        <v>50</v>
      </c>
      <c r="R36" s="90">
        <v>1</v>
      </c>
      <c r="S36" s="90" t="str">
        <f t="shared" si="16"/>
        <v>--</v>
      </c>
      <c r="T36" s="94" t="str">
        <f>IFERROR(_xll.qlRateHelperEarliestDate(S36,Trigger),"--")</f>
        <v>--</v>
      </c>
      <c r="U36" s="94" t="str">
        <f>IFERROR(_xll.qlRateHelperPillarDate(S36,Trigger),"--")</f>
        <v>--</v>
      </c>
      <c r="V36" s="46"/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  <c r="AE36" s="145"/>
    </row>
    <row r="37" spans="1:31" ht="11.25" customHeight="1" x14ac:dyDescent="0.2">
      <c r="A37" s="58" t="s">
        <v>113</v>
      </c>
      <c r="B37" s="59" t="s">
        <v>57</v>
      </c>
      <c r="C37" s="60" t="s">
        <v>6</v>
      </c>
      <c r="D37" s="60" t="s">
        <v>130</v>
      </c>
      <c r="E37" s="60" t="s">
        <v>7</v>
      </c>
      <c r="F37" s="60" t="s">
        <v>131</v>
      </c>
      <c r="G37" s="60" t="str">
        <f t="shared" si="17"/>
        <v>HkdHibor6M</v>
      </c>
      <c r="H37" s="58" t="str">
        <f t="shared" si="18"/>
        <v>HKDQM3H7Y_Quote</v>
      </c>
      <c r="I37" s="128" t="str">
        <f t="shared" si="19"/>
        <v>HKD3HI6HI7Y_Quote</v>
      </c>
      <c r="J37" s="177" t="str">
        <f>IF(P33,_xll.qlSwapRateHelper2(,H37,1,B37,Calendar,D37,E37,F37,G37,I37,C37,Discounting,PillarDate,,Permanent,Trigger,ObjectOverwrite),"--")</f>
        <v>--</v>
      </c>
      <c r="L37" s="183" t="str">
        <f t="shared" si="14"/>
        <v>BasSw</v>
      </c>
      <c r="M37" s="187" t="str">
        <f t="shared" si="15"/>
        <v>HKDQM3H11Y_Quote</v>
      </c>
      <c r="N37" s="185" t="str">
        <f>IFERROR(_xll.qlQuoteValue(H41,Trigger),"--")</f>
        <v>--</v>
      </c>
      <c r="O37" s="185" t="str">
        <f>IFERROR(_xll.qlQuoteValue(I41,Trigger),"--")</f>
        <v>--</v>
      </c>
      <c r="P37" s="124" t="b">
        <v>0</v>
      </c>
      <c r="Q37" s="90">
        <v>50</v>
      </c>
      <c r="R37" s="90">
        <v>1</v>
      </c>
      <c r="S37" s="90" t="str">
        <f t="shared" si="16"/>
        <v>--</v>
      </c>
      <c r="T37" s="94" t="str">
        <f>IFERROR(_xll.qlRateHelperEarliestDate(S37,Trigger),"--")</f>
        <v>--</v>
      </c>
      <c r="U37" s="94" t="str">
        <f>IFERROR(_xll.qlRateHelperPillarDate(S37,Trigger),"--")</f>
        <v>--</v>
      </c>
      <c r="V37" s="46"/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  <c r="AE37" s="145"/>
    </row>
    <row r="38" spans="1:31" ht="11.25" customHeight="1" x14ac:dyDescent="0.2">
      <c r="A38" s="58" t="s">
        <v>113</v>
      </c>
      <c r="B38" s="59" t="s">
        <v>58</v>
      </c>
      <c r="C38" s="60" t="s">
        <v>6</v>
      </c>
      <c r="D38" s="60" t="s">
        <v>130</v>
      </c>
      <c r="E38" s="60" t="s">
        <v>7</v>
      </c>
      <c r="F38" s="60" t="s">
        <v>131</v>
      </c>
      <c r="G38" s="60" t="str">
        <f t="shared" si="17"/>
        <v>HkdHibor6M</v>
      </c>
      <c r="H38" s="58" t="str">
        <f t="shared" si="18"/>
        <v>HKDQM3H8Y_Quote</v>
      </c>
      <c r="I38" s="128" t="str">
        <f t="shared" si="19"/>
        <v>HKD3HI6HI8Y_Quote</v>
      </c>
      <c r="J38" s="177" t="str">
        <f>IF(P34,_xll.qlSwapRateHelper2(,H38,1,B38,Calendar,D38,E38,F38,G38,I38,C38,Discounting,PillarDate,,Permanent,Trigger,ObjectOverwrite),"--")</f>
        <v>--</v>
      </c>
      <c r="L38" s="183" t="str">
        <f t="shared" si="14"/>
        <v>BasSw</v>
      </c>
      <c r="M38" s="187" t="str">
        <f t="shared" si="15"/>
        <v>HKDQM3H12Y_Quote</v>
      </c>
      <c r="N38" s="185">
        <f>IFERROR(_xll.qlQuoteValue(H42,Trigger),"--")</f>
        <v>1.9799999999999998E-2</v>
      </c>
      <c r="O38" s="185">
        <f>IFERROR(_xll.qlQuoteValue(I42,Trigger),"--")</f>
        <v>-1.1000000000000001E-3</v>
      </c>
      <c r="P38" s="124" t="b">
        <v>0</v>
      </c>
      <c r="Q38" s="90">
        <v>50</v>
      </c>
      <c r="R38" s="90">
        <v>1</v>
      </c>
      <c r="S38" s="90" t="str">
        <f t="shared" si="16"/>
        <v>--</v>
      </c>
      <c r="T38" s="94" t="str">
        <f>IFERROR(_xll.qlRateHelperEarliestDate(S38,Trigger),"--")</f>
        <v>--</v>
      </c>
      <c r="U38" s="94" t="str">
        <f>IFERROR(_xll.qlRateHelperPillarDate(S38,Trigger),"--")</f>
        <v>--</v>
      </c>
      <c r="V38" s="46"/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  <c r="AE38" s="145"/>
    </row>
    <row r="39" spans="1:31" ht="11.25" customHeight="1" x14ac:dyDescent="0.2">
      <c r="A39" s="58" t="s">
        <v>113</v>
      </c>
      <c r="B39" s="59" t="s">
        <v>59</v>
      </c>
      <c r="C39" s="60" t="s">
        <v>6</v>
      </c>
      <c r="D39" s="60" t="s">
        <v>130</v>
      </c>
      <c r="E39" s="60" t="s">
        <v>7</v>
      </c>
      <c r="F39" s="60" t="s">
        <v>131</v>
      </c>
      <c r="G39" s="60" t="str">
        <f t="shared" si="17"/>
        <v>HkdHibor6M</v>
      </c>
      <c r="H39" s="58" t="str">
        <f t="shared" si="18"/>
        <v>HKDQM3H9Y_Quote</v>
      </c>
      <c r="I39" s="128" t="str">
        <f t="shared" si="19"/>
        <v>HKD3HI6HI9Y_Quote</v>
      </c>
      <c r="J39" s="177" t="str">
        <f>IF(P35,_xll.qlSwapRateHelper2(,H39,1,B39,Calendar,D39,E39,F39,G39,I39,C39,Discounting,PillarDate,,Permanent,Trigger,ObjectOverwrite),"--")</f>
        <v>--</v>
      </c>
      <c r="L39" s="183" t="str">
        <f t="shared" si="14"/>
        <v>BasSw</v>
      </c>
      <c r="M39" s="187" t="str">
        <f t="shared" si="15"/>
        <v>HKDQM3H13Y_Quote</v>
      </c>
      <c r="N39" s="185" t="str">
        <f>IFERROR(_xll.qlQuoteValue(H43,Trigger),"--")</f>
        <v>--</v>
      </c>
      <c r="O39" s="185" t="str">
        <f>IFERROR(_xll.qlQuoteValue(I43,Trigger),"--")</f>
        <v>--</v>
      </c>
      <c r="P39" s="124" t="b">
        <v>0</v>
      </c>
      <c r="Q39" s="90">
        <v>50</v>
      </c>
      <c r="R39" s="90">
        <v>1</v>
      </c>
      <c r="S39" s="90" t="str">
        <f t="shared" si="16"/>
        <v>--</v>
      </c>
      <c r="T39" s="94" t="str">
        <f>IFERROR(_xll.qlRateHelperEarliestDate(S39,Trigger),"--")</f>
        <v>--</v>
      </c>
      <c r="U39" s="94" t="str">
        <f>IFERROR(_xll.qlRateHelperPillarDate(S39,Trigger),"--")</f>
        <v>--</v>
      </c>
      <c r="V39" s="46"/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8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3" t="e">
        <v>#N/A</v>
      </c>
      <c r="AE39" s="145"/>
    </row>
    <row r="40" spans="1:31" ht="11.25" customHeight="1" x14ac:dyDescent="0.2">
      <c r="A40" s="58" t="s">
        <v>113</v>
      </c>
      <c r="B40" s="59" t="s">
        <v>60</v>
      </c>
      <c r="C40" s="60" t="s">
        <v>6</v>
      </c>
      <c r="D40" s="60" t="s">
        <v>130</v>
      </c>
      <c r="E40" s="60" t="s">
        <v>7</v>
      </c>
      <c r="F40" s="60" t="s">
        <v>131</v>
      </c>
      <c r="G40" s="60" t="str">
        <f t="shared" si="17"/>
        <v>HkdHibor6M</v>
      </c>
      <c r="H40" s="58" t="str">
        <f t="shared" si="18"/>
        <v>HKDQM3H10Y_Quote</v>
      </c>
      <c r="I40" s="128" t="str">
        <f t="shared" si="19"/>
        <v>HKD3HI6HI10Y_Quote</v>
      </c>
      <c r="J40" s="177" t="str">
        <f>IF(P36,_xll.qlSwapRateHelper2(,H40,1,B40,Calendar,D40,E40,F40,G40,I40,C40,Discounting,PillarDate,,Permanent,Trigger,ObjectOverwrite),"--")</f>
        <v>--</v>
      </c>
      <c r="L40" s="183" t="str">
        <f t="shared" si="14"/>
        <v>BasSw</v>
      </c>
      <c r="M40" s="187" t="str">
        <f t="shared" si="15"/>
        <v>HKDQM3H14Y_Quote</v>
      </c>
      <c r="N40" s="185" t="str">
        <f>IFERROR(_xll.qlQuoteValue(H44,Trigger),"--")</f>
        <v>--</v>
      </c>
      <c r="O40" s="185" t="str">
        <f>IFERROR(_xll.qlQuoteValue(I44,Trigger),"--")</f>
        <v>--</v>
      </c>
      <c r="P40" s="124" t="b">
        <v>0</v>
      </c>
      <c r="Q40" s="90">
        <v>50</v>
      </c>
      <c r="R40" s="90">
        <v>1</v>
      </c>
      <c r="S40" s="90" t="str">
        <f t="shared" si="16"/>
        <v>--</v>
      </c>
      <c r="T40" s="94" t="str">
        <f>IFERROR(_xll.qlRateHelperEarliestDate(S40,Trigger),"--")</f>
        <v>--</v>
      </c>
      <c r="U40" s="94" t="str">
        <f>IFERROR(_xll.qlRateHelperPillarDate(S40,Trigger),"--")</f>
        <v>--</v>
      </c>
      <c r="V40" s="46"/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8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3" t="e">
        <v>#N/A</v>
      </c>
      <c r="AE40" s="145"/>
    </row>
    <row r="41" spans="1:31" ht="11.25" customHeight="1" x14ac:dyDescent="0.2">
      <c r="A41" s="58" t="s">
        <v>113</v>
      </c>
      <c r="B41" s="59" t="s">
        <v>95</v>
      </c>
      <c r="C41" s="60" t="s">
        <v>6</v>
      </c>
      <c r="D41" s="60" t="s">
        <v>130</v>
      </c>
      <c r="E41" s="60" t="s">
        <v>7</v>
      </c>
      <c r="F41" s="60" t="s">
        <v>131</v>
      </c>
      <c r="G41" s="60" t="str">
        <f t="shared" si="17"/>
        <v>HkdHibor6M</v>
      </c>
      <c r="H41" s="58" t="str">
        <f t="shared" si="18"/>
        <v>HKDQM3H11Y_Quote</v>
      </c>
      <c r="I41" s="128" t="str">
        <f t="shared" si="19"/>
        <v>HKD3HI6HI11Y_Quote</v>
      </c>
      <c r="J41" s="177" t="str">
        <f>IF(P37,_xll.qlSwapRateHelper2(,H41,1,B41,Calendar,D41,E41,F41,G41,I41,C41,Discounting,PillarDate,,Permanent,Trigger,ObjectOverwrite),"--")</f>
        <v>--</v>
      </c>
      <c r="L41" s="183" t="str">
        <f t="shared" si="14"/>
        <v>BasSw</v>
      </c>
      <c r="M41" s="187" t="str">
        <f t="shared" si="15"/>
        <v>HKDQM3H15Y_Quote</v>
      </c>
      <c r="N41" s="185">
        <f>IFERROR(_xll.qlQuoteValue(H45,Trigger),"--")</f>
        <v>2.0499999999999997E-2</v>
      </c>
      <c r="O41" s="185">
        <f>IFERROR(_xll.qlQuoteValue(I45,Trigger),"--")</f>
        <v>-1.1000000000000001E-3</v>
      </c>
      <c r="P41" s="124" t="b">
        <v>0</v>
      </c>
      <c r="Q41" s="90">
        <v>50</v>
      </c>
      <c r="R41" s="90">
        <v>1</v>
      </c>
      <c r="S41" s="90" t="str">
        <f t="shared" si="16"/>
        <v>--</v>
      </c>
      <c r="T41" s="94" t="str">
        <f>IFERROR(_xll.qlRateHelperEarliestDate(S41,Trigger),"--")</f>
        <v>--</v>
      </c>
      <c r="U41" s="94" t="str">
        <f>IFERROR(_xll.qlRateHelperPillarDate(S41,Trigger),"--")</f>
        <v>--</v>
      </c>
      <c r="V41" s="46"/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8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3" t="e">
        <v>#N/A</v>
      </c>
      <c r="AE41" s="145"/>
    </row>
    <row r="42" spans="1:31" ht="11.25" customHeight="1" x14ac:dyDescent="0.2">
      <c r="A42" s="58" t="s">
        <v>113</v>
      </c>
      <c r="B42" s="59" t="s">
        <v>61</v>
      </c>
      <c r="C42" s="60" t="s">
        <v>6</v>
      </c>
      <c r="D42" s="60" t="s">
        <v>130</v>
      </c>
      <c r="E42" s="60" t="s">
        <v>7</v>
      </c>
      <c r="F42" s="60" t="s">
        <v>131</v>
      </c>
      <c r="G42" s="60" t="str">
        <f t="shared" si="17"/>
        <v>HkdHibor6M</v>
      </c>
      <c r="H42" s="58" t="str">
        <f t="shared" si="18"/>
        <v>HKDQM3H12Y_Quote</v>
      </c>
      <c r="I42" s="128" t="str">
        <f t="shared" si="19"/>
        <v>HKD3HI6HI12Y_Quote</v>
      </c>
      <c r="J42" s="177" t="str">
        <f>IF(P38,_xll.qlSwapRateHelper2(,H42,1,B42,Calendar,D42,E42,F42,G42,I42,C42,Discounting,PillarDate,,Permanent,Trigger,ObjectOverwrite),"--")</f>
        <v>--</v>
      </c>
      <c r="L42" s="183" t="str">
        <f t="shared" si="14"/>
        <v>BasSw</v>
      </c>
      <c r="M42" s="187" t="str">
        <f t="shared" si="15"/>
        <v>HKDQM3H16Y_Quote</v>
      </c>
      <c r="N42" s="185" t="str">
        <f>IFERROR(_xll.qlQuoteValue(H46,Trigger),"--")</f>
        <v>--</v>
      </c>
      <c r="O42" s="185" t="str">
        <f>IFERROR(_xll.qlQuoteValue(I46,Trigger),"--")</f>
        <v>--</v>
      </c>
      <c r="P42" s="124" t="b">
        <v>0</v>
      </c>
      <c r="Q42" s="90">
        <v>50</v>
      </c>
      <c r="R42" s="90">
        <v>1</v>
      </c>
      <c r="S42" s="90" t="str">
        <f t="shared" si="16"/>
        <v>--</v>
      </c>
      <c r="T42" s="94" t="str">
        <f>IFERROR(_xll.qlRateHelperEarliestDate(S42,Trigger),"--")</f>
        <v>--</v>
      </c>
      <c r="U42" s="94" t="str">
        <f>IFERROR(_xll.qlRateHelperPillarDate(S42,Trigger),"--")</f>
        <v>--</v>
      </c>
      <c r="V42" s="46"/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8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3" t="e">
        <v>#N/A</v>
      </c>
      <c r="AE42" s="145"/>
    </row>
    <row r="43" spans="1:31" ht="11.25" customHeight="1" x14ac:dyDescent="0.2">
      <c r="A43" s="58" t="s">
        <v>113</v>
      </c>
      <c r="B43" s="59" t="s">
        <v>96</v>
      </c>
      <c r="C43" s="60" t="s">
        <v>6</v>
      </c>
      <c r="D43" s="60" t="s">
        <v>130</v>
      </c>
      <c r="E43" s="60" t="s">
        <v>7</v>
      </c>
      <c r="F43" s="60" t="s">
        <v>131</v>
      </c>
      <c r="G43" s="60" t="str">
        <f t="shared" si="17"/>
        <v>HkdHibor6M</v>
      </c>
      <c r="H43" s="58" t="str">
        <f t="shared" si="18"/>
        <v>HKDQM3H13Y_Quote</v>
      </c>
      <c r="I43" s="128" t="str">
        <f t="shared" si="19"/>
        <v>HKD3HI6HI13Y_Quote</v>
      </c>
      <c r="J43" s="177" t="str">
        <f>IF(P39,_xll.qlSwapRateHelper2(,H43,1,B43,Calendar,D43,E43,F43,G43,I43,C43,Discounting,PillarDate,,Permanent,Trigger,ObjectOverwrite),"--")</f>
        <v>--</v>
      </c>
      <c r="L43" s="183" t="str">
        <f t="shared" si="14"/>
        <v>BasSw</v>
      </c>
      <c r="M43" s="187" t="str">
        <f t="shared" si="15"/>
        <v>HKDQM3H17Y_Quote</v>
      </c>
      <c r="N43" s="185" t="str">
        <f>IFERROR(_xll.qlQuoteValue(H47,Trigger),"--")</f>
        <v>--</v>
      </c>
      <c r="O43" s="185" t="str">
        <f>IFERROR(_xll.qlQuoteValue(I47,Trigger),"--")</f>
        <v>--</v>
      </c>
      <c r="P43" s="124" t="b">
        <v>0</v>
      </c>
      <c r="Q43" s="90">
        <v>50</v>
      </c>
      <c r="R43" s="90">
        <v>1</v>
      </c>
      <c r="S43" s="90" t="str">
        <f t="shared" si="16"/>
        <v>--</v>
      </c>
      <c r="T43" s="94" t="str">
        <f>IFERROR(_xll.qlRateHelperEarliestDate(S43,Trigger),"--")</f>
        <v>--</v>
      </c>
      <c r="U43" s="94" t="str">
        <f>IFERROR(_xll.qlRateHelperPillarDate(S43,Trigger),"--")</f>
        <v>--</v>
      </c>
      <c r="V43" s="46"/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8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3" t="e">
        <v>#N/A</v>
      </c>
      <c r="AE43" s="145"/>
    </row>
    <row r="44" spans="1:31" ht="11.25" customHeight="1" x14ac:dyDescent="0.2">
      <c r="A44" s="58" t="s">
        <v>113</v>
      </c>
      <c r="B44" s="59" t="s">
        <v>97</v>
      </c>
      <c r="C44" s="60" t="s">
        <v>6</v>
      </c>
      <c r="D44" s="60" t="s">
        <v>130</v>
      </c>
      <c r="E44" s="60" t="s">
        <v>7</v>
      </c>
      <c r="F44" s="60" t="s">
        <v>131</v>
      </c>
      <c r="G44" s="60" t="str">
        <f t="shared" si="17"/>
        <v>HkdHibor6M</v>
      </c>
      <c r="H44" s="58" t="str">
        <f t="shared" si="18"/>
        <v>HKDQM3H14Y_Quote</v>
      </c>
      <c r="I44" s="128" t="str">
        <f t="shared" si="19"/>
        <v>HKD3HI6HI14Y_Quote</v>
      </c>
      <c r="J44" s="177" t="str">
        <f>IF(P40,_xll.qlSwapRateHelper2(,H44,1,B44,Calendar,D44,E44,F44,G44,I44,C44,Discounting,PillarDate,,Permanent,Trigger,ObjectOverwrite),"--")</f>
        <v>--</v>
      </c>
      <c r="L44" s="183" t="str">
        <f t="shared" si="14"/>
        <v>BasSw</v>
      </c>
      <c r="M44" s="187" t="str">
        <f t="shared" si="15"/>
        <v>HKDQM3H18Y_Quote</v>
      </c>
      <c r="N44" s="185" t="str">
        <f>IFERROR(_xll.qlQuoteValue(H48,Trigger),"--")</f>
        <v>--</v>
      </c>
      <c r="O44" s="185" t="str">
        <f>IFERROR(_xll.qlQuoteValue(I48,Trigger),"--")</f>
        <v>--</v>
      </c>
      <c r="P44" s="124" t="b">
        <v>0</v>
      </c>
      <c r="Q44" s="90">
        <v>50</v>
      </c>
      <c r="R44" s="90">
        <v>1</v>
      </c>
      <c r="S44" s="90" t="str">
        <f t="shared" si="16"/>
        <v>--</v>
      </c>
      <c r="T44" s="94" t="str">
        <f>IFERROR(_xll.qlRateHelperEarliestDate(S44,Trigger),"--")</f>
        <v>--</v>
      </c>
      <c r="U44" s="94" t="str">
        <f>IFERROR(_xll.qlRateHelperPillarDate(S44,Trigger),"--")</f>
        <v>--</v>
      </c>
      <c r="V44" s="46"/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8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3" t="e">
        <v>#N/A</v>
      </c>
      <c r="AE44" s="145"/>
    </row>
    <row r="45" spans="1:31" ht="11.25" customHeight="1" x14ac:dyDescent="0.2">
      <c r="A45" s="58" t="s">
        <v>113</v>
      </c>
      <c r="B45" s="59" t="s">
        <v>62</v>
      </c>
      <c r="C45" s="60" t="s">
        <v>6</v>
      </c>
      <c r="D45" s="60" t="s">
        <v>130</v>
      </c>
      <c r="E45" s="60" t="s">
        <v>7</v>
      </c>
      <c r="F45" s="60" t="s">
        <v>131</v>
      </c>
      <c r="G45" s="60" t="str">
        <f t="shared" si="17"/>
        <v>HkdHibor6M</v>
      </c>
      <c r="H45" s="58" t="str">
        <f t="shared" si="18"/>
        <v>HKDQM3H15Y_Quote</v>
      </c>
      <c r="I45" s="128" t="str">
        <f t="shared" si="19"/>
        <v>HKD3HI6HI15Y_Quote</v>
      </c>
      <c r="J45" s="177" t="str">
        <f>IF(P41,_xll.qlSwapRateHelper2(,H45,1,B45,Calendar,D45,E45,F45,G45,I45,C45,Discounting,PillarDate,,Permanent,Trigger,ObjectOverwrite),"--")</f>
        <v>--</v>
      </c>
      <c r="L45" s="183" t="str">
        <f t="shared" si="14"/>
        <v>BasSw</v>
      </c>
      <c r="M45" s="187" t="str">
        <f t="shared" si="15"/>
        <v>HKDQM3H19Y_Quote</v>
      </c>
      <c r="N45" s="185" t="str">
        <f>IFERROR(_xll.qlQuoteValue(H49,Trigger),"--")</f>
        <v>--</v>
      </c>
      <c r="O45" s="185" t="str">
        <f>IFERROR(_xll.qlQuoteValue(I49,Trigger),"--")</f>
        <v>--</v>
      </c>
      <c r="P45" s="124" t="b">
        <v>0</v>
      </c>
      <c r="Q45" s="90">
        <v>50</v>
      </c>
      <c r="R45" s="90">
        <v>1</v>
      </c>
      <c r="S45" s="90" t="str">
        <f t="shared" si="16"/>
        <v>--</v>
      </c>
      <c r="T45" s="94" t="str">
        <f>IFERROR(_xll.qlRateHelperEarliestDate(S45,Trigger),"--")</f>
        <v>--</v>
      </c>
      <c r="U45" s="94" t="str">
        <f>IFERROR(_xll.qlRateHelperPillarDate(S45,Trigger),"--")</f>
        <v>--</v>
      </c>
      <c r="V45" s="46"/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8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3" t="e">
        <v>#N/A</v>
      </c>
      <c r="AE45" s="145"/>
    </row>
    <row r="46" spans="1:31" ht="11.25" customHeight="1" x14ac:dyDescent="0.2">
      <c r="A46" s="58" t="s">
        <v>113</v>
      </c>
      <c r="B46" s="59" t="s">
        <v>98</v>
      </c>
      <c r="C46" s="60" t="s">
        <v>6</v>
      </c>
      <c r="D46" s="60" t="s">
        <v>130</v>
      </c>
      <c r="E46" s="60" t="s">
        <v>7</v>
      </c>
      <c r="F46" s="60" t="s">
        <v>131</v>
      </c>
      <c r="G46" s="60" t="str">
        <f t="shared" si="17"/>
        <v>HkdHibor6M</v>
      </c>
      <c r="H46" s="58" t="str">
        <f t="shared" si="18"/>
        <v>HKDQM3H16Y_Quote</v>
      </c>
      <c r="I46" s="128" t="str">
        <f t="shared" si="19"/>
        <v>HKD3HI6HI16Y_Quote</v>
      </c>
      <c r="J46" s="177" t="str">
        <f>IF(P42,_xll.qlSwapRateHelper2(,H46,1,B46,Calendar,D46,E46,F46,G46,I46,C46,Discounting,PillarDate,,Permanent,Trigger,ObjectOverwrite),"--")</f>
        <v>--</v>
      </c>
      <c r="L46" s="183" t="str">
        <f t="shared" si="14"/>
        <v>BasSw</v>
      </c>
      <c r="M46" s="187" t="str">
        <f t="shared" si="15"/>
        <v>HKDQM3H20Y_Quote</v>
      </c>
      <c r="N46" s="185">
        <f>IFERROR(_xll.qlQuoteValue(H50,Trigger),"--")</f>
        <v>2.3E-2</v>
      </c>
      <c r="O46" s="185" t="str">
        <f>IFERROR(_xll.qlQuoteValue(I50,Trigger),"--")</f>
        <v>--</v>
      </c>
      <c r="P46" s="124" t="b">
        <v>0</v>
      </c>
      <c r="Q46" s="90">
        <v>50</v>
      </c>
      <c r="R46" s="90">
        <v>1</v>
      </c>
      <c r="S46" s="90" t="str">
        <f t="shared" si="16"/>
        <v>--</v>
      </c>
      <c r="T46" s="94" t="str">
        <f>IFERROR(_xll.qlRateHelperEarliestDate(S46,Trigger),"--")</f>
        <v>--</v>
      </c>
      <c r="U46" s="94" t="str">
        <f>IFERROR(_xll.qlRateHelperPillarDate(S46,Trigger),"--")</f>
        <v>--</v>
      </c>
      <c r="V46" s="46"/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8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3" t="e">
        <v>#N/A</v>
      </c>
    </row>
    <row r="47" spans="1:31" ht="11.25" customHeight="1" x14ac:dyDescent="0.2">
      <c r="A47" s="58" t="s">
        <v>113</v>
      </c>
      <c r="B47" s="59" t="s">
        <v>99</v>
      </c>
      <c r="C47" s="60" t="s">
        <v>6</v>
      </c>
      <c r="D47" s="60" t="s">
        <v>130</v>
      </c>
      <c r="E47" s="60" t="s">
        <v>7</v>
      </c>
      <c r="F47" s="60" t="s">
        <v>131</v>
      </c>
      <c r="G47" s="60" t="str">
        <f t="shared" si="17"/>
        <v>HkdHibor6M</v>
      </c>
      <c r="H47" s="58" t="str">
        <f t="shared" si="18"/>
        <v>HKDQM3H17Y_Quote</v>
      </c>
      <c r="I47" s="128" t="str">
        <f t="shared" si="19"/>
        <v>HKD3HI6HI17Y_Quote</v>
      </c>
      <c r="J47" s="177" t="str">
        <f>IF(P43,_xll.qlSwapRateHelper2(,H47,1,B47,Calendar,D47,E47,F47,G47,I47,C47,Discounting,PillarDate,,Permanent,Trigger,ObjectOverwrite),"--")</f>
        <v>--</v>
      </c>
      <c r="L47" s="183" t="str">
        <f t="shared" si="14"/>
        <v>BasSw</v>
      </c>
      <c r="M47" s="187" t="str">
        <f t="shared" si="15"/>
        <v>HKDQM3H21Y_Quote</v>
      </c>
      <c r="N47" s="185" t="str">
        <f>IFERROR(_xll.qlQuoteValue(H51,Trigger),"--")</f>
        <v>--</v>
      </c>
      <c r="O47" s="185" t="str">
        <f>IFERROR(_xll.qlQuoteValue(I51,Trigger),"--")</f>
        <v>--</v>
      </c>
      <c r="P47" s="124" t="b">
        <v>0</v>
      </c>
      <c r="Q47" s="90">
        <v>50</v>
      </c>
      <c r="R47" s="90">
        <v>1</v>
      </c>
      <c r="S47" s="90" t="str">
        <f t="shared" si="16"/>
        <v>--</v>
      </c>
      <c r="T47" s="94" t="str">
        <f>IFERROR(_xll.qlRateHelperEarliestDate(S47,Trigger),"--")</f>
        <v>--</v>
      </c>
      <c r="U47" s="94" t="str">
        <f>IFERROR(_xll.qlRateHelperPillarDate(S47,Trigger),"--")</f>
        <v>--</v>
      </c>
      <c r="V47" s="46"/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8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3" t="e">
        <v>#N/A</v>
      </c>
    </row>
    <row r="48" spans="1:31" ht="11.25" customHeight="1" x14ac:dyDescent="0.2">
      <c r="A48" s="58" t="s">
        <v>113</v>
      </c>
      <c r="B48" s="59" t="s">
        <v>100</v>
      </c>
      <c r="C48" s="60" t="s">
        <v>6</v>
      </c>
      <c r="D48" s="60" t="s">
        <v>130</v>
      </c>
      <c r="E48" s="60" t="s">
        <v>7</v>
      </c>
      <c r="F48" s="60" t="s">
        <v>131</v>
      </c>
      <c r="G48" s="60" t="str">
        <f t="shared" si="17"/>
        <v>HkdHibor6M</v>
      </c>
      <c r="H48" s="58" t="str">
        <f t="shared" si="18"/>
        <v>HKDQM3H18Y_Quote</v>
      </c>
      <c r="I48" s="128" t="str">
        <f t="shared" si="19"/>
        <v>HKD3HI6HI18Y_Quote</v>
      </c>
      <c r="J48" s="177" t="str">
        <f>IF(P44,_xll.qlSwapRateHelper2(,H48,1,B48,Calendar,D48,E48,F48,G48,I48,C48,Discounting,PillarDate,,Permanent,Trigger,ObjectOverwrite),"--")</f>
        <v>--</v>
      </c>
      <c r="L48" s="183" t="str">
        <f t="shared" si="14"/>
        <v>BasSw</v>
      </c>
      <c r="M48" s="187" t="str">
        <f t="shared" si="15"/>
        <v>HKDQM3H22Y_Quote</v>
      </c>
      <c r="N48" s="185" t="str">
        <f>IFERROR(_xll.qlQuoteValue(H52,Trigger),"--")</f>
        <v>--</v>
      </c>
      <c r="O48" s="185" t="str">
        <f>IFERROR(_xll.qlQuoteValue(I52,Trigger),"--")</f>
        <v>--</v>
      </c>
      <c r="P48" s="124" t="b">
        <v>0</v>
      </c>
      <c r="Q48" s="90">
        <v>50</v>
      </c>
      <c r="R48" s="90">
        <v>1</v>
      </c>
      <c r="S48" s="90" t="str">
        <f t="shared" si="16"/>
        <v>--</v>
      </c>
      <c r="T48" s="94" t="str">
        <f>IFERROR(_xll.qlRateHelperEarliestDate(S48,Trigger),"--")</f>
        <v>--</v>
      </c>
      <c r="U48" s="94" t="str">
        <f>IFERROR(_xll.qlRateHelperPillarDate(S48,Trigger),"--")</f>
        <v>--</v>
      </c>
      <c r="V48" s="46"/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8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3" t="e">
        <v>#N/A</v>
      </c>
    </row>
    <row r="49" spans="1:30" ht="11.25" customHeight="1" x14ac:dyDescent="0.2">
      <c r="A49" s="58" t="s">
        <v>113</v>
      </c>
      <c r="B49" s="59" t="s">
        <v>101</v>
      </c>
      <c r="C49" s="60" t="s">
        <v>6</v>
      </c>
      <c r="D49" s="60" t="s">
        <v>130</v>
      </c>
      <c r="E49" s="60" t="s">
        <v>7</v>
      </c>
      <c r="F49" s="60" t="s">
        <v>131</v>
      </c>
      <c r="G49" s="60" t="str">
        <f t="shared" si="17"/>
        <v>HkdHibor6M</v>
      </c>
      <c r="H49" s="58" t="str">
        <f t="shared" si="18"/>
        <v>HKDQM3H19Y_Quote</v>
      </c>
      <c r="I49" s="128" t="str">
        <f t="shared" si="19"/>
        <v>HKD3HI6HI19Y_Quote</v>
      </c>
      <c r="J49" s="177" t="str">
        <f>IF(P45,_xll.qlSwapRateHelper2(,H49,1,B49,Calendar,D49,E49,F49,G49,I49,C49,Discounting,PillarDate,,Permanent,Trigger,ObjectOverwrite),"--")</f>
        <v>--</v>
      </c>
      <c r="L49" s="183" t="str">
        <f t="shared" si="14"/>
        <v>BasSw</v>
      </c>
      <c r="M49" s="187" t="str">
        <f t="shared" si="15"/>
        <v>HKDQM3H23Y_Quote</v>
      </c>
      <c r="N49" s="185" t="str">
        <f>IFERROR(_xll.qlQuoteValue(H53,Trigger),"--")</f>
        <v>--</v>
      </c>
      <c r="O49" s="185" t="str">
        <f>IFERROR(_xll.qlQuoteValue(I53,Trigger),"--")</f>
        <v>--</v>
      </c>
      <c r="P49" s="124" t="b">
        <v>0</v>
      </c>
      <c r="Q49" s="90">
        <v>50</v>
      </c>
      <c r="R49" s="90">
        <v>1</v>
      </c>
      <c r="S49" s="90" t="str">
        <f t="shared" si="16"/>
        <v>--</v>
      </c>
      <c r="T49" s="94" t="str">
        <f>IFERROR(_xll.qlRateHelperEarliestDate(S49,Trigger),"--")</f>
        <v>--</v>
      </c>
      <c r="U49" s="94" t="str">
        <f>IFERROR(_xll.qlRateHelperPillarDate(S49,Trigger),"--")</f>
        <v>--</v>
      </c>
      <c r="V49" s="46"/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8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3" t="e">
        <v>#N/A</v>
      </c>
    </row>
    <row r="50" spans="1:30" ht="11.25" customHeight="1" x14ac:dyDescent="0.2">
      <c r="A50" s="58" t="s">
        <v>113</v>
      </c>
      <c r="B50" s="59" t="s">
        <v>63</v>
      </c>
      <c r="C50" s="60" t="s">
        <v>6</v>
      </c>
      <c r="D50" s="60" t="s">
        <v>130</v>
      </c>
      <c r="E50" s="60" t="s">
        <v>7</v>
      </c>
      <c r="F50" s="60" t="s">
        <v>131</v>
      </c>
      <c r="G50" s="60" t="str">
        <f t="shared" si="17"/>
        <v>HkdHibor6M</v>
      </c>
      <c r="H50" s="58" t="str">
        <f t="shared" si="18"/>
        <v>HKDQM3H20Y_Quote</v>
      </c>
      <c r="I50" s="128" t="str">
        <f t="shared" si="19"/>
        <v>HKD3HI6HI20Y_Quote</v>
      </c>
      <c r="J50" s="177" t="str">
        <f>IF(P46,_xll.qlSwapRateHelper2(,H50,1,B50,Calendar,D50,E50,F50,G50,I50,C50,Discounting,PillarDate,,Permanent,Trigger,ObjectOverwrite),"--")</f>
        <v>--</v>
      </c>
      <c r="L50" s="183" t="str">
        <f t="shared" si="14"/>
        <v>BasSw</v>
      </c>
      <c r="M50" s="187" t="str">
        <f t="shared" si="15"/>
        <v>HKDQM3H24Y_Quote</v>
      </c>
      <c r="N50" s="185" t="str">
        <f>IFERROR(_xll.qlQuoteValue(H54,Trigger),"--")</f>
        <v>--</v>
      </c>
      <c r="O50" s="185" t="str">
        <f>IFERROR(_xll.qlQuoteValue(I54,Trigger),"--")</f>
        <v>--</v>
      </c>
      <c r="P50" s="124" t="b">
        <v>0</v>
      </c>
      <c r="Q50" s="90">
        <v>50</v>
      </c>
      <c r="R50" s="90">
        <v>1</v>
      </c>
      <c r="S50" s="90" t="str">
        <f t="shared" si="16"/>
        <v>--</v>
      </c>
      <c r="T50" s="94" t="str">
        <f>IFERROR(_xll.qlRateHelperEarliestDate(S50,Trigger),"--")</f>
        <v>--</v>
      </c>
      <c r="U50" s="94" t="str">
        <f>IFERROR(_xll.qlRateHelperPillarDate(S50,Trigger),"--")</f>
        <v>--</v>
      </c>
      <c r="V50" s="46"/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8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3" t="e">
        <v>#N/A</v>
      </c>
    </row>
    <row r="51" spans="1:30" ht="11.25" customHeight="1" x14ac:dyDescent="0.2">
      <c r="A51" s="58" t="s">
        <v>113</v>
      </c>
      <c r="B51" s="59" t="s">
        <v>102</v>
      </c>
      <c r="C51" s="60" t="s">
        <v>6</v>
      </c>
      <c r="D51" s="60" t="s">
        <v>130</v>
      </c>
      <c r="E51" s="60" t="s">
        <v>7</v>
      </c>
      <c r="F51" s="60" t="s">
        <v>131</v>
      </c>
      <c r="G51" s="60" t="str">
        <f t="shared" si="17"/>
        <v>HkdHibor6M</v>
      </c>
      <c r="H51" s="58" t="str">
        <f t="shared" si="18"/>
        <v>HKDQM3H21Y_Quote</v>
      </c>
      <c r="I51" s="128" t="str">
        <f t="shared" si="19"/>
        <v>HKD3HI6HI21Y_Quote</v>
      </c>
      <c r="J51" s="177" t="str">
        <f>IF(P47,_xll.qlSwapRateHelper2(,H51,1,B51,Calendar,D51,E51,F51,G51,I51,C51,Discounting,PillarDate,,Permanent,Trigger,ObjectOverwrite),"--")</f>
        <v>--</v>
      </c>
      <c r="L51" s="183" t="str">
        <f t="shared" si="14"/>
        <v>BasSw</v>
      </c>
      <c r="M51" s="187" t="str">
        <f t="shared" si="15"/>
        <v>HKDQM3H25Y_Quote</v>
      </c>
      <c r="N51" s="185" t="str">
        <f>IFERROR(_xll.qlQuoteValue(H55,Trigger),"--")</f>
        <v>--</v>
      </c>
      <c r="O51" s="185" t="str">
        <f>IFERROR(_xll.qlQuoteValue(I55,Trigger),"--")</f>
        <v>--</v>
      </c>
      <c r="P51" s="124" t="b">
        <v>0</v>
      </c>
      <c r="Q51" s="90">
        <v>50</v>
      </c>
      <c r="R51" s="90">
        <v>1</v>
      </c>
      <c r="S51" s="90" t="str">
        <f t="shared" si="16"/>
        <v>--</v>
      </c>
      <c r="T51" s="94" t="str">
        <f>IFERROR(_xll.qlRateHelperEarliestDate(S51,Trigger),"--")</f>
        <v>--</v>
      </c>
      <c r="U51" s="94" t="str">
        <f>IFERROR(_xll.qlRateHelperPillarDate(S51,Trigger),"--")</f>
        <v>--</v>
      </c>
      <c r="V51" s="46"/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8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3" t="e">
        <v>#N/A</v>
      </c>
    </row>
    <row r="52" spans="1:30" ht="11.25" customHeight="1" x14ac:dyDescent="0.2">
      <c r="A52" s="58" t="s">
        <v>113</v>
      </c>
      <c r="B52" s="59" t="s">
        <v>103</v>
      </c>
      <c r="C52" s="60" t="s">
        <v>6</v>
      </c>
      <c r="D52" s="60" t="s">
        <v>130</v>
      </c>
      <c r="E52" s="60" t="s">
        <v>7</v>
      </c>
      <c r="F52" s="60" t="s">
        <v>131</v>
      </c>
      <c r="G52" s="60" t="str">
        <f t="shared" si="17"/>
        <v>HkdHibor6M</v>
      </c>
      <c r="H52" s="58" t="str">
        <f t="shared" si="18"/>
        <v>HKDQM3H22Y_Quote</v>
      </c>
      <c r="I52" s="128" t="str">
        <f t="shared" si="19"/>
        <v>HKD3HI6HI22Y_Quote</v>
      </c>
      <c r="J52" s="177" t="str">
        <f>IF(P48,_xll.qlSwapRateHelper2(,H52,1,B52,Calendar,D52,E52,F52,G52,I52,C52,Discounting,PillarDate,,Permanent,Trigger,ObjectOverwrite),"--")</f>
        <v>--</v>
      </c>
      <c r="L52" s="183" t="str">
        <f t="shared" si="14"/>
        <v>BasSw</v>
      </c>
      <c r="M52" s="187" t="str">
        <f t="shared" si="15"/>
        <v>HKDQM3H26Y_Quote</v>
      </c>
      <c r="N52" s="185" t="str">
        <f>IFERROR(_xll.qlQuoteValue(H56,Trigger),"--")</f>
        <v>--</v>
      </c>
      <c r="O52" s="185" t="str">
        <f>IFERROR(_xll.qlQuoteValue(I56,Trigger),"--")</f>
        <v>--</v>
      </c>
      <c r="P52" s="124" t="b">
        <v>0</v>
      </c>
      <c r="Q52" s="90">
        <v>50</v>
      </c>
      <c r="R52" s="90">
        <v>1</v>
      </c>
      <c r="S52" s="90" t="str">
        <f t="shared" si="16"/>
        <v>--</v>
      </c>
      <c r="T52" s="94" t="str">
        <f>IFERROR(_xll.qlRateHelperEarliestDate(S52,Trigger),"--")</f>
        <v>--</v>
      </c>
      <c r="U52" s="94" t="str">
        <f>IFERROR(_xll.qlRateHelperPillarDate(S52,Trigger),"--")</f>
        <v>--</v>
      </c>
      <c r="V52" s="46"/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8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3" t="e">
        <v>#N/A</v>
      </c>
    </row>
    <row r="53" spans="1:30" ht="11.25" customHeight="1" x14ac:dyDescent="0.2">
      <c r="A53" s="58" t="s">
        <v>113</v>
      </c>
      <c r="B53" s="59" t="s">
        <v>104</v>
      </c>
      <c r="C53" s="60" t="s">
        <v>6</v>
      </c>
      <c r="D53" s="60" t="s">
        <v>130</v>
      </c>
      <c r="E53" s="60" t="s">
        <v>7</v>
      </c>
      <c r="F53" s="60" t="s">
        <v>131</v>
      </c>
      <c r="G53" s="60" t="str">
        <f t="shared" si="17"/>
        <v>HkdHibor6M</v>
      </c>
      <c r="H53" s="58" t="str">
        <f t="shared" si="18"/>
        <v>HKDQM3H23Y_Quote</v>
      </c>
      <c r="I53" s="128" t="str">
        <f t="shared" si="19"/>
        <v>HKD3HI6HI23Y_Quote</v>
      </c>
      <c r="J53" s="177" t="str">
        <f>IF(P49,_xll.qlSwapRateHelper2(,H53,1,B53,Calendar,D53,E53,F53,G53,I53,C53,Discounting,PillarDate,,Permanent,Trigger,ObjectOverwrite),"--")</f>
        <v>--</v>
      </c>
      <c r="L53" s="183" t="str">
        <f t="shared" si="14"/>
        <v>BasSw</v>
      </c>
      <c r="M53" s="187" t="str">
        <f t="shared" si="15"/>
        <v>HKDQM3H27Y_Quote</v>
      </c>
      <c r="N53" s="185" t="str">
        <f>IFERROR(_xll.qlQuoteValue(H57,Trigger),"--")</f>
        <v>--</v>
      </c>
      <c r="O53" s="185" t="str">
        <f>IFERROR(_xll.qlQuoteValue(I57,Trigger),"--")</f>
        <v>--</v>
      </c>
      <c r="P53" s="124" t="b">
        <v>0</v>
      </c>
      <c r="Q53" s="90">
        <v>50</v>
      </c>
      <c r="R53" s="90">
        <v>1</v>
      </c>
      <c r="S53" s="90" t="str">
        <f t="shared" si="16"/>
        <v>--</v>
      </c>
      <c r="T53" s="94" t="str">
        <f>IFERROR(_xll.qlRateHelperEarliestDate(S53,Trigger),"--")</f>
        <v>--</v>
      </c>
      <c r="U53" s="94" t="str">
        <f>IFERROR(_xll.qlRateHelperPillarDate(S53,Trigger),"--")</f>
        <v>--</v>
      </c>
      <c r="V53" s="46"/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8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3" t="e">
        <v>#N/A</v>
      </c>
    </row>
    <row r="54" spans="1:30" ht="11.25" customHeight="1" x14ac:dyDescent="0.2">
      <c r="A54" s="58" t="s">
        <v>113</v>
      </c>
      <c r="B54" s="59" t="s">
        <v>105</v>
      </c>
      <c r="C54" s="60" t="s">
        <v>6</v>
      </c>
      <c r="D54" s="60" t="s">
        <v>130</v>
      </c>
      <c r="E54" s="60" t="s">
        <v>7</v>
      </c>
      <c r="F54" s="60" t="s">
        <v>131</v>
      </c>
      <c r="G54" s="60" t="str">
        <f t="shared" si="17"/>
        <v>HkdHibor6M</v>
      </c>
      <c r="H54" s="58" t="str">
        <f t="shared" si="18"/>
        <v>HKDQM3H24Y_Quote</v>
      </c>
      <c r="I54" s="128" t="str">
        <f t="shared" si="19"/>
        <v>HKD3HI6HI24Y_Quote</v>
      </c>
      <c r="J54" s="177" t="str">
        <f>IF(P50,_xll.qlSwapRateHelper2(,H54,1,B54,Calendar,D54,E54,F54,G54,I54,C54,Discounting,PillarDate,,Permanent,Trigger,ObjectOverwrite),"--")</f>
        <v>--</v>
      </c>
      <c r="L54" s="183" t="str">
        <f t="shared" si="14"/>
        <v>BasSw</v>
      </c>
      <c r="M54" s="187" t="str">
        <f t="shared" si="15"/>
        <v>HKDQM3H28Y_Quote</v>
      </c>
      <c r="N54" s="185" t="str">
        <f>IFERROR(_xll.qlQuoteValue(H58,Trigger),"--")</f>
        <v>--</v>
      </c>
      <c r="O54" s="185" t="str">
        <f>IFERROR(_xll.qlQuoteValue(I58,Trigger),"--")</f>
        <v>--</v>
      </c>
      <c r="P54" s="124" t="b">
        <v>0</v>
      </c>
      <c r="Q54" s="90">
        <v>50</v>
      </c>
      <c r="R54" s="90">
        <v>1</v>
      </c>
      <c r="S54" s="90" t="str">
        <f t="shared" si="16"/>
        <v>--</v>
      </c>
      <c r="T54" s="94" t="str">
        <f>IFERROR(_xll.qlRateHelperEarliestDate(S54,Trigger),"--")</f>
        <v>--</v>
      </c>
      <c r="U54" s="94" t="str">
        <f>IFERROR(_xll.qlRateHelperPillarDate(S54,Trigger),"--")</f>
        <v>--</v>
      </c>
      <c r="V54" s="46"/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8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3" t="e">
        <v>#N/A</v>
      </c>
    </row>
    <row r="55" spans="1:30" ht="11.25" customHeight="1" x14ac:dyDescent="0.2">
      <c r="A55" s="58" t="s">
        <v>113</v>
      </c>
      <c r="B55" s="59" t="s">
        <v>64</v>
      </c>
      <c r="C55" s="60" t="s">
        <v>6</v>
      </c>
      <c r="D55" s="60" t="s">
        <v>130</v>
      </c>
      <c r="E55" s="60" t="s">
        <v>7</v>
      </c>
      <c r="F55" s="60" t="s">
        <v>131</v>
      </c>
      <c r="G55" s="60" t="str">
        <f t="shared" si="17"/>
        <v>HkdHibor6M</v>
      </c>
      <c r="H55" s="58" t="str">
        <f t="shared" si="18"/>
        <v>HKDQM3H25Y_Quote</v>
      </c>
      <c r="I55" s="128" t="str">
        <f t="shared" si="19"/>
        <v>HKD3HI6HI25Y_Quote</v>
      </c>
      <c r="J55" s="177" t="str">
        <f>IF(P51,_xll.qlSwapRateHelper2(,H55,1,B55,Calendar,D55,E55,F55,G55,I55,C55,Discounting,PillarDate,,Permanent,Trigger,ObjectOverwrite),"--")</f>
        <v>--</v>
      </c>
      <c r="L55" s="183" t="str">
        <f t="shared" si="14"/>
        <v>BasSw</v>
      </c>
      <c r="M55" s="187" t="str">
        <f t="shared" si="15"/>
        <v>HKDQM3H29Y_Quote</v>
      </c>
      <c r="N55" s="185" t="str">
        <f>IFERROR(_xll.qlQuoteValue(H59,Trigger),"--")</f>
        <v>--</v>
      </c>
      <c r="O55" s="185" t="str">
        <f>IFERROR(_xll.qlQuoteValue(I59,Trigger),"--")</f>
        <v>--</v>
      </c>
      <c r="P55" s="124" t="b">
        <v>0</v>
      </c>
      <c r="Q55" s="90">
        <v>50</v>
      </c>
      <c r="R55" s="90">
        <v>1</v>
      </c>
      <c r="S55" s="90" t="str">
        <f t="shared" si="16"/>
        <v>--</v>
      </c>
      <c r="T55" s="94" t="str">
        <f>IFERROR(_xll.qlRateHelperEarliestDate(S55,Trigger),"--")</f>
        <v>--</v>
      </c>
      <c r="U55" s="94" t="str">
        <f>IFERROR(_xll.qlRateHelperPillarDate(S55,Trigger),"--")</f>
        <v>--</v>
      </c>
      <c r="V55" s="46"/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8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3" t="e">
        <v>#N/A</v>
      </c>
    </row>
    <row r="56" spans="1:30" ht="11.25" customHeight="1" x14ac:dyDescent="0.2">
      <c r="A56" s="58" t="s">
        <v>113</v>
      </c>
      <c r="B56" s="59" t="s">
        <v>106</v>
      </c>
      <c r="C56" s="60" t="s">
        <v>6</v>
      </c>
      <c r="D56" s="60" t="s">
        <v>130</v>
      </c>
      <c r="E56" s="60" t="s">
        <v>7</v>
      </c>
      <c r="F56" s="60" t="s">
        <v>131</v>
      </c>
      <c r="G56" s="60" t="str">
        <f t="shared" si="17"/>
        <v>HkdHibor6M</v>
      </c>
      <c r="H56" s="58" t="str">
        <f t="shared" si="18"/>
        <v>HKDQM3H26Y_Quote</v>
      </c>
      <c r="I56" s="128" t="str">
        <f t="shared" si="19"/>
        <v>HKD3HI6HI26Y_Quote</v>
      </c>
      <c r="J56" s="177" t="str">
        <f>IF(P52,_xll.qlSwapRateHelper2(,H56,1,B56,Calendar,D56,E56,F56,G56,I56,C56,Discounting,PillarDate,,Permanent,Trigger,ObjectOverwrite),"--")</f>
        <v>--</v>
      </c>
      <c r="L56" s="183" t="str">
        <f t="shared" si="14"/>
        <v>BasSw</v>
      </c>
      <c r="M56" s="187" t="str">
        <f t="shared" si="15"/>
        <v>HKDQM3H30Y_Quote</v>
      </c>
      <c r="N56" s="185" t="str">
        <f>IFERROR(_xll.qlQuoteValue(H60,Trigger),"--")</f>
        <v>--</v>
      </c>
      <c r="O56" s="185" t="str">
        <f>IFERROR(_xll.qlQuoteValue(I60,Trigger),"--")</f>
        <v>--</v>
      </c>
      <c r="P56" s="124" t="b">
        <v>0</v>
      </c>
      <c r="Q56" s="90">
        <v>50</v>
      </c>
      <c r="R56" s="90">
        <v>1</v>
      </c>
      <c r="S56" s="90" t="str">
        <f t="shared" si="16"/>
        <v>--</v>
      </c>
      <c r="T56" s="94" t="str">
        <f>IFERROR(_xll.qlRateHelperEarliestDate(S56,Trigger),"--")</f>
        <v>--</v>
      </c>
      <c r="U56" s="94" t="str">
        <f>IFERROR(_xll.qlRateHelperPillarDate(S56,Trigger),"--")</f>
        <v>--</v>
      </c>
      <c r="V56" s="46"/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8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3" t="e">
        <v>#N/A</v>
      </c>
    </row>
    <row r="57" spans="1:30" ht="11.25" customHeight="1" x14ac:dyDescent="0.2">
      <c r="A57" s="58" t="s">
        <v>113</v>
      </c>
      <c r="B57" s="59" t="s">
        <v>65</v>
      </c>
      <c r="C57" s="60" t="s">
        <v>6</v>
      </c>
      <c r="D57" s="60" t="s">
        <v>130</v>
      </c>
      <c r="E57" s="60" t="s">
        <v>7</v>
      </c>
      <c r="F57" s="60" t="s">
        <v>131</v>
      </c>
      <c r="G57" s="60" t="str">
        <f t="shared" si="17"/>
        <v>HkdHibor6M</v>
      </c>
      <c r="H57" s="58" t="str">
        <f t="shared" si="18"/>
        <v>HKDQM3H27Y_Quote</v>
      </c>
      <c r="I57" s="128" t="str">
        <f t="shared" si="19"/>
        <v>HKD3HI6HI27Y_Quote</v>
      </c>
      <c r="J57" s="177" t="str">
        <f>IF(P53,_xll.qlSwapRateHelper2(,H57,1,B57,Calendar,D57,E57,F57,G57,I57,C57,Discounting,PillarDate,,Permanent,Trigger,ObjectOverwrite),"--")</f>
        <v>--</v>
      </c>
      <c r="L57" s="183" t="str">
        <f t="shared" si="14"/>
        <v>BasSw</v>
      </c>
      <c r="M57" s="187" t="str">
        <f t="shared" si="15"/>
        <v>HKDQM3H35Y_Quote</v>
      </c>
      <c r="N57" s="185" t="str">
        <f>IFERROR(_xll.qlQuoteValue(H61,Trigger),"--")</f>
        <v>--</v>
      </c>
      <c r="O57" s="185" t="str">
        <f>IFERROR(_xll.qlQuoteValue(I61,Trigger),"--")</f>
        <v>--</v>
      </c>
      <c r="P57" s="124" t="b">
        <v>0</v>
      </c>
      <c r="Q57" s="90">
        <v>50</v>
      </c>
      <c r="R57" s="90">
        <v>1</v>
      </c>
      <c r="S57" s="90" t="str">
        <f t="shared" si="16"/>
        <v>--</v>
      </c>
      <c r="T57" s="94" t="str">
        <f>IFERROR(_xll.qlRateHelperEarliestDate(S57,Trigger),"--")</f>
        <v>--</v>
      </c>
      <c r="U57" s="94" t="str">
        <f>IFERROR(_xll.qlRateHelperPillarDate(S57,Trigger),"--")</f>
        <v>--</v>
      </c>
      <c r="V57" s="46"/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8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3" t="e">
        <v>#N/A</v>
      </c>
    </row>
    <row r="58" spans="1:30" ht="11.25" customHeight="1" x14ac:dyDescent="0.2">
      <c r="A58" s="58" t="s">
        <v>113</v>
      </c>
      <c r="B58" s="59" t="s">
        <v>107</v>
      </c>
      <c r="C58" s="60" t="s">
        <v>6</v>
      </c>
      <c r="D58" s="60" t="s">
        <v>130</v>
      </c>
      <c r="E58" s="60" t="s">
        <v>7</v>
      </c>
      <c r="F58" s="60" t="s">
        <v>131</v>
      </c>
      <c r="G58" s="60" t="str">
        <f t="shared" si="17"/>
        <v>HkdHibor6M</v>
      </c>
      <c r="H58" s="58" t="str">
        <f t="shared" si="18"/>
        <v>HKDQM3H28Y_Quote</v>
      </c>
      <c r="I58" s="128" t="str">
        <f t="shared" si="19"/>
        <v>HKD3HI6HI28Y_Quote</v>
      </c>
      <c r="J58" s="177" t="str">
        <f>IF(P54,_xll.qlSwapRateHelper2(,H58,1,B58,Calendar,D58,E58,F58,G58,I58,C58,Discounting,PillarDate,,Permanent,Trigger,ObjectOverwrite),"--")</f>
        <v>--</v>
      </c>
      <c r="L58" s="183" t="str">
        <f t="shared" si="14"/>
        <v>BasSw</v>
      </c>
      <c r="M58" s="187" t="str">
        <f t="shared" si="15"/>
        <v>HKDQM3H40Y_Quote</v>
      </c>
      <c r="N58" s="185" t="str">
        <f>IFERROR(_xll.qlQuoteValue(H62,Trigger),"--")</f>
        <v>--</v>
      </c>
      <c r="O58" s="185" t="str">
        <f>IFERROR(_xll.qlQuoteValue(I62,Trigger),"--")</f>
        <v>--</v>
      </c>
      <c r="P58" s="124" t="b">
        <v>0</v>
      </c>
      <c r="Q58" s="90">
        <v>50</v>
      </c>
      <c r="R58" s="90">
        <v>1</v>
      </c>
      <c r="S58" s="90" t="str">
        <f t="shared" si="16"/>
        <v>--</v>
      </c>
      <c r="T58" s="94" t="str">
        <f>IFERROR(_xll.qlRateHelperEarliestDate(S58,Trigger),"--")</f>
        <v>--</v>
      </c>
      <c r="U58" s="94" t="str">
        <f>IFERROR(_xll.qlRateHelperPillarDate(S58,Trigger),"--")</f>
        <v>--</v>
      </c>
      <c r="V58" s="46"/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8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3" t="e">
        <v>#N/A</v>
      </c>
    </row>
    <row r="59" spans="1:30" ht="11.25" customHeight="1" x14ac:dyDescent="0.2">
      <c r="A59" s="58" t="s">
        <v>113</v>
      </c>
      <c r="B59" s="59" t="s">
        <v>108</v>
      </c>
      <c r="C59" s="60" t="s">
        <v>6</v>
      </c>
      <c r="D59" s="60" t="s">
        <v>130</v>
      </c>
      <c r="E59" s="60" t="s">
        <v>7</v>
      </c>
      <c r="F59" s="60" t="s">
        <v>131</v>
      </c>
      <c r="G59" s="60" t="str">
        <f t="shared" si="17"/>
        <v>HkdHibor6M</v>
      </c>
      <c r="H59" s="58" t="str">
        <f t="shared" si="18"/>
        <v>HKDQM3H29Y_Quote</v>
      </c>
      <c r="I59" s="128" t="str">
        <f t="shared" si="19"/>
        <v>HKD3HI6HI29Y_Quote</v>
      </c>
      <c r="J59" s="177" t="str">
        <f>IF(P55,_xll.qlSwapRateHelper2(,H59,1,B59,Calendar,D59,E59,F59,G59,I59,C59,Discounting,PillarDate,,Permanent,Trigger,ObjectOverwrite),"--")</f>
        <v>--</v>
      </c>
      <c r="L59" s="183" t="str">
        <f t="shared" si="14"/>
        <v>BasSw</v>
      </c>
      <c r="M59" s="187" t="str">
        <f t="shared" si="15"/>
        <v>HKDQM3H50Y_Quote</v>
      </c>
      <c r="N59" s="185" t="str">
        <f>IFERROR(_xll.qlQuoteValue(H63,Trigger),"--")</f>
        <v>--</v>
      </c>
      <c r="O59" s="185" t="str">
        <f>IFERROR(_xll.qlQuoteValue(I63,Trigger),"--")</f>
        <v>--</v>
      </c>
      <c r="P59" s="124" t="b">
        <v>0</v>
      </c>
      <c r="Q59" s="90">
        <v>50</v>
      </c>
      <c r="R59" s="90">
        <v>1</v>
      </c>
      <c r="S59" s="90" t="str">
        <f t="shared" si="16"/>
        <v>--</v>
      </c>
      <c r="T59" s="94" t="str">
        <f>IFERROR(_xll.qlRateHelperEarliestDate(S59,Trigger),"--")</f>
        <v>--</v>
      </c>
      <c r="U59" s="94" t="str">
        <f>IFERROR(_xll.qlRateHelperPillarDate(S59,Trigger),"--")</f>
        <v>--</v>
      </c>
      <c r="V59" s="46"/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8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3" t="e">
        <v>#N/A</v>
      </c>
    </row>
    <row r="60" spans="1:30" ht="11.25" customHeight="1" x14ac:dyDescent="0.2">
      <c r="A60" s="58" t="s">
        <v>113</v>
      </c>
      <c r="B60" s="59" t="s">
        <v>66</v>
      </c>
      <c r="C60" s="60" t="s">
        <v>6</v>
      </c>
      <c r="D60" s="60" t="s">
        <v>130</v>
      </c>
      <c r="E60" s="60" t="s">
        <v>7</v>
      </c>
      <c r="F60" s="60" t="s">
        <v>131</v>
      </c>
      <c r="G60" s="60" t="str">
        <f t="shared" si="17"/>
        <v>HkdHibor6M</v>
      </c>
      <c r="H60" s="58" t="str">
        <f t="shared" si="18"/>
        <v>HKDQM3H30Y_Quote</v>
      </c>
      <c r="I60" s="128" t="str">
        <f t="shared" si="19"/>
        <v>HKD3HI6HI30Y_Quote</v>
      </c>
      <c r="J60" s="177" t="str">
        <f>IF(P56,_xll.qlSwapRateHelper2(,H60,1,B60,Calendar,D60,E60,F60,G60,I60,C60,Discounting,PillarDate,,Permanent,Trigger,ObjectOverwrite),"--")</f>
        <v>--</v>
      </c>
      <c r="L60" s="188" t="str">
        <f t="shared" si="14"/>
        <v>BasSw</v>
      </c>
      <c r="M60" s="189" t="str">
        <f t="shared" si="15"/>
        <v>HKDQM3H60Y_Quote</v>
      </c>
      <c r="N60" s="190" t="str">
        <f>IFERROR(_xll.qlQuoteValue(H64,Trigger),"--")</f>
        <v>--</v>
      </c>
      <c r="O60" s="190" t="str">
        <f>IFERROR(_xll.qlQuoteValue(I64,Trigger),"--")</f>
        <v>--</v>
      </c>
      <c r="P60" s="126" t="b">
        <v>0</v>
      </c>
      <c r="Q60" s="91">
        <v>50</v>
      </c>
      <c r="R60" s="91">
        <v>1</v>
      </c>
      <c r="S60" s="91" t="str">
        <f t="shared" si="16"/>
        <v>--</v>
      </c>
      <c r="T60" s="96" t="str">
        <f>IFERROR(_xll.qlRateHelperEarliestDate(S60,Trigger),"--")</f>
        <v>--</v>
      </c>
      <c r="U60" s="96" t="str">
        <f>IFERROR(_xll.qlRateHelperPillarDate(S60,Trigger),"--")</f>
        <v>--</v>
      </c>
      <c r="V60" s="46"/>
      <c r="W60" s="5" t="str">
        <f t="shared" si="20"/>
        <v/>
      </c>
      <c r="X60" s="5" t="e">
        <v>#N/A</v>
      </c>
      <c r="Y60" s="5" t="str">
        <f>IFERROR(_xll.qlRateHelperQuoteName(X60,Trigger),"")</f>
        <v/>
      </c>
      <c r="Z60" s="75" t="str">
        <f>IFERROR(_xll.qlRateHelperRate(X60,Trigger),"")</f>
        <v/>
      </c>
      <c r="AA60" s="99" t="str">
        <f>IF(ISERROR(_xll.qlSwapRateHelperSpread($X60)),IF(ISERROR(_xll.qlFuturesRateHelperConvexityAdjustment($X60)),"",_xll.qlFuturesRateHelperConvexityAdjustment($X60)),_xll.qlSwapRateHelperSpread($X60))</f>
        <v/>
      </c>
      <c r="AB60" s="9" t="str">
        <f>IFERROR(_xll.qlRateHelperEarliestDate(X60,Trigger),"")</f>
        <v/>
      </c>
      <c r="AC60" s="9" t="str">
        <f>IFERROR(_xll.qlRateHelperPillarDate(X60,Trigger),"")</f>
        <v/>
      </c>
      <c r="AD60" s="74" t="e">
        <v>#N/A</v>
      </c>
    </row>
    <row r="61" spans="1:30" ht="11.25" customHeight="1" x14ac:dyDescent="0.2">
      <c r="A61" s="58" t="s">
        <v>113</v>
      </c>
      <c r="B61" s="59" t="s">
        <v>67</v>
      </c>
      <c r="C61" s="60" t="s">
        <v>6</v>
      </c>
      <c r="D61" s="60" t="s">
        <v>130</v>
      </c>
      <c r="E61" s="60" t="s">
        <v>7</v>
      </c>
      <c r="F61" s="60" t="s">
        <v>131</v>
      </c>
      <c r="G61" s="60" t="str">
        <f t="shared" si="17"/>
        <v>HkdHibor6M</v>
      </c>
      <c r="H61" s="58" t="str">
        <f t="shared" si="18"/>
        <v>HKDQM3H35Y_Quote</v>
      </c>
      <c r="I61" s="128" t="str">
        <f t="shared" si="19"/>
        <v>HKD3HI6HI35Y_Quote</v>
      </c>
      <c r="J61" s="177" t="str">
        <f>IF(P57,_xll.qlSwapRateHelper2(,H61,1,B61,Calendar,D61,E61,F61,G61,I61,C61,Discounting,PillarDate,,Permanent,Trigger,ObjectOverwrite),"--")</f>
        <v>--</v>
      </c>
      <c r="V61" s="46"/>
      <c r="Y61" s="192" t="str">
        <f>_xll.ohGroup("HKD6M_instruments",Y3:Y60,Permanent,Trigger,ObjectOverwrite)</f>
        <v>HKD6M_instruments#0001</v>
      </c>
    </row>
    <row r="62" spans="1:30" ht="11.25" customHeight="1" x14ac:dyDescent="0.2">
      <c r="A62" s="58" t="s">
        <v>113</v>
      </c>
      <c r="B62" s="59" t="s">
        <v>68</v>
      </c>
      <c r="C62" s="60" t="s">
        <v>6</v>
      </c>
      <c r="D62" s="60" t="s">
        <v>130</v>
      </c>
      <c r="E62" s="60" t="s">
        <v>7</v>
      </c>
      <c r="F62" s="60" t="s">
        <v>131</v>
      </c>
      <c r="G62" s="60" t="str">
        <f t="shared" si="17"/>
        <v>HkdHibor6M</v>
      </c>
      <c r="H62" s="58" t="str">
        <f t="shared" si="18"/>
        <v>HKDQM3H40Y_Quote</v>
      </c>
      <c r="I62" s="128" t="str">
        <f t="shared" si="19"/>
        <v>HKD3HI6HI40Y_Quote</v>
      </c>
      <c r="J62" s="177" t="str">
        <f>IF(P58,_xll.qlSwapRateHelper2(,H62,1,B62,Calendar,D62,E62,F62,G62,I62,C62,Discounting,PillarDate,,Permanent,Trigger,ObjectOverwrite),"--")</f>
        <v>--</v>
      </c>
      <c r="V62" s="46"/>
    </row>
    <row r="63" spans="1:30" ht="11.25" customHeight="1" x14ac:dyDescent="0.2">
      <c r="A63" s="58" t="s">
        <v>113</v>
      </c>
      <c r="B63" s="59" t="s">
        <v>69</v>
      </c>
      <c r="C63" s="60" t="s">
        <v>6</v>
      </c>
      <c r="D63" s="60" t="s">
        <v>130</v>
      </c>
      <c r="E63" s="60" t="s">
        <v>7</v>
      </c>
      <c r="F63" s="60" t="s">
        <v>131</v>
      </c>
      <c r="G63" s="60" t="str">
        <f t="shared" si="17"/>
        <v>HkdHibor6M</v>
      </c>
      <c r="H63" s="58" t="str">
        <f t="shared" si="18"/>
        <v>HKDQM3H50Y_Quote</v>
      </c>
      <c r="I63" s="128" t="str">
        <f t="shared" si="19"/>
        <v>HKD3HI6HI50Y_Quote</v>
      </c>
      <c r="J63" s="177" t="str">
        <f>IF(P59,_xll.qlSwapRateHelper2(,H63,1,B63,Calendar,D63,E63,F63,G63,I63,C63,Discounting,PillarDate,,Permanent,Trigger,ObjectOverwrite),"--")</f>
        <v>--</v>
      </c>
      <c r="V63" s="46"/>
    </row>
    <row r="64" spans="1:30" ht="11.25" customHeight="1" x14ac:dyDescent="0.2">
      <c r="A64" s="1" t="s">
        <v>113</v>
      </c>
      <c r="B64" s="7" t="s">
        <v>109</v>
      </c>
      <c r="C64" s="6" t="s">
        <v>6</v>
      </c>
      <c r="D64" s="6" t="s">
        <v>130</v>
      </c>
      <c r="E64" s="6" t="s">
        <v>7</v>
      </c>
      <c r="F64" s="6" t="s">
        <v>131</v>
      </c>
      <c r="G64" s="6" t="str">
        <f t="shared" si="17"/>
        <v>HkdHibor6M</v>
      </c>
      <c r="H64" s="1" t="str">
        <f t="shared" si="18"/>
        <v>HKDQM3H60Y_Quote</v>
      </c>
      <c r="I64" s="129" t="str">
        <f t="shared" si="19"/>
        <v>HKD3HI6HI60Y_Quote</v>
      </c>
      <c r="J64" s="178" t="str">
        <f>IF(P60,_xll.qlSwapRateHelper2(,H64,1,B64,Calendar,D64,E64,F64,G64,I64,C64,Discounting,PillarDate,,Permanent,Trigger,ObjectOverwrite),"--")</f>
        <v>--</v>
      </c>
      <c r="V64" s="46"/>
    </row>
    <row r="65" spans="22:22" ht="11.25" customHeight="1" x14ac:dyDescent="0.2">
      <c r="V65" s="46"/>
    </row>
    <row r="66" spans="22:22" ht="11.25" customHeight="1" x14ac:dyDescent="0.2">
      <c r="V66" s="46"/>
    </row>
    <row r="67" spans="22:22" ht="11.25" customHeight="1" x14ac:dyDescent="0.2">
      <c r="V67" s="46"/>
    </row>
    <row r="68" spans="22:22" ht="11.25" customHeight="1" x14ac:dyDescent="0.2">
      <c r="V68" s="46"/>
    </row>
    <row r="69" spans="22:22" ht="11.25" customHeight="1" x14ac:dyDescent="0.2">
      <c r="V69" s="46"/>
    </row>
    <row r="70" spans="22:22" ht="11.25" customHeight="1" x14ac:dyDescent="0.2">
      <c r="V70" s="46"/>
    </row>
    <row r="71" spans="22:22" ht="11.25" customHeight="1" x14ac:dyDescent="0.2">
      <c r="V71" s="46"/>
    </row>
    <row r="72" spans="22:22" ht="11.25" customHeight="1" x14ac:dyDescent="0.2">
      <c r="V72" s="46"/>
    </row>
    <row r="73" spans="22:22" ht="11.25" customHeight="1" x14ac:dyDescent="0.2">
      <c r="V73" s="46"/>
    </row>
    <row r="74" spans="22:22" ht="11.25" customHeight="1" x14ac:dyDescent="0.2">
      <c r="V74" s="46"/>
    </row>
    <row r="75" spans="22:22" ht="11.25" customHeight="1" x14ac:dyDescent="0.2">
      <c r="V75" s="46"/>
    </row>
    <row r="76" spans="22:22" ht="11.25" customHeight="1" x14ac:dyDescent="0.2">
      <c r="V76" s="46"/>
    </row>
    <row r="77" spans="22:22" ht="11.25" customHeight="1" x14ac:dyDescent="0.2">
      <c r="V77" s="46"/>
    </row>
    <row r="78" spans="22:22" ht="11.25" customHeight="1" x14ac:dyDescent="0.2">
      <c r="V78" s="46"/>
    </row>
    <row r="79" spans="22:22" ht="11.25" customHeight="1" x14ac:dyDescent="0.2">
      <c r="V79" s="46"/>
    </row>
    <row r="80" spans="22:22" ht="11.25" customHeight="1" x14ac:dyDescent="0.2">
      <c r="V80" s="46"/>
    </row>
    <row r="81" spans="11:22" x14ac:dyDescent="0.2">
      <c r="K81" s="46" t="s">
        <v>35</v>
      </c>
      <c r="V81" s="46"/>
    </row>
    <row r="82" spans="11:22" x14ac:dyDescent="0.2">
      <c r="V82" s="46"/>
    </row>
    <row r="83" spans="11:22" x14ac:dyDescent="0.2">
      <c r="V83" s="46"/>
    </row>
    <row r="84" spans="11:22" x14ac:dyDescent="0.2">
      <c r="V84" s="46"/>
    </row>
    <row r="85" spans="11:22" x14ac:dyDescent="0.2">
      <c r="V85" s="46"/>
    </row>
    <row r="86" spans="11:22" x14ac:dyDescent="0.2">
      <c r="V86" s="46"/>
    </row>
    <row r="87" spans="11:22" x14ac:dyDescent="0.2">
      <c r="V87" s="46"/>
    </row>
    <row r="88" spans="11:22" x14ac:dyDescent="0.2">
      <c r="V88" s="46"/>
    </row>
    <row r="89" spans="11:22" x14ac:dyDescent="0.2">
      <c r="V89" s="46"/>
    </row>
    <row r="90" spans="11:22" x14ac:dyDescent="0.2">
      <c r="V90" s="46"/>
    </row>
    <row r="91" spans="11:22" x14ac:dyDescent="0.2">
      <c r="V91" s="46"/>
    </row>
    <row r="92" spans="11:22" x14ac:dyDescent="0.2">
      <c r="V92" s="46"/>
    </row>
    <row r="93" spans="11:22" x14ac:dyDescent="0.2">
      <c r="V93" s="46"/>
    </row>
    <row r="94" spans="11:22" x14ac:dyDescent="0.2">
      <c r="V94" s="46"/>
    </row>
    <row r="95" spans="11:22" x14ac:dyDescent="0.2">
      <c r="V95" s="46"/>
    </row>
    <row r="96" spans="11:22" x14ac:dyDescent="0.2">
      <c r="V96" s="46"/>
    </row>
    <row r="97" spans="22:22" x14ac:dyDescent="0.2">
      <c r="V97" s="46"/>
    </row>
    <row r="98" spans="22:22" x14ac:dyDescent="0.2">
      <c r="V98" s="46"/>
    </row>
    <row r="99" spans="22:22" x14ac:dyDescent="0.2">
      <c r="V99" s="46"/>
    </row>
    <row r="100" spans="22:22" x14ac:dyDescent="0.2">
      <c r="V100" s="46"/>
    </row>
    <row r="101" spans="22:22" x14ac:dyDescent="0.2">
      <c r="V101" s="46"/>
    </row>
    <row r="102" spans="22:22" x14ac:dyDescent="0.2">
      <c r="V102" s="46"/>
    </row>
    <row r="103" spans="22:22" x14ac:dyDescent="0.2">
      <c r="V103" s="46"/>
    </row>
    <row r="104" spans="22:22" x14ac:dyDescent="0.2">
      <c r="V104" s="46"/>
    </row>
    <row r="105" spans="22:22" x14ac:dyDescent="0.2">
      <c r="V105" s="46"/>
    </row>
    <row r="106" spans="22:22" x14ac:dyDescent="0.2">
      <c r="V106" s="46"/>
    </row>
    <row r="107" spans="22:22" x14ac:dyDescent="0.2">
      <c r="V107" s="46"/>
    </row>
    <row r="108" spans="22:22" x14ac:dyDescent="0.2">
      <c r="V108" s="46"/>
    </row>
    <row r="109" spans="22:22" x14ac:dyDescent="0.2">
      <c r="V109" s="46"/>
    </row>
    <row r="110" spans="22:22" x14ac:dyDescent="0.2">
      <c r="V110" s="46"/>
    </row>
    <row r="111" spans="22:22" x14ac:dyDescent="0.2">
      <c r="V111" s="46"/>
    </row>
    <row r="112" spans="22:22" x14ac:dyDescent="0.2">
      <c r="V112" s="46"/>
    </row>
    <row r="113" spans="22:22" x14ac:dyDescent="0.2">
      <c r="V113" s="46"/>
    </row>
    <row r="114" spans="22:22" x14ac:dyDescent="0.2">
      <c r="V114" s="46"/>
    </row>
    <row r="115" spans="22:22" x14ac:dyDescent="0.2">
      <c r="V115" s="46"/>
    </row>
    <row r="116" spans="22:22" x14ac:dyDescent="0.2">
      <c r="V116" s="46"/>
    </row>
    <row r="117" spans="22:22" x14ac:dyDescent="0.2">
      <c r="V117" s="46"/>
    </row>
    <row r="118" spans="22:22" x14ac:dyDescent="0.2">
      <c r="V118" s="46"/>
    </row>
    <row r="119" spans="22:22" x14ac:dyDescent="0.2">
      <c r="V119" s="46"/>
    </row>
    <row r="120" spans="22:22" x14ac:dyDescent="0.2">
      <c r="V120" s="46"/>
    </row>
    <row r="121" spans="22:22" x14ac:dyDescent="0.2">
      <c r="V121" s="46"/>
    </row>
    <row r="122" spans="22:22" x14ac:dyDescent="0.2">
      <c r="V122" s="46"/>
    </row>
    <row r="123" spans="22:22" x14ac:dyDescent="0.2">
      <c r="V123" s="46"/>
    </row>
    <row r="124" spans="22:22" x14ac:dyDescent="0.2">
      <c r="V124" s="46"/>
    </row>
    <row r="125" spans="22:22" x14ac:dyDescent="0.2">
      <c r="V125" s="46"/>
    </row>
    <row r="126" spans="22:22" x14ac:dyDescent="0.2">
      <c r="V126" s="46"/>
    </row>
    <row r="127" spans="22:22" x14ac:dyDescent="0.2">
      <c r="V127" s="46"/>
    </row>
    <row r="128" spans="22:22" x14ac:dyDescent="0.2">
      <c r="V128" s="46"/>
    </row>
    <row r="129" spans="22:22" x14ac:dyDescent="0.2">
      <c r="V129" s="46"/>
    </row>
    <row r="130" spans="22:22" x14ac:dyDescent="0.2">
      <c r="V130" s="46"/>
    </row>
    <row r="131" spans="22:22" x14ac:dyDescent="0.2">
      <c r="V131" s="46"/>
    </row>
    <row r="132" spans="22:22" x14ac:dyDescent="0.2">
      <c r="V132" s="46"/>
    </row>
    <row r="133" spans="22:22" x14ac:dyDescent="0.2">
      <c r="V133" s="46"/>
    </row>
    <row r="134" spans="22:22" x14ac:dyDescent="0.2">
      <c r="V134" s="46"/>
    </row>
    <row r="135" spans="22:22" x14ac:dyDescent="0.2">
      <c r="V135" s="46"/>
    </row>
    <row r="136" spans="22:22" x14ac:dyDescent="0.2">
      <c r="V136" s="46"/>
    </row>
    <row r="137" spans="22:22" x14ac:dyDescent="0.2">
      <c r="V137" s="46"/>
    </row>
    <row r="138" spans="22:22" x14ac:dyDescent="0.2">
      <c r="V138" s="46"/>
    </row>
    <row r="139" spans="22:22" x14ac:dyDescent="0.2">
      <c r="V139" s="46"/>
    </row>
    <row r="140" spans="22:22" x14ac:dyDescent="0.2">
      <c r="V140" s="46"/>
    </row>
    <row r="141" spans="22:22" x14ac:dyDescent="0.2">
      <c r="V141" s="46"/>
    </row>
    <row r="142" spans="22:22" x14ac:dyDescent="0.2">
      <c r="V142" s="46"/>
    </row>
    <row r="143" spans="22:22" x14ac:dyDescent="0.2">
      <c r="V143" s="46"/>
    </row>
    <row r="144" spans="22:22" x14ac:dyDescent="0.2">
      <c r="V144" s="46"/>
    </row>
    <row r="145" spans="22:22" x14ac:dyDescent="0.2">
      <c r="V145" s="46"/>
    </row>
    <row r="146" spans="22:22" x14ac:dyDescent="0.2">
      <c r="V146" s="46"/>
    </row>
    <row r="147" spans="22:22" x14ac:dyDescent="0.2">
      <c r="V147" s="46"/>
    </row>
    <row r="148" spans="22:22" x14ac:dyDescent="0.2">
      <c r="V148" s="46"/>
    </row>
    <row r="149" spans="22:22" x14ac:dyDescent="0.2">
      <c r="V149" s="46"/>
    </row>
    <row r="150" spans="22:22" x14ac:dyDescent="0.2">
      <c r="V150" s="46"/>
    </row>
    <row r="151" spans="22:22" x14ac:dyDescent="0.2">
      <c r="V151" s="46"/>
    </row>
    <row r="152" spans="22:22" x14ac:dyDescent="0.2">
      <c r="V152" s="46"/>
    </row>
    <row r="153" spans="22:22" x14ac:dyDescent="0.2">
      <c r="V153" s="46"/>
    </row>
    <row r="154" spans="22:22" x14ac:dyDescent="0.2">
      <c r="V154" s="46"/>
    </row>
    <row r="155" spans="22:22" x14ac:dyDescent="0.2">
      <c r="V155" s="46"/>
    </row>
    <row r="156" spans="22:22" x14ac:dyDescent="0.2">
      <c r="V156" s="46"/>
    </row>
    <row r="157" spans="22:22" x14ac:dyDescent="0.2">
      <c r="V157" s="46"/>
    </row>
    <row r="158" spans="22:22" x14ac:dyDescent="0.2">
      <c r="V158" s="46"/>
    </row>
    <row r="159" spans="22:22" x14ac:dyDescent="0.2">
      <c r="V159" s="46"/>
    </row>
    <row r="160" spans="22:22" x14ac:dyDescent="0.2">
      <c r="V160" s="46"/>
    </row>
    <row r="161" spans="22:22" x14ac:dyDescent="0.2">
      <c r="V161" s="46"/>
    </row>
    <row r="162" spans="22:22" x14ac:dyDescent="0.2">
      <c r="V162" s="46"/>
    </row>
    <row r="163" spans="22:22" x14ac:dyDescent="0.2">
      <c r="V163" s="46"/>
    </row>
    <row r="164" spans="22:22" x14ac:dyDescent="0.2">
      <c r="V164" s="46"/>
    </row>
    <row r="165" spans="22:22" x14ac:dyDescent="0.2">
      <c r="V165" s="46"/>
    </row>
    <row r="166" spans="22:22" x14ac:dyDescent="0.2">
      <c r="V166" s="46"/>
    </row>
    <row r="167" spans="22:22" x14ac:dyDescent="0.2">
      <c r="V167" s="46"/>
    </row>
    <row r="168" spans="22:22" x14ac:dyDescent="0.2">
      <c r="V168" s="46"/>
    </row>
    <row r="169" spans="22:22" x14ac:dyDescent="0.2">
      <c r="V169" s="46"/>
    </row>
    <row r="170" spans="22:22" x14ac:dyDescent="0.2">
      <c r="V170" s="46"/>
    </row>
    <row r="171" spans="22:22" x14ac:dyDescent="0.2">
      <c r="V171" s="46"/>
    </row>
    <row r="172" spans="22:22" x14ac:dyDescent="0.2">
      <c r="V172" s="46"/>
    </row>
    <row r="173" spans="22:22" x14ac:dyDescent="0.2">
      <c r="V173" s="46"/>
    </row>
    <row r="174" spans="22:22" x14ac:dyDescent="0.2">
      <c r="V174" s="46"/>
    </row>
    <row r="175" spans="22:22" x14ac:dyDescent="0.2">
      <c r="V175" s="46"/>
    </row>
    <row r="176" spans="22:22" x14ac:dyDescent="0.2">
      <c r="V176" s="46"/>
    </row>
    <row r="177" spans="22:22" x14ac:dyDescent="0.2">
      <c r="V177" s="46"/>
    </row>
    <row r="178" spans="22:22" x14ac:dyDescent="0.2">
      <c r="V178" s="46"/>
    </row>
    <row r="179" spans="22:22" x14ac:dyDescent="0.2">
      <c r="V179" s="46"/>
    </row>
    <row r="180" spans="22:22" x14ac:dyDescent="0.2">
      <c r="V180" s="46"/>
    </row>
    <row r="181" spans="22:22" x14ac:dyDescent="0.2">
      <c r="V181" s="46"/>
    </row>
    <row r="182" spans="22:22" x14ac:dyDescent="0.2">
      <c r="V182" s="46"/>
    </row>
    <row r="183" spans="22:22" x14ac:dyDescent="0.2">
      <c r="V183" s="46"/>
    </row>
    <row r="184" spans="22:22" x14ac:dyDescent="0.2">
      <c r="V184" s="46"/>
    </row>
    <row r="185" spans="22:22" x14ac:dyDescent="0.2">
      <c r="V185" s="46"/>
    </row>
    <row r="186" spans="22:22" x14ac:dyDescent="0.2">
      <c r="V186" s="46"/>
    </row>
    <row r="187" spans="22:22" x14ac:dyDescent="0.2">
      <c r="V187" s="46"/>
    </row>
    <row r="188" spans="22:22" x14ac:dyDescent="0.2">
      <c r="V188" s="46"/>
    </row>
    <row r="189" spans="22:22" x14ac:dyDescent="0.2">
      <c r="V189" s="46"/>
    </row>
    <row r="190" spans="22:22" x14ac:dyDescent="0.2">
      <c r="V190" s="46"/>
    </row>
    <row r="191" spans="22:22" x14ac:dyDescent="0.2">
      <c r="V191" s="46"/>
    </row>
    <row r="192" spans="22:22" x14ac:dyDescent="0.2">
      <c r="V192" s="46"/>
    </row>
    <row r="193" spans="22:22" x14ac:dyDescent="0.2">
      <c r="V193" s="46"/>
    </row>
    <row r="194" spans="22:22" x14ac:dyDescent="0.2">
      <c r="V194" s="46"/>
    </row>
    <row r="195" spans="22:22" x14ac:dyDescent="0.2">
      <c r="V195" s="46"/>
    </row>
    <row r="196" spans="22:22" x14ac:dyDescent="0.2">
      <c r="V196" s="46"/>
    </row>
    <row r="197" spans="22:22" x14ac:dyDescent="0.2">
      <c r="V197" s="46"/>
    </row>
    <row r="198" spans="22:22" x14ac:dyDescent="0.2">
      <c r="V198" s="46"/>
    </row>
    <row r="199" spans="22:22" x14ac:dyDescent="0.2">
      <c r="V199" s="46"/>
    </row>
    <row r="200" spans="22:22" x14ac:dyDescent="0.2">
      <c r="V200" s="46"/>
    </row>
    <row r="201" spans="22:22" x14ac:dyDescent="0.2">
      <c r="V201" s="46"/>
    </row>
    <row r="202" spans="22:22" x14ac:dyDescent="0.2">
      <c r="V202" s="46"/>
    </row>
    <row r="203" spans="22:22" x14ac:dyDescent="0.2">
      <c r="V203" s="46"/>
    </row>
    <row r="204" spans="22:22" x14ac:dyDescent="0.2">
      <c r="V204" s="46"/>
    </row>
    <row r="205" spans="22:22" x14ac:dyDescent="0.2">
      <c r="V205" s="46"/>
    </row>
    <row r="206" spans="22:22" x14ac:dyDescent="0.2">
      <c r="V206" s="46"/>
    </row>
    <row r="207" spans="22:22" x14ac:dyDescent="0.2">
      <c r="V207" s="46"/>
    </row>
    <row r="208" spans="22:22" x14ac:dyDescent="0.2">
      <c r="V208" s="46"/>
    </row>
    <row r="209" spans="22:22" x14ac:dyDescent="0.2">
      <c r="V209" s="46"/>
    </row>
    <row r="210" spans="22:22" x14ac:dyDescent="0.2">
      <c r="V210" s="46"/>
    </row>
    <row r="211" spans="22:22" x14ac:dyDescent="0.2">
      <c r="V211" s="46"/>
    </row>
    <row r="212" spans="22:22" x14ac:dyDescent="0.2">
      <c r="V212" s="46"/>
    </row>
    <row r="213" spans="22:22" x14ac:dyDescent="0.2">
      <c r="V213" s="46"/>
    </row>
    <row r="214" spans="22:22" x14ac:dyDescent="0.2">
      <c r="V214" s="46"/>
    </row>
    <row r="215" spans="22:22" x14ac:dyDescent="0.2">
      <c r="V215" s="46"/>
    </row>
    <row r="216" spans="22:22" x14ac:dyDescent="0.2">
      <c r="V216" s="46"/>
    </row>
    <row r="217" spans="22:22" x14ac:dyDescent="0.2">
      <c r="V217" s="46"/>
    </row>
    <row r="218" spans="22:22" x14ac:dyDescent="0.2">
      <c r="V218" s="46"/>
    </row>
    <row r="219" spans="22:22" x14ac:dyDescent="0.2">
      <c r="V219" s="46"/>
    </row>
    <row r="220" spans="22:22" x14ac:dyDescent="0.2">
      <c r="V220" s="46"/>
    </row>
    <row r="221" spans="22:22" x14ac:dyDescent="0.2">
      <c r="V221" s="46"/>
    </row>
    <row r="222" spans="22:22" x14ac:dyDescent="0.2">
      <c r="V222" s="46"/>
    </row>
    <row r="223" spans="22:22" x14ac:dyDescent="0.2">
      <c r="V223" s="46"/>
    </row>
    <row r="224" spans="22:22" x14ac:dyDescent="0.2">
      <c r="V224" s="46"/>
    </row>
    <row r="225" spans="22:22" x14ac:dyDescent="0.2">
      <c r="V225" s="46"/>
    </row>
    <row r="226" spans="22:22" x14ac:dyDescent="0.2">
      <c r="V226" s="46"/>
    </row>
    <row r="227" spans="22:22" x14ac:dyDescent="0.2">
      <c r="V227" s="46"/>
    </row>
    <row r="228" spans="22:22" x14ac:dyDescent="0.2">
      <c r="V228" s="46"/>
    </row>
    <row r="229" spans="22:22" x14ac:dyDescent="0.2">
      <c r="V229" s="46"/>
    </row>
    <row r="230" spans="22:22" x14ac:dyDescent="0.2">
      <c r="V230" s="46"/>
    </row>
    <row r="231" spans="22:22" x14ac:dyDescent="0.2">
      <c r="V231" s="46"/>
    </row>
    <row r="232" spans="22:22" x14ac:dyDescent="0.2">
      <c r="V232" s="46"/>
    </row>
    <row r="233" spans="22:22" x14ac:dyDescent="0.2">
      <c r="V233" s="46"/>
    </row>
    <row r="234" spans="22:22" x14ac:dyDescent="0.2">
      <c r="V234" s="46"/>
    </row>
    <row r="235" spans="22:22" x14ac:dyDescent="0.2">
      <c r="V235" s="46"/>
    </row>
    <row r="236" spans="22:22" x14ac:dyDescent="0.2">
      <c r="V236" s="46"/>
    </row>
    <row r="237" spans="22:22" x14ac:dyDescent="0.2">
      <c r="V237" s="46"/>
    </row>
    <row r="238" spans="22:22" x14ac:dyDescent="0.2">
      <c r="V238" s="46"/>
    </row>
    <row r="239" spans="22:22" x14ac:dyDescent="0.2">
      <c r="V239" s="46"/>
    </row>
    <row r="240" spans="22:22" x14ac:dyDescent="0.2">
      <c r="V240" s="46"/>
    </row>
    <row r="241" spans="22:22" x14ac:dyDescent="0.2">
      <c r="V241" s="46"/>
    </row>
    <row r="242" spans="22:22" x14ac:dyDescent="0.2">
      <c r="V242" s="46"/>
    </row>
    <row r="243" spans="22:22" x14ac:dyDescent="0.2">
      <c r="V243" s="46"/>
    </row>
    <row r="244" spans="22:22" x14ac:dyDescent="0.2">
      <c r="V244" s="46"/>
    </row>
    <row r="245" spans="22:22" x14ac:dyDescent="0.2">
      <c r="V245" s="46"/>
    </row>
    <row r="246" spans="22:22" x14ac:dyDescent="0.2">
      <c r="V246" s="46"/>
    </row>
    <row r="247" spans="22:22" x14ac:dyDescent="0.2">
      <c r="V247" s="46"/>
    </row>
    <row r="248" spans="22:22" x14ac:dyDescent="0.2">
      <c r="V248" s="46"/>
    </row>
    <row r="249" spans="22:22" x14ac:dyDescent="0.2">
      <c r="V249" s="46"/>
    </row>
    <row r="250" spans="22:22" x14ac:dyDescent="0.2">
      <c r="V250" s="46"/>
    </row>
    <row r="251" spans="22:22" x14ac:dyDescent="0.2">
      <c r="V251" s="46"/>
    </row>
    <row r="252" spans="22:22" x14ac:dyDescent="0.2">
      <c r="V252" s="46"/>
    </row>
    <row r="253" spans="22:22" x14ac:dyDescent="0.2">
      <c r="V253" s="46"/>
    </row>
    <row r="254" spans="22:22" x14ac:dyDescent="0.2">
      <c r="V254" s="46"/>
    </row>
    <row r="255" spans="22:22" x14ac:dyDescent="0.2">
      <c r="V255" s="46"/>
    </row>
    <row r="256" spans="22:22" x14ac:dyDescent="0.2">
      <c r="V256" s="46"/>
    </row>
    <row r="257" spans="22:22" x14ac:dyDescent="0.2">
      <c r="V257" s="46"/>
    </row>
    <row r="258" spans="22:22" x14ac:dyDescent="0.2">
      <c r="V258" s="46"/>
    </row>
    <row r="259" spans="22:22" x14ac:dyDescent="0.2">
      <c r="V259" s="46"/>
    </row>
    <row r="260" spans="22:22" x14ac:dyDescent="0.2">
      <c r="V260" s="46"/>
    </row>
    <row r="261" spans="22:22" x14ac:dyDescent="0.2">
      <c r="V261" s="46"/>
    </row>
    <row r="262" spans="22:22" x14ac:dyDescent="0.2">
      <c r="V262" s="46"/>
    </row>
    <row r="263" spans="22:22" x14ac:dyDescent="0.2">
      <c r="V263" s="46"/>
    </row>
    <row r="264" spans="22:22" x14ac:dyDescent="0.2">
      <c r="V264" s="46"/>
    </row>
    <row r="265" spans="22:22" x14ac:dyDescent="0.2">
      <c r="V265" s="46"/>
    </row>
    <row r="266" spans="22:22" x14ac:dyDescent="0.2">
      <c r="V266" s="46"/>
    </row>
    <row r="267" spans="22:22" x14ac:dyDescent="0.2">
      <c r="V267" s="46"/>
    </row>
    <row r="268" spans="22:22" x14ac:dyDescent="0.2">
      <c r="V268" s="46"/>
    </row>
    <row r="269" spans="22:22" x14ac:dyDescent="0.2">
      <c r="V269" s="46"/>
    </row>
    <row r="270" spans="22:22" x14ac:dyDescent="0.2">
      <c r="V270" s="46"/>
    </row>
    <row r="271" spans="22:22" x14ac:dyDescent="0.2">
      <c r="V271" s="46"/>
    </row>
    <row r="272" spans="22:22" x14ac:dyDescent="0.2">
      <c r="V272" s="46"/>
    </row>
    <row r="273" spans="22:22" x14ac:dyDescent="0.2">
      <c r="V273" s="46"/>
    </row>
    <row r="274" spans="22:22" x14ac:dyDescent="0.2">
      <c r="V274" s="46"/>
    </row>
    <row r="275" spans="22:22" x14ac:dyDescent="0.2">
      <c r="V275" s="46"/>
    </row>
    <row r="276" spans="22:22" x14ac:dyDescent="0.2">
      <c r="V276" s="46"/>
    </row>
    <row r="277" spans="22:22" x14ac:dyDescent="0.2">
      <c r="V277" s="46"/>
    </row>
    <row r="278" spans="22:22" x14ac:dyDescent="0.2">
      <c r="V278" s="46"/>
    </row>
    <row r="279" spans="22:22" x14ac:dyDescent="0.2">
      <c r="V279" s="46"/>
    </row>
    <row r="280" spans="22:22" x14ac:dyDescent="0.2">
      <c r="V280" s="46"/>
    </row>
    <row r="281" spans="22:22" x14ac:dyDescent="0.2">
      <c r="V281" s="46"/>
    </row>
    <row r="282" spans="22:22" x14ac:dyDescent="0.2">
      <c r="V282" s="46"/>
    </row>
    <row r="283" spans="22:22" x14ac:dyDescent="0.2">
      <c r="V283" s="46"/>
    </row>
    <row r="284" spans="22:22" x14ac:dyDescent="0.2">
      <c r="V284" s="46"/>
    </row>
    <row r="285" spans="22:22" x14ac:dyDescent="0.2">
      <c r="V285" s="46"/>
    </row>
    <row r="286" spans="22:22" x14ac:dyDescent="0.2">
      <c r="V286" s="46"/>
    </row>
    <row r="287" spans="22:22" x14ac:dyDescent="0.2">
      <c r="V287" s="46"/>
    </row>
    <row r="288" spans="22:22" x14ac:dyDescent="0.2">
      <c r="V288" s="46"/>
    </row>
    <row r="289" spans="22:22" x14ac:dyDescent="0.2">
      <c r="V289" s="46"/>
    </row>
    <row r="290" spans="22:22" x14ac:dyDescent="0.2">
      <c r="V290" s="46"/>
    </row>
    <row r="291" spans="22:22" x14ac:dyDescent="0.2">
      <c r="V291" s="46"/>
    </row>
    <row r="292" spans="22:22" x14ac:dyDescent="0.2">
      <c r="V292" s="46"/>
    </row>
    <row r="293" spans="22:22" x14ac:dyDescent="0.2">
      <c r="V293" s="46"/>
    </row>
    <row r="294" spans="22:22" x14ac:dyDescent="0.2">
      <c r="V294" s="46"/>
    </row>
    <row r="295" spans="22:22" x14ac:dyDescent="0.2">
      <c r="V295" s="46"/>
    </row>
    <row r="296" spans="22:22" x14ac:dyDescent="0.2">
      <c r="V296" s="46"/>
    </row>
    <row r="297" spans="22:22" x14ac:dyDescent="0.2">
      <c r="V297" s="46"/>
    </row>
    <row r="298" spans="22:22" x14ac:dyDescent="0.2">
      <c r="V298" s="46"/>
    </row>
    <row r="299" spans="22:22" x14ac:dyDescent="0.2">
      <c r="V299" s="46"/>
    </row>
    <row r="300" spans="22:22" x14ac:dyDescent="0.2">
      <c r="V300" s="46"/>
    </row>
    <row r="301" spans="22:22" x14ac:dyDescent="0.2">
      <c r="V301" s="46"/>
    </row>
    <row r="302" spans="22:22" x14ac:dyDescent="0.2">
      <c r="V302" s="46"/>
    </row>
    <row r="303" spans="22:22" x14ac:dyDescent="0.2">
      <c r="V303" s="46"/>
    </row>
    <row r="304" spans="22:22" x14ac:dyDescent="0.2">
      <c r="V304" s="46"/>
    </row>
    <row r="305" spans="22:22" x14ac:dyDescent="0.2">
      <c r="V305" s="46"/>
    </row>
    <row r="306" spans="22:22" x14ac:dyDescent="0.2">
      <c r="V306" s="46"/>
    </row>
    <row r="307" spans="22:22" x14ac:dyDescent="0.2">
      <c r="V307" s="46"/>
    </row>
    <row r="308" spans="22:22" x14ac:dyDescent="0.2">
      <c r="V308" s="46"/>
    </row>
    <row r="309" spans="22:22" x14ac:dyDescent="0.2">
      <c r="V309" s="46"/>
    </row>
    <row r="310" spans="22:22" x14ac:dyDescent="0.2">
      <c r="V310" s="46"/>
    </row>
    <row r="311" spans="22:22" x14ac:dyDescent="0.2">
      <c r="V311" s="46"/>
    </row>
    <row r="312" spans="22:22" x14ac:dyDescent="0.2">
      <c r="V312" s="46"/>
    </row>
    <row r="313" spans="22:22" x14ac:dyDescent="0.2">
      <c r="V313" s="46"/>
    </row>
    <row r="314" spans="22:22" x14ac:dyDescent="0.2">
      <c r="V314" s="46"/>
    </row>
    <row r="315" spans="22:22" x14ac:dyDescent="0.2">
      <c r="V315" s="46"/>
    </row>
    <row r="316" spans="22:22" x14ac:dyDescent="0.2">
      <c r="V316" s="46"/>
    </row>
    <row r="317" spans="22:22" x14ac:dyDescent="0.2">
      <c r="V317" s="46"/>
    </row>
    <row r="318" spans="22:22" x14ac:dyDescent="0.2">
      <c r="V318" s="46"/>
    </row>
    <row r="319" spans="22:22" x14ac:dyDescent="0.2">
      <c r="V319" s="46"/>
    </row>
    <row r="320" spans="22:22" x14ac:dyDescent="0.2">
      <c r="V320" s="46"/>
    </row>
    <row r="321" spans="22:22" x14ac:dyDescent="0.2">
      <c r="V321" s="46"/>
    </row>
    <row r="322" spans="22:22" x14ac:dyDescent="0.2">
      <c r="V322" s="46"/>
    </row>
    <row r="323" spans="22:22" x14ac:dyDescent="0.2">
      <c r="V323" s="46"/>
    </row>
    <row r="324" spans="22:22" x14ac:dyDescent="0.2">
      <c r="V324" s="46"/>
    </row>
    <row r="325" spans="22:22" x14ac:dyDescent="0.2">
      <c r="V325" s="46"/>
    </row>
    <row r="326" spans="22:22" x14ac:dyDescent="0.2">
      <c r="V326" s="46"/>
    </row>
    <row r="327" spans="22:22" x14ac:dyDescent="0.2">
      <c r="V327" s="46"/>
    </row>
    <row r="328" spans="22:22" x14ac:dyDescent="0.2">
      <c r="V328" s="46"/>
    </row>
    <row r="329" spans="22:22" x14ac:dyDescent="0.2">
      <c r="V329" s="46"/>
    </row>
    <row r="330" spans="22:22" x14ac:dyDescent="0.2">
      <c r="V330" s="46"/>
    </row>
    <row r="331" spans="22:22" x14ac:dyDescent="0.2">
      <c r="V331" s="46"/>
    </row>
    <row r="332" spans="22:22" x14ac:dyDescent="0.2">
      <c r="V332" s="46"/>
    </row>
    <row r="333" spans="22:22" x14ac:dyDescent="0.2">
      <c r="V333" s="46"/>
    </row>
    <row r="334" spans="22:22" x14ac:dyDescent="0.2">
      <c r="V334" s="46"/>
    </row>
    <row r="335" spans="22:22" x14ac:dyDescent="0.2">
      <c r="V335" s="46"/>
    </row>
    <row r="336" spans="22:22" x14ac:dyDescent="0.2">
      <c r="V336" s="46"/>
    </row>
    <row r="337" spans="22:22" x14ac:dyDescent="0.2">
      <c r="V337" s="46"/>
    </row>
    <row r="338" spans="22:22" x14ac:dyDescent="0.2">
      <c r="V338" s="46"/>
    </row>
    <row r="339" spans="22:22" x14ac:dyDescent="0.2">
      <c r="V339" s="46"/>
    </row>
    <row r="340" spans="22:22" x14ac:dyDescent="0.2">
      <c r="V340" s="46"/>
    </row>
    <row r="341" spans="22:22" x14ac:dyDescent="0.2">
      <c r="V341" s="46"/>
    </row>
    <row r="342" spans="22:22" x14ac:dyDescent="0.2">
      <c r="V342" s="46"/>
    </row>
    <row r="343" spans="22:22" x14ac:dyDescent="0.2">
      <c r="V343" s="46"/>
    </row>
    <row r="344" spans="22:22" x14ac:dyDescent="0.2">
      <c r="V344" s="46"/>
    </row>
    <row r="345" spans="22:22" x14ac:dyDescent="0.2">
      <c r="V345" s="46"/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26:D64">
      <formula1>"Annual,Semiannual,EveryFourthMonth,Quarterly,Bimonthly,Monthly,Biweekly,Weekly,Daily,Once,NoFrequency"</formula1>
    </dataValidation>
    <dataValidation type="list" allowBlank="1" showInputMessage="1" showErrorMessage="1" sqref="E26:E64">
      <formula1>"Following,Modified Following,Preceding,Modified Preceding,Unadjusted,Half-Month Modified Following"</formula1>
    </dataValidation>
    <dataValidation type="list" allowBlank="1" showInputMessage="1" showErrorMessage="1" sqref="F26:F6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60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2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0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2" width="2.7109375" style="46" customWidth="1"/>
    <col min="33" max="33" width="24.42578125" style="46" bestFit="1" customWidth="1"/>
    <col min="34" max="34" width="21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2</v>
      </c>
      <c r="H1" s="50"/>
      <c r="L1" s="65" t="s">
        <v>142</v>
      </c>
      <c r="M1" s="100"/>
      <c r="N1" s="100"/>
      <c r="O1" s="92"/>
      <c r="P1" s="100" t="s">
        <v>24</v>
      </c>
      <c r="Q1" s="100"/>
      <c r="R1" s="100"/>
      <c r="S1" s="100"/>
      <c r="T1" s="100"/>
      <c r="U1" s="92"/>
      <c r="V1" s="89"/>
      <c r="W1" s="70" t="str">
        <f>Currency&amp;$G$1</f>
        <v>HKD1M</v>
      </c>
      <c r="X1" s="64"/>
      <c r="Y1" s="64"/>
      <c r="Z1" s="66"/>
      <c r="AA1" s="66"/>
      <c r="AB1" s="64"/>
      <c r="AC1" s="64"/>
      <c r="AD1" s="68" t="s">
        <v>31</v>
      </c>
    </row>
    <row r="2" spans="1:39" ht="21.75" customHeight="1" x14ac:dyDescent="0.2">
      <c r="A2" s="63" t="s">
        <v>8</v>
      </c>
      <c r="B2" s="63" t="s">
        <v>28</v>
      </c>
      <c r="C2" s="63" t="s">
        <v>88</v>
      </c>
      <c r="D2" s="63" t="s">
        <v>124</v>
      </c>
      <c r="E2" s="63" t="s">
        <v>33</v>
      </c>
      <c r="F2" s="63" t="s">
        <v>112</v>
      </c>
      <c r="G2" s="63" t="s">
        <v>4</v>
      </c>
      <c r="H2" s="63" t="s">
        <v>1</v>
      </c>
      <c r="I2" s="63"/>
      <c r="J2" s="63" t="s">
        <v>24</v>
      </c>
      <c r="L2" s="69" t="s">
        <v>8</v>
      </c>
      <c r="M2" s="69" t="s">
        <v>76</v>
      </c>
      <c r="N2" s="69" t="s">
        <v>79</v>
      </c>
      <c r="O2" s="69" t="s">
        <v>81</v>
      </c>
      <c r="P2" s="69" t="s">
        <v>77</v>
      </c>
      <c r="Q2" s="69" t="s">
        <v>78</v>
      </c>
      <c r="R2" s="69" t="s">
        <v>80</v>
      </c>
      <c r="S2" s="69" t="s">
        <v>24</v>
      </c>
      <c r="T2" s="69" t="s">
        <v>22</v>
      </c>
      <c r="U2" s="69" t="s">
        <v>73</v>
      </c>
      <c r="V2" s="89"/>
      <c r="W2" s="69" t="s">
        <v>8</v>
      </c>
      <c r="X2" s="69" t="s">
        <v>24</v>
      </c>
      <c r="Y2" s="69" t="s">
        <v>76</v>
      </c>
      <c r="Z2" s="71" t="s">
        <v>23</v>
      </c>
      <c r="AA2" s="71" t="s">
        <v>81</v>
      </c>
      <c r="AB2" s="69" t="s">
        <v>22</v>
      </c>
      <c r="AC2" s="69" t="s">
        <v>73</v>
      </c>
      <c r="AD2" s="72">
        <f t="array" ref="AD2:AD53">_xll.qlPiecewiseYieldCurveData(YieldCurve_1M,Trigger)</f>
        <v>1</v>
      </c>
      <c r="AE2" s="145"/>
      <c r="AG2" s="146" t="s">
        <v>82</v>
      </c>
      <c r="AH2" s="147"/>
      <c r="AI2" s="147"/>
      <c r="AJ2" s="147"/>
      <c r="AK2" s="148"/>
    </row>
    <row r="3" spans="1:39" ht="11.25" customHeight="1" x14ac:dyDescent="0.2">
      <c r="A3" s="1" t="s">
        <v>26</v>
      </c>
      <c r="B3" s="7" t="s">
        <v>2</v>
      </c>
      <c r="C3" s="8" t="str">
        <f t="shared" ref="C3" si="0">B3</f>
        <v>1M</v>
      </c>
      <c r="D3" s="114"/>
      <c r="E3" s="114"/>
      <c r="F3" s="114"/>
      <c r="G3" s="6" t="str">
        <f>PROPER(Currency)&amp;FamilyName&amp;B3</f>
        <v>HkdHibor1M</v>
      </c>
      <c r="H3" s="112" t="str">
        <f>Currency&amp;$B3&amp;"D"&amp;QuoteSuffix</f>
        <v>HKD1MD_Quote</v>
      </c>
      <c r="I3" s="114"/>
      <c r="J3" s="178" t="str">
        <f>IF(P3,_xll.qlDepositRateHelper(,H3,G3,Permanent,Trigger,ObjectOverwrite),"--")</f>
        <v>obj_00104#0001</v>
      </c>
      <c r="K3" s="48"/>
      <c r="L3" s="183" t="str">
        <f t="shared" ref="L3" si="1">A3</f>
        <v>Dp</v>
      </c>
      <c r="M3" s="184" t="str">
        <f>H3</f>
        <v>HKD1MD_Quote</v>
      </c>
      <c r="N3" s="185">
        <f>IFERROR(_xll.qlQuoteValue(H3,Trigger),"--")</f>
        <v>2.4142999999999999E-3</v>
      </c>
      <c r="O3" s="186"/>
      <c r="P3" s="124" t="b">
        <v>1</v>
      </c>
      <c r="Q3" s="90">
        <v>10</v>
      </c>
      <c r="R3" s="90">
        <v>1</v>
      </c>
      <c r="S3" s="90" t="str">
        <f>J3</f>
        <v>obj_00104#0001</v>
      </c>
      <c r="T3" s="94">
        <f>IFERROR(_xll.qlRateHelperEarliestDate(S3,Trigger),"--")</f>
        <v>42559</v>
      </c>
      <c r="U3" s="94">
        <f>IFERROR(_xll.qlRateHelperPillarDate(S3,Trigger),"--")</f>
        <v>42590</v>
      </c>
      <c r="W3" s="3" t="str">
        <f t="shared" ref="W3:W34" si="2">IFERROR(INDEX($L$3:$L$53,MATCH(Y3,$M$3:$M$53,0),1),"")</f>
        <v>Dp</v>
      </c>
      <c r="X3" s="3" t="str">
        <f t="array" ref="X3:X53">_xll.qlRateHelperSelection(_xll.ohFilter(RateHelpers,IncludeFlag),_xll.ohFilter(Priority,IncludeFlag),$AK$3,$AK$4,$AK$5,$AK$6,_xll.ohFilter(MinDistance,IncludeFlag),Trigger)</f>
        <v>obj_00104</v>
      </c>
      <c r="Y3" s="3" t="str">
        <f>IFERROR(_xll.qlRateHelperQuoteName(X3,Trigger),"")</f>
        <v>HKD1MD_Quote</v>
      </c>
      <c r="Z3" s="67">
        <f>IFERROR(_xll.qlRateHelperRate(X3,Trigger),"")</f>
        <v>2.4142999999999999E-3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42590</v>
      </c>
      <c r="AD3" s="73">
        <v>0.99979499189995269</v>
      </c>
      <c r="AE3" s="145"/>
      <c r="AG3" s="152" t="s">
        <v>83</v>
      </c>
      <c r="AK3" s="153">
        <v>0</v>
      </c>
    </row>
    <row r="4" spans="1:39" ht="11.25" customHeight="1" x14ac:dyDescent="0.2">
      <c r="B4" s="46"/>
      <c r="C4" s="46"/>
      <c r="D4" s="46"/>
      <c r="E4" s="46"/>
      <c r="F4" s="46"/>
      <c r="G4" s="46" t="s">
        <v>136</v>
      </c>
      <c r="H4" s="46" t="s">
        <v>138</v>
      </c>
      <c r="K4" s="48"/>
      <c r="L4" s="195" t="str">
        <f>A6</f>
        <v>Sw</v>
      </c>
      <c r="M4" s="206" t="str">
        <f>H6</f>
        <v>HKDAM1H2M_Quote</v>
      </c>
      <c r="N4" s="197" t="str">
        <f>IFERROR(_xll.qlQuoteValue(H6,Trigger),"--")</f>
        <v>--</v>
      </c>
      <c r="O4" s="198"/>
      <c r="P4" s="122" t="b">
        <v>0</v>
      </c>
      <c r="Q4" s="119">
        <v>40</v>
      </c>
      <c r="R4" s="119">
        <v>1</v>
      </c>
      <c r="S4" s="119" t="str">
        <f>J6</f>
        <v>--</v>
      </c>
      <c r="T4" s="121" t="str">
        <f>IFERROR(_xll.qlRateHelperEarliestDate(S4,Trigger),"--")</f>
        <v>--</v>
      </c>
      <c r="U4" s="121" t="str">
        <f>IFERROR(_xll.qlRateHelperPillarDate(S4,Trigger),"--")</f>
        <v>--</v>
      </c>
      <c r="W4" s="3" t="str">
        <f t="shared" si="2"/>
        <v>BasSw</v>
      </c>
      <c r="X4" s="3" t="str">
        <v>obj_000fa</v>
      </c>
      <c r="Y4" s="3" t="str">
        <f>IFERROR(_xll.qlRateHelperQuoteName(X4,Trigger),"")</f>
        <v>HKDQM3H6M_Quote</v>
      </c>
      <c r="Z4" s="67">
        <f>IFERROR(_xll.qlRateHelperRate(X4,Trigger),"")</f>
        <v>4.5000000000000005E-3</v>
      </c>
      <c r="AA4" s="98">
        <f>IF(ISERROR(_xll.qlSwapRateHelperSpread($X4)),IF(ISERROR(_xll.qlFuturesRateHelperConvexityAdjustment($X4)),"",_xll.qlFuturesRateHelperConvexityAdjustment($X4)),_xll.qlSwapRateHelperSpread($X4))</f>
        <v>1.5E-3</v>
      </c>
      <c r="AB4" s="4">
        <f>IFERROR(_xll.qlRateHelperEarliestDate(X4,Trigger),"")</f>
        <v>42562</v>
      </c>
      <c r="AC4" s="4">
        <f>IFERROR(_xll.qlRateHelperPillarDate(X4,Trigger),"")</f>
        <v>42746</v>
      </c>
      <c r="AD4" s="73">
        <v>0.99846994426323932</v>
      </c>
      <c r="AE4" s="145"/>
      <c r="AG4" s="101" t="s">
        <v>84</v>
      </c>
      <c r="AK4" s="102">
        <v>0</v>
      </c>
    </row>
    <row r="5" spans="1:39" ht="11.25" customHeight="1" x14ac:dyDescent="0.2">
      <c r="A5" s="63" t="s">
        <v>8</v>
      </c>
      <c r="B5" s="63" t="s">
        <v>28</v>
      </c>
      <c r="C5" s="63" t="s">
        <v>111</v>
      </c>
      <c r="D5" s="63" t="s">
        <v>5</v>
      </c>
      <c r="E5" s="63" t="s">
        <v>33</v>
      </c>
      <c r="F5" s="63" t="s">
        <v>112</v>
      </c>
      <c r="G5" s="63" t="s">
        <v>4</v>
      </c>
      <c r="H5" s="63" t="s">
        <v>1</v>
      </c>
      <c r="I5" s="63" t="s">
        <v>110</v>
      </c>
      <c r="J5" s="63" t="s">
        <v>24</v>
      </c>
      <c r="K5" s="48"/>
      <c r="L5" s="183" t="str">
        <f t="shared" ref="L5:L14" si="3">A7</f>
        <v>Sw</v>
      </c>
      <c r="M5" s="187" t="str">
        <f t="shared" ref="M5:M14" si="4">H7</f>
        <v>HKDAM1H3M_Quote</v>
      </c>
      <c r="N5" s="185">
        <f>IFERROR(_xll.qlQuoteValue(H7,Trigger),"--")</f>
        <v>2.1000000000000003E-3</v>
      </c>
      <c r="O5" s="186"/>
      <c r="P5" s="124" t="b">
        <v>0</v>
      </c>
      <c r="Q5" s="90">
        <v>40</v>
      </c>
      <c r="R5" s="90">
        <v>1</v>
      </c>
      <c r="S5" s="90" t="str">
        <f t="shared" ref="S5:S14" si="5">J7</f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 t="shared" si="2"/>
        <v>BasSw</v>
      </c>
      <c r="X5" s="3" t="str">
        <v>obj_000f2</v>
      </c>
      <c r="Y5" s="3" t="str">
        <f>IFERROR(_xll.qlRateHelperQuoteName(X5,Trigger),"")</f>
        <v>HKDQM3H9M_Quote</v>
      </c>
      <c r="Z5" s="67">
        <f>IFERROR(_xll.qlRateHelperRate(X5,Trigger),"")</f>
        <v>5.0000000000000001E-3</v>
      </c>
      <c r="AA5" s="98">
        <f>IF(ISERROR(_xll.qlSwapRateHelperSpread($X5)),IF(ISERROR(_xll.qlFuturesRateHelperConvexityAdjustment($X5)),"",_xll.qlFuturesRateHelperConvexityAdjustment($X5)),_xll.qlSwapRateHelperSpread($X5))</f>
        <v>1.5E-3</v>
      </c>
      <c r="AB5" s="4">
        <f>IFERROR(_xll.qlRateHelperEarliestDate(X5,Trigger),"")</f>
        <v>42562</v>
      </c>
      <c r="AC5" s="4">
        <f>IFERROR(_xll.qlRateHelperPillarDate(X5,Trigger),"")</f>
        <v>42836</v>
      </c>
      <c r="AD5" s="73">
        <v>0.99735757993008867</v>
      </c>
      <c r="AE5" s="145"/>
      <c r="AF5" s="76"/>
      <c r="AG5" s="101" t="s">
        <v>85</v>
      </c>
      <c r="AK5" s="102">
        <v>0</v>
      </c>
    </row>
    <row r="6" spans="1:39" ht="11.25" customHeight="1" x14ac:dyDescent="0.2">
      <c r="A6" s="53" t="s">
        <v>25</v>
      </c>
      <c r="B6" s="54" t="s">
        <v>41</v>
      </c>
      <c r="C6" s="55" t="s">
        <v>6</v>
      </c>
      <c r="D6" s="55" t="s">
        <v>139</v>
      </c>
      <c r="E6" s="55" t="s">
        <v>7</v>
      </c>
      <c r="F6" s="55" t="s">
        <v>131</v>
      </c>
      <c r="G6" s="55" t="str">
        <f t="shared" ref="G6:G16" si="6">PROPER(Currency)&amp;FamilyName&amp;Tenor</f>
        <v>HkdHibor1M</v>
      </c>
      <c r="H6" s="53" t="str">
        <f t="shared" ref="H6:H16" si="7">Currency&amp;$G$4&amp;$H$4&amp;B6&amp;QuoteSuffix</f>
        <v>HKDAM1H2M_Quote</v>
      </c>
      <c r="I6" s="115">
        <v>0</v>
      </c>
      <c r="J6" s="177" t="str">
        <f>IF(P4,_xll.qlSwapRateHelper2(,H6,1,B6,Calendar,+D6,E6,F6,G6,I6,C6,Discounting,PillarDate,,Permanent,Trigger,ObjectOverwrite),"--")</f>
        <v>--</v>
      </c>
      <c r="K6" s="48"/>
      <c r="L6" s="183" t="str">
        <f t="shared" si="3"/>
        <v>Sw</v>
      </c>
      <c r="M6" s="187" t="str">
        <f t="shared" si="4"/>
        <v>HKDAM1H4M_Quote</v>
      </c>
      <c r="N6" s="185" t="str">
        <f>IFERROR(_xll.qlQuoteValue(H8,Trigger),"--")</f>
        <v>--</v>
      </c>
      <c r="O6" s="186"/>
      <c r="P6" s="124" t="b">
        <v>0</v>
      </c>
      <c r="Q6" s="90">
        <v>40</v>
      </c>
      <c r="R6" s="90">
        <v>1</v>
      </c>
      <c r="S6" s="90" t="str">
        <f t="shared" si="5"/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 t="shared" si="2"/>
        <v>BasSw</v>
      </c>
      <c r="X6" s="3" t="str">
        <v>obj_0010e</v>
      </c>
      <c r="Y6" s="3" t="str">
        <f>IFERROR(_xll.qlRateHelperQuoteName(X6,Trigger),"")</f>
        <v>HKDQM3H1Y_Quote</v>
      </c>
      <c r="Z6" s="67">
        <f>IFERROR(_xll.qlRateHelperRate(X6,Trigger),"")</f>
        <v>5.6000000000000008E-3</v>
      </c>
      <c r="AA6" s="98">
        <f>IF(ISERROR(_xll.qlSwapRateHelperSpread($X6)),IF(ISERROR(_xll.qlFuturesRateHelperConvexityAdjustment($X6)),"",_xll.qlFuturesRateHelperConvexityAdjustment($X6)),_xll.qlSwapRateHelperSpread($X6))</f>
        <v>1.5E-3</v>
      </c>
      <c r="AB6" s="4">
        <f>IFERROR(_xll.qlRateHelperEarliestDate(X6,Trigger),"")</f>
        <v>42562</v>
      </c>
      <c r="AC6" s="4">
        <f>IFERROR(_xll.qlRateHelperPillarDate(X6,Trigger),"")</f>
        <v>42927</v>
      </c>
      <c r="AD6" s="73">
        <v>0.99589009570787768</v>
      </c>
      <c r="AE6" s="145"/>
      <c r="AG6" s="101" t="s">
        <v>86</v>
      </c>
      <c r="AK6" s="103" t="s">
        <v>87</v>
      </c>
    </row>
    <row r="7" spans="1:39" ht="11.25" customHeight="1" x14ac:dyDescent="0.2">
      <c r="A7" s="58" t="s">
        <v>25</v>
      </c>
      <c r="B7" s="59" t="s">
        <v>0</v>
      </c>
      <c r="C7" s="60" t="s">
        <v>6</v>
      </c>
      <c r="D7" s="60" t="s">
        <v>139</v>
      </c>
      <c r="E7" s="60" t="s">
        <v>7</v>
      </c>
      <c r="F7" s="60" t="s">
        <v>131</v>
      </c>
      <c r="G7" s="60" t="str">
        <f t="shared" si="6"/>
        <v>HkdHibor1M</v>
      </c>
      <c r="H7" s="58" t="str">
        <f t="shared" si="7"/>
        <v>HKDAM1H3M_Quote</v>
      </c>
      <c r="I7" s="116">
        <v>0</v>
      </c>
      <c r="J7" s="177" t="str">
        <f>IF(P5,_xll.qlSwapRateHelper2(,H7,1,B7,Calendar,+D7,E7,F7,G7,I7,C7,Discounting,PillarDate,,Permanent,Trigger,ObjectOverwrite),"--")</f>
        <v>--</v>
      </c>
      <c r="K7" s="48"/>
      <c r="L7" s="183" t="str">
        <f t="shared" si="3"/>
        <v>Sw</v>
      </c>
      <c r="M7" s="187" t="str">
        <f t="shared" si="4"/>
        <v>HKDAM1H5M_Quote</v>
      </c>
      <c r="N7" s="185" t="str">
        <f>IFERROR(_xll.qlQuoteValue(H9,Trigger),"--")</f>
        <v>--</v>
      </c>
      <c r="O7" s="186"/>
      <c r="P7" s="124" t="b">
        <v>0</v>
      </c>
      <c r="Q7" s="90">
        <v>40</v>
      </c>
      <c r="R7" s="90">
        <v>1</v>
      </c>
      <c r="S7" s="90" t="str">
        <f t="shared" si="5"/>
        <v>--</v>
      </c>
      <c r="T7" s="94" t="str">
        <f>IFERROR(_xll.qlRateHelperEarliestDate(S7,Trigger),"--")</f>
        <v>--</v>
      </c>
      <c r="U7" s="94" t="str">
        <f>IFERROR(_xll.qlRateHelperPillarDate(S7,Trigger),"--")</f>
        <v>--</v>
      </c>
      <c r="W7" s="3" t="str">
        <f t="shared" si="2"/>
        <v>BasSw</v>
      </c>
      <c r="X7" s="3" t="str">
        <v>obj_0010d</v>
      </c>
      <c r="Y7" s="3" t="str">
        <f>IFERROR(_xll.qlRateHelperQuoteName(X7,Trigger),"")</f>
        <v>HKDQM3H18M_Quote</v>
      </c>
      <c r="Z7" s="67">
        <f>IFERROR(_xll.qlRateHelperRate(X7,Trigger),"")</f>
        <v>6.8999999999999999E-3</v>
      </c>
      <c r="AA7" s="98">
        <f>IF(ISERROR(_xll.qlSwapRateHelperSpread($X7)),IF(ISERROR(_xll.qlFuturesRateHelperConvexityAdjustment($X7)),"",_xll.qlFuturesRateHelperConvexityAdjustment($X7)),_xll.qlSwapRateHelperSpread($X7))</f>
        <v>1.5E-3</v>
      </c>
      <c r="AB7" s="4">
        <f>IFERROR(_xll.qlRateHelperEarliestDate(X7,Trigger),"")</f>
        <v>42562</v>
      </c>
      <c r="AC7" s="4">
        <f>IFERROR(_xll.qlRateHelperPillarDate(X7,Trigger),"")</f>
        <v>43111</v>
      </c>
      <c r="AD7" s="73">
        <v>0.99189046548728821</v>
      </c>
      <c r="AE7" s="145"/>
    </row>
    <row r="8" spans="1:39" ht="11.25" customHeight="1" x14ac:dyDescent="0.2">
      <c r="A8" s="58" t="s">
        <v>25</v>
      </c>
      <c r="B8" s="59" t="s">
        <v>42</v>
      </c>
      <c r="C8" s="60" t="s">
        <v>6</v>
      </c>
      <c r="D8" s="60" t="s">
        <v>139</v>
      </c>
      <c r="E8" s="60" t="s">
        <v>7</v>
      </c>
      <c r="F8" s="60" t="s">
        <v>131</v>
      </c>
      <c r="G8" s="60" t="str">
        <f t="shared" si="6"/>
        <v>HkdHibor1M</v>
      </c>
      <c r="H8" s="58" t="str">
        <f t="shared" si="7"/>
        <v>HKDAM1H4M_Quote</v>
      </c>
      <c r="I8" s="116">
        <v>0</v>
      </c>
      <c r="J8" s="177" t="str">
        <f>IF(P6,_xll.qlSwapRateHelper2(,H8,1,B8,Calendar,+D8,E8,F8,G8,I8,C8,Discounting,PillarDate,,Permanent,Trigger,ObjectOverwrite),"--")</f>
        <v>--</v>
      </c>
      <c r="K8" s="48" t="s">
        <v>35</v>
      </c>
      <c r="L8" s="183" t="str">
        <f t="shared" si="3"/>
        <v>Sw</v>
      </c>
      <c r="M8" s="187" t="str">
        <f t="shared" si="4"/>
        <v>HKDAM1H6M_Quote</v>
      </c>
      <c r="N8" s="185">
        <f>IFERROR(_xll.qlQuoteValue(H10,Trigger),"--")</f>
        <v>3.0000000000000001E-3</v>
      </c>
      <c r="O8" s="186"/>
      <c r="P8" s="124" t="b">
        <v>0</v>
      </c>
      <c r="Q8" s="90">
        <v>40</v>
      </c>
      <c r="R8" s="90">
        <v>1</v>
      </c>
      <c r="S8" s="90" t="str">
        <f t="shared" si="5"/>
        <v>--</v>
      </c>
      <c r="T8" s="94" t="str">
        <f>IFERROR(_xll.qlRateHelperEarliestDate(S8,Trigger),"--")</f>
        <v>--</v>
      </c>
      <c r="U8" s="94" t="str">
        <f>IFERROR(_xll.qlRateHelperPillarDate(S8,Trigger),"--")</f>
        <v>--</v>
      </c>
      <c r="W8" s="3" t="str">
        <f t="shared" si="2"/>
        <v>BasSw</v>
      </c>
      <c r="X8" s="3" t="str">
        <v>obj_00103</v>
      </c>
      <c r="Y8" s="3" t="str">
        <f>IFERROR(_xll.qlRateHelperQuoteName(X8,Trigger),"")</f>
        <v>HKDQM3H2Y_Quote</v>
      </c>
      <c r="Z8" s="67">
        <f>IFERROR(_xll.qlRateHelperRate(X8,Trigger),"")</f>
        <v>8.0000000000000002E-3</v>
      </c>
      <c r="AA8" s="98">
        <f>IF(ISERROR(_xll.qlSwapRateHelperSpread($X8)),IF(ISERROR(_xll.qlFuturesRateHelperConvexityAdjustment($X8)),"",_xll.qlFuturesRateHelperConvexityAdjustment($X8)),_xll.qlSwapRateHelperSpread($X8))</f>
        <v>1.4E-3</v>
      </c>
      <c r="AB8" s="4">
        <f>IFERROR(_xll.qlRateHelperEarliestDate(X8,Trigger),"")</f>
        <v>42562</v>
      </c>
      <c r="AC8" s="4">
        <f>IFERROR(_xll.qlRateHelperPillarDate(X8,Trigger),"")</f>
        <v>43292</v>
      </c>
      <c r="AD8" s="73">
        <v>0.98685879992654157</v>
      </c>
      <c r="AE8" s="145"/>
    </row>
    <row r="9" spans="1:39" ht="11.25" customHeight="1" x14ac:dyDescent="0.2">
      <c r="A9" s="58" t="s">
        <v>25</v>
      </c>
      <c r="B9" s="59" t="s">
        <v>43</v>
      </c>
      <c r="C9" s="60" t="s">
        <v>6</v>
      </c>
      <c r="D9" s="60" t="s">
        <v>139</v>
      </c>
      <c r="E9" s="60" t="s">
        <v>7</v>
      </c>
      <c r="F9" s="60" t="s">
        <v>131</v>
      </c>
      <c r="G9" s="60" t="str">
        <f t="shared" si="6"/>
        <v>HkdHibor1M</v>
      </c>
      <c r="H9" s="58" t="str">
        <f t="shared" si="7"/>
        <v>HKDAM1H5M_Quote</v>
      </c>
      <c r="I9" s="116">
        <v>0</v>
      </c>
      <c r="J9" s="177" t="str">
        <f>IF(P7,_xll.qlSwapRateHelper2(,H9,1,B9,Calendar,+D9,E9,F9,G9,I9,C9,Discounting,PillarDate,,Permanent,Trigger,ObjectOverwrite),"--")</f>
        <v>--</v>
      </c>
      <c r="K9" s="48"/>
      <c r="L9" s="183" t="str">
        <f t="shared" si="3"/>
        <v>Sw</v>
      </c>
      <c r="M9" s="187" t="str">
        <f t="shared" si="4"/>
        <v>HKDAM1H7M_Quote</v>
      </c>
      <c r="N9" s="185" t="str">
        <f>IFERROR(_xll.qlQuoteValue(H11,Trigger),"--")</f>
        <v>--</v>
      </c>
      <c r="O9" s="186"/>
      <c r="P9" s="124" t="b">
        <v>0</v>
      </c>
      <c r="Q9" s="90">
        <v>40</v>
      </c>
      <c r="R9" s="90">
        <v>1</v>
      </c>
      <c r="S9" s="90" t="str">
        <f t="shared" si="5"/>
        <v>--</v>
      </c>
      <c r="T9" s="94" t="str">
        <f>IFERROR(_xll.qlRateHelperEarliestDate(S9,Trigger),"--")</f>
        <v>--</v>
      </c>
      <c r="U9" s="94" t="str">
        <f>IFERROR(_xll.qlRateHelperPillarDate(S9,Trigger),"--")</f>
        <v>--</v>
      </c>
      <c r="W9" s="3" t="str">
        <f t="shared" si="2"/>
        <v>BasSw</v>
      </c>
      <c r="X9" s="3" t="str">
        <v>obj_0010f</v>
      </c>
      <c r="Y9" s="3" t="str">
        <f>IFERROR(_xll.qlRateHelperQuoteName(X9,Trigger),"")</f>
        <v>HKDQM3H3Y_Quote</v>
      </c>
      <c r="Z9" s="67">
        <f>IFERROR(_xll.qlRateHelperRate(X9,Trigger),"")</f>
        <v>1.0200000000000001E-2</v>
      </c>
      <c r="AA9" s="98">
        <f>IF(ISERROR(_xll.qlSwapRateHelperSpread($X9)),IF(ISERROR(_xll.qlFuturesRateHelperConvexityAdjustment($X9)),"",_xll.qlFuturesRateHelperConvexityAdjustment($X9)),_xll.qlSwapRateHelperSpread($X9))</f>
        <v>1.4E-3</v>
      </c>
      <c r="AB9" s="4">
        <f>IFERROR(_xll.qlRateHelperEarliestDate(X9,Trigger),"")</f>
        <v>42562</v>
      </c>
      <c r="AC9" s="4">
        <f>IFERROR(_xll.qlRateHelperPillarDate(X9,Trigger),"")</f>
        <v>43657</v>
      </c>
      <c r="AD9" s="73">
        <v>0.97387065093783165</v>
      </c>
      <c r="AE9" s="145"/>
      <c r="AH9" s="46" t="s">
        <v>121</v>
      </c>
    </row>
    <row r="10" spans="1:39" ht="11.25" customHeight="1" x14ac:dyDescent="0.2">
      <c r="A10" s="58" t="s">
        <v>25</v>
      </c>
      <c r="B10" s="59" t="s">
        <v>3</v>
      </c>
      <c r="C10" s="60" t="s">
        <v>6</v>
      </c>
      <c r="D10" s="60" t="s">
        <v>139</v>
      </c>
      <c r="E10" s="60" t="s">
        <v>7</v>
      </c>
      <c r="F10" s="60" t="s">
        <v>131</v>
      </c>
      <c r="G10" s="60" t="str">
        <f t="shared" si="6"/>
        <v>HkdHibor1M</v>
      </c>
      <c r="H10" s="58" t="str">
        <f t="shared" si="7"/>
        <v>HKDAM1H6M_Quote</v>
      </c>
      <c r="I10" s="116">
        <v>0</v>
      </c>
      <c r="J10" s="177" t="str">
        <f>IF(P8,_xll.qlSwapRateHelper2(,H10,1,B10,Calendar,+D10,E10,F10,G10,I10,C10,Discounting,PillarDate,,Permanent,Trigger,ObjectOverwrite),"--")</f>
        <v>--</v>
      </c>
      <c r="K10" s="48"/>
      <c r="L10" s="183" t="str">
        <f t="shared" si="3"/>
        <v>Sw</v>
      </c>
      <c r="M10" s="187" t="str">
        <f t="shared" si="4"/>
        <v>HKDAM1H8M_Quote</v>
      </c>
      <c r="N10" s="185" t="str">
        <f>IFERROR(_xll.qlQuoteValue(H12,Trigger),"--")</f>
        <v>--</v>
      </c>
      <c r="O10" s="186"/>
      <c r="P10" s="124" t="b">
        <v>0</v>
      </c>
      <c r="Q10" s="90">
        <v>40</v>
      </c>
      <c r="R10" s="90">
        <v>1</v>
      </c>
      <c r="S10" s="90" t="str">
        <f t="shared" si="5"/>
        <v>--</v>
      </c>
      <c r="T10" s="94" t="str">
        <f>IFERROR(_xll.qlRateHelperEarliestDate(S10,Trigger),"--")</f>
        <v>--</v>
      </c>
      <c r="U10" s="94" t="str">
        <f>IFERROR(_xll.qlRateHelperPillarDate(S10,Trigger),"--")</f>
        <v>--</v>
      </c>
      <c r="W10" s="3" t="str">
        <f t="shared" si="2"/>
        <v>BasSw</v>
      </c>
      <c r="X10" s="3" t="str">
        <v>obj_00102</v>
      </c>
      <c r="Y10" s="3" t="str">
        <f>IFERROR(_xll.qlRateHelperQuoteName(X10,Trigger),"")</f>
        <v>HKDQM3H4Y_Quote</v>
      </c>
      <c r="Z10" s="67">
        <f>IFERROR(_xll.qlRateHelperRate(X10,Trigger),"")</f>
        <v>1.21E-2</v>
      </c>
      <c r="AA10" s="98">
        <f>IF(ISERROR(_xll.qlSwapRateHelperSpread($X10)),IF(ISERROR(_xll.qlFuturesRateHelperConvexityAdjustment($X10)),"",_xll.qlFuturesRateHelperConvexityAdjustment($X10)),_xll.qlSwapRateHelperSpread($X10))</f>
        <v>1.4E-3</v>
      </c>
      <c r="AB10" s="4">
        <f>IFERROR(_xll.qlRateHelperEarliestDate(X10,Trigger),"")</f>
        <v>42562</v>
      </c>
      <c r="AC10" s="4">
        <f>IFERROR(_xll.qlRateHelperPillarDate(X10,Trigger),"")</f>
        <v>44025</v>
      </c>
      <c r="AD10" s="73">
        <v>0.95783446617627566</v>
      </c>
      <c r="AE10" s="145"/>
      <c r="AF10" s="69" t="s">
        <v>115</v>
      </c>
      <c r="AG10" s="69" t="s">
        <v>116</v>
      </c>
      <c r="AH10" s="69" t="s">
        <v>117</v>
      </c>
      <c r="AI10" s="69" t="s">
        <v>125</v>
      </c>
      <c r="AJ10" s="69" t="s">
        <v>118</v>
      </c>
      <c r="AK10" s="69" t="s">
        <v>126</v>
      </c>
      <c r="AL10" s="69" t="s">
        <v>119</v>
      </c>
      <c r="AM10" s="69" t="s">
        <v>120</v>
      </c>
    </row>
    <row r="11" spans="1:39" ht="11.25" customHeight="1" x14ac:dyDescent="0.2">
      <c r="A11" s="58" t="s">
        <v>25</v>
      </c>
      <c r="B11" s="59" t="s">
        <v>44</v>
      </c>
      <c r="C11" s="60" t="s">
        <v>6</v>
      </c>
      <c r="D11" s="60" t="s">
        <v>139</v>
      </c>
      <c r="E11" s="60" t="s">
        <v>7</v>
      </c>
      <c r="F11" s="60" t="s">
        <v>131</v>
      </c>
      <c r="G11" s="60" t="str">
        <f t="shared" si="6"/>
        <v>HkdHibor1M</v>
      </c>
      <c r="H11" s="58" t="str">
        <f t="shared" si="7"/>
        <v>HKDAM1H7M_Quote</v>
      </c>
      <c r="I11" s="116">
        <v>0</v>
      </c>
      <c r="J11" s="177" t="str">
        <f>IF(P9,_xll.qlSwapRateHelper2(,H11,1,B11,Calendar,+D11,E11,F11,G11,I11,C11,Discounting,PillarDate,,Permanent,Trigger,ObjectOverwrite),"--")</f>
        <v>--</v>
      </c>
      <c r="K11" s="48"/>
      <c r="L11" s="183" t="str">
        <f t="shared" si="3"/>
        <v>Sw</v>
      </c>
      <c r="M11" s="187" t="str">
        <f t="shared" si="4"/>
        <v>HKDAM1H9M_Quote</v>
      </c>
      <c r="N11" s="185">
        <f>IFERROR(_xll.qlQuoteValue(H13,Trigger),"--")</f>
        <v>3.5999999999999999E-3</v>
      </c>
      <c r="O11" s="186"/>
      <c r="P11" s="124" t="b">
        <v>0</v>
      </c>
      <c r="Q11" s="90">
        <v>40</v>
      </c>
      <c r="R11" s="90">
        <v>1</v>
      </c>
      <c r="S11" s="90" t="str">
        <f t="shared" si="5"/>
        <v>--</v>
      </c>
      <c r="T11" s="94" t="str">
        <f>IFERROR(_xll.qlRateHelperEarliestDate(S11,Trigger),"--")</f>
        <v>--</v>
      </c>
      <c r="U11" s="94" t="str">
        <f>IFERROR(_xll.qlRateHelperPillarDate(S11,Trigger),"--")</f>
        <v>--</v>
      </c>
      <c r="W11" s="3" t="str">
        <f t="shared" si="2"/>
        <v>BasSw</v>
      </c>
      <c r="X11" s="3" t="str">
        <v>obj_000f3</v>
      </c>
      <c r="Y11" s="3" t="str">
        <f>IFERROR(_xll.qlRateHelperQuoteName(X11,Trigger),"")</f>
        <v>HKDQM3H5Y_Quote</v>
      </c>
      <c r="Z11" s="67">
        <f>IFERROR(_xll.qlRateHelperRate(X11,Trigger),"")</f>
        <v>1.37E-2</v>
      </c>
      <c r="AA11" s="98">
        <f>IF(ISERROR(_xll.qlSwapRateHelperSpread($X11)),IF(ISERROR(_xll.qlFuturesRateHelperConvexityAdjustment($X11)),"",_xll.qlFuturesRateHelperConvexityAdjustment($X11)),_xll.qlSwapRateHelperSpread($X11))</f>
        <v>1.2999999999999999E-3</v>
      </c>
      <c r="AB11" s="4">
        <f>IFERROR(_xll.qlRateHelperEarliestDate(X11,Trigger),"")</f>
        <v>42562</v>
      </c>
      <c r="AC11" s="4">
        <f>IFERROR(_xll.qlRateHelperPillarDate(X11,Trigger),"")</f>
        <v>44389</v>
      </c>
      <c r="AD11" s="73">
        <v>0.93943401316422526</v>
      </c>
      <c r="AE11" s="145"/>
      <c r="AF11" s="130">
        <v>1</v>
      </c>
      <c r="AG11" s="131">
        <f>_xll.qlCalendarEndOfMonth(Calendar,Settlementdate,Trigger)</f>
        <v>42580</v>
      </c>
      <c r="AH11" s="130" t="str">
        <f t="shared" ref="AH11:AH23" si="8">Currency&amp;$AH$9&amp;AF11&amp;JumpSuffix&amp;QuoteSuffix</f>
        <v>HKDJump1_SYNTHON_Quote</v>
      </c>
      <c r="AI11" s="149">
        <f>_xll.qlDayCounterYearFraction("actual/360",AG11,_xll.qlCalendarAdvance(Calendar,AG11,"1D",,,Trigger))</f>
        <v>8.3333333333333332E-3</v>
      </c>
      <c r="AJ11" s="132" t="e">
        <f>IF(_xll.qlQuoteIsValid(AH11,Trigger),_xll.qlQuoteValue(AH11,Trigger),1)</f>
        <v>#NUM!</v>
      </c>
      <c r="AK11" s="169" t="str">
        <f>IFERROR(-LN(AJ11)/AI11,"--")</f>
        <v>--</v>
      </c>
      <c r="AL11" s="154">
        <v>0</v>
      </c>
      <c r="AM11" s="132">
        <f>IF(ISBLANK(AL11),AH11,EXP(-AL11*AI11))</f>
        <v>1</v>
      </c>
    </row>
    <row r="12" spans="1:39" ht="11.25" customHeight="1" x14ac:dyDescent="0.2">
      <c r="A12" s="58" t="s">
        <v>25</v>
      </c>
      <c r="B12" s="59" t="s">
        <v>45</v>
      </c>
      <c r="C12" s="60" t="s">
        <v>6</v>
      </c>
      <c r="D12" s="60" t="s">
        <v>139</v>
      </c>
      <c r="E12" s="60" t="s">
        <v>7</v>
      </c>
      <c r="F12" s="60" t="s">
        <v>131</v>
      </c>
      <c r="G12" s="60" t="str">
        <f t="shared" si="6"/>
        <v>HkdHibor1M</v>
      </c>
      <c r="H12" s="58" t="str">
        <f t="shared" si="7"/>
        <v>HKDAM1H8M_Quote</v>
      </c>
      <c r="I12" s="116">
        <v>0</v>
      </c>
      <c r="J12" s="177" t="str">
        <f>IF(P10,_xll.qlSwapRateHelper2(,H12,1,B12,Calendar,+D12,E12,F12,G12,I12,C12,Discounting,PillarDate,,Permanent,Trigger,ObjectOverwrite),"--")</f>
        <v>--</v>
      </c>
      <c r="K12" s="48"/>
      <c r="L12" s="183" t="str">
        <f t="shared" si="3"/>
        <v>Sw</v>
      </c>
      <c r="M12" s="187" t="str">
        <f t="shared" si="4"/>
        <v>HKDAM1H10M_Quote</v>
      </c>
      <c r="N12" s="185" t="str">
        <f>IFERROR(_xll.qlQuoteValue(H14,Trigger),"--")</f>
        <v>--</v>
      </c>
      <c r="O12" s="186"/>
      <c r="P12" s="124" t="b">
        <v>0</v>
      </c>
      <c r="Q12" s="90">
        <v>40</v>
      </c>
      <c r="R12" s="90">
        <v>1</v>
      </c>
      <c r="S12" s="90" t="str">
        <f t="shared" si="5"/>
        <v>--</v>
      </c>
      <c r="T12" s="94" t="str">
        <f>IFERROR(_xll.qlRateHelperEarliestDate(S12,Trigger),"--")</f>
        <v>--</v>
      </c>
      <c r="U12" s="94" t="str">
        <f>IFERROR(_xll.qlRateHelperPillarDate(S12,Trigger),"--")</f>
        <v>--</v>
      </c>
      <c r="W12" s="3" t="str">
        <f t="shared" si="2"/>
        <v>BasSw</v>
      </c>
      <c r="X12" s="3" t="str">
        <v>obj_00107</v>
      </c>
      <c r="Y12" s="3" t="str">
        <f>IFERROR(_xll.qlRateHelperQuoteName(X12,Trigger),"")</f>
        <v>HKDQM3H7Y_Quote</v>
      </c>
      <c r="Z12" s="67">
        <f>IFERROR(_xll.qlRateHelperRate(X12,Trigger),"")</f>
        <v>1.6400000000000001E-2</v>
      </c>
      <c r="AA12" s="98">
        <f>IF(ISERROR(_xll.qlSwapRateHelperSpread($X12)),IF(ISERROR(_xll.qlFuturesRateHelperConvexityAdjustment($X12)),"",_xll.qlFuturesRateHelperConvexityAdjustment($X12)),_xll.qlSwapRateHelperSpread($X12))</f>
        <v>8.0000000000000004E-4</v>
      </c>
      <c r="AB12" s="4">
        <f>IFERROR(_xll.qlRateHelperEarliestDate(X12,Trigger),"")</f>
        <v>42562</v>
      </c>
      <c r="AC12" s="4">
        <f>IFERROR(_xll.qlRateHelperPillarDate(X12,Trigger),"")</f>
        <v>45118</v>
      </c>
      <c r="AD12" s="73">
        <v>0.89529802745435638</v>
      </c>
      <c r="AE12" s="145"/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8"/>
        <v>HKDJump2_SYNTHON_Quote</v>
      </c>
      <c r="AI12" s="150">
        <f>_xll.qlDayCounterYearFraction("actual/360",AG12,_xll.qlCalendarAdvance(Calendar,AG12,"1D",,,Trigger))</f>
        <v>2.7777777777777779E-3</v>
      </c>
      <c r="AJ12" s="135" t="e">
        <f>IF(_xll.qlQuoteIsValid(AH12,Trigger),_xll.qlQuoteValue(AH12,Trigger),1)</f>
        <v>#NUM!</v>
      </c>
      <c r="AK12" s="170" t="str">
        <f t="shared" ref="AK12:AK23" si="9">IFERROR(-LN(AJ12)/AI12,"--")</f>
        <v>--</v>
      </c>
      <c r="AL12" s="155">
        <v>0</v>
      </c>
      <c r="AM12" s="135">
        <f t="shared" ref="AM12:AM23" si="10">IF(ISBLANK(AL12),AH12,EXP(-AL12*AI12))</f>
        <v>1</v>
      </c>
    </row>
    <row r="13" spans="1:39" ht="11.25" customHeight="1" x14ac:dyDescent="0.2">
      <c r="A13" s="58" t="s">
        <v>25</v>
      </c>
      <c r="B13" s="59" t="s">
        <v>46</v>
      </c>
      <c r="C13" s="60" t="s">
        <v>6</v>
      </c>
      <c r="D13" s="60" t="s">
        <v>139</v>
      </c>
      <c r="E13" s="60" t="s">
        <v>7</v>
      </c>
      <c r="F13" s="60" t="s">
        <v>131</v>
      </c>
      <c r="G13" s="60" t="str">
        <f t="shared" si="6"/>
        <v>HkdHibor1M</v>
      </c>
      <c r="H13" s="58" t="str">
        <f t="shared" si="7"/>
        <v>HKDAM1H9M_Quote</v>
      </c>
      <c r="I13" s="116">
        <v>0</v>
      </c>
      <c r="J13" s="177" t="str">
        <f>IF(P11,_xll.qlSwapRateHelper2(,H13,1,B13,Calendar,+D13,E13,F13,G13,I13,C13,Discounting,PillarDate,,Permanent,Trigger,ObjectOverwrite),"--")</f>
        <v>--</v>
      </c>
      <c r="K13" s="48"/>
      <c r="L13" s="183" t="str">
        <f t="shared" si="3"/>
        <v>Sw</v>
      </c>
      <c r="M13" s="187" t="str">
        <f t="shared" si="4"/>
        <v>HKDAM1H11M_Quote</v>
      </c>
      <c r="N13" s="185" t="str">
        <f>IFERROR(_xll.qlQuoteValue(H15,Trigger),"--")</f>
        <v>--</v>
      </c>
      <c r="O13" s="186"/>
      <c r="P13" s="124" t="b">
        <v>0</v>
      </c>
      <c r="Q13" s="90">
        <v>40</v>
      </c>
      <c r="R13" s="90">
        <v>1</v>
      </c>
      <c r="S13" s="90" t="str">
        <f t="shared" si="5"/>
        <v>--</v>
      </c>
      <c r="T13" s="94" t="str">
        <f>IFERROR(_xll.qlRateHelperEarliestDate(S13,Trigger),"--")</f>
        <v>--</v>
      </c>
      <c r="U13" s="94" t="str">
        <f>IFERROR(_xll.qlRateHelperPillarDate(S13,Trigger),"--")</f>
        <v>--</v>
      </c>
      <c r="W13" s="3" t="str">
        <f t="shared" si="2"/>
        <v>BasSw</v>
      </c>
      <c r="X13" s="3" t="str">
        <v>obj_00100</v>
      </c>
      <c r="Y13" s="3" t="str">
        <f>IFERROR(_xll.qlRateHelperQuoteName(X13,Trigger),"")</f>
        <v>HKDQM3H10Y_Quote</v>
      </c>
      <c r="Z13" s="67">
        <f>IFERROR(_xll.qlRateHelperRate(X13,Trigger),"")</f>
        <v>1.9E-2</v>
      </c>
      <c r="AA13" s="98">
        <f>IF(ISERROR(_xll.qlSwapRateHelperSpread($X13)),IF(ISERROR(_xll.qlFuturesRateHelperConvexityAdjustment($X13)),"",_xll.qlFuturesRateHelperConvexityAdjustment($X13)),_xll.qlSwapRateHelperSpread($X13))</f>
        <v>6.9999999999999999E-4</v>
      </c>
      <c r="AB13" s="4">
        <f>IFERROR(_xll.qlRateHelperEarliestDate(X13,Trigger),"")</f>
        <v>42562</v>
      </c>
      <c r="AC13" s="4">
        <f>IFERROR(_xll.qlRateHelperPillarDate(X13,Trigger),"")</f>
        <v>46216</v>
      </c>
      <c r="AD13" s="73">
        <v>0.82986385897340609</v>
      </c>
      <c r="AE13" s="145"/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8"/>
        <v>HKDJump3_SYNTHON_Quote</v>
      </c>
      <c r="AI13" s="150">
        <f>_xll.qlDayCounterYearFraction("actual/360",AG13,_xll.qlCalendarAdvance(Calendar,AG13,"1D",,,Trigger))</f>
        <v>1.1111111111111112E-2</v>
      </c>
      <c r="AJ13" s="135" t="e">
        <f>IF(_xll.qlQuoteIsValid(AH13,Trigger),_xll.qlQuoteValue(AH13,Trigger),1)</f>
        <v>#NUM!</v>
      </c>
      <c r="AK13" s="170" t="str">
        <f t="shared" si="9"/>
        <v>--</v>
      </c>
      <c r="AL13" s="155">
        <v>0</v>
      </c>
      <c r="AM13" s="135">
        <f t="shared" si="10"/>
        <v>1</v>
      </c>
    </row>
    <row r="14" spans="1:39" ht="11.25" customHeight="1" x14ac:dyDescent="0.2">
      <c r="A14" s="58" t="s">
        <v>25</v>
      </c>
      <c r="B14" s="59" t="s">
        <v>47</v>
      </c>
      <c r="C14" s="60" t="s">
        <v>6</v>
      </c>
      <c r="D14" s="60" t="s">
        <v>139</v>
      </c>
      <c r="E14" s="60" t="s">
        <v>7</v>
      </c>
      <c r="F14" s="60" t="s">
        <v>131</v>
      </c>
      <c r="G14" s="60" t="str">
        <f t="shared" si="6"/>
        <v>HkdHibor1M</v>
      </c>
      <c r="H14" s="58" t="str">
        <f t="shared" si="7"/>
        <v>HKDAM1H10M_Quote</v>
      </c>
      <c r="I14" s="116">
        <v>0</v>
      </c>
      <c r="J14" s="177" t="str">
        <f>IF(P12,_xll.qlSwapRateHelper2(,H14,1,B14,Calendar,+D14,E14,F14,G14,I14,C14,Discounting,PillarDate,,Permanent,Trigger,ObjectOverwrite),"--")</f>
        <v>--</v>
      </c>
      <c r="K14" s="48"/>
      <c r="L14" s="188" t="str">
        <f t="shared" si="3"/>
        <v>Sw</v>
      </c>
      <c r="M14" s="189" t="str">
        <f t="shared" si="4"/>
        <v>HKDAM1H1Y_Quote</v>
      </c>
      <c r="N14" s="190">
        <f>IFERROR(_xll.qlQuoteValue(H16,Trigger),"--")</f>
        <v>4.2000000000000006E-3</v>
      </c>
      <c r="O14" s="191"/>
      <c r="P14" s="126" t="b">
        <v>0</v>
      </c>
      <c r="Q14" s="91">
        <v>40</v>
      </c>
      <c r="R14" s="91">
        <v>1</v>
      </c>
      <c r="S14" s="91" t="str">
        <f t="shared" si="5"/>
        <v>--</v>
      </c>
      <c r="T14" s="96" t="str">
        <f>IFERROR(_xll.qlRateHelperEarliestDate(S14,Trigger),"--")</f>
        <v>--</v>
      </c>
      <c r="U14" s="96" t="str">
        <f>IFERROR(_xll.qlRateHelperPillarDate(S14,Trigger),"--")</f>
        <v>--</v>
      </c>
      <c r="W14" s="3" t="str">
        <f t="shared" si="2"/>
        <v>BasSw</v>
      </c>
      <c r="X14" s="3" t="str">
        <v>obj_0010b</v>
      </c>
      <c r="Y14" s="3" t="str">
        <f>IFERROR(_xll.qlRateHelperQuoteName(X14,Trigger),"")</f>
        <v>HKDQM3H12Y_Quote</v>
      </c>
      <c r="Z14" s="67">
        <f>IFERROR(_xll.qlRateHelperRate(X14,Trigger),"")</f>
        <v>1.9799999999999998E-2</v>
      </c>
      <c r="AA14" s="98">
        <f>IF(ISERROR(_xll.qlSwapRateHelperSpread($X14)),IF(ISERROR(_xll.qlFuturesRateHelperConvexityAdjustment($X14)),"",_xll.qlFuturesRateHelperConvexityAdjustment($X14)),_xll.qlSwapRateHelperSpread($X14))</f>
        <v>4.0000000000000002E-4</v>
      </c>
      <c r="AB14" s="4">
        <f>IFERROR(_xll.qlRateHelperEarliestDate(X14,Trigger),"")</f>
        <v>42562</v>
      </c>
      <c r="AC14" s="4">
        <f>IFERROR(_xll.qlRateHelperPillarDate(X14,Trigger),"")</f>
        <v>46945</v>
      </c>
      <c r="AD14" s="73">
        <v>0.78839498336406666</v>
      </c>
      <c r="AE14" s="145"/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8"/>
        <v>HKDJump4_SYNTHON_Quote</v>
      </c>
      <c r="AI14" s="150">
        <f>_xll.qlDayCounterYearFraction("actual/360",AG14,_xll.qlCalendarAdvance(Calendar,AG14,"1D",,,Trigger))</f>
        <v>2.7777777777777779E-3</v>
      </c>
      <c r="AJ14" s="135" t="e">
        <f>IF(_xll.qlQuoteIsValid(AH14,Trigger),_xll.qlQuoteValue(AH14,Trigger),1)</f>
        <v>#NUM!</v>
      </c>
      <c r="AK14" s="170" t="str">
        <f t="shared" si="9"/>
        <v>--</v>
      </c>
      <c r="AL14" s="155">
        <v>0</v>
      </c>
      <c r="AM14" s="135">
        <f t="shared" si="10"/>
        <v>1</v>
      </c>
    </row>
    <row r="15" spans="1:39" ht="11.25" customHeight="1" x14ac:dyDescent="0.2">
      <c r="A15" s="58" t="s">
        <v>25</v>
      </c>
      <c r="B15" s="59" t="s">
        <v>48</v>
      </c>
      <c r="C15" s="60" t="s">
        <v>6</v>
      </c>
      <c r="D15" s="60" t="s">
        <v>139</v>
      </c>
      <c r="E15" s="60" t="s">
        <v>7</v>
      </c>
      <c r="F15" s="60" t="s">
        <v>131</v>
      </c>
      <c r="G15" s="60" t="str">
        <f t="shared" si="6"/>
        <v>HkdHibor1M</v>
      </c>
      <c r="H15" s="58" t="str">
        <f t="shared" si="7"/>
        <v>HKDAM1H11M_Quote</v>
      </c>
      <c r="I15" s="116">
        <v>0</v>
      </c>
      <c r="J15" s="177" t="str">
        <f>IF(P13,_xll.qlSwapRateHelper2(,H15,1,B15,Calendar,+D15,E15,F15,G15,I15,C15,Discounting,PillarDate,,Permanent,Trigger,ObjectOverwrite),"--")</f>
        <v>--</v>
      </c>
      <c r="K15" s="48"/>
      <c r="L15" s="183" t="str">
        <f t="shared" ref="L15:L16" si="11">A19</f>
        <v>BasSw</v>
      </c>
      <c r="M15" s="205" t="str">
        <f>H19</f>
        <v>HKDQM3H6M_Quote</v>
      </c>
      <c r="N15" s="185">
        <f>IFERROR(_xll.qlQuoteValue(H19,Trigger),"--")</f>
        <v>4.5000000000000005E-3</v>
      </c>
      <c r="O15" s="185">
        <f>IFERROR(_xll.qlQuoteValue(I19,Trigger),"--")</f>
        <v>1.5E-3</v>
      </c>
      <c r="P15" s="124" t="b">
        <v>1</v>
      </c>
      <c r="Q15" s="90">
        <v>50</v>
      </c>
      <c r="R15" s="90">
        <v>1</v>
      </c>
      <c r="S15" s="90" t="str">
        <f>J19</f>
        <v>obj_000fa#0001</v>
      </c>
      <c r="T15" s="94">
        <f>IFERROR(_xll.qlRateHelperEarliestDate(S15,Trigger),"--")</f>
        <v>42562</v>
      </c>
      <c r="U15" s="94">
        <f>IFERROR(_xll.qlRateHelperPillarDate(S15,Trigger),"--")</f>
        <v>42746</v>
      </c>
      <c r="W15" s="3" t="str">
        <f t="shared" si="2"/>
        <v>BasSw</v>
      </c>
      <c r="X15" s="3" t="str">
        <v>obj_000fb</v>
      </c>
      <c r="Y15" s="3" t="str">
        <f>IFERROR(_xll.qlRateHelperQuoteName(X15,Trigger),"")</f>
        <v>HKDQM3H15Y_Quote</v>
      </c>
      <c r="Z15" s="67">
        <f>IFERROR(_xll.qlRateHelperRate(X15,Trigger),"")</f>
        <v>2.0499999999999997E-2</v>
      </c>
      <c r="AA15" s="98">
        <f>IF(ISERROR(_xll.qlSwapRateHelperSpread($X15)),IF(ISERROR(_xll.qlFuturesRateHelperConvexityAdjustment($X15)),"",_xll.qlFuturesRateHelperConvexityAdjustment($X15)),_xll.qlSwapRateHelperSpread($X15))</f>
        <v>4.0000000000000002E-4</v>
      </c>
      <c r="AB15" s="4">
        <f>IFERROR(_xll.qlRateHelperEarliestDate(X15,Trigger),"")</f>
        <v>42562</v>
      </c>
      <c r="AC15" s="4">
        <f>IFERROR(_xll.qlRateHelperPillarDate(X15,Trigger),"")</f>
        <v>48040</v>
      </c>
      <c r="AD15" s="73">
        <v>0.73501010645441756</v>
      </c>
      <c r="AE15" s="145"/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8"/>
        <v>HKDJump5_SYNTHON_Quote</v>
      </c>
      <c r="AI15" s="150">
        <f>_xll.qlDayCounterYearFraction("actual/360",AG15,_xll.qlCalendarAdvance(Calendar,AG15,"1D",,,Trigger))</f>
        <v>2.7777777777777779E-3</v>
      </c>
      <c r="AJ15" s="135" t="e">
        <f>IF(_xll.qlQuoteIsValid(AH15,Trigger),_xll.qlQuoteValue(AH15,Trigger),1)</f>
        <v>#NUM!</v>
      </c>
      <c r="AK15" s="170" t="str">
        <f t="shared" si="9"/>
        <v>--</v>
      </c>
      <c r="AL15" s="155">
        <v>0</v>
      </c>
      <c r="AM15" s="135">
        <f t="shared" si="10"/>
        <v>1</v>
      </c>
    </row>
    <row r="16" spans="1:39" ht="11.25" customHeight="1" x14ac:dyDescent="0.2">
      <c r="A16" s="1" t="s">
        <v>25</v>
      </c>
      <c r="B16" s="7" t="s">
        <v>27</v>
      </c>
      <c r="C16" s="6" t="s">
        <v>6</v>
      </c>
      <c r="D16" s="6" t="s">
        <v>139</v>
      </c>
      <c r="E16" s="6" t="s">
        <v>7</v>
      </c>
      <c r="F16" s="6" t="s">
        <v>131</v>
      </c>
      <c r="G16" s="6" t="str">
        <f t="shared" si="6"/>
        <v>HkdHibor1M</v>
      </c>
      <c r="H16" s="1" t="str">
        <f t="shared" si="7"/>
        <v>HKDAM1H1Y_Quote</v>
      </c>
      <c r="I16" s="118">
        <v>0</v>
      </c>
      <c r="J16" s="178" t="str">
        <f>IF(P14,_xll.qlSwapRateHelper2(,H16,1,B16,Calendar,+D16,E16,F16,G16,I16,C16,Discounting,PillarDate,,Permanent,Trigger,ObjectOverwrite),"--")</f>
        <v>--</v>
      </c>
      <c r="K16" s="48"/>
      <c r="L16" s="183" t="str">
        <f t="shared" si="11"/>
        <v>BasSw</v>
      </c>
      <c r="M16" s="187" t="str">
        <f t="shared" ref="M16:M53" si="12">H20</f>
        <v>HKDQM3H9M_Quote</v>
      </c>
      <c r="N16" s="185">
        <f>IFERROR(_xll.qlQuoteValue(H20,Trigger),"--")</f>
        <v>5.0000000000000001E-3</v>
      </c>
      <c r="O16" s="185">
        <f>IFERROR(_xll.qlQuoteValue(I20,Trigger),"--")</f>
        <v>1.5E-3</v>
      </c>
      <c r="P16" s="124" t="b">
        <v>1</v>
      </c>
      <c r="Q16" s="90">
        <v>50</v>
      </c>
      <c r="R16" s="90">
        <v>1</v>
      </c>
      <c r="S16" s="90" t="str">
        <f t="shared" ref="S16:S53" si="13">J20</f>
        <v>obj_000f2#0001</v>
      </c>
      <c r="T16" s="94">
        <f>IFERROR(_xll.qlRateHelperEarliestDate(S16,Trigger),"--")</f>
        <v>42562</v>
      </c>
      <c r="U16" s="94">
        <f>IFERROR(_xll.qlRateHelperPillarDate(S16,Trigger),"--")</f>
        <v>42836</v>
      </c>
      <c r="W16" s="3" t="str">
        <f t="shared" si="2"/>
        <v/>
      </c>
      <c r="X16" s="3" t="e">
        <v>#N/A</v>
      </c>
      <c r="Y16" s="3" t="str">
        <f>IFERROR(_xll.qlRateHelperQuoteName(X16,Trigger),"")</f>
        <v/>
      </c>
      <c r="Z16" s="67" t="str">
        <f>IFERROR(_xll.qlRateHelperRate(X16,Trigger),"")</f>
        <v/>
      </c>
      <c r="AA16" s="98" t="str">
        <f>IF(ISERROR(_xll.qlSwapRateHelperSpread($X16)),IF(ISERROR(_xll.qlFuturesRateHelperConvexityAdjustment($X16)),"",_xll.qlFuturesRateHelperConvexityAdjustment($X16)),_xll.qlSwapRateHelperSpread($X16))</f>
        <v/>
      </c>
      <c r="AB16" s="4" t="str">
        <f>IFERROR(_xll.qlRateHelperEarliestDate(X16,Trigger),"")</f>
        <v/>
      </c>
      <c r="AC16" s="4" t="str">
        <f>IFERROR(_xll.qlRateHelperPillarDate(X16,Trigger),"")</f>
        <v/>
      </c>
      <c r="AD16" s="73" t="e">
        <v>#N/A</v>
      </c>
      <c r="AE16" s="145"/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8"/>
        <v>HKDJump6_SYNTHON_Quote</v>
      </c>
      <c r="AI16" s="150">
        <f>_xll.qlDayCounterYearFraction("actual/360",AG16,_xll.qlCalendarAdvance(Calendar,AG16,"1D",,,Trigger))</f>
        <v>1.1111111111111112E-2</v>
      </c>
      <c r="AJ16" s="135" t="e">
        <f>IF(_xll.qlQuoteIsValid(AH16,Trigger),_xll.qlQuoteValue(AH16,Trigger),1)</f>
        <v>#NUM!</v>
      </c>
      <c r="AK16" s="170" t="str">
        <f t="shared" si="9"/>
        <v>--</v>
      </c>
      <c r="AL16" s="155">
        <v>0</v>
      </c>
      <c r="AM16" s="135">
        <f t="shared" si="10"/>
        <v>1</v>
      </c>
    </row>
    <row r="17" spans="1:39" ht="11.25" customHeight="1" x14ac:dyDescent="0.2">
      <c r="F17" s="50" t="s">
        <v>133</v>
      </c>
      <c r="G17" s="50" t="s">
        <v>134</v>
      </c>
      <c r="H17" s="50" t="s">
        <v>137</v>
      </c>
      <c r="K17" s="48"/>
      <c r="L17" s="183" t="str">
        <f t="shared" ref="L17:L53" si="14">A21</f>
        <v>BasSw</v>
      </c>
      <c r="M17" s="187" t="str">
        <f t="shared" si="12"/>
        <v>HKDQM3H1Y_Quote</v>
      </c>
      <c r="N17" s="185">
        <f>IFERROR(_xll.qlQuoteValue(H21,Trigger),"--")</f>
        <v>5.6000000000000008E-3</v>
      </c>
      <c r="O17" s="185">
        <f>IFERROR(_xll.qlQuoteValue(I21,Trigger),"--")</f>
        <v>1.5E-3</v>
      </c>
      <c r="P17" s="124" t="b">
        <v>1</v>
      </c>
      <c r="Q17" s="90">
        <v>50</v>
      </c>
      <c r="R17" s="90">
        <v>1</v>
      </c>
      <c r="S17" s="90" t="str">
        <f t="shared" si="13"/>
        <v>obj_0010e#0001</v>
      </c>
      <c r="T17" s="94">
        <f>IFERROR(_xll.qlRateHelperEarliestDate(S17,Trigger),"--")</f>
        <v>42562</v>
      </c>
      <c r="U17" s="94">
        <f>IFERROR(_xll.qlRateHelperPillarDate(S17,Trigger),"--")</f>
        <v>42927</v>
      </c>
      <c r="W17" s="3" t="str">
        <f t="shared" si="2"/>
        <v/>
      </c>
      <c r="X17" s="3" t="e">
        <v>#N/A</v>
      </c>
      <c r="Y17" s="3" t="str">
        <f>IFERROR(_xll.qlRateHelperQuoteName(X17,Trigger),"")</f>
        <v/>
      </c>
      <c r="Z17" s="67" t="str">
        <f>IFERROR(_xll.qlRateHelperRate(X17,Trigger),"")</f>
        <v/>
      </c>
      <c r="AA17" s="98" t="str">
        <f>IF(ISERROR(_xll.qlSwapRateHelperSpread($X17)),IF(ISERROR(_xll.qlFuturesRateHelperConvexityAdjustment($X17)),"",_xll.qlFuturesRateHelperConvexityAdjustment($X17)),_xll.qlSwapRateHelperSpread($X17))</f>
        <v/>
      </c>
      <c r="AB17" s="4" t="str">
        <f>IFERROR(_xll.qlRateHelperEarliestDate(X17,Trigger),"")</f>
        <v/>
      </c>
      <c r="AC17" s="4" t="str">
        <f>IFERROR(_xll.qlRateHelperPillarDate(X17,Trigger),"")</f>
        <v/>
      </c>
      <c r="AD17" s="73" t="e">
        <v>#N/A</v>
      </c>
      <c r="AE17" s="145"/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8"/>
        <v>HKDJump7_SYNTHON_Quote</v>
      </c>
      <c r="AI17" s="150">
        <f>_xll.qlDayCounterYearFraction("actual/360",AG17,_xll.qlCalendarAdvance(Calendar,AG17,"1D",,,Trigger))</f>
        <v>2.7777777777777779E-3</v>
      </c>
      <c r="AJ17" s="135" t="e">
        <f>IF(_xll.qlQuoteIsValid(AH17,Trigger),_xll.qlQuoteValue(AH17,Trigger),1)</f>
        <v>#NUM!</v>
      </c>
      <c r="AK17" s="170" t="str">
        <f t="shared" si="9"/>
        <v>--</v>
      </c>
      <c r="AL17" s="155">
        <v>0</v>
      </c>
      <c r="AM17" s="135">
        <f t="shared" si="10"/>
        <v>1</v>
      </c>
    </row>
    <row r="18" spans="1:39" ht="11.25" customHeight="1" x14ac:dyDescent="0.2">
      <c r="A18" s="63" t="s">
        <v>8</v>
      </c>
      <c r="B18" s="63" t="s">
        <v>28</v>
      </c>
      <c r="C18" s="63" t="s">
        <v>111</v>
      </c>
      <c r="D18" s="63" t="s">
        <v>5</v>
      </c>
      <c r="E18" s="63" t="s">
        <v>33</v>
      </c>
      <c r="F18" s="63" t="s">
        <v>112</v>
      </c>
      <c r="G18" s="63" t="s">
        <v>4</v>
      </c>
      <c r="H18" s="63" t="s">
        <v>1</v>
      </c>
      <c r="I18" s="63" t="s">
        <v>110</v>
      </c>
      <c r="J18" s="63" t="s">
        <v>24</v>
      </c>
      <c r="K18" s="48"/>
      <c r="L18" s="183" t="str">
        <f t="shared" si="14"/>
        <v>BasSw</v>
      </c>
      <c r="M18" s="187" t="str">
        <f t="shared" si="12"/>
        <v>HKDQM3H15M_Quote</v>
      </c>
      <c r="N18" s="185" t="str">
        <f>IFERROR(_xll.qlQuoteValue(H22,Trigger),"--")</f>
        <v>--</v>
      </c>
      <c r="O18" s="185" t="str">
        <f>IFERROR(_xll.qlQuoteValue(I22,Trigger),"--")</f>
        <v>--</v>
      </c>
      <c r="P18" s="124" t="b">
        <v>0</v>
      </c>
      <c r="Q18" s="90">
        <v>50</v>
      </c>
      <c r="R18" s="90">
        <v>1</v>
      </c>
      <c r="S18" s="90" t="str">
        <f t="shared" si="13"/>
        <v>--</v>
      </c>
      <c r="T18" s="94" t="str">
        <f>IFERROR(_xll.qlRateHelperEarliestDate(S18,Trigger),"--")</f>
        <v>--</v>
      </c>
      <c r="U18" s="94" t="str">
        <f>IFERROR(_xll.qlRateHelperPillarDate(S18,Trigger),"--")</f>
        <v>--</v>
      </c>
      <c r="W18" s="3" t="str">
        <f t="shared" si="2"/>
        <v/>
      </c>
      <c r="X18" s="3" t="e">
        <v>#N/A</v>
      </c>
      <c r="Y18" s="3" t="str">
        <f>IFERROR(_xll.qlRateHelperQuoteName(X18,Trigger),"")</f>
        <v/>
      </c>
      <c r="Z18" s="67" t="str">
        <f>IFERROR(_xll.qlRateHelperRate(X18,Trigger),"")</f>
        <v/>
      </c>
      <c r="AA18" s="98" t="str">
        <f>IF(ISERROR(_xll.qlSwapRateHelperSpread($X18)),IF(ISERROR(_xll.qlFuturesRateHelperConvexityAdjustment($X18)),"",_xll.qlFuturesRateHelperConvexityAdjustment($X18)),_xll.qlSwapRateHelperSpread($X18))</f>
        <v/>
      </c>
      <c r="AB18" s="4" t="str">
        <f>IFERROR(_xll.qlRateHelperEarliestDate(X18,Trigger),"")</f>
        <v/>
      </c>
      <c r="AC18" s="4" t="str">
        <f>IFERROR(_xll.qlRateHelperPillarDate(X18,Trigger),"")</f>
        <v/>
      </c>
      <c r="AD18" s="73" t="e">
        <v>#N/A</v>
      </c>
      <c r="AE18" s="145"/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8"/>
        <v>HKDJump8_SYNTHON_Quote</v>
      </c>
      <c r="AI18" s="150">
        <f>_xll.qlDayCounterYearFraction("actual/360",AG18,_xll.qlCalendarAdvance(Calendar,AG18,"1D",,,Trigger))</f>
        <v>2.7777777777777779E-3</v>
      </c>
      <c r="AJ18" s="135" t="e">
        <f>IF(_xll.qlQuoteIsValid(AH18,Trigger),_xll.qlQuoteValue(AH18,Trigger),1)</f>
        <v>#NUM!</v>
      </c>
      <c r="AK18" s="170" t="str">
        <f t="shared" si="9"/>
        <v>--</v>
      </c>
      <c r="AL18" s="155">
        <v>0</v>
      </c>
      <c r="AM18" s="135">
        <f t="shared" si="10"/>
        <v>1</v>
      </c>
    </row>
    <row r="19" spans="1:39" ht="11.25" customHeight="1" x14ac:dyDescent="0.2">
      <c r="A19" s="58" t="s">
        <v>113</v>
      </c>
      <c r="B19" s="59" t="s">
        <v>3</v>
      </c>
      <c r="C19" s="60" t="s">
        <v>6</v>
      </c>
      <c r="D19" s="60" t="s">
        <v>130</v>
      </c>
      <c r="E19" s="60" t="s">
        <v>7</v>
      </c>
      <c r="F19" s="60" t="s">
        <v>131</v>
      </c>
      <c r="G19" s="60" t="str">
        <f t="shared" ref="G19:G57" si="15">PROPER(Currency)&amp;FamilyName&amp;Tenor</f>
        <v>HkdHibor1M</v>
      </c>
      <c r="H19" s="58" t="str">
        <f t="shared" ref="H19:H57" si="16">Currency&amp;$F$17&amp;SUBSTITUTE($G$17,"I","")&amp;B19&amp;QuoteSuffix</f>
        <v>HKDQM3H6M_Quote</v>
      </c>
      <c r="I19" s="128" t="str">
        <f t="shared" ref="I19:I57" si="17">Currency&amp;$G$17&amp;$H$17&amp;$B19&amp;QuoteSuffix</f>
        <v>HKD3HI1HI6M_Quote</v>
      </c>
      <c r="J19" s="177" t="str">
        <f>IF(P15,_xll.qlSwapRateHelper2(,H19,1,B19,Calendar,D19,E19,F19,G19,I19,C19,,PillarDate,,Permanent,Trigger,ObjectOverwrite),"--")</f>
        <v>obj_000fa#0001</v>
      </c>
      <c r="K19" s="48"/>
      <c r="L19" s="183" t="str">
        <f t="shared" si="14"/>
        <v>BasSw</v>
      </c>
      <c r="M19" s="187" t="str">
        <f t="shared" si="12"/>
        <v>HKDQM3H18M_Quote</v>
      </c>
      <c r="N19" s="185">
        <f>IFERROR(_xll.qlQuoteValue(H23,Trigger),"--")</f>
        <v>6.8999999999999999E-3</v>
      </c>
      <c r="O19" s="185">
        <f>IFERROR(_xll.qlQuoteValue(I23,Trigger),"--")</f>
        <v>1.5E-3</v>
      </c>
      <c r="P19" s="124" t="b">
        <v>1</v>
      </c>
      <c r="Q19" s="90">
        <v>50</v>
      </c>
      <c r="R19" s="90">
        <v>1</v>
      </c>
      <c r="S19" s="90" t="str">
        <f t="shared" si="13"/>
        <v>obj_0010d#0001</v>
      </c>
      <c r="T19" s="94">
        <f>IFERROR(_xll.qlRateHelperEarliestDate(S19,Trigger),"--")</f>
        <v>42562</v>
      </c>
      <c r="U19" s="94">
        <f>IFERROR(_xll.qlRateHelperPillarDate(S19,Trigger),"--")</f>
        <v>43111</v>
      </c>
      <c r="W19" s="3" t="str">
        <f t="shared" si="2"/>
        <v/>
      </c>
      <c r="X19" s="3" t="e">
        <v>#N/A</v>
      </c>
      <c r="Y19" s="3" t="str">
        <f>IFERROR(_xll.qlRateHelperQuoteName(X19,Trigger),"")</f>
        <v/>
      </c>
      <c r="Z19" s="67" t="str">
        <f>IFERROR(_xll.qlRateHelperRate(X19,Trigger),"")</f>
        <v/>
      </c>
      <c r="AA19" s="98" t="str">
        <f>IF(ISERROR(_xll.qlSwapRateHelperSpread($X19)),IF(ISERROR(_xll.qlFuturesRateHelperConvexityAdjustment($X19)),"",_xll.qlFuturesRateHelperConvexityAdjustment($X19)),_xll.qlSwapRateHelperSpread($X19))</f>
        <v/>
      </c>
      <c r="AB19" s="4" t="str">
        <f>IFERROR(_xll.qlRateHelperEarliestDate(X19,Trigger),"")</f>
        <v/>
      </c>
      <c r="AC19" s="4" t="str">
        <f>IFERROR(_xll.qlRateHelperPillarDate(X19,Trigger),"")</f>
        <v/>
      </c>
      <c r="AD19" s="73" t="e">
        <v>#N/A</v>
      </c>
      <c r="AE19" s="76"/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8"/>
        <v>HKDJump9_SYNTHON_Quote</v>
      </c>
      <c r="AI19" s="150">
        <f>_xll.qlDayCounterYearFraction("actual/360",AG19,_xll.qlCalendarAdvance(Calendar,AG19,"1D",,,Trigger))</f>
        <v>8.3333333333333332E-3</v>
      </c>
      <c r="AJ19" s="135" t="e">
        <f>IF(_xll.qlQuoteIsValid(AH19,Trigger),_xll.qlQuoteValue(AH19,Trigger),1)</f>
        <v>#NUM!</v>
      </c>
      <c r="AK19" s="170" t="str">
        <f t="shared" si="9"/>
        <v>--</v>
      </c>
      <c r="AL19" s="155">
        <v>0</v>
      </c>
      <c r="AM19" s="135">
        <f t="shared" si="10"/>
        <v>1</v>
      </c>
    </row>
    <row r="20" spans="1:39" ht="11.25" customHeight="1" x14ac:dyDescent="0.2">
      <c r="A20" s="58" t="s">
        <v>113</v>
      </c>
      <c r="B20" s="59" t="s">
        <v>46</v>
      </c>
      <c r="C20" s="60" t="s">
        <v>6</v>
      </c>
      <c r="D20" s="60" t="s">
        <v>130</v>
      </c>
      <c r="E20" s="60" t="s">
        <v>7</v>
      </c>
      <c r="F20" s="60" t="s">
        <v>131</v>
      </c>
      <c r="G20" s="60" t="str">
        <f t="shared" si="15"/>
        <v>HkdHibor1M</v>
      </c>
      <c r="H20" s="58" t="str">
        <f t="shared" si="16"/>
        <v>HKDQM3H9M_Quote</v>
      </c>
      <c r="I20" s="128" t="str">
        <f t="shared" si="17"/>
        <v>HKD3HI1HI9M_Quote</v>
      </c>
      <c r="J20" s="177" t="str">
        <f>IF(P16,_xll.qlSwapRateHelper2(,H20,1,B20,Calendar,D20,E20,F20,G20,I20,C20,,PillarDate,,Permanent,Trigger,ObjectOverwrite),"--")</f>
        <v>obj_000f2#0001</v>
      </c>
      <c r="K20" s="48"/>
      <c r="L20" s="183" t="str">
        <f t="shared" si="14"/>
        <v>BasSw</v>
      </c>
      <c r="M20" s="187" t="str">
        <f t="shared" si="12"/>
        <v>HKDQM3H21M_Quote</v>
      </c>
      <c r="N20" s="185" t="str">
        <f>IFERROR(_xll.qlQuoteValue(H24,Trigger),"--")</f>
        <v>--</v>
      </c>
      <c r="O20" s="185" t="str">
        <f>IFERROR(_xll.qlQuoteValue(I24,Trigger),"--")</f>
        <v>--</v>
      </c>
      <c r="P20" s="124" t="b">
        <v>0</v>
      </c>
      <c r="Q20" s="90">
        <v>50</v>
      </c>
      <c r="R20" s="90">
        <v>1</v>
      </c>
      <c r="S20" s="90" t="str">
        <f t="shared" si="13"/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 t="shared" si="2"/>
        <v/>
      </c>
      <c r="X20" s="3" t="e">
        <v>#N/A</v>
      </c>
      <c r="Y20" s="3" t="str">
        <f>IFERROR(_xll.qlRateHelperQuoteName(X20,Trigger),"")</f>
        <v/>
      </c>
      <c r="Z20" s="67" t="str">
        <f>IFERROR(_xll.qlRateHelperRate(X20,Trigger),"")</f>
        <v/>
      </c>
      <c r="AA20" s="98" t="str">
        <f>IF(ISERROR(_xll.qlSwapRateHelperSpread($X20)),IF(ISERROR(_xll.qlFuturesRateHelperConvexityAdjustment($X20)),"",_xll.qlFuturesRateHelperConvexityAdjustment($X20)),_xll.qlSwapRateHelperSpread($X20))</f>
        <v/>
      </c>
      <c r="AB20" s="4" t="str">
        <f>IFERROR(_xll.qlRateHelperEarliestDate(X20,Trigger),"")</f>
        <v/>
      </c>
      <c r="AC20" s="4" t="str">
        <f>IFERROR(_xll.qlRateHelperPillarDate(X20,Trigger),"")</f>
        <v/>
      </c>
      <c r="AD20" s="73" t="e">
        <v>#N/A</v>
      </c>
      <c r="AE20" s="76"/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8"/>
        <v>HKDJump10_SYNTHON_Quote</v>
      </c>
      <c r="AI20" s="150">
        <f>_xll.qlDayCounterYearFraction("actual/360",AG20,_xll.qlCalendarAdvance(Calendar,AG20,"1D",,,Trigger))</f>
        <v>1.1111111111111112E-2</v>
      </c>
      <c r="AJ20" s="135" t="e">
        <f>IF(_xll.qlQuoteIsValid(AH20,Trigger),_xll.qlQuoteValue(AH20,Trigger),1)</f>
        <v>#NUM!</v>
      </c>
      <c r="AK20" s="170" t="str">
        <f t="shared" si="9"/>
        <v>--</v>
      </c>
      <c r="AL20" s="155">
        <v>0</v>
      </c>
      <c r="AM20" s="135">
        <f t="shared" si="10"/>
        <v>1</v>
      </c>
    </row>
    <row r="21" spans="1:39" ht="11.25" customHeight="1" x14ac:dyDescent="0.2">
      <c r="A21" s="58" t="s">
        <v>113</v>
      </c>
      <c r="B21" s="59" t="s">
        <v>27</v>
      </c>
      <c r="C21" s="60" t="s">
        <v>6</v>
      </c>
      <c r="D21" s="60" t="s">
        <v>130</v>
      </c>
      <c r="E21" s="60" t="s">
        <v>7</v>
      </c>
      <c r="F21" s="60" t="s">
        <v>131</v>
      </c>
      <c r="G21" s="60" t="str">
        <f t="shared" si="15"/>
        <v>HkdHibor1M</v>
      </c>
      <c r="H21" s="58" t="str">
        <f t="shared" si="16"/>
        <v>HKDQM3H1Y_Quote</v>
      </c>
      <c r="I21" s="128" t="str">
        <f t="shared" si="17"/>
        <v>HKD3HI1HI1Y_Quote</v>
      </c>
      <c r="J21" s="177" t="str">
        <f>IF(P17,_xll.qlSwapRateHelper2(,H21,1,B21,Calendar,D21,E21,F21,G21,I21,C21,,PillarDate,,Permanent,Trigger,ObjectOverwrite),"--")</f>
        <v>obj_0010e#0001</v>
      </c>
      <c r="K21" s="48"/>
      <c r="L21" s="183" t="str">
        <f t="shared" si="14"/>
        <v>BasSw</v>
      </c>
      <c r="M21" s="187" t="str">
        <f t="shared" si="12"/>
        <v>HKDQM3H2Y_Quote</v>
      </c>
      <c r="N21" s="185">
        <f>IFERROR(_xll.qlQuoteValue(H25,Trigger),"--")</f>
        <v>8.0000000000000002E-3</v>
      </c>
      <c r="O21" s="185">
        <f>IFERROR(_xll.qlQuoteValue(I25,Trigger),"--")</f>
        <v>1.4E-3</v>
      </c>
      <c r="P21" s="124" t="b">
        <v>1</v>
      </c>
      <c r="Q21" s="90">
        <v>50</v>
      </c>
      <c r="R21" s="90">
        <v>1</v>
      </c>
      <c r="S21" s="90" t="str">
        <f t="shared" si="13"/>
        <v>obj_00103#0001</v>
      </c>
      <c r="T21" s="94">
        <f>IFERROR(_xll.qlRateHelperEarliestDate(S21,Trigger),"--")</f>
        <v>42562</v>
      </c>
      <c r="U21" s="94">
        <f>IFERROR(_xll.qlRateHelperPillarDate(S21,Trigger),"--")</f>
        <v>43292</v>
      </c>
      <c r="W21" s="3" t="str">
        <f t="shared" si="2"/>
        <v/>
      </c>
      <c r="X21" s="3" t="e">
        <v>#N/A</v>
      </c>
      <c r="Y21" s="3" t="str">
        <f>IFERROR(_xll.qlRateHelperQuoteName(X21,Trigger),"")</f>
        <v/>
      </c>
      <c r="Z21" s="67" t="str">
        <f>IFERROR(_xll.qlRateHelperRate(X21,Trigger),"")</f>
        <v/>
      </c>
      <c r="AA21" s="98" t="str">
        <f>IF(ISERROR(_xll.qlSwapRateHelperSpread($X21)),IF(ISERROR(_xll.qlFuturesRateHelperConvexityAdjustment($X21)),"",_xll.qlFuturesRateHelperConvexityAdjustment($X21)),_xll.qlSwapRateHelperSpread($X21))</f>
        <v/>
      </c>
      <c r="AB21" s="4" t="str">
        <f>IFERROR(_xll.qlRateHelperEarliestDate(X21,Trigger),"")</f>
        <v/>
      </c>
      <c r="AC21" s="4" t="str">
        <f>IFERROR(_xll.qlRateHelperPillarDate(X21,Trigger),"")</f>
        <v/>
      </c>
      <c r="AD21" s="73" t="e">
        <v>#N/A</v>
      </c>
      <c r="AE21" s="76"/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8"/>
        <v>HKDJump11_SYNTHON_Quote</v>
      </c>
      <c r="AI21" s="150">
        <f>_xll.qlDayCounterYearFraction("actual/360",AG21,_xll.qlCalendarAdvance(Calendar,AG21,"1D",,,Trigger))</f>
        <v>2.7777777777777779E-3</v>
      </c>
      <c r="AJ21" s="135" t="e">
        <f>IF(_xll.qlQuoteIsValid(AH21,Trigger),_xll.qlQuoteValue(AH21,Trigger),1)</f>
        <v>#NUM!</v>
      </c>
      <c r="AK21" s="170" t="str">
        <f t="shared" si="9"/>
        <v>--</v>
      </c>
      <c r="AL21" s="155">
        <v>0</v>
      </c>
      <c r="AM21" s="135">
        <f t="shared" si="10"/>
        <v>1</v>
      </c>
    </row>
    <row r="22" spans="1:39" ht="11.25" customHeight="1" x14ac:dyDescent="0.2">
      <c r="A22" s="58" t="s">
        <v>113</v>
      </c>
      <c r="B22" s="59" t="s">
        <v>49</v>
      </c>
      <c r="C22" s="60" t="s">
        <v>6</v>
      </c>
      <c r="D22" s="60" t="s">
        <v>130</v>
      </c>
      <c r="E22" s="60" t="s">
        <v>7</v>
      </c>
      <c r="F22" s="60" t="s">
        <v>131</v>
      </c>
      <c r="G22" s="60" t="str">
        <f t="shared" si="15"/>
        <v>HkdHibor1M</v>
      </c>
      <c r="H22" s="58" t="str">
        <f t="shared" si="16"/>
        <v>HKDQM3H15M_Quote</v>
      </c>
      <c r="I22" s="128" t="str">
        <f t="shared" si="17"/>
        <v>HKD3HI1HI15M_Quote</v>
      </c>
      <c r="J22" s="177" t="str">
        <f>IF(P18,_xll.qlSwapRateHelper2(,H22,1,B22,Calendar,D22,E22,F22,G22,I22,C22,,PillarDate,,Permanent,Trigger,ObjectOverwrite),"--")</f>
        <v>--</v>
      </c>
      <c r="K22" s="48"/>
      <c r="L22" s="183" t="str">
        <f t="shared" si="14"/>
        <v>BasSw</v>
      </c>
      <c r="M22" s="187" t="str">
        <f t="shared" si="12"/>
        <v>HKDQM3H3Y_Quote</v>
      </c>
      <c r="N22" s="185">
        <f>IFERROR(_xll.qlQuoteValue(H26,Trigger),"--")</f>
        <v>1.0200000000000001E-2</v>
      </c>
      <c r="O22" s="185">
        <f>IFERROR(_xll.qlQuoteValue(I26,Trigger),"--")</f>
        <v>1.4E-3</v>
      </c>
      <c r="P22" s="124" t="b">
        <v>1</v>
      </c>
      <c r="Q22" s="90">
        <v>50</v>
      </c>
      <c r="R22" s="90">
        <v>1</v>
      </c>
      <c r="S22" s="90" t="str">
        <f t="shared" si="13"/>
        <v>obj_0010f#0001</v>
      </c>
      <c r="T22" s="94">
        <f>IFERROR(_xll.qlRateHelperEarliestDate(S22,Trigger),"--")</f>
        <v>42562</v>
      </c>
      <c r="U22" s="94">
        <f>IFERROR(_xll.qlRateHelperPillarDate(S22,Trigger),"--")</f>
        <v>43657</v>
      </c>
      <c r="W22" s="3" t="str">
        <f t="shared" si="2"/>
        <v/>
      </c>
      <c r="X22" s="3" t="e">
        <v>#N/A</v>
      </c>
      <c r="Y22" s="3" t="str">
        <f>IFERROR(_xll.qlRateHelperQuoteName(X22,Trigger),"")</f>
        <v/>
      </c>
      <c r="Z22" s="67" t="str">
        <f>IFERROR(_xll.qlRateHelperRate(X22,Trigger),"")</f>
        <v/>
      </c>
      <c r="AA22" s="98" t="str">
        <f>IF(ISERROR(_xll.qlSwapRateHelperSpread($X22)),IF(ISERROR(_xll.qlFuturesRateHelperConvexityAdjustment($X22)),"",_xll.qlFuturesRateHelperConvexityAdjustment($X22)),_xll.qlSwapRateHelperSpread($X22))</f>
        <v/>
      </c>
      <c r="AB22" s="4" t="str">
        <f>IFERROR(_xll.qlRateHelperEarliestDate(X22,Trigger),"")</f>
        <v/>
      </c>
      <c r="AC22" s="4" t="str">
        <f>IFERROR(_xll.qlRateHelperPillarDate(X22,Trigger),"")</f>
        <v/>
      </c>
      <c r="AD22" s="73" t="e">
        <v>#N/A</v>
      </c>
      <c r="AE22" s="76"/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8"/>
        <v>HKDJump12_SYNTHON_Quote</v>
      </c>
      <c r="AI22" s="150">
        <f>_xll.qlDayCounterYearFraction("actual/360",AG22,_xll.qlCalendarAdvance(Calendar,AG22,"1D",,,Trigger))</f>
        <v>1.1111111111111112E-2</v>
      </c>
      <c r="AJ22" s="135" t="e">
        <f>IF(_xll.qlQuoteIsValid(AH22,Trigger),_xll.qlQuoteValue(AH22,Trigger),1)</f>
        <v>#NUM!</v>
      </c>
      <c r="AK22" s="170" t="str">
        <f t="shared" si="9"/>
        <v>--</v>
      </c>
      <c r="AL22" s="155">
        <v>0</v>
      </c>
      <c r="AM22" s="135">
        <f t="shared" si="10"/>
        <v>1</v>
      </c>
    </row>
    <row r="23" spans="1:39" ht="11.25" customHeight="1" x14ac:dyDescent="0.2">
      <c r="A23" s="58" t="s">
        <v>113</v>
      </c>
      <c r="B23" s="59" t="s">
        <v>50</v>
      </c>
      <c r="C23" s="60" t="s">
        <v>6</v>
      </c>
      <c r="D23" s="60" t="s">
        <v>130</v>
      </c>
      <c r="E23" s="60" t="s">
        <v>7</v>
      </c>
      <c r="F23" s="60" t="s">
        <v>131</v>
      </c>
      <c r="G23" s="60" t="str">
        <f t="shared" si="15"/>
        <v>HkdHibor1M</v>
      </c>
      <c r="H23" s="58" t="str">
        <f t="shared" si="16"/>
        <v>HKDQM3H18M_Quote</v>
      </c>
      <c r="I23" s="128" t="str">
        <f t="shared" si="17"/>
        <v>HKD3HI1HI18M_Quote</v>
      </c>
      <c r="J23" s="177" t="str">
        <f>IF(P19,_xll.qlSwapRateHelper2(,H23,1,B23,Calendar,D23,E23,F23,G23,I23,C23,,PillarDate,,Permanent,Trigger,ObjectOverwrite),"--")</f>
        <v>obj_0010d#0001</v>
      </c>
      <c r="K23" s="48"/>
      <c r="L23" s="183" t="str">
        <f t="shared" si="14"/>
        <v>BasSw</v>
      </c>
      <c r="M23" s="187" t="str">
        <f t="shared" si="12"/>
        <v>HKDQM3H4Y_Quote</v>
      </c>
      <c r="N23" s="185">
        <f>IFERROR(_xll.qlQuoteValue(H27,Trigger),"--")</f>
        <v>1.21E-2</v>
      </c>
      <c r="O23" s="185">
        <f>IFERROR(_xll.qlQuoteValue(I27,Trigger),"--")</f>
        <v>1.4E-3</v>
      </c>
      <c r="P23" s="124" t="b">
        <v>1</v>
      </c>
      <c r="Q23" s="90">
        <v>50</v>
      </c>
      <c r="R23" s="90">
        <v>1</v>
      </c>
      <c r="S23" s="90" t="str">
        <f t="shared" si="13"/>
        <v>obj_00102#0001</v>
      </c>
      <c r="T23" s="94">
        <f>IFERROR(_xll.qlRateHelperEarliestDate(S23,Trigger),"--")</f>
        <v>42562</v>
      </c>
      <c r="U23" s="94">
        <f>IFERROR(_xll.qlRateHelperPillarDate(S23,Trigger),"--")</f>
        <v>44025</v>
      </c>
      <c r="W23" s="3" t="str">
        <f t="shared" si="2"/>
        <v/>
      </c>
      <c r="X23" s="3" t="e">
        <v>#N/A</v>
      </c>
      <c r="Y23" s="3" t="str">
        <f>IFERROR(_xll.qlRateHelperQuoteName(X23,Trigger),"")</f>
        <v/>
      </c>
      <c r="Z23" s="67" t="str">
        <f>IFERROR(_xll.qlRateHelperRate(X23,Trigger),"")</f>
        <v/>
      </c>
      <c r="AA23" s="98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3" t="e">
        <v>#N/A</v>
      </c>
      <c r="AE23" s="76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HKDJump13_SYNTHON_Quote</v>
      </c>
      <c r="AI23" s="151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71" t="str">
        <f t="shared" si="9"/>
        <v>--</v>
      </c>
      <c r="AL23" s="156">
        <v>0</v>
      </c>
      <c r="AM23" s="138">
        <f t="shared" si="10"/>
        <v>1</v>
      </c>
    </row>
    <row r="24" spans="1:39" ht="11.25" customHeight="1" x14ac:dyDescent="0.2">
      <c r="A24" s="58" t="s">
        <v>113</v>
      </c>
      <c r="B24" s="59" t="s">
        <v>51</v>
      </c>
      <c r="C24" s="60" t="s">
        <v>6</v>
      </c>
      <c r="D24" s="60" t="s">
        <v>130</v>
      </c>
      <c r="E24" s="60" t="s">
        <v>7</v>
      </c>
      <c r="F24" s="60" t="s">
        <v>131</v>
      </c>
      <c r="G24" s="60" t="str">
        <f t="shared" si="15"/>
        <v>HkdHibor1M</v>
      </c>
      <c r="H24" s="58" t="str">
        <f t="shared" si="16"/>
        <v>HKDQM3H21M_Quote</v>
      </c>
      <c r="I24" s="128" t="str">
        <f t="shared" si="17"/>
        <v>HKD3HI1HI21M_Quote</v>
      </c>
      <c r="J24" s="177" t="str">
        <f>IF(P20,_xll.qlSwapRateHelper2(,H24,1,B24,Calendar,D24,E24,F24,G24,I24,C24,,PillarDate,,Permanent,Trigger,ObjectOverwrite),"--")</f>
        <v>--</v>
      </c>
      <c r="K24" s="48"/>
      <c r="L24" s="183" t="str">
        <f t="shared" si="14"/>
        <v>BasSw</v>
      </c>
      <c r="M24" s="187" t="str">
        <f t="shared" si="12"/>
        <v>HKDQM3H5Y_Quote</v>
      </c>
      <c r="N24" s="185">
        <f>IFERROR(_xll.qlQuoteValue(H28,Trigger),"--")</f>
        <v>1.37E-2</v>
      </c>
      <c r="O24" s="185">
        <f>IFERROR(_xll.qlQuoteValue(I28,Trigger),"--")</f>
        <v>1.2999999999999999E-3</v>
      </c>
      <c r="P24" s="124" t="b">
        <v>1</v>
      </c>
      <c r="Q24" s="90">
        <v>50</v>
      </c>
      <c r="R24" s="90">
        <v>1</v>
      </c>
      <c r="S24" s="90" t="str">
        <f t="shared" si="13"/>
        <v>obj_000f3#0001</v>
      </c>
      <c r="T24" s="94">
        <f>IFERROR(_xll.qlRateHelperEarliestDate(S24,Trigger),"--")</f>
        <v>42562</v>
      </c>
      <c r="U24" s="94">
        <f>IFERROR(_xll.qlRateHelperPillarDate(S24,Trigger),"--")</f>
        <v>44389</v>
      </c>
      <c r="W24" s="3" t="str">
        <f t="shared" si="2"/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  <c r="AE24" s="76"/>
    </row>
    <row r="25" spans="1:39" ht="11.25" customHeight="1" x14ac:dyDescent="0.2">
      <c r="A25" s="58" t="s">
        <v>113</v>
      </c>
      <c r="B25" s="59" t="s">
        <v>52</v>
      </c>
      <c r="C25" s="60" t="s">
        <v>6</v>
      </c>
      <c r="D25" s="60" t="s">
        <v>130</v>
      </c>
      <c r="E25" s="60" t="s">
        <v>7</v>
      </c>
      <c r="F25" s="60" t="s">
        <v>131</v>
      </c>
      <c r="G25" s="60" t="str">
        <f t="shared" si="15"/>
        <v>HkdHibor1M</v>
      </c>
      <c r="H25" s="58" t="str">
        <f t="shared" si="16"/>
        <v>HKDQM3H2Y_Quote</v>
      </c>
      <c r="I25" s="128" t="str">
        <f t="shared" si="17"/>
        <v>HKD3HI1HI2Y_Quote</v>
      </c>
      <c r="J25" s="177" t="str">
        <f>IF(P21,_xll.qlSwapRateHelper2(,H25,1,B25,Calendar,D25,E25,F25,G25,I25,C25,,PillarDate,,Permanent,Trigger,ObjectOverwrite),"--")</f>
        <v>obj_00103#0001</v>
      </c>
      <c r="K25" s="48"/>
      <c r="L25" s="183" t="str">
        <f t="shared" si="14"/>
        <v>BasSw</v>
      </c>
      <c r="M25" s="187" t="str">
        <f t="shared" si="12"/>
        <v>HKDQM3H6Y_Quote</v>
      </c>
      <c r="N25" s="185" t="str">
        <f>IFERROR(_xll.qlQuoteValue(H29,Trigger),"--")</f>
        <v>--</v>
      </c>
      <c r="O25" s="185" t="str">
        <f>IFERROR(_xll.qlQuoteValue(I29,Trigger),"--")</f>
        <v>--</v>
      </c>
      <c r="P25" s="124" t="b">
        <v>0</v>
      </c>
      <c r="Q25" s="90">
        <v>50</v>
      </c>
      <c r="R25" s="90">
        <v>1</v>
      </c>
      <c r="S25" s="90" t="str">
        <f t="shared" si="13"/>
        <v>--</v>
      </c>
      <c r="T25" s="94" t="str">
        <f>IFERROR(_xll.qlRateHelperEarliestDate(S25,Trigger),"--")</f>
        <v>--</v>
      </c>
      <c r="U25" s="94" t="str">
        <f>IFERROR(_xll.qlRateHelperPillarDate(S25,Trigger),"--")</f>
        <v>--</v>
      </c>
      <c r="W25" s="3" t="str">
        <f t="shared" si="2"/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  <c r="AE25" s="76"/>
    </row>
    <row r="26" spans="1:39" ht="11.25" customHeight="1" x14ac:dyDescent="0.2">
      <c r="A26" s="58" t="s">
        <v>113</v>
      </c>
      <c r="B26" s="59" t="s">
        <v>53</v>
      </c>
      <c r="C26" s="60" t="s">
        <v>6</v>
      </c>
      <c r="D26" s="60" t="s">
        <v>130</v>
      </c>
      <c r="E26" s="60" t="s">
        <v>7</v>
      </c>
      <c r="F26" s="60" t="s">
        <v>131</v>
      </c>
      <c r="G26" s="60" t="str">
        <f t="shared" si="15"/>
        <v>HkdHibor1M</v>
      </c>
      <c r="H26" s="58" t="str">
        <f t="shared" si="16"/>
        <v>HKDQM3H3Y_Quote</v>
      </c>
      <c r="I26" s="128" t="str">
        <f t="shared" si="17"/>
        <v>HKD3HI1HI3Y_Quote</v>
      </c>
      <c r="J26" s="177" t="str">
        <f>IF(P22,_xll.qlSwapRateHelper2(,H26,1,B26,Calendar,D26,E26,F26,G26,I26,C26,,PillarDate,,Permanent,Trigger,ObjectOverwrite),"--")</f>
        <v>obj_0010f#0001</v>
      </c>
      <c r="K26" s="48"/>
      <c r="L26" s="183" t="str">
        <f t="shared" si="14"/>
        <v>BasSw</v>
      </c>
      <c r="M26" s="187" t="str">
        <f t="shared" si="12"/>
        <v>HKDQM3H7Y_Quote</v>
      </c>
      <c r="N26" s="185">
        <f>IFERROR(_xll.qlQuoteValue(H30,Trigger),"--")</f>
        <v>1.6400000000000001E-2</v>
      </c>
      <c r="O26" s="185">
        <f>IFERROR(_xll.qlQuoteValue(I30,Trigger),"--")</f>
        <v>8.0000000000000004E-4</v>
      </c>
      <c r="P26" s="124" t="b">
        <v>1</v>
      </c>
      <c r="Q26" s="90">
        <v>50</v>
      </c>
      <c r="R26" s="90">
        <v>1</v>
      </c>
      <c r="S26" s="90" t="str">
        <f t="shared" si="13"/>
        <v>obj_00107#0001</v>
      </c>
      <c r="T26" s="94">
        <f>IFERROR(_xll.qlRateHelperEarliestDate(S26,Trigger),"--")</f>
        <v>42562</v>
      </c>
      <c r="U26" s="94">
        <f>IFERROR(_xll.qlRateHelperPillarDate(S26,Trigger),"--")</f>
        <v>45118</v>
      </c>
      <c r="W26" s="3" t="str">
        <f t="shared" si="2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76"/>
    </row>
    <row r="27" spans="1:39" ht="11.25" customHeight="1" x14ac:dyDescent="0.2">
      <c r="A27" s="58" t="s">
        <v>113</v>
      </c>
      <c r="B27" s="59" t="s">
        <v>54</v>
      </c>
      <c r="C27" s="60" t="s">
        <v>6</v>
      </c>
      <c r="D27" s="60" t="s">
        <v>130</v>
      </c>
      <c r="E27" s="60" t="s">
        <v>7</v>
      </c>
      <c r="F27" s="60" t="s">
        <v>131</v>
      </c>
      <c r="G27" s="60" t="str">
        <f t="shared" si="15"/>
        <v>HkdHibor1M</v>
      </c>
      <c r="H27" s="58" t="str">
        <f t="shared" si="16"/>
        <v>HKDQM3H4Y_Quote</v>
      </c>
      <c r="I27" s="128" t="str">
        <f t="shared" si="17"/>
        <v>HKD3HI1HI4Y_Quote</v>
      </c>
      <c r="J27" s="177" t="str">
        <f>IF(P23,_xll.qlSwapRateHelper2(,H27,1,B27,Calendar,D27,E27,F27,G27,I27,C27,,PillarDate,,Permanent,Trigger,ObjectOverwrite),"--")</f>
        <v>obj_00102#0001</v>
      </c>
      <c r="K27" s="48"/>
      <c r="L27" s="183" t="str">
        <f t="shared" si="14"/>
        <v>BasSw</v>
      </c>
      <c r="M27" s="187" t="str">
        <f t="shared" si="12"/>
        <v>HKDQM3H8Y_Quote</v>
      </c>
      <c r="N27" s="185" t="str">
        <f>IFERROR(_xll.qlQuoteValue(H31,Trigger),"--")</f>
        <v>--</v>
      </c>
      <c r="O27" s="185" t="str">
        <f>IFERROR(_xll.qlQuoteValue(I31,Trigger),"--")</f>
        <v>--</v>
      </c>
      <c r="P27" s="124" t="b">
        <v>0</v>
      </c>
      <c r="Q27" s="90">
        <v>50</v>
      </c>
      <c r="R27" s="90">
        <v>1</v>
      </c>
      <c r="S27" s="90" t="str">
        <f t="shared" si="13"/>
        <v>--</v>
      </c>
      <c r="T27" s="94" t="str">
        <f>IFERROR(_xll.qlRateHelperEarliestDate(S27,Trigger),"--")</f>
        <v>--</v>
      </c>
      <c r="U27" s="94" t="str">
        <f>IFERROR(_xll.qlRateHelperPillarDate(S27,Trigger),"--")</f>
        <v>--</v>
      </c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76"/>
    </row>
    <row r="28" spans="1:39" ht="11.25" customHeight="1" x14ac:dyDescent="0.2">
      <c r="A28" s="58" t="s">
        <v>113</v>
      </c>
      <c r="B28" s="59" t="s">
        <v>55</v>
      </c>
      <c r="C28" s="60" t="s">
        <v>6</v>
      </c>
      <c r="D28" s="60" t="s">
        <v>130</v>
      </c>
      <c r="E28" s="60" t="s">
        <v>7</v>
      </c>
      <c r="F28" s="60" t="s">
        <v>131</v>
      </c>
      <c r="G28" s="60" t="str">
        <f t="shared" si="15"/>
        <v>HkdHibor1M</v>
      </c>
      <c r="H28" s="58" t="str">
        <f t="shared" si="16"/>
        <v>HKDQM3H5Y_Quote</v>
      </c>
      <c r="I28" s="128" t="str">
        <f t="shared" si="17"/>
        <v>HKD3HI1HI5Y_Quote</v>
      </c>
      <c r="J28" s="177" t="str">
        <f>IF(P24,_xll.qlSwapRateHelper2(,H28,1,B28,Calendar,D28,E28,F28,G28,I28,C28,,PillarDate,,Permanent,Trigger,ObjectOverwrite),"--")</f>
        <v>obj_000f3#0001</v>
      </c>
      <c r="K28" s="48"/>
      <c r="L28" s="183" t="str">
        <f t="shared" si="14"/>
        <v>BasSw</v>
      </c>
      <c r="M28" s="187" t="str">
        <f t="shared" si="12"/>
        <v>HKDQM3H9Y_Quote</v>
      </c>
      <c r="N28" s="185" t="str">
        <f>IFERROR(_xll.qlQuoteValue(H32,Trigger),"--")</f>
        <v>--</v>
      </c>
      <c r="O28" s="185" t="str">
        <f>IFERROR(_xll.qlQuoteValue(I32,Trigger),"--")</f>
        <v>--</v>
      </c>
      <c r="P28" s="124" t="b">
        <v>0</v>
      </c>
      <c r="Q28" s="90">
        <v>50</v>
      </c>
      <c r="R28" s="90">
        <v>1</v>
      </c>
      <c r="S28" s="90" t="str">
        <f t="shared" si="13"/>
        <v>--</v>
      </c>
      <c r="T28" s="94" t="str">
        <f>IFERROR(_xll.qlRateHelperEarliestDate(S28,Trigger),"--")</f>
        <v>--</v>
      </c>
      <c r="U28" s="94" t="str">
        <f>IFERROR(_xll.qlRateHelperPillarDate(S28,Trigger),"--")</f>
        <v>--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76"/>
    </row>
    <row r="29" spans="1:39" ht="11.25" customHeight="1" x14ac:dyDescent="0.2">
      <c r="A29" s="58" t="s">
        <v>113</v>
      </c>
      <c r="B29" s="59" t="s">
        <v>56</v>
      </c>
      <c r="C29" s="60" t="s">
        <v>6</v>
      </c>
      <c r="D29" s="60" t="s">
        <v>130</v>
      </c>
      <c r="E29" s="60" t="s">
        <v>7</v>
      </c>
      <c r="F29" s="60" t="s">
        <v>131</v>
      </c>
      <c r="G29" s="60" t="str">
        <f t="shared" si="15"/>
        <v>HkdHibor1M</v>
      </c>
      <c r="H29" s="58" t="str">
        <f t="shared" si="16"/>
        <v>HKDQM3H6Y_Quote</v>
      </c>
      <c r="I29" s="128" t="str">
        <f t="shared" si="17"/>
        <v>HKD3HI1HI6Y_Quote</v>
      </c>
      <c r="J29" s="177" t="str">
        <f>IF(P25,_xll.qlSwapRateHelper2(,H29,1,B29,Calendar,D29,E29,F29,G29,I29,C29,,PillarDate,,Permanent,Trigger,ObjectOverwrite),"--")</f>
        <v>--</v>
      </c>
      <c r="K29" s="48"/>
      <c r="L29" s="183" t="str">
        <f t="shared" si="14"/>
        <v>BasSw</v>
      </c>
      <c r="M29" s="187" t="str">
        <f t="shared" si="12"/>
        <v>HKDQM3H10Y_Quote</v>
      </c>
      <c r="N29" s="185">
        <f>IFERROR(_xll.qlQuoteValue(H33,Trigger),"--")</f>
        <v>1.9E-2</v>
      </c>
      <c r="O29" s="185">
        <f>IFERROR(_xll.qlQuoteValue(I33,Trigger),"--")</f>
        <v>6.9999999999999999E-4</v>
      </c>
      <c r="P29" s="124" t="b">
        <v>1</v>
      </c>
      <c r="Q29" s="90">
        <v>50</v>
      </c>
      <c r="R29" s="90">
        <v>1</v>
      </c>
      <c r="S29" s="90" t="str">
        <f t="shared" si="13"/>
        <v>obj_00100#0001</v>
      </c>
      <c r="T29" s="94">
        <f>IFERROR(_xll.qlRateHelperEarliestDate(S29,Trigger),"--")</f>
        <v>42562</v>
      </c>
      <c r="U29" s="94">
        <f>IFERROR(_xll.qlRateHelperPillarDate(S29,Trigger),"--")</f>
        <v>46216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76"/>
    </row>
    <row r="30" spans="1:39" ht="11.25" customHeight="1" x14ac:dyDescent="0.2">
      <c r="A30" s="58" t="s">
        <v>113</v>
      </c>
      <c r="B30" s="59" t="s">
        <v>57</v>
      </c>
      <c r="C30" s="60" t="s">
        <v>6</v>
      </c>
      <c r="D30" s="60" t="s">
        <v>130</v>
      </c>
      <c r="E30" s="60" t="s">
        <v>7</v>
      </c>
      <c r="F30" s="60" t="s">
        <v>131</v>
      </c>
      <c r="G30" s="60" t="str">
        <f t="shared" si="15"/>
        <v>HkdHibor1M</v>
      </c>
      <c r="H30" s="58" t="str">
        <f t="shared" si="16"/>
        <v>HKDQM3H7Y_Quote</v>
      </c>
      <c r="I30" s="128" t="str">
        <f t="shared" si="17"/>
        <v>HKD3HI1HI7Y_Quote</v>
      </c>
      <c r="J30" s="177" t="str">
        <f>IF(P26,_xll.qlSwapRateHelper2(,H30,1,B30,Calendar,D30,E30,F30,G30,I30,C30,,PillarDate,,Permanent,Trigger,ObjectOverwrite),"--")</f>
        <v>obj_00107#0001</v>
      </c>
      <c r="K30" s="48"/>
      <c r="L30" s="183" t="str">
        <f t="shared" si="14"/>
        <v>BasSw</v>
      </c>
      <c r="M30" s="187" t="str">
        <f t="shared" si="12"/>
        <v>HKDQM3H11Y_Quote</v>
      </c>
      <c r="N30" s="185" t="str">
        <f>IFERROR(_xll.qlQuoteValue(H34,Trigger),"--")</f>
        <v>--</v>
      </c>
      <c r="O30" s="185" t="str">
        <f>IFERROR(_xll.qlQuoteValue(I34,Trigger),"--")</f>
        <v>--</v>
      </c>
      <c r="P30" s="124" t="b">
        <v>0</v>
      </c>
      <c r="Q30" s="90">
        <v>50</v>
      </c>
      <c r="R30" s="90">
        <v>1</v>
      </c>
      <c r="S30" s="90" t="str">
        <f t="shared" si="13"/>
        <v>--</v>
      </c>
      <c r="T30" s="94" t="str">
        <f>IFERROR(_xll.qlRateHelperEarliestDate(S30,Trigger),"--")</f>
        <v>--</v>
      </c>
      <c r="U30" s="94" t="str">
        <f>IFERROR(_xll.qlRateHelperPillarDate(S30,Trigger),"--")</f>
        <v>--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  <c r="AE30" s="76"/>
    </row>
    <row r="31" spans="1:39" ht="11.25" customHeight="1" x14ac:dyDescent="0.2">
      <c r="A31" s="58" t="s">
        <v>113</v>
      </c>
      <c r="B31" s="59" t="s">
        <v>58</v>
      </c>
      <c r="C31" s="60" t="s">
        <v>6</v>
      </c>
      <c r="D31" s="60" t="s">
        <v>130</v>
      </c>
      <c r="E31" s="60" t="s">
        <v>7</v>
      </c>
      <c r="F31" s="60" t="s">
        <v>131</v>
      </c>
      <c r="G31" s="60" t="str">
        <f t="shared" si="15"/>
        <v>HkdHibor1M</v>
      </c>
      <c r="H31" s="58" t="str">
        <f t="shared" si="16"/>
        <v>HKDQM3H8Y_Quote</v>
      </c>
      <c r="I31" s="128" t="str">
        <f t="shared" si="17"/>
        <v>HKD3HI1HI8Y_Quote</v>
      </c>
      <c r="J31" s="177" t="str">
        <f>IF(P27,_xll.qlSwapRateHelper2(,H31,1,B31,Calendar,D31,E31,F31,G31,I31,C31,,PillarDate,,Permanent,Trigger,ObjectOverwrite),"--")</f>
        <v>--</v>
      </c>
      <c r="K31" s="48"/>
      <c r="L31" s="183" t="str">
        <f t="shared" si="14"/>
        <v>BasSw</v>
      </c>
      <c r="M31" s="187" t="str">
        <f t="shared" si="12"/>
        <v>HKDQM3H12Y_Quote</v>
      </c>
      <c r="N31" s="185">
        <f>IFERROR(_xll.qlQuoteValue(H35,Trigger),"--")</f>
        <v>1.9799999999999998E-2</v>
      </c>
      <c r="O31" s="185">
        <f>IFERROR(_xll.qlQuoteValue(I35,Trigger),"--")</f>
        <v>4.0000000000000002E-4</v>
      </c>
      <c r="P31" s="124" t="b">
        <v>1</v>
      </c>
      <c r="Q31" s="90">
        <v>50</v>
      </c>
      <c r="R31" s="90">
        <v>1</v>
      </c>
      <c r="S31" s="90" t="str">
        <f t="shared" si="13"/>
        <v>obj_0010b#0001</v>
      </c>
      <c r="T31" s="94">
        <f>IFERROR(_xll.qlRateHelperEarliestDate(S31,Trigger),"--")</f>
        <v>42562</v>
      </c>
      <c r="U31" s="94">
        <f>IFERROR(_xll.qlRateHelperPillarDate(S31,Trigger),"--")</f>
        <v>46945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  <c r="AE31" s="76"/>
    </row>
    <row r="32" spans="1:39" ht="11.25" customHeight="1" x14ac:dyDescent="0.2">
      <c r="A32" s="58" t="s">
        <v>113</v>
      </c>
      <c r="B32" s="59" t="s">
        <v>59</v>
      </c>
      <c r="C32" s="60" t="s">
        <v>6</v>
      </c>
      <c r="D32" s="60" t="s">
        <v>130</v>
      </c>
      <c r="E32" s="60" t="s">
        <v>7</v>
      </c>
      <c r="F32" s="60" t="s">
        <v>131</v>
      </c>
      <c r="G32" s="60" t="str">
        <f t="shared" si="15"/>
        <v>HkdHibor1M</v>
      </c>
      <c r="H32" s="58" t="str">
        <f t="shared" si="16"/>
        <v>HKDQM3H9Y_Quote</v>
      </c>
      <c r="I32" s="128" t="str">
        <f t="shared" si="17"/>
        <v>HKD3HI1HI9Y_Quote</v>
      </c>
      <c r="J32" s="177" t="str">
        <f>IF(P28,_xll.qlSwapRateHelper2(,H32,1,B32,Calendar,D32,E32,F32,G32,I32,C32,,PillarDate,,Permanent,Trigger,ObjectOverwrite),"--")</f>
        <v>--</v>
      </c>
      <c r="K32" s="48"/>
      <c r="L32" s="183" t="str">
        <f t="shared" si="14"/>
        <v>BasSw</v>
      </c>
      <c r="M32" s="187" t="str">
        <f t="shared" si="12"/>
        <v>HKDQM3H13Y_Quote</v>
      </c>
      <c r="N32" s="185" t="str">
        <f>IFERROR(_xll.qlQuoteValue(H36,Trigger),"--")</f>
        <v>--</v>
      </c>
      <c r="O32" s="185" t="str">
        <f>IFERROR(_xll.qlQuoteValue(I36,Trigger),"--")</f>
        <v>--</v>
      </c>
      <c r="P32" s="124" t="b">
        <v>0</v>
      </c>
      <c r="Q32" s="90">
        <v>50</v>
      </c>
      <c r="R32" s="90">
        <v>1</v>
      </c>
      <c r="S32" s="90" t="str">
        <f t="shared" si="13"/>
        <v>--</v>
      </c>
      <c r="T32" s="94" t="str">
        <f>IFERROR(_xll.qlRateHelperEarliestDate(S32,Trigger),"--")</f>
        <v>--</v>
      </c>
      <c r="U32" s="94" t="str">
        <f>IFERROR(_xll.qlRateHelperPillarDate(S32,Trigger),"--")</f>
        <v>--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  <c r="AE32" s="76"/>
    </row>
    <row r="33" spans="1:31" ht="11.25" customHeight="1" x14ac:dyDescent="0.2">
      <c r="A33" s="58" t="s">
        <v>113</v>
      </c>
      <c r="B33" s="59" t="s">
        <v>60</v>
      </c>
      <c r="C33" s="60" t="s">
        <v>6</v>
      </c>
      <c r="D33" s="60" t="s">
        <v>130</v>
      </c>
      <c r="E33" s="60" t="s">
        <v>7</v>
      </c>
      <c r="F33" s="60" t="s">
        <v>131</v>
      </c>
      <c r="G33" s="60" t="str">
        <f t="shared" si="15"/>
        <v>HkdHibor1M</v>
      </c>
      <c r="H33" s="58" t="str">
        <f t="shared" si="16"/>
        <v>HKDQM3H10Y_Quote</v>
      </c>
      <c r="I33" s="128" t="str">
        <f t="shared" si="17"/>
        <v>HKD3HI1HI10Y_Quote</v>
      </c>
      <c r="J33" s="177" t="str">
        <f>IF(P29,_xll.qlSwapRateHelper2(,H33,1,B33,Calendar,D33,E33,F33,G33,I33,C33,,PillarDate,,Permanent,Trigger,ObjectOverwrite),"--")</f>
        <v>obj_00100#0001</v>
      </c>
      <c r="K33" s="48"/>
      <c r="L33" s="183" t="str">
        <f t="shared" si="14"/>
        <v>BasSw</v>
      </c>
      <c r="M33" s="187" t="str">
        <f t="shared" si="12"/>
        <v>HKDQM3H14Y_Quote</v>
      </c>
      <c r="N33" s="185" t="str">
        <f>IFERROR(_xll.qlQuoteValue(H37,Trigger),"--")</f>
        <v>--</v>
      </c>
      <c r="O33" s="185" t="str">
        <f>IFERROR(_xll.qlQuoteValue(I37,Trigger),"--")</f>
        <v>--</v>
      </c>
      <c r="P33" s="124" t="b">
        <v>0</v>
      </c>
      <c r="Q33" s="90">
        <v>50</v>
      </c>
      <c r="R33" s="90">
        <v>1</v>
      </c>
      <c r="S33" s="90" t="str">
        <f t="shared" si="13"/>
        <v>--</v>
      </c>
      <c r="T33" s="94" t="str">
        <f>IFERROR(_xll.qlRateHelperEarliestDate(S33,Trigger),"--")</f>
        <v>--</v>
      </c>
      <c r="U33" s="94" t="str">
        <f>IFERROR(_xll.qlRateHelperPillarDate(S33,Trigger),"--")</f>
        <v>--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  <c r="AE33" s="76"/>
    </row>
    <row r="34" spans="1:31" ht="11.25" customHeight="1" x14ac:dyDescent="0.2">
      <c r="A34" s="58" t="s">
        <v>113</v>
      </c>
      <c r="B34" s="59" t="s">
        <v>95</v>
      </c>
      <c r="C34" s="60" t="s">
        <v>6</v>
      </c>
      <c r="D34" s="60" t="s">
        <v>130</v>
      </c>
      <c r="E34" s="60" t="s">
        <v>7</v>
      </c>
      <c r="F34" s="60" t="s">
        <v>131</v>
      </c>
      <c r="G34" s="60" t="str">
        <f t="shared" si="15"/>
        <v>HkdHibor1M</v>
      </c>
      <c r="H34" s="58" t="str">
        <f t="shared" si="16"/>
        <v>HKDQM3H11Y_Quote</v>
      </c>
      <c r="I34" s="128" t="str">
        <f t="shared" si="17"/>
        <v>HKD3HI1HI11Y_Quote</v>
      </c>
      <c r="J34" s="177" t="str">
        <f>IF(P30,_xll.qlSwapRateHelper2(,H34,1,B34,Calendar,D34,E34,F34,G34,I34,C34,,PillarDate,,Permanent,Trigger,ObjectOverwrite),"--")</f>
        <v>--</v>
      </c>
      <c r="K34" s="48"/>
      <c r="L34" s="183" t="str">
        <f t="shared" si="14"/>
        <v>BasSw</v>
      </c>
      <c r="M34" s="187" t="str">
        <f t="shared" si="12"/>
        <v>HKDQM3H15Y_Quote</v>
      </c>
      <c r="N34" s="185">
        <f>IFERROR(_xll.qlQuoteValue(H38,Trigger),"--")</f>
        <v>2.0499999999999997E-2</v>
      </c>
      <c r="O34" s="185">
        <f>IFERROR(_xll.qlQuoteValue(I38,Trigger),"--")</f>
        <v>4.0000000000000002E-4</v>
      </c>
      <c r="P34" s="124" t="b">
        <v>1</v>
      </c>
      <c r="Q34" s="90">
        <v>50</v>
      </c>
      <c r="R34" s="90">
        <v>1</v>
      </c>
      <c r="S34" s="90" t="str">
        <f t="shared" si="13"/>
        <v>obj_000fb#0001</v>
      </c>
      <c r="T34" s="94">
        <f>IFERROR(_xll.qlRateHelperEarliestDate(S34,Trigger),"--")</f>
        <v>42562</v>
      </c>
      <c r="U34" s="94">
        <f>IFERROR(_xll.qlRateHelperPillarDate(S34,Trigger),"--")</f>
        <v>48040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  <c r="AE34" s="76"/>
    </row>
    <row r="35" spans="1:31" ht="11.25" customHeight="1" x14ac:dyDescent="0.2">
      <c r="A35" s="58" t="s">
        <v>113</v>
      </c>
      <c r="B35" s="59" t="s">
        <v>61</v>
      </c>
      <c r="C35" s="60" t="s">
        <v>6</v>
      </c>
      <c r="D35" s="60" t="s">
        <v>130</v>
      </c>
      <c r="E35" s="60" t="s">
        <v>7</v>
      </c>
      <c r="F35" s="60" t="s">
        <v>131</v>
      </c>
      <c r="G35" s="60" t="str">
        <f t="shared" si="15"/>
        <v>HkdHibor1M</v>
      </c>
      <c r="H35" s="58" t="str">
        <f t="shared" si="16"/>
        <v>HKDQM3H12Y_Quote</v>
      </c>
      <c r="I35" s="128" t="str">
        <f t="shared" si="17"/>
        <v>HKD3HI1HI12Y_Quote</v>
      </c>
      <c r="J35" s="177" t="str">
        <f>IF(P31,_xll.qlSwapRateHelper2(,H35,1,B35,Calendar,D35,E35,F35,G35,I35,C35,,PillarDate,,Permanent,Trigger,ObjectOverwrite),"--")</f>
        <v>obj_0010b#0001</v>
      </c>
      <c r="K35" s="48"/>
      <c r="L35" s="183" t="str">
        <f t="shared" si="14"/>
        <v>BasSw</v>
      </c>
      <c r="M35" s="187" t="str">
        <f t="shared" si="12"/>
        <v>HKDQM3H16Y_Quote</v>
      </c>
      <c r="N35" s="185" t="str">
        <f>IFERROR(_xll.qlQuoteValue(H39,Trigger),"--")</f>
        <v>--</v>
      </c>
      <c r="O35" s="185" t="str">
        <f>IFERROR(_xll.qlQuoteValue(I39,Trigger),"--")</f>
        <v>--</v>
      </c>
      <c r="P35" s="124" t="b">
        <v>0</v>
      </c>
      <c r="Q35" s="90">
        <v>50</v>
      </c>
      <c r="R35" s="90">
        <v>1</v>
      </c>
      <c r="S35" s="90" t="str">
        <f t="shared" si="13"/>
        <v>--</v>
      </c>
      <c r="T35" s="94" t="str">
        <f>IFERROR(_xll.qlRateHelperEarliestDate(S35,Trigger),"--")</f>
        <v>--</v>
      </c>
      <c r="U35" s="94" t="str">
        <f>IFERROR(_xll.qlRateHelperPillarDate(S35,Trigger),"--")</f>
        <v>--</v>
      </c>
      <c r="W35" s="3" t="str">
        <f t="shared" ref="W35:W53" si="18">IFERROR(INDEX($L$3:$L$53,MATCH(Y35,$M$3:$M$53,0),1),"")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</row>
    <row r="36" spans="1:31" ht="11.25" customHeight="1" x14ac:dyDescent="0.2">
      <c r="A36" s="58" t="s">
        <v>113</v>
      </c>
      <c r="B36" s="59" t="s">
        <v>96</v>
      </c>
      <c r="C36" s="60" t="s">
        <v>6</v>
      </c>
      <c r="D36" s="60" t="s">
        <v>130</v>
      </c>
      <c r="E36" s="60" t="s">
        <v>7</v>
      </c>
      <c r="F36" s="60" t="s">
        <v>131</v>
      </c>
      <c r="G36" s="60" t="str">
        <f t="shared" si="15"/>
        <v>HkdHibor1M</v>
      </c>
      <c r="H36" s="58" t="str">
        <f t="shared" si="16"/>
        <v>HKDQM3H13Y_Quote</v>
      </c>
      <c r="I36" s="128" t="str">
        <f t="shared" si="17"/>
        <v>HKD3HI1HI13Y_Quote</v>
      </c>
      <c r="J36" s="177" t="str">
        <f>IF(P32,_xll.qlSwapRateHelper2(,H36,1,B36,Calendar,D36,E36,F36,G36,I36,C36,,PillarDate,,Permanent,Trigger,ObjectOverwrite),"--")</f>
        <v>--</v>
      </c>
      <c r="K36" s="48"/>
      <c r="L36" s="183" t="str">
        <f t="shared" si="14"/>
        <v>BasSw</v>
      </c>
      <c r="M36" s="187" t="str">
        <f t="shared" si="12"/>
        <v>HKDQM3H17Y_Quote</v>
      </c>
      <c r="N36" s="185" t="str">
        <f>IFERROR(_xll.qlQuoteValue(H40,Trigger),"--")</f>
        <v>--</v>
      </c>
      <c r="O36" s="185" t="str">
        <f>IFERROR(_xll.qlQuoteValue(I40,Trigger),"--")</f>
        <v>--</v>
      </c>
      <c r="P36" s="124" t="b">
        <v>0</v>
      </c>
      <c r="Q36" s="90">
        <v>50</v>
      </c>
      <c r="R36" s="90">
        <v>1</v>
      </c>
      <c r="S36" s="90" t="str">
        <f t="shared" si="13"/>
        <v>--</v>
      </c>
      <c r="T36" s="94" t="str">
        <f>IFERROR(_xll.qlRateHelperEarliestDate(S36,Trigger),"--")</f>
        <v>--</v>
      </c>
      <c r="U36" s="94" t="str">
        <f>IFERROR(_xll.qlRateHelperPillarDate(S36,Trigger),"--")</f>
        <v>--</v>
      </c>
      <c r="W36" s="3" t="str">
        <f t="shared" si="18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</row>
    <row r="37" spans="1:31" ht="11.25" customHeight="1" x14ac:dyDescent="0.2">
      <c r="A37" s="58" t="s">
        <v>113</v>
      </c>
      <c r="B37" s="59" t="s">
        <v>97</v>
      </c>
      <c r="C37" s="60" t="s">
        <v>6</v>
      </c>
      <c r="D37" s="60" t="s">
        <v>130</v>
      </c>
      <c r="E37" s="60" t="s">
        <v>7</v>
      </c>
      <c r="F37" s="60" t="s">
        <v>131</v>
      </c>
      <c r="G37" s="60" t="str">
        <f t="shared" si="15"/>
        <v>HkdHibor1M</v>
      </c>
      <c r="H37" s="58" t="str">
        <f t="shared" si="16"/>
        <v>HKDQM3H14Y_Quote</v>
      </c>
      <c r="I37" s="128" t="str">
        <f t="shared" si="17"/>
        <v>HKD3HI1HI14Y_Quote</v>
      </c>
      <c r="J37" s="177" t="str">
        <f>IF(P33,_xll.qlSwapRateHelper2(,H37,1,B37,Calendar,D37,E37,F37,G37,I37,C37,,PillarDate,,Permanent,Trigger,ObjectOverwrite),"--")</f>
        <v>--</v>
      </c>
      <c r="L37" s="183" t="str">
        <f t="shared" si="14"/>
        <v>BasSw</v>
      </c>
      <c r="M37" s="187" t="str">
        <f t="shared" si="12"/>
        <v>HKDQM3H18Y_Quote</v>
      </c>
      <c r="N37" s="185" t="str">
        <f>IFERROR(_xll.qlQuoteValue(H41,Trigger),"--")</f>
        <v>--</v>
      </c>
      <c r="O37" s="185" t="str">
        <f>IFERROR(_xll.qlQuoteValue(I41,Trigger),"--")</f>
        <v>--</v>
      </c>
      <c r="P37" s="124" t="b">
        <v>0</v>
      </c>
      <c r="Q37" s="90">
        <v>50</v>
      </c>
      <c r="R37" s="90">
        <v>1</v>
      </c>
      <c r="S37" s="90" t="str">
        <f t="shared" si="13"/>
        <v>--</v>
      </c>
      <c r="T37" s="94" t="str">
        <f>IFERROR(_xll.qlRateHelperEarliestDate(S37,Trigger),"--")</f>
        <v>--</v>
      </c>
      <c r="U37" s="94" t="str">
        <f>IFERROR(_xll.qlRateHelperPillarDate(S37,Trigger),"--")</f>
        <v>--</v>
      </c>
      <c r="W37" s="3" t="str">
        <f t="shared" si="18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</row>
    <row r="38" spans="1:31" ht="11.25" customHeight="1" x14ac:dyDescent="0.2">
      <c r="A38" s="58" t="s">
        <v>113</v>
      </c>
      <c r="B38" s="59" t="s">
        <v>62</v>
      </c>
      <c r="C38" s="60" t="s">
        <v>6</v>
      </c>
      <c r="D38" s="60" t="s">
        <v>130</v>
      </c>
      <c r="E38" s="60" t="s">
        <v>7</v>
      </c>
      <c r="F38" s="60" t="s">
        <v>131</v>
      </c>
      <c r="G38" s="60" t="str">
        <f t="shared" si="15"/>
        <v>HkdHibor1M</v>
      </c>
      <c r="H38" s="58" t="str">
        <f t="shared" si="16"/>
        <v>HKDQM3H15Y_Quote</v>
      </c>
      <c r="I38" s="128" t="str">
        <f t="shared" si="17"/>
        <v>HKD3HI1HI15Y_Quote</v>
      </c>
      <c r="J38" s="177" t="str">
        <f>IF(P34,_xll.qlSwapRateHelper2(,H38,1,B38,Calendar,D38,E38,F38,G38,I38,C38,,PillarDate,,Permanent,Trigger,ObjectOverwrite),"--")</f>
        <v>obj_000fb#0001</v>
      </c>
      <c r="L38" s="183" t="str">
        <f t="shared" si="14"/>
        <v>BasSw</v>
      </c>
      <c r="M38" s="187" t="str">
        <f t="shared" si="12"/>
        <v>HKDQM3H19Y_Quote</v>
      </c>
      <c r="N38" s="185" t="str">
        <f>IFERROR(_xll.qlQuoteValue(H42,Trigger),"--")</f>
        <v>--</v>
      </c>
      <c r="O38" s="185" t="str">
        <f>IFERROR(_xll.qlQuoteValue(I42,Trigger),"--")</f>
        <v>--</v>
      </c>
      <c r="P38" s="124" t="b">
        <v>0</v>
      </c>
      <c r="Q38" s="90">
        <v>50</v>
      </c>
      <c r="R38" s="90">
        <v>1</v>
      </c>
      <c r="S38" s="90" t="str">
        <f t="shared" si="13"/>
        <v>--</v>
      </c>
      <c r="T38" s="94" t="str">
        <f>IFERROR(_xll.qlRateHelperEarliestDate(S38,Trigger),"--")</f>
        <v>--</v>
      </c>
      <c r="U38" s="94" t="str">
        <f>IFERROR(_xll.qlRateHelperPillarDate(S38,Trigger),"--")</f>
        <v>--</v>
      </c>
      <c r="W38" s="3" t="str">
        <f t="shared" si="18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</row>
    <row r="39" spans="1:31" ht="11.25" customHeight="1" x14ac:dyDescent="0.2">
      <c r="A39" s="58" t="s">
        <v>113</v>
      </c>
      <c r="B39" s="59" t="s">
        <v>98</v>
      </c>
      <c r="C39" s="60" t="s">
        <v>6</v>
      </c>
      <c r="D39" s="60" t="s">
        <v>130</v>
      </c>
      <c r="E39" s="60" t="s">
        <v>7</v>
      </c>
      <c r="F39" s="60" t="s">
        <v>131</v>
      </c>
      <c r="G39" s="60" t="str">
        <f t="shared" si="15"/>
        <v>HkdHibor1M</v>
      </c>
      <c r="H39" s="58" t="str">
        <f t="shared" si="16"/>
        <v>HKDQM3H16Y_Quote</v>
      </c>
      <c r="I39" s="128" t="str">
        <f t="shared" si="17"/>
        <v>HKD3HI1HI16Y_Quote</v>
      </c>
      <c r="J39" s="177" t="str">
        <f>IF(P35,_xll.qlSwapRateHelper2(,H39,1,B39,Calendar,D39,E39,F39,G39,I39,C39,,PillarDate,,Permanent,Trigger,ObjectOverwrite),"--")</f>
        <v>--</v>
      </c>
      <c r="L39" s="183" t="str">
        <f t="shared" si="14"/>
        <v>BasSw</v>
      </c>
      <c r="M39" s="187" t="str">
        <f t="shared" si="12"/>
        <v>HKDQM3H20Y_Quote</v>
      </c>
      <c r="N39" s="185">
        <f>IFERROR(_xll.qlQuoteValue(H43,Trigger),"--")</f>
        <v>2.3E-2</v>
      </c>
      <c r="O39" s="185" t="str">
        <f>IFERROR(_xll.qlQuoteValue(I43,Trigger),"--")</f>
        <v>--</v>
      </c>
      <c r="P39" s="124" t="b">
        <v>0</v>
      </c>
      <c r="Q39" s="90">
        <v>50</v>
      </c>
      <c r="R39" s="90">
        <v>1</v>
      </c>
      <c r="S39" s="90" t="str">
        <f t="shared" si="13"/>
        <v>--</v>
      </c>
      <c r="T39" s="94" t="str">
        <f>IFERROR(_xll.qlRateHelperEarliestDate(S39,Trigger),"--")</f>
        <v>--</v>
      </c>
      <c r="U39" s="94" t="str">
        <f>IFERROR(_xll.qlRateHelperPillarDate(S39,Trigger),"--")</f>
        <v>--</v>
      </c>
      <c r="W39" s="3" t="str">
        <f t="shared" si="18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8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3" t="e">
        <v>#N/A</v>
      </c>
    </row>
    <row r="40" spans="1:31" ht="11.25" customHeight="1" x14ac:dyDescent="0.2">
      <c r="A40" s="58" t="s">
        <v>113</v>
      </c>
      <c r="B40" s="59" t="s">
        <v>99</v>
      </c>
      <c r="C40" s="60" t="s">
        <v>6</v>
      </c>
      <c r="D40" s="60" t="s">
        <v>130</v>
      </c>
      <c r="E40" s="60" t="s">
        <v>7</v>
      </c>
      <c r="F40" s="60" t="s">
        <v>131</v>
      </c>
      <c r="G40" s="60" t="str">
        <f t="shared" si="15"/>
        <v>HkdHibor1M</v>
      </c>
      <c r="H40" s="58" t="str">
        <f t="shared" si="16"/>
        <v>HKDQM3H17Y_Quote</v>
      </c>
      <c r="I40" s="128" t="str">
        <f t="shared" si="17"/>
        <v>HKD3HI1HI17Y_Quote</v>
      </c>
      <c r="J40" s="177" t="str">
        <f>IF(P36,_xll.qlSwapRateHelper2(,H40,1,B40,Calendar,D40,E40,F40,G40,I40,C40,,PillarDate,,Permanent,Trigger,ObjectOverwrite),"--")</f>
        <v>--</v>
      </c>
      <c r="L40" s="183" t="str">
        <f t="shared" si="14"/>
        <v>BasSw</v>
      </c>
      <c r="M40" s="187" t="str">
        <f t="shared" si="12"/>
        <v>HKDQM3H21Y_Quote</v>
      </c>
      <c r="N40" s="185" t="str">
        <f>IFERROR(_xll.qlQuoteValue(H44,Trigger),"--")</f>
        <v>--</v>
      </c>
      <c r="O40" s="185" t="str">
        <f>IFERROR(_xll.qlQuoteValue(I44,Trigger),"--")</f>
        <v>--</v>
      </c>
      <c r="P40" s="124" t="b">
        <v>0</v>
      </c>
      <c r="Q40" s="90">
        <v>50</v>
      </c>
      <c r="R40" s="90">
        <v>1</v>
      </c>
      <c r="S40" s="90" t="str">
        <f t="shared" si="13"/>
        <v>--</v>
      </c>
      <c r="T40" s="94" t="str">
        <f>IFERROR(_xll.qlRateHelperEarliestDate(S40,Trigger),"--")</f>
        <v>--</v>
      </c>
      <c r="U40" s="94" t="str">
        <f>IFERROR(_xll.qlRateHelperPillarDate(S40,Trigger),"--")</f>
        <v>--</v>
      </c>
      <c r="W40" s="3" t="str">
        <f t="shared" si="18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8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3" t="e">
        <v>#N/A</v>
      </c>
    </row>
    <row r="41" spans="1:31" ht="11.25" customHeight="1" x14ac:dyDescent="0.2">
      <c r="A41" s="58" t="s">
        <v>113</v>
      </c>
      <c r="B41" s="59" t="s">
        <v>100</v>
      </c>
      <c r="C41" s="60" t="s">
        <v>6</v>
      </c>
      <c r="D41" s="60" t="s">
        <v>130</v>
      </c>
      <c r="E41" s="60" t="s">
        <v>7</v>
      </c>
      <c r="F41" s="60" t="s">
        <v>131</v>
      </c>
      <c r="G41" s="60" t="str">
        <f t="shared" si="15"/>
        <v>HkdHibor1M</v>
      </c>
      <c r="H41" s="58" t="str">
        <f t="shared" si="16"/>
        <v>HKDQM3H18Y_Quote</v>
      </c>
      <c r="I41" s="128" t="str">
        <f t="shared" si="17"/>
        <v>HKD3HI1HI18Y_Quote</v>
      </c>
      <c r="J41" s="177" t="str">
        <f>IF(P37,_xll.qlSwapRateHelper2(,H41,1,B41,Calendar,D41,E41,F41,G41,I41,C41,,PillarDate,,Permanent,Trigger,ObjectOverwrite),"--")</f>
        <v>--</v>
      </c>
      <c r="L41" s="183" t="str">
        <f t="shared" si="14"/>
        <v>BasSw</v>
      </c>
      <c r="M41" s="187" t="str">
        <f t="shared" si="12"/>
        <v>HKDQM3H22Y_Quote</v>
      </c>
      <c r="N41" s="185" t="str">
        <f>IFERROR(_xll.qlQuoteValue(H45,Trigger),"--")</f>
        <v>--</v>
      </c>
      <c r="O41" s="185" t="str">
        <f>IFERROR(_xll.qlQuoteValue(I45,Trigger),"--")</f>
        <v>--</v>
      </c>
      <c r="P41" s="124" t="b">
        <v>0</v>
      </c>
      <c r="Q41" s="90">
        <v>50</v>
      </c>
      <c r="R41" s="90">
        <v>1</v>
      </c>
      <c r="S41" s="90" t="str">
        <f t="shared" si="13"/>
        <v>--</v>
      </c>
      <c r="T41" s="94" t="str">
        <f>IFERROR(_xll.qlRateHelperEarliestDate(S41,Trigger),"--")</f>
        <v>--</v>
      </c>
      <c r="U41" s="94" t="str">
        <f>IFERROR(_xll.qlRateHelperPillarDate(S41,Trigger),"--")</f>
        <v>--</v>
      </c>
      <c r="W41" s="3" t="str">
        <f t="shared" si="18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8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3" t="e">
        <v>#N/A</v>
      </c>
    </row>
    <row r="42" spans="1:31" ht="11.25" customHeight="1" x14ac:dyDescent="0.2">
      <c r="A42" s="58" t="s">
        <v>113</v>
      </c>
      <c r="B42" s="59" t="s">
        <v>101</v>
      </c>
      <c r="C42" s="60" t="s">
        <v>6</v>
      </c>
      <c r="D42" s="60" t="s">
        <v>130</v>
      </c>
      <c r="E42" s="60" t="s">
        <v>7</v>
      </c>
      <c r="F42" s="60" t="s">
        <v>131</v>
      </c>
      <c r="G42" s="60" t="str">
        <f t="shared" si="15"/>
        <v>HkdHibor1M</v>
      </c>
      <c r="H42" s="58" t="str">
        <f t="shared" si="16"/>
        <v>HKDQM3H19Y_Quote</v>
      </c>
      <c r="I42" s="128" t="str">
        <f t="shared" si="17"/>
        <v>HKD3HI1HI19Y_Quote</v>
      </c>
      <c r="J42" s="177" t="str">
        <f>IF(P38,_xll.qlSwapRateHelper2(,H42,1,B42,Calendar,D42,E42,F42,G42,I42,C42,,PillarDate,,Permanent,Trigger,ObjectOverwrite),"--")</f>
        <v>--</v>
      </c>
      <c r="L42" s="183" t="str">
        <f t="shared" si="14"/>
        <v>BasSw</v>
      </c>
      <c r="M42" s="187" t="str">
        <f t="shared" si="12"/>
        <v>HKDQM3H23Y_Quote</v>
      </c>
      <c r="N42" s="185" t="str">
        <f>IFERROR(_xll.qlQuoteValue(H46,Trigger),"--")</f>
        <v>--</v>
      </c>
      <c r="O42" s="185" t="str">
        <f>IFERROR(_xll.qlQuoteValue(I46,Trigger),"--")</f>
        <v>--</v>
      </c>
      <c r="P42" s="124" t="b">
        <v>0</v>
      </c>
      <c r="Q42" s="90">
        <v>50</v>
      </c>
      <c r="R42" s="90">
        <v>1</v>
      </c>
      <c r="S42" s="90" t="str">
        <f t="shared" si="13"/>
        <v>--</v>
      </c>
      <c r="T42" s="94" t="str">
        <f>IFERROR(_xll.qlRateHelperEarliestDate(S42,Trigger),"--")</f>
        <v>--</v>
      </c>
      <c r="U42" s="94" t="str">
        <f>IFERROR(_xll.qlRateHelperPillarDate(S42,Trigger),"--")</f>
        <v>--</v>
      </c>
      <c r="W42" s="3" t="str">
        <f t="shared" si="18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8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3" t="e">
        <v>#N/A</v>
      </c>
    </row>
    <row r="43" spans="1:31" ht="11.25" customHeight="1" x14ac:dyDescent="0.2">
      <c r="A43" s="58" t="s">
        <v>113</v>
      </c>
      <c r="B43" s="59" t="s">
        <v>63</v>
      </c>
      <c r="C43" s="60" t="s">
        <v>6</v>
      </c>
      <c r="D43" s="60" t="s">
        <v>130</v>
      </c>
      <c r="E43" s="60" t="s">
        <v>7</v>
      </c>
      <c r="F43" s="60" t="s">
        <v>131</v>
      </c>
      <c r="G43" s="60" t="str">
        <f t="shared" si="15"/>
        <v>HkdHibor1M</v>
      </c>
      <c r="H43" s="58" t="str">
        <f t="shared" si="16"/>
        <v>HKDQM3H20Y_Quote</v>
      </c>
      <c r="I43" s="128" t="str">
        <f t="shared" si="17"/>
        <v>HKD3HI1HI20Y_Quote</v>
      </c>
      <c r="J43" s="177" t="str">
        <f>IF(P39,_xll.qlSwapRateHelper2(,H43,1,B43,Calendar,D43,E43,F43,G43,I43,C43,,PillarDate,,Permanent,Trigger,ObjectOverwrite),"--")</f>
        <v>--</v>
      </c>
      <c r="L43" s="183" t="str">
        <f t="shared" si="14"/>
        <v>BasSw</v>
      </c>
      <c r="M43" s="187" t="str">
        <f t="shared" si="12"/>
        <v>HKDQM3H24Y_Quote</v>
      </c>
      <c r="N43" s="185" t="str">
        <f>IFERROR(_xll.qlQuoteValue(H47,Trigger),"--")</f>
        <v>--</v>
      </c>
      <c r="O43" s="185" t="str">
        <f>IFERROR(_xll.qlQuoteValue(I47,Trigger),"--")</f>
        <v>--</v>
      </c>
      <c r="P43" s="124" t="b">
        <v>0</v>
      </c>
      <c r="Q43" s="90">
        <v>50</v>
      </c>
      <c r="R43" s="90">
        <v>1</v>
      </c>
      <c r="S43" s="90" t="str">
        <f t="shared" si="13"/>
        <v>--</v>
      </c>
      <c r="T43" s="94" t="str">
        <f>IFERROR(_xll.qlRateHelperEarliestDate(S43,Trigger),"--")</f>
        <v>--</v>
      </c>
      <c r="U43" s="94" t="str">
        <f>IFERROR(_xll.qlRateHelperPillarDate(S43,Trigger),"--")</f>
        <v>--</v>
      </c>
      <c r="W43" s="3" t="str">
        <f t="shared" si="18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8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3" t="e">
        <v>#N/A</v>
      </c>
    </row>
    <row r="44" spans="1:31" ht="11.25" customHeight="1" x14ac:dyDescent="0.2">
      <c r="A44" s="58" t="s">
        <v>113</v>
      </c>
      <c r="B44" s="59" t="s">
        <v>102</v>
      </c>
      <c r="C44" s="60" t="s">
        <v>6</v>
      </c>
      <c r="D44" s="60" t="s">
        <v>130</v>
      </c>
      <c r="E44" s="60" t="s">
        <v>7</v>
      </c>
      <c r="F44" s="60" t="s">
        <v>131</v>
      </c>
      <c r="G44" s="60" t="str">
        <f t="shared" si="15"/>
        <v>HkdHibor1M</v>
      </c>
      <c r="H44" s="58" t="str">
        <f t="shared" si="16"/>
        <v>HKDQM3H21Y_Quote</v>
      </c>
      <c r="I44" s="128" t="str">
        <f t="shared" si="17"/>
        <v>HKD3HI1HI21Y_Quote</v>
      </c>
      <c r="J44" s="177" t="str">
        <f>IF(P40,_xll.qlSwapRateHelper2(,H44,1,B44,Calendar,D44,E44,F44,G44,I44,C44,,PillarDate,,Permanent,Trigger,ObjectOverwrite),"--")</f>
        <v>--</v>
      </c>
      <c r="L44" s="183" t="str">
        <f t="shared" si="14"/>
        <v>BasSw</v>
      </c>
      <c r="M44" s="187" t="str">
        <f t="shared" si="12"/>
        <v>HKDQM3H25Y_Quote</v>
      </c>
      <c r="N44" s="185" t="str">
        <f>IFERROR(_xll.qlQuoteValue(H48,Trigger),"--")</f>
        <v>--</v>
      </c>
      <c r="O44" s="185" t="str">
        <f>IFERROR(_xll.qlQuoteValue(I48,Trigger),"--")</f>
        <v>--</v>
      </c>
      <c r="P44" s="124" t="b">
        <v>0</v>
      </c>
      <c r="Q44" s="90">
        <v>50</v>
      </c>
      <c r="R44" s="90">
        <v>1</v>
      </c>
      <c r="S44" s="90" t="str">
        <f t="shared" si="13"/>
        <v>--</v>
      </c>
      <c r="T44" s="94" t="str">
        <f>IFERROR(_xll.qlRateHelperEarliestDate(S44,Trigger),"--")</f>
        <v>--</v>
      </c>
      <c r="U44" s="94" t="str">
        <f>IFERROR(_xll.qlRateHelperPillarDate(S44,Trigger),"--")</f>
        <v>--</v>
      </c>
      <c r="W44" s="3" t="str">
        <f t="shared" si="18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8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3" t="e">
        <v>#N/A</v>
      </c>
    </row>
    <row r="45" spans="1:31" ht="11.25" customHeight="1" x14ac:dyDescent="0.2">
      <c r="A45" s="58" t="s">
        <v>113</v>
      </c>
      <c r="B45" s="59" t="s">
        <v>103</v>
      </c>
      <c r="C45" s="60" t="s">
        <v>6</v>
      </c>
      <c r="D45" s="60" t="s">
        <v>130</v>
      </c>
      <c r="E45" s="60" t="s">
        <v>7</v>
      </c>
      <c r="F45" s="60" t="s">
        <v>131</v>
      </c>
      <c r="G45" s="60" t="str">
        <f t="shared" si="15"/>
        <v>HkdHibor1M</v>
      </c>
      <c r="H45" s="58" t="str">
        <f t="shared" si="16"/>
        <v>HKDQM3H22Y_Quote</v>
      </c>
      <c r="I45" s="128" t="str">
        <f t="shared" si="17"/>
        <v>HKD3HI1HI22Y_Quote</v>
      </c>
      <c r="J45" s="177" t="str">
        <f>IF(P41,_xll.qlSwapRateHelper2(,H45,1,B45,Calendar,D45,E45,F45,G45,I45,C45,,PillarDate,,Permanent,Trigger,ObjectOverwrite),"--")</f>
        <v>--</v>
      </c>
      <c r="L45" s="183" t="str">
        <f t="shared" si="14"/>
        <v>BasSw</v>
      </c>
      <c r="M45" s="187" t="str">
        <f t="shared" si="12"/>
        <v>HKDQM3H26Y_Quote</v>
      </c>
      <c r="N45" s="185" t="str">
        <f>IFERROR(_xll.qlQuoteValue(H49,Trigger),"--")</f>
        <v>--</v>
      </c>
      <c r="O45" s="185" t="str">
        <f>IFERROR(_xll.qlQuoteValue(I49,Trigger),"--")</f>
        <v>--</v>
      </c>
      <c r="P45" s="124" t="b">
        <v>0</v>
      </c>
      <c r="Q45" s="90">
        <v>50</v>
      </c>
      <c r="R45" s="90">
        <v>1</v>
      </c>
      <c r="S45" s="90" t="str">
        <f t="shared" si="13"/>
        <v>--</v>
      </c>
      <c r="T45" s="94" t="str">
        <f>IFERROR(_xll.qlRateHelperEarliestDate(S45,Trigger),"--")</f>
        <v>--</v>
      </c>
      <c r="U45" s="94" t="str">
        <f>IFERROR(_xll.qlRateHelperPillarDate(S45,Trigger),"--")</f>
        <v>--</v>
      </c>
      <c r="W45" s="3" t="str">
        <f t="shared" si="18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8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3" t="e">
        <v>#N/A</v>
      </c>
    </row>
    <row r="46" spans="1:31" ht="11.25" customHeight="1" x14ac:dyDescent="0.2">
      <c r="A46" s="58" t="s">
        <v>113</v>
      </c>
      <c r="B46" s="59" t="s">
        <v>104</v>
      </c>
      <c r="C46" s="60" t="s">
        <v>6</v>
      </c>
      <c r="D46" s="60" t="s">
        <v>130</v>
      </c>
      <c r="E46" s="60" t="s">
        <v>7</v>
      </c>
      <c r="F46" s="60" t="s">
        <v>131</v>
      </c>
      <c r="G46" s="60" t="str">
        <f t="shared" si="15"/>
        <v>HkdHibor1M</v>
      </c>
      <c r="H46" s="58" t="str">
        <f t="shared" si="16"/>
        <v>HKDQM3H23Y_Quote</v>
      </c>
      <c r="I46" s="128" t="str">
        <f t="shared" si="17"/>
        <v>HKD3HI1HI23Y_Quote</v>
      </c>
      <c r="J46" s="177" t="str">
        <f>IF(P42,_xll.qlSwapRateHelper2(,H46,1,B46,Calendar,D46,E46,F46,G46,I46,C46,,PillarDate,,Permanent,Trigger,ObjectOverwrite),"--")</f>
        <v>--</v>
      </c>
      <c r="L46" s="183" t="str">
        <f t="shared" si="14"/>
        <v>BasSw</v>
      </c>
      <c r="M46" s="187" t="str">
        <f t="shared" si="12"/>
        <v>HKDQM3H27Y_Quote</v>
      </c>
      <c r="N46" s="185" t="str">
        <f>IFERROR(_xll.qlQuoteValue(H50,Trigger),"--")</f>
        <v>--</v>
      </c>
      <c r="O46" s="185" t="str">
        <f>IFERROR(_xll.qlQuoteValue(I50,Trigger),"--")</f>
        <v>--</v>
      </c>
      <c r="P46" s="124" t="b">
        <v>0</v>
      </c>
      <c r="Q46" s="90">
        <v>50</v>
      </c>
      <c r="R46" s="90">
        <v>1</v>
      </c>
      <c r="S46" s="90" t="str">
        <f t="shared" si="13"/>
        <v>--</v>
      </c>
      <c r="T46" s="94" t="str">
        <f>IFERROR(_xll.qlRateHelperEarliestDate(S46,Trigger),"--")</f>
        <v>--</v>
      </c>
      <c r="U46" s="94" t="str">
        <f>IFERROR(_xll.qlRateHelperPillarDate(S46,Trigger),"--")</f>
        <v>--</v>
      </c>
      <c r="W46" s="3" t="str">
        <f t="shared" si="18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8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3" t="e">
        <v>#N/A</v>
      </c>
    </row>
    <row r="47" spans="1:31" ht="11.25" customHeight="1" x14ac:dyDescent="0.2">
      <c r="A47" s="58" t="s">
        <v>113</v>
      </c>
      <c r="B47" s="59" t="s">
        <v>105</v>
      </c>
      <c r="C47" s="60" t="s">
        <v>6</v>
      </c>
      <c r="D47" s="60" t="s">
        <v>130</v>
      </c>
      <c r="E47" s="60" t="s">
        <v>7</v>
      </c>
      <c r="F47" s="60" t="s">
        <v>131</v>
      </c>
      <c r="G47" s="60" t="str">
        <f t="shared" si="15"/>
        <v>HkdHibor1M</v>
      </c>
      <c r="H47" s="58" t="str">
        <f t="shared" si="16"/>
        <v>HKDQM3H24Y_Quote</v>
      </c>
      <c r="I47" s="128" t="str">
        <f t="shared" si="17"/>
        <v>HKD3HI1HI24Y_Quote</v>
      </c>
      <c r="J47" s="177" t="str">
        <f>IF(P43,_xll.qlSwapRateHelper2(,H47,1,B47,Calendar,D47,E47,F47,G47,I47,C47,,PillarDate,,Permanent,Trigger,ObjectOverwrite),"--")</f>
        <v>--</v>
      </c>
      <c r="L47" s="183" t="str">
        <f t="shared" si="14"/>
        <v>BasSw</v>
      </c>
      <c r="M47" s="187" t="str">
        <f t="shared" si="12"/>
        <v>HKDQM3H28Y_Quote</v>
      </c>
      <c r="N47" s="185" t="str">
        <f>IFERROR(_xll.qlQuoteValue(H51,Trigger),"--")</f>
        <v>--</v>
      </c>
      <c r="O47" s="185" t="str">
        <f>IFERROR(_xll.qlQuoteValue(I51,Trigger),"--")</f>
        <v>--</v>
      </c>
      <c r="P47" s="124" t="b">
        <v>0</v>
      </c>
      <c r="Q47" s="90">
        <v>50</v>
      </c>
      <c r="R47" s="90">
        <v>1</v>
      </c>
      <c r="S47" s="90" t="str">
        <f t="shared" si="13"/>
        <v>--</v>
      </c>
      <c r="T47" s="94" t="str">
        <f>IFERROR(_xll.qlRateHelperEarliestDate(S47,Trigger),"--")</f>
        <v>--</v>
      </c>
      <c r="U47" s="94" t="str">
        <f>IFERROR(_xll.qlRateHelperPillarDate(S47,Trigger),"--")</f>
        <v>--</v>
      </c>
      <c r="W47" s="3" t="str">
        <f t="shared" si="18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8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3" t="e">
        <v>#N/A</v>
      </c>
    </row>
    <row r="48" spans="1:31" ht="11.25" customHeight="1" x14ac:dyDescent="0.2">
      <c r="A48" s="58" t="s">
        <v>113</v>
      </c>
      <c r="B48" s="59" t="s">
        <v>64</v>
      </c>
      <c r="C48" s="60" t="s">
        <v>6</v>
      </c>
      <c r="D48" s="60" t="s">
        <v>130</v>
      </c>
      <c r="E48" s="60" t="s">
        <v>7</v>
      </c>
      <c r="F48" s="60" t="s">
        <v>131</v>
      </c>
      <c r="G48" s="60" t="str">
        <f t="shared" si="15"/>
        <v>HkdHibor1M</v>
      </c>
      <c r="H48" s="58" t="str">
        <f t="shared" si="16"/>
        <v>HKDQM3H25Y_Quote</v>
      </c>
      <c r="I48" s="128" t="str">
        <f t="shared" si="17"/>
        <v>HKD3HI1HI25Y_Quote</v>
      </c>
      <c r="J48" s="177" t="str">
        <f>IF(P44,_xll.qlSwapRateHelper2(,H48,1,B48,Calendar,D48,E48,F48,G48,I48,C48,,PillarDate,,Permanent,Trigger,ObjectOverwrite),"--")</f>
        <v>--</v>
      </c>
      <c r="L48" s="183" t="str">
        <f t="shared" si="14"/>
        <v>BasSw</v>
      </c>
      <c r="M48" s="187" t="str">
        <f t="shared" si="12"/>
        <v>HKDQM3H29Y_Quote</v>
      </c>
      <c r="N48" s="185" t="str">
        <f>IFERROR(_xll.qlQuoteValue(H52,Trigger),"--")</f>
        <v>--</v>
      </c>
      <c r="O48" s="185" t="str">
        <f>IFERROR(_xll.qlQuoteValue(I52,Trigger),"--")</f>
        <v>--</v>
      </c>
      <c r="P48" s="124" t="b">
        <v>0</v>
      </c>
      <c r="Q48" s="90">
        <v>50</v>
      </c>
      <c r="R48" s="90">
        <v>1</v>
      </c>
      <c r="S48" s="90" t="str">
        <f t="shared" si="13"/>
        <v>--</v>
      </c>
      <c r="T48" s="94" t="str">
        <f>IFERROR(_xll.qlRateHelperEarliestDate(S48,Trigger),"--")</f>
        <v>--</v>
      </c>
      <c r="U48" s="94" t="str">
        <f>IFERROR(_xll.qlRateHelperPillarDate(S48,Trigger),"--")</f>
        <v>--</v>
      </c>
      <c r="W48" s="3" t="str">
        <f t="shared" si="18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8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3" t="e">
        <v>#N/A</v>
      </c>
    </row>
    <row r="49" spans="1:32" ht="11.25" customHeight="1" x14ac:dyDescent="0.2">
      <c r="A49" s="58" t="s">
        <v>113</v>
      </c>
      <c r="B49" s="59" t="s">
        <v>106</v>
      </c>
      <c r="C49" s="60" t="s">
        <v>6</v>
      </c>
      <c r="D49" s="60" t="s">
        <v>130</v>
      </c>
      <c r="E49" s="60" t="s">
        <v>7</v>
      </c>
      <c r="F49" s="60" t="s">
        <v>131</v>
      </c>
      <c r="G49" s="60" t="str">
        <f t="shared" si="15"/>
        <v>HkdHibor1M</v>
      </c>
      <c r="H49" s="58" t="str">
        <f t="shared" si="16"/>
        <v>HKDQM3H26Y_Quote</v>
      </c>
      <c r="I49" s="128" t="str">
        <f t="shared" si="17"/>
        <v>HKD3HI1HI26Y_Quote</v>
      </c>
      <c r="J49" s="177" t="str">
        <f>IF(P45,_xll.qlSwapRateHelper2(,H49,1,B49,Calendar,D49,E49,F49,G49,I49,C49,,PillarDate,,Permanent,Trigger,ObjectOverwrite),"--")</f>
        <v>--</v>
      </c>
      <c r="L49" s="183" t="str">
        <f t="shared" si="14"/>
        <v>BasSw</v>
      </c>
      <c r="M49" s="187" t="str">
        <f t="shared" si="12"/>
        <v>HKDQM3H30Y_Quote</v>
      </c>
      <c r="N49" s="185" t="str">
        <f>IFERROR(_xll.qlQuoteValue(H53,Trigger),"--")</f>
        <v>--</v>
      </c>
      <c r="O49" s="185" t="str">
        <f>IFERROR(_xll.qlQuoteValue(I53,Trigger),"--")</f>
        <v>--</v>
      </c>
      <c r="P49" s="124" t="b">
        <v>0</v>
      </c>
      <c r="Q49" s="90">
        <v>50</v>
      </c>
      <c r="R49" s="90">
        <v>1</v>
      </c>
      <c r="S49" s="90" t="str">
        <f t="shared" si="13"/>
        <v>--</v>
      </c>
      <c r="T49" s="94" t="str">
        <f>IFERROR(_xll.qlRateHelperEarliestDate(S49,Trigger),"--")</f>
        <v>--</v>
      </c>
      <c r="U49" s="94" t="str">
        <f>IFERROR(_xll.qlRateHelperPillarDate(S49,Trigger),"--")</f>
        <v>--</v>
      </c>
      <c r="W49" s="3" t="str">
        <f t="shared" si="18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8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3" t="e">
        <v>#N/A</v>
      </c>
    </row>
    <row r="50" spans="1:32" ht="11.25" customHeight="1" x14ac:dyDescent="0.2">
      <c r="A50" s="58" t="s">
        <v>113</v>
      </c>
      <c r="B50" s="59" t="s">
        <v>65</v>
      </c>
      <c r="C50" s="60" t="s">
        <v>6</v>
      </c>
      <c r="D50" s="60" t="s">
        <v>130</v>
      </c>
      <c r="E50" s="60" t="s">
        <v>7</v>
      </c>
      <c r="F50" s="60" t="s">
        <v>131</v>
      </c>
      <c r="G50" s="60" t="str">
        <f t="shared" si="15"/>
        <v>HkdHibor1M</v>
      </c>
      <c r="H50" s="58" t="str">
        <f t="shared" si="16"/>
        <v>HKDQM3H27Y_Quote</v>
      </c>
      <c r="I50" s="128" t="str">
        <f t="shared" si="17"/>
        <v>HKD3HI1HI27Y_Quote</v>
      </c>
      <c r="J50" s="177" t="str">
        <f>IF(P46,_xll.qlSwapRateHelper2(,H50,1,B50,Calendar,D50,E50,F50,G50,I50,C50,,PillarDate,,Permanent,Trigger,ObjectOverwrite),"--")</f>
        <v>--</v>
      </c>
      <c r="L50" s="183" t="str">
        <f t="shared" si="14"/>
        <v>BasSw</v>
      </c>
      <c r="M50" s="187" t="str">
        <f t="shared" si="12"/>
        <v>HKDQM3H35Y_Quote</v>
      </c>
      <c r="N50" s="185" t="str">
        <f>IFERROR(_xll.qlQuoteValue(H54,Trigger),"--")</f>
        <v>--</v>
      </c>
      <c r="O50" s="185" t="str">
        <f>IFERROR(_xll.qlQuoteValue(I54,Trigger),"--")</f>
        <v>--</v>
      </c>
      <c r="P50" s="124" t="b">
        <v>0</v>
      </c>
      <c r="Q50" s="90">
        <v>50</v>
      </c>
      <c r="R50" s="90">
        <v>1</v>
      </c>
      <c r="S50" s="90" t="str">
        <f t="shared" si="13"/>
        <v>--</v>
      </c>
      <c r="T50" s="94" t="str">
        <f>IFERROR(_xll.qlRateHelperEarliestDate(S50,Trigger),"--")</f>
        <v>--</v>
      </c>
      <c r="U50" s="94" t="str">
        <f>IFERROR(_xll.qlRateHelperPillarDate(S50,Trigger),"--")</f>
        <v>--</v>
      </c>
      <c r="W50" s="3" t="str">
        <f t="shared" si="18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8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3" t="e">
        <v>#N/A</v>
      </c>
    </row>
    <row r="51" spans="1:32" ht="11.25" customHeight="1" x14ac:dyDescent="0.2">
      <c r="A51" s="58" t="s">
        <v>113</v>
      </c>
      <c r="B51" s="59" t="s">
        <v>107</v>
      </c>
      <c r="C51" s="60" t="s">
        <v>6</v>
      </c>
      <c r="D51" s="60" t="s">
        <v>130</v>
      </c>
      <c r="E51" s="60" t="s">
        <v>7</v>
      </c>
      <c r="F51" s="60" t="s">
        <v>131</v>
      </c>
      <c r="G51" s="60" t="str">
        <f t="shared" si="15"/>
        <v>HkdHibor1M</v>
      </c>
      <c r="H51" s="58" t="str">
        <f t="shared" si="16"/>
        <v>HKDQM3H28Y_Quote</v>
      </c>
      <c r="I51" s="128" t="str">
        <f t="shared" si="17"/>
        <v>HKD3HI1HI28Y_Quote</v>
      </c>
      <c r="J51" s="177" t="str">
        <f>IF(P47,_xll.qlSwapRateHelper2(,H51,1,B51,Calendar,D51,E51,F51,G51,I51,C51,,PillarDate,,Permanent,Trigger,ObjectOverwrite),"--")</f>
        <v>--</v>
      </c>
      <c r="L51" s="183" t="str">
        <f t="shared" si="14"/>
        <v>BasSw</v>
      </c>
      <c r="M51" s="187" t="str">
        <f t="shared" si="12"/>
        <v>HKDQM3H40Y_Quote</v>
      </c>
      <c r="N51" s="185" t="str">
        <f>IFERROR(_xll.qlQuoteValue(H55,Trigger),"--")</f>
        <v>--</v>
      </c>
      <c r="O51" s="185" t="str">
        <f>IFERROR(_xll.qlQuoteValue(I55,Trigger),"--")</f>
        <v>--</v>
      </c>
      <c r="P51" s="124" t="b">
        <v>0</v>
      </c>
      <c r="Q51" s="90">
        <v>50</v>
      </c>
      <c r="R51" s="90">
        <v>1</v>
      </c>
      <c r="S51" s="90" t="str">
        <f t="shared" si="13"/>
        <v>--</v>
      </c>
      <c r="T51" s="94" t="str">
        <f>IFERROR(_xll.qlRateHelperEarliestDate(S51,Trigger),"--")</f>
        <v>--</v>
      </c>
      <c r="U51" s="94" t="str">
        <f>IFERROR(_xll.qlRateHelperPillarDate(S51,Trigger),"--")</f>
        <v>--</v>
      </c>
      <c r="W51" s="3" t="str">
        <f t="shared" si="18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8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3" t="e">
        <v>#N/A</v>
      </c>
    </row>
    <row r="52" spans="1:32" ht="11.25" customHeight="1" x14ac:dyDescent="0.2">
      <c r="A52" s="58" t="s">
        <v>113</v>
      </c>
      <c r="B52" s="59" t="s">
        <v>108</v>
      </c>
      <c r="C52" s="60" t="s">
        <v>6</v>
      </c>
      <c r="D52" s="60" t="s">
        <v>130</v>
      </c>
      <c r="E52" s="60" t="s">
        <v>7</v>
      </c>
      <c r="F52" s="60" t="s">
        <v>131</v>
      </c>
      <c r="G52" s="60" t="str">
        <f t="shared" si="15"/>
        <v>HkdHibor1M</v>
      </c>
      <c r="H52" s="58" t="str">
        <f t="shared" si="16"/>
        <v>HKDQM3H29Y_Quote</v>
      </c>
      <c r="I52" s="128" t="str">
        <f t="shared" si="17"/>
        <v>HKD3HI1HI29Y_Quote</v>
      </c>
      <c r="J52" s="177" t="str">
        <f>IF(P48,_xll.qlSwapRateHelper2(,H52,1,B52,Calendar,D52,E52,F52,G52,I52,C52,,PillarDate,,Permanent,Trigger,ObjectOverwrite),"--")</f>
        <v>--</v>
      </c>
      <c r="L52" s="183" t="str">
        <f t="shared" si="14"/>
        <v>BasSw</v>
      </c>
      <c r="M52" s="187" t="str">
        <f t="shared" si="12"/>
        <v>HKDQM3H50Y_Quote</v>
      </c>
      <c r="N52" s="185" t="str">
        <f>IFERROR(_xll.qlQuoteValue(H56,Trigger),"--")</f>
        <v>--</v>
      </c>
      <c r="O52" s="185" t="str">
        <f>IFERROR(_xll.qlQuoteValue(I56,Trigger),"--")</f>
        <v>--</v>
      </c>
      <c r="P52" s="124" t="b">
        <v>0</v>
      </c>
      <c r="Q52" s="90">
        <v>50</v>
      </c>
      <c r="R52" s="90">
        <v>1</v>
      </c>
      <c r="S52" s="90" t="str">
        <f t="shared" si="13"/>
        <v>--</v>
      </c>
      <c r="T52" s="94" t="str">
        <f>IFERROR(_xll.qlRateHelperEarliestDate(S52,Trigger),"--")</f>
        <v>--</v>
      </c>
      <c r="U52" s="94" t="str">
        <f>IFERROR(_xll.qlRateHelperPillarDate(S52,Trigger),"--")</f>
        <v>--</v>
      </c>
      <c r="W52" s="3" t="str">
        <f t="shared" si="18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8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3" t="e">
        <v>#N/A</v>
      </c>
    </row>
    <row r="53" spans="1:32" ht="11.25" customHeight="1" x14ac:dyDescent="0.2">
      <c r="A53" s="58" t="s">
        <v>113</v>
      </c>
      <c r="B53" s="59" t="s">
        <v>66</v>
      </c>
      <c r="C53" s="60" t="s">
        <v>6</v>
      </c>
      <c r="D53" s="60" t="s">
        <v>130</v>
      </c>
      <c r="E53" s="60" t="s">
        <v>7</v>
      </c>
      <c r="F53" s="60" t="s">
        <v>131</v>
      </c>
      <c r="G53" s="60" t="str">
        <f t="shared" si="15"/>
        <v>HkdHibor1M</v>
      </c>
      <c r="H53" s="58" t="str">
        <f t="shared" si="16"/>
        <v>HKDQM3H30Y_Quote</v>
      </c>
      <c r="I53" s="128" t="str">
        <f t="shared" si="17"/>
        <v>HKD3HI1HI30Y_Quote</v>
      </c>
      <c r="J53" s="177" t="str">
        <f>IF(P49,_xll.qlSwapRateHelper2(,H53,1,B53,Calendar,D53,E53,F53,G53,I53,C53,,PillarDate,,Permanent,Trigger,ObjectOverwrite),"--")</f>
        <v>--</v>
      </c>
      <c r="L53" s="188" t="str">
        <f t="shared" si="14"/>
        <v>BasSw</v>
      </c>
      <c r="M53" s="189" t="str">
        <f t="shared" si="12"/>
        <v>HKDQM3H60Y_Quote</v>
      </c>
      <c r="N53" s="190" t="str">
        <f>IFERROR(_xll.qlQuoteValue(H57,Trigger),"--")</f>
        <v>--</v>
      </c>
      <c r="O53" s="190" t="str">
        <f>IFERROR(_xll.qlQuoteValue(I57,Trigger),"--")</f>
        <v>--</v>
      </c>
      <c r="P53" s="126" t="b">
        <v>0</v>
      </c>
      <c r="Q53" s="91">
        <v>50</v>
      </c>
      <c r="R53" s="91">
        <v>1</v>
      </c>
      <c r="S53" s="91" t="str">
        <f t="shared" si="13"/>
        <v>--</v>
      </c>
      <c r="T53" s="96" t="str">
        <f>IFERROR(_xll.qlRateHelperEarliestDate(S53,Trigger),"--")</f>
        <v>--</v>
      </c>
      <c r="U53" s="96" t="str">
        <f>IFERROR(_xll.qlRateHelperPillarDate(S53,Trigger),"--")</f>
        <v>--</v>
      </c>
      <c r="W53" s="5" t="str">
        <f t="shared" si="18"/>
        <v/>
      </c>
      <c r="X53" s="5" t="e">
        <v>#N/A</v>
      </c>
      <c r="Y53" s="5" t="str">
        <f>IFERROR(_xll.qlRateHelperQuoteName(X53,Trigger),"")</f>
        <v/>
      </c>
      <c r="Z53" s="75" t="str">
        <f>IFERROR(_xll.qlRateHelperRate(X53,Trigger),"")</f>
        <v/>
      </c>
      <c r="AA53" s="99" t="str">
        <f>IF(ISERROR(_xll.qlSwapRateHelperSpread($X53)),IF(ISERROR(_xll.qlFuturesRateHelperConvexityAdjustment($X53)),"",_xll.qlFuturesRateHelperConvexityAdjustment($X53)),_xll.qlSwapRateHelperSpread($X53))</f>
        <v/>
      </c>
      <c r="AB53" s="9" t="str">
        <f>IFERROR(_xll.qlRateHelperEarliestDate(X53,Trigger),"")</f>
        <v/>
      </c>
      <c r="AC53" s="9" t="str">
        <f>IFERROR(_xll.qlRateHelperPillarDate(X53,Trigger),"")</f>
        <v/>
      </c>
      <c r="AD53" s="74" t="e">
        <v>#N/A</v>
      </c>
    </row>
    <row r="54" spans="1:32" ht="11.25" customHeight="1" x14ac:dyDescent="0.2">
      <c r="A54" s="58" t="s">
        <v>113</v>
      </c>
      <c r="B54" s="59" t="s">
        <v>67</v>
      </c>
      <c r="C54" s="60" t="s">
        <v>6</v>
      </c>
      <c r="D54" s="60" t="s">
        <v>130</v>
      </c>
      <c r="E54" s="60" t="s">
        <v>7</v>
      </c>
      <c r="F54" s="60" t="s">
        <v>131</v>
      </c>
      <c r="G54" s="60" t="str">
        <f t="shared" si="15"/>
        <v>HkdHibor1M</v>
      </c>
      <c r="H54" s="58" t="str">
        <f t="shared" si="16"/>
        <v>HKDQM3H35Y_Quote</v>
      </c>
      <c r="I54" s="128" t="str">
        <f t="shared" si="17"/>
        <v>HKD3HI1HI35Y_Quote</v>
      </c>
      <c r="J54" s="177" t="str">
        <f>IF(P50,_xll.qlSwapRateHelper2(,H54,1,B54,Calendar,D54,E54,F54,G54,I54,C54,,PillarDate,,Permanent,Trigger,ObjectOverwrite),"--")</f>
        <v>--</v>
      </c>
      <c r="L54" s="144"/>
      <c r="W54" s="97"/>
      <c r="X54" s="48"/>
      <c r="Y54" s="207" t="str">
        <f>_xll.ohGroup("HKD1M_instruments",Y3:Y53,Permanent,Trigger,ObjectOverwrite)</f>
        <v>HKD1M_instruments#0001</v>
      </c>
      <c r="Z54" s="48"/>
      <c r="AA54" s="97"/>
      <c r="AB54" s="48"/>
      <c r="AC54" s="97"/>
      <c r="AD54" s="48"/>
    </row>
    <row r="55" spans="1:32" ht="11.25" customHeight="1" x14ac:dyDescent="0.2">
      <c r="A55" s="58" t="s">
        <v>113</v>
      </c>
      <c r="B55" s="59" t="s">
        <v>68</v>
      </c>
      <c r="C55" s="60" t="s">
        <v>6</v>
      </c>
      <c r="D55" s="60" t="s">
        <v>130</v>
      </c>
      <c r="E55" s="60" t="s">
        <v>7</v>
      </c>
      <c r="F55" s="60" t="s">
        <v>131</v>
      </c>
      <c r="G55" s="60" t="str">
        <f t="shared" si="15"/>
        <v>HkdHibor1M</v>
      </c>
      <c r="H55" s="58" t="str">
        <f t="shared" si="16"/>
        <v>HKDQM3H40Y_Quote</v>
      </c>
      <c r="I55" s="128" t="str">
        <f t="shared" si="17"/>
        <v>HKD3HI1HI40Y_Quote</v>
      </c>
      <c r="J55" s="177" t="str">
        <f>IF(P51,_xll.qlSwapRateHelper2(,H55,1,B55,Calendar,D55,E55,F55,G55,I55,C55,,PillarDate,,Permanent,Trigger,ObjectOverwrite),"--")</f>
        <v>--</v>
      </c>
      <c r="W55" s="97"/>
      <c r="X55" s="48"/>
      <c r="Y55" s="97"/>
      <c r="Z55" s="48"/>
      <c r="AA55" s="97"/>
      <c r="AB55" s="48"/>
      <c r="AC55" s="97"/>
      <c r="AD55" s="48"/>
    </row>
    <row r="56" spans="1:32" ht="11.25" customHeight="1" x14ac:dyDescent="0.2">
      <c r="A56" s="58" t="s">
        <v>113</v>
      </c>
      <c r="B56" s="59" t="s">
        <v>69</v>
      </c>
      <c r="C56" s="60" t="s">
        <v>6</v>
      </c>
      <c r="D56" s="60" t="s">
        <v>130</v>
      </c>
      <c r="E56" s="60" t="s">
        <v>7</v>
      </c>
      <c r="F56" s="60" t="s">
        <v>131</v>
      </c>
      <c r="G56" s="60" t="str">
        <f t="shared" si="15"/>
        <v>HkdHibor1M</v>
      </c>
      <c r="H56" s="58" t="str">
        <f t="shared" si="16"/>
        <v>HKDQM3H50Y_Quote</v>
      </c>
      <c r="I56" s="128" t="str">
        <f t="shared" si="17"/>
        <v>HKD3HI1HI50Y_Quote</v>
      </c>
      <c r="J56" s="177" t="str">
        <f>IF(P52,_xll.qlSwapRateHelper2(,H56,1,B56,Calendar,D56,E56,F56,G56,I56,C56,,PillarDate,,Permanent,Trigger,ObjectOverwrite),"--")</f>
        <v>--</v>
      </c>
      <c r="W56" s="97"/>
      <c r="X56" s="48"/>
      <c r="Y56" s="97"/>
      <c r="Z56" s="48"/>
      <c r="AA56" s="97"/>
      <c r="AB56" s="48"/>
      <c r="AC56" s="97"/>
      <c r="AD56" s="48"/>
    </row>
    <row r="57" spans="1:32" ht="11.25" customHeight="1" x14ac:dyDescent="0.2">
      <c r="A57" s="1" t="s">
        <v>113</v>
      </c>
      <c r="B57" s="7" t="s">
        <v>109</v>
      </c>
      <c r="C57" s="6" t="s">
        <v>6</v>
      </c>
      <c r="D57" s="6" t="s">
        <v>130</v>
      </c>
      <c r="E57" s="6" t="s">
        <v>7</v>
      </c>
      <c r="F57" s="6" t="s">
        <v>131</v>
      </c>
      <c r="G57" s="6" t="str">
        <f t="shared" si="15"/>
        <v>HkdHibor1M</v>
      </c>
      <c r="H57" s="1" t="str">
        <f t="shared" si="16"/>
        <v>HKDQM3H60Y_Quote</v>
      </c>
      <c r="I57" s="129" t="str">
        <f t="shared" si="17"/>
        <v>HKD3HI1HI60Y_Quote</v>
      </c>
      <c r="J57" s="178" t="str">
        <f>IF(P53,_xll.qlSwapRateHelper2(,H57,1,B57,Calendar,D57,E57,F57,G57,I57,C57,,PillarDate,,Permanent,Trigger,ObjectOverwrite),"--")</f>
        <v>--</v>
      </c>
      <c r="W57" s="97"/>
      <c r="X57" s="48"/>
      <c r="Y57" s="97"/>
      <c r="Z57" s="48"/>
      <c r="AA57" s="97"/>
      <c r="AB57" s="48"/>
      <c r="AC57" s="97"/>
      <c r="AD57" s="48"/>
    </row>
    <row r="58" spans="1:32" ht="11.25" customHeight="1" x14ac:dyDescent="0.2">
      <c r="H58" s="97"/>
      <c r="W58" s="97"/>
      <c r="X58" s="48"/>
      <c r="Y58" s="97"/>
      <c r="Z58" s="48"/>
      <c r="AA58" s="97"/>
      <c r="AB58" s="48"/>
      <c r="AC58" s="97"/>
      <c r="AD58" s="48"/>
      <c r="AE58" s="97"/>
      <c r="AF58" s="48"/>
    </row>
    <row r="59" spans="1:32" ht="11.25" customHeight="1" x14ac:dyDescent="0.2">
      <c r="W59" s="97"/>
      <c r="X59" s="48"/>
      <c r="Y59" s="97"/>
      <c r="Z59" s="48"/>
      <c r="AA59" s="97"/>
      <c r="AB59" s="48"/>
      <c r="AC59" s="97"/>
      <c r="AD59" s="48"/>
      <c r="AE59" s="97"/>
      <c r="AF59" s="48"/>
    </row>
    <row r="60" spans="1:32" ht="11.25" customHeight="1" x14ac:dyDescent="0.2">
      <c r="W60" s="97"/>
      <c r="X60" s="48"/>
      <c r="Y60" s="97"/>
      <c r="Z60" s="48"/>
      <c r="AA60" s="97"/>
      <c r="AB60" s="48"/>
      <c r="AC60" s="97"/>
      <c r="AD60" s="48"/>
      <c r="AE60" s="97"/>
      <c r="AF60" s="48"/>
    </row>
    <row r="61" spans="1:32" ht="11.25" customHeight="1" x14ac:dyDescent="0.2">
      <c r="W61" s="97"/>
      <c r="X61" s="48"/>
      <c r="Y61" s="97"/>
      <c r="Z61" s="48"/>
      <c r="AA61" s="97"/>
      <c r="AB61" s="48"/>
      <c r="AC61" s="97"/>
      <c r="AD61" s="48"/>
      <c r="AE61" s="97"/>
      <c r="AF61" s="48"/>
    </row>
    <row r="62" spans="1:32" ht="11.25" customHeight="1" x14ac:dyDescent="0.2">
      <c r="W62" s="97"/>
      <c r="X62" s="48"/>
      <c r="Y62" s="97"/>
      <c r="Z62" s="48"/>
      <c r="AA62" s="97"/>
      <c r="AB62" s="48"/>
      <c r="AC62" s="97"/>
      <c r="AD62" s="48"/>
      <c r="AE62" s="97"/>
      <c r="AF62" s="48"/>
    </row>
    <row r="63" spans="1:32" ht="11.25" customHeight="1" x14ac:dyDescent="0.2">
      <c r="W63" s="97"/>
      <c r="X63" s="48"/>
      <c r="Y63" s="97"/>
      <c r="Z63" s="48"/>
      <c r="AA63" s="97"/>
      <c r="AB63" s="48"/>
      <c r="AC63" s="97"/>
      <c r="AD63" s="48"/>
      <c r="AE63" s="97"/>
      <c r="AF63" s="48"/>
    </row>
    <row r="64" spans="1:32" ht="11.25" customHeight="1" x14ac:dyDescent="0.2">
      <c r="W64" s="97"/>
      <c r="X64" s="48"/>
      <c r="Y64" s="97"/>
      <c r="Z64" s="48"/>
      <c r="AA64" s="97"/>
      <c r="AB64" s="48"/>
      <c r="AC64" s="97"/>
      <c r="AD64" s="48"/>
      <c r="AE64" s="97"/>
      <c r="AF64" s="48"/>
    </row>
    <row r="65" spans="23:32" ht="11.25" customHeight="1" x14ac:dyDescent="0.2">
      <c r="W65" s="97"/>
      <c r="X65" s="48"/>
      <c r="Y65" s="97"/>
      <c r="Z65" s="48"/>
      <c r="AA65" s="97"/>
      <c r="AB65" s="48"/>
      <c r="AC65" s="97"/>
      <c r="AD65" s="48"/>
      <c r="AE65" s="97"/>
      <c r="AF65" s="48"/>
    </row>
    <row r="66" spans="23:32" ht="11.25" customHeight="1" x14ac:dyDescent="0.2">
      <c r="W66" s="97"/>
      <c r="X66" s="48"/>
      <c r="Y66" s="97"/>
      <c r="Z66" s="48"/>
      <c r="AA66" s="97"/>
      <c r="AB66" s="48"/>
      <c r="AC66" s="97"/>
      <c r="AD66" s="48"/>
      <c r="AE66" s="97"/>
      <c r="AF66" s="48"/>
    </row>
    <row r="67" spans="23:32" ht="11.25" customHeight="1" x14ac:dyDescent="0.2">
      <c r="W67" s="97"/>
      <c r="X67" s="48"/>
      <c r="Y67" s="97"/>
      <c r="Z67" s="48"/>
      <c r="AA67" s="97"/>
      <c r="AB67" s="48"/>
      <c r="AC67" s="97"/>
      <c r="AD67" s="48"/>
      <c r="AE67" s="97"/>
      <c r="AF67" s="48"/>
    </row>
    <row r="68" spans="23:32" ht="11.25" customHeight="1" x14ac:dyDescent="0.2">
      <c r="W68" s="97"/>
      <c r="X68" s="48"/>
      <c r="Y68" s="97"/>
      <c r="Z68" s="48"/>
      <c r="AA68" s="97"/>
      <c r="AB68" s="48"/>
      <c r="AC68" s="97"/>
      <c r="AD68" s="48"/>
      <c r="AE68" s="97"/>
      <c r="AF68" s="48"/>
    </row>
    <row r="69" spans="23:32" ht="11.25" customHeight="1" x14ac:dyDescent="0.2">
      <c r="W69" s="97"/>
      <c r="X69" s="48"/>
      <c r="Y69" s="97"/>
      <c r="Z69" s="48"/>
      <c r="AA69" s="97"/>
      <c r="AB69" s="48"/>
      <c r="AC69" s="97"/>
      <c r="AD69" s="48"/>
      <c r="AE69" s="97"/>
      <c r="AF69" s="48"/>
    </row>
    <row r="70" spans="23:32" ht="11.25" customHeight="1" x14ac:dyDescent="0.2">
      <c r="W70" s="97"/>
      <c r="X70" s="48"/>
      <c r="Y70" s="97"/>
      <c r="Z70" s="48"/>
      <c r="AA70" s="97"/>
      <c r="AB70" s="48"/>
      <c r="AC70" s="97"/>
      <c r="AD70" s="48"/>
      <c r="AE70" s="97"/>
      <c r="AF70" s="48"/>
    </row>
    <row r="71" spans="23:32" ht="11.25" customHeight="1" x14ac:dyDescent="0.2">
      <c r="W71" s="97"/>
      <c r="X71" s="48"/>
      <c r="Y71" s="97"/>
      <c r="Z71" s="48"/>
      <c r="AA71" s="97"/>
      <c r="AB71" s="48"/>
      <c r="AC71" s="97"/>
      <c r="AD71" s="48"/>
      <c r="AE71" s="97"/>
      <c r="AF71" s="48"/>
    </row>
    <row r="72" spans="23:32" ht="11.25" customHeight="1" x14ac:dyDescent="0.2">
      <c r="W72" s="97"/>
      <c r="X72" s="48"/>
      <c r="Y72" s="97"/>
      <c r="Z72" s="48"/>
      <c r="AA72" s="97"/>
      <c r="AB72" s="48"/>
      <c r="AC72" s="97"/>
      <c r="AD72" s="48"/>
      <c r="AE72" s="97"/>
      <c r="AF72" s="48"/>
    </row>
    <row r="73" spans="23:32" ht="11.25" customHeight="1" x14ac:dyDescent="0.2">
      <c r="W73" s="97"/>
      <c r="X73" s="48"/>
      <c r="Y73" s="97"/>
      <c r="Z73" s="48"/>
      <c r="AA73" s="97"/>
      <c r="AB73" s="48"/>
      <c r="AC73" s="97"/>
      <c r="AD73" s="48"/>
      <c r="AE73" s="97"/>
      <c r="AF73" s="48"/>
    </row>
    <row r="74" spans="23:32" ht="11.25" customHeight="1" x14ac:dyDescent="0.2">
      <c r="W74" s="97"/>
      <c r="X74" s="48"/>
      <c r="Y74" s="97"/>
      <c r="Z74" s="48"/>
      <c r="AA74" s="97"/>
      <c r="AB74" s="48"/>
      <c r="AC74" s="97"/>
      <c r="AD74" s="48"/>
      <c r="AE74" s="97"/>
      <c r="AF74" s="48"/>
    </row>
    <row r="75" spans="23:32" ht="11.25" customHeight="1" x14ac:dyDescent="0.2">
      <c r="W75" s="97"/>
      <c r="X75" s="48"/>
      <c r="Y75" s="97"/>
      <c r="Z75" s="48"/>
      <c r="AA75" s="97"/>
      <c r="AB75" s="48"/>
      <c r="AC75" s="97"/>
      <c r="AD75" s="48"/>
      <c r="AE75" s="97"/>
      <c r="AF75" s="48"/>
    </row>
    <row r="76" spans="23:32" ht="11.25" customHeight="1" x14ac:dyDescent="0.2">
      <c r="W76" s="97"/>
      <c r="X76" s="48"/>
      <c r="Y76" s="97"/>
      <c r="Z76" s="48"/>
      <c r="AA76" s="97"/>
      <c r="AB76" s="48"/>
      <c r="AC76" s="97"/>
      <c r="AD76" s="48"/>
      <c r="AE76" s="97"/>
      <c r="AF76" s="48"/>
    </row>
    <row r="77" spans="23:32" ht="11.25" customHeight="1" x14ac:dyDescent="0.2">
      <c r="W77" s="97"/>
      <c r="X77" s="48"/>
      <c r="Y77" s="97"/>
      <c r="Z77" s="48"/>
      <c r="AA77" s="97"/>
      <c r="AB77" s="48"/>
      <c r="AC77" s="97"/>
      <c r="AD77" s="48"/>
      <c r="AE77" s="97"/>
      <c r="AF77" s="48"/>
    </row>
    <row r="78" spans="23:32" ht="11.25" customHeight="1" x14ac:dyDescent="0.2">
      <c r="W78" s="97"/>
      <c r="X78" s="48"/>
      <c r="Y78" s="97"/>
      <c r="Z78" s="48"/>
      <c r="AA78" s="97"/>
      <c r="AB78" s="48"/>
      <c r="AC78" s="97"/>
      <c r="AD78" s="48"/>
      <c r="AE78" s="97"/>
      <c r="AF78" s="48"/>
    </row>
    <row r="79" spans="23:32" ht="11.25" customHeight="1" x14ac:dyDescent="0.2">
      <c r="W79" s="97"/>
      <c r="X79" s="48"/>
      <c r="Y79" s="97"/>
      <c r="Z79" s="48"/>
      <c r="AA79" s="97"/>
      <c r="AB79" s="48"/>
      <c r="AC79" s="97"/>
      <c r="AD79" s="48"/>
      <c r="AE79" s="97"/>
      <c r="AF79" s="48"/>
    </row>
    <row r="80" spans="23:32" ht="11.25" customHeight="1" x14ac:dyDescent="0.2">
      <c r="W80" s="97"/>
      <c r="X80" s="48"/>
      <c r="Y80" s="97"/>
      <c r="Z80" s="48"/>
      <c r="AA80" s="97"/>
      <c r="AB80" s="48"/>
      <c r="AC80" s="97"/>
      <c r="AD80" s="48"/>
      <c r="AE80" s="97"/>
      <c r="AF80" s="48"/>
    </row>
    <row r="81" spans="11:32" x14ac:dyDescent="0.2">
      <c r="W81" s="97"/>
      <c r="X81" s="48"/>
      <c r="Y81" s="97"/>
      <c r="Z81" s="48"/>
      <c r="AA81" s="97"/>
      <c r="AB81" s="48"/>
      <c r="AC81" s="97"/>
      <c r="AD81" s="48"/>
      <c r="AE81" s="97"/>
      <c r="AF81" s="48"/>
    </row>
    <row r="82" spans="11:32" x14ac:dyDescent="0.2">
      <c r="W82" s="97"/>
      <c r="X82" s="48"/>
      <c r="Y82" s="97"/>
      <c r="Z82" s="48"/>
      <c r="AA82" s="97"/>
      <c r="AB82" s="48"/>
      <c r="AC82" s="97"/>
      <c r="AD82" s="48"/>
      <c r="AE82" s="97"/>
      <c r="AF82" s="48"/>
    </row>
    <row r="83" spans="11:32" x14ac:dyDescent="0.2">
      <c r="W83" s="97"/>
      <c r="X83" s="48"/>
      <c r="Y83" s="97"/>
      <c r="Z83" s="48"/>
      <c r="AA83" s="97"/>
      <c r="AB83" s="48"/>
      <c r="AC83" s="97"/>
      <c r="AD83" s="48"/>
      <c r="AE83" s="97"/>
      <c r="AF83" s="48"/>
    </row>
    <row r="84" spans="11:32" x14ac:dyDescent="0.2">
      <c r="W84" s="97"/>
      <c r="X84" s="48"/>
      <c r="Y84" s="97"/>
      <c r="Z84" s="48"/>
      <c r="AA84" s="97"/>
      <c r="AB84" s="48"/>
      <c r="AC84" s="97"/>
      <c r="AD84" s="48"/>
      <c r="AE84" s="97"/>
      <c r="AF84" s="48"/>
    </row>
    <row r="85" spans="11:32" x14ac:dyDescent="0.2">
      <c r="W85" s="97"/>
      <c r="X85" s="48"/>
      <c r="Y85" s="97"/>
      <c r="Z85" s="48"/>
      <c r="AA85" s="97"/>
      <c r="AB85" s="48"/>
      <c r="AC85" s="97"/>
      <c r="AD85" s="48"/>
      <c r="AE85" s="97"/>
      <c r="AF85" s="48"/>
    </row>
    <row r="86" spans="11:32" x14ac:dyDescent="0.2">
      <c r="K86" s="46" t="s">
        <v>35</v>
      </c>
      <c r="W86" s="97"/>
      <c r="X86" s="48"/>
      <c r="Y86" s="97"/>
      <c r="Z86" s="48"/>
      <c r="AA86" s="97"/>
      <c r="AB86" s="48"/>
      <c r="AC86" s="97"/>
      <c r="AD86" s="48"/>
      <c r="AE86" s="97"/>
      <c r="AF86" s="48"/>
    </row>
    <row r="87" spans="11:32" x14ac:dyDescent="0.2">
      <c r="W87" s="97"/>
      <c r="X87" s="48"/>
      <c r="Y87" s="97"/>
      <c r="Z87" s="48"/>
      <c r="AA87" s="97"/>
      <c r="AB87" s="48"/>
      <c r="AC87" s="97"/>
      <c r="AD87" s="48"/>
      <c r="AE87" s="97"/>
      <c r="AF87" s="48"/>
    </row>
    <row r="88" spans="11:32" x14ac:dyDescent="0.2">
      <c r="W88" s="97"/>
      <c r="X88" s="48"/>
      <c r="Y88" s="97"/>
      <c r="Z88" s="48"/>
      <c r="AA88" s="97"/>
      <c r="AB88" s="48"/>
      <c r="AC88" s="97"/>
      <c r="AD88" s="48"/>
      <c r="AE88" s="97"/>
      <c r="AF88" s="48"/>
    </row>
    <row r="89" spans="11:32" x14ac:dyDescent="0.2">
      <c r="AE89" s="97"/>
      <c r="AF89" s="48"/>
    </row>
    <row r="90" spans="11:32" x14ac:dyDescent="0.2">
      <c r="AE90" s="97"/>
      <c r="AF90" s="48"/>
    </row>
    <row r="91" spans="11:32" x14ac:dyDescent="0.2">
      <c r="AE91" s="97"/>
      <c r="AF91" s="48"/>
    </row>
    <row r="92" spans="11:32" x14ac:dyDescent="0.2">
      <c r="AE92" s="97"/>
      <c r="AF92" s="48"/>
    </row>
  </sheetData>
  <dataValidations disablePrompts="1"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7">
      <formula1>"Annual,Semiannual,EveryFourthMonth,Quarterly,Bimonthly,Monthly,Biweekly,Weekly,Daily,Once,NoFrequency"</formula1>
    </dataValidation>
    <dataValidation type="list" allowBlank="1" showInputMessage="1" showErrorMessage="1" sqref="E6:E16 E19:E57">
      <formula1>"Following,Modified Following,Preceding,Modified Preceding,Unadjusted,Half-Month Modified Following"</formula1>
    </dataValidation>
    <dataValidation type="list" allowBlank="1" showInputMessage="1" showErrorMessage="1" sqref="F6:F16 F19:F5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3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HKDON</vt:lpstr>
      <vt:lpstr>HKD3M</vt:lpstr>
      <vt:lpstr>HKD6M</vt:lpstr>
      <vt:lpstr>HKD1M</vt:lpstr>
      <vt:lpstr>Calendar</vt:lpstr>
      <vt:lpstr>Currency</vt:lpstr>
      <vt:lpstr>Discounting</vt:lpstr>
      <vt:lpstr>Evaluationdate</vt:lpstr>
      <vt:lpstr>FamilyName</vt:lpstr>
      <vt:lpstr>HKD1M!IncludeFlag</vt:lpstr>
      <vt:lpstr>HKD3M!IncludeFlag</vt:lpstr>
      <vt:lpstr>HKD6M!IncludeFlag</vt:lpstr>
      <vt:lpstr>HKDON!IncludeFlag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HKD1M!MinDistance</vt:lpstr>
      <vt:lpstr>HKD3M!MinDistance</vt:lpstr>
      <vt:lpstr>HKD6M!MinDistance</vt:lpstr>
      <vt:lpstr>HKDON!MinDistance</vt:lpstr>
      <vt:lpstr>ObjectOverwrite</vt:lpstr>
      <vt:lpstr>Permanent</vt:lpstr>
      <vt:lpstr>PillarDate</vt:lpstr>
      <vt:lpstr>HKD1M!Priority</vt:lpstr>
      <vt:lpstr>HKD3M!Priority</vt:lpstr>
      <vt:lpstr>HKD6M!Priority</vt:lpstr>
      <vt:lpstr>HKDON!Priority</vt:lpstr>
      <vt:lpstr>QuoteSuffix</vt:lpstr>
      <vt:lpstr>HKD1M!RateHelpers</vt:lpstr>
      <vt:lpstr>HKD3M!RateHelpers</vt:lpstr>
      <vt:lpstr>HKD6M!RateHelpers</vt:lpstr>
      <vt:lpstr>HKDON!RateHelpers</vt:lpstr>
      <vt:lpstr>RateHelpers1M</vt:lpstr>
      <vt:lpstr>RateHelpers3M</vt:lpstr>
      <vt:lpstr>RateHelpers6M</vt:lpstr>
      <vt:lpstr>RateHelpersON</vt:lpstr>
      <vt:lpstr>Settlementdate</vt:lpstr>
      <vt:lpstr>HKD1M!Tenor</vt:lpstr>
      <vt:lpstr>HKD3M!Tenor</vt:lpstr>
      <vt:lpstr>HKD6M!Tenor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2016-07-08T15:15:23Z</dcterms:modified>
</cp:coreProperties>
</file>