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1535"/>
  </bookViews>
  <sheets>
    <sheet name="GeneralSettings" sheetId="1" r:id="rId1"/>
    <sheet name="JPYON" sheetId="14" r:id="rId2"/>
    <sheet name="JPY3M" sheetId="15" r:id="rId3"/>
    <sheet name="JPY6M" sheetId="16" r:id="rId4"/>
  </sheets>
  <externalReferences>
    <externalReference r:id="rId5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HolidayCheck">GeneralSettings!$I$11</definedName>
    <definedName name="IncludeFlag" localSheetId="2">JPY3M!$P$3:$P$57</definedName>
    <definedName name="IncludeFlag" localSheetId="3">JPY6M!$P$3:$P$58</definedName>
    <definedName name="IncludeFlag" localSheetId="1">JPYON!$P$3:$P$57</definedName>
    <definedName name="JoinCalendar">GeneralSettings!$I$10</definedName>
    <definedName name="JumpDates_3M">JPY3M!$AG$11:$AG$23</definedName>
    <definedName name="JumpDates_6M">JPY6M!$AG$11:$AG$23</definedName>
    <definedName name="JumpDates_ON">JPYON!$AG$11:$AG$23</definedName>
    <definedName name="JumpQuotes_3M">JPY3M!$AM$11:$AM$23</definedName>
    <definedName name="JumpQuotes_6M">JPY6M!$AM$11:$AM$23</definedName>
    <definedName name="JumpQuotes_ON">JPYON!$AM$11:$AM$23</definedName>
    <definedName name="JumpSuffix">GeneralSettings!$D$10</definedName>
    <definedName name="LiborCalendar">GeneralSettings!$I$8</definedName>
    <definedName name="LiborFixingDate">GeneralSettings!$I$5</definedName>
    <definedName name="LiborSettlementDate">GeneralSettings!$I$6</definedName>
    <definedName name="LocalCalendar">GeneralSettings!$I$9</definedName>
    <definedName name="MinDistance" localSheetId="2">JPY3M!$R$3:$R$57</definedName>
    <definedName name="MinDistance" localSheetId="3">JPY6M!$R$3:$R$58</definedName>
    <definedName name="MinDistance" localSheetId="1">JPYON!$R$3:$R$57</definedName>
    <definedName name="ObjectOverwrite">GeneralSettings!$D$6</definedName>
    <definedName name="Permanent">GeneralSettings!$D$4</definedName>
    <definedName name="PillarDate">GeneralSettings!$D$11</definedName>
    <definedName name="Priority" localSheetId="2">JPY3M!$Q$3:$Q$57</definedName>
    <definedName name="Priority" localSheetId="3">JPY6M!$Q$3:$Q$58</definedName>
    <definedName name="Priority" localSheetId="1">JPYON!$Q$3:$Q$57</definedName>
    <definedName name="QuoteSuffix">GeneralSettings!$D$9</definedName>
    <definedName name="RateHelpers" localSheetId="2">JPY3M!$S$3:$S$57</definedName>
    <definedName name="RateHelpers" localSheetId="3">JPY6M!$S$3:$S$58</definedName>
    <definedName name="RateHelpers" localSheetId="1">JPYON!$S$3:$S$57</definedName>
    <definedName name="Settlementdate">GeneralSettings!$I$4</definedName>
    <definedName name="SwapForwardStart">GeneralSettings!$I$11</definedName>
    <definedName name="Tenor" localSheetId="2">JPY3M!$G$1</definedName>
    <definedName name="Tenor" localSheetId="3">JPY6M!$G$1</definedName>
    <definedName name="Tenor" localSheetId="1">JPYON!$G$1</definedName>
    <definedName name="Trigger">GeneralSettings!$D$5</definedName>
    <definedName name="YieldCurve_3M">GeneralSettings!$I$15</definedName>
    <definedName name="YieldCurve_6M">GeneralSettings!$D$31</definedName>
    <definedName name="YieldCurve_ON">GeneralSettings!$D$15</definedName>
  </definedNames>
  <calcPr calcId="145621"/>
</workbook>
</file>

<file path=xl/calcChain.xml><?xml version="1.0" encoding="utf-8"?>
<calcChain xmlns="http://schemas.openxmlformats.org/spreadsheetml/2006/main">
  <c r="J3" i="15" l="1"/>
  <c r="G3" i="15"/>
  <c r="G3" i="16"/>
  <c r="J3" i="16"/>
  <c r="G3" i="14"/>
  <c r="O58" i="16" l="1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J62" i="16"/>
  <c r="S58" i="16" s="1"/>
  <c r="J61" i="16"/>
  <c r="S57" i="16" s="1"/>
  <c r="J60" i="16"/>
  <c r="S56" i="16" s="1"/>
  <c r="J59" i="16"/>
  <c r="S55" i="16" s="1"/>
  <c r="J57" i="16"/>
  <c r="S53" i="16" s="1"/>
  <c r="J56" i="16"/>
  <c r="S52" i="16" s="1"/>
  <c r="J55" i="16"/>
  <c r="S51" i="16" s="1"/>
  <c r="J54" i="16"/>
  <c r="S50" i="16" s="1"/>
  <c r="J52" i="16"/>
  <c r="S48" i="16" s="1"/>
  <c r="J51" i="16"/>
  <c r="S47" i="16" s="1"/>
  <c r="J50" i="16"/>
  <c r="S46" i="16" s="1"/>
  <c r="J49" i="16"/>
  <c r="S45" i="16" s="1"/>
  <c r="J47" i="16"/>
  <c r="S43" i="16" s="1"/>
  <c r="J46" i="16"/>
  <c r="S42" i="16" s="1"/>
  <c r="J45" i="16"/>
  <c r="S41" i="16" s="1"/>
  <c r="J44" i="16"/>
  <c r="S40" i="16" s="1"/>
  <c r="J42" i="16"/>
  <c r="S38" i="16" s="1"/>
  <c r="J41" i="16"/>
  <c r="S37" i="16" s="1"/>
  <c r="J39" i="16"/>
  <c r="S35" i="16" s="1"/>
  <c r="J29" i="16"/>
  <c r="S25" i="16" s="1"/>
  <c r="J27" i="16"/>
  <c r="S23" i="16" s="1"/>
  <c r="J26" i="16"/>
  <c r="S22" i="16" s="1"/>
  <c r="J23" i="16"/>
  <c r="S21" i="16" s="1"/>
  <c r="J22" i="16"/>
  <c r="S20" i="16" s="1"/>
  <c r="J21" i="16"/>
  <c r="S19" i="16" s="1"/>
  <c r="J6" i="16"/>
  <c r="S6" i="16" s="1"/>
  <c r="S56" i="15"/>
  <c r="S54" i="15"/>
  <c r="S34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J61" i="15"/>
  <c r="S57" i="15" s="1"/>
  <c r="J60" i="15"/>
  <c r="J59" i="15"/>
  <c r="S55" i="15" s="1"/>
  <c r="J58" i="15"/>
  <c r="J56" i="15"/>
  <c r="S52" i="15" s="1"/>
  <c r="J55" i="15"/>
  <c r="S51" i="15" s="1"/>
  <c r="J54" i="15"/>
  <c r="S50" i="15" s="1"/>
  <c r="J53" i="15"/>
  <c r="S49" i="15" s="1"/>
  <c r="J52" i="15"/>
  <c r="S48" i="15" s="1"/>
  <c r="J51" i="15"/>
  <c r="S47" i="15" s="1"/>
  <c r="J50" i="15"/>
  <c r="S46" i="15" s="1"/>
  <c r="J49" i="15"/>
  <c r="S45" i="15" s="1"/>
  <c r="J48" i="15"/>
  <c r="S44" i="15" s="1"/>
  <c r="J46" i="15"/>
  <c r="S42" i="15" s="1"/>
  <c r="J45" i="15"/>
  <c r="S41" i="15" s="1"/>
  <c r="J44" i="15"/>
  <c r="S40" i="15" s="1"/>
  <c r="J43" i="15"/>
  <c r="S39" i="15" s="1"/>
  <c r="J41" i="15"/>
  <c r="S37" i="15" s="1"/>
  <c r="J40" i="15"/>
  <c r="S36" i="15" s="1"/>
  <c r="J39" i="15"/>
  <c r="S35" i="15" s="1"/>
  <c r="J38" i="15"/>
  <c r="J28" i="15"/>
  <c r="S24" i="15" s="1"/>
  <c r="J27" i="15"/>
  <c r="S23" i="15" s="1"/>
  <c r="J26" i="15"/>
  <c r="S22" i="15" s="1"/>
  <c r="J25" i="15"/>
  <c r="S21" i="15" s="1"/>
  <c r="J5" i="16"/>
  <c r="J4" i="16"/>
  <c r="N50" i="16"/>
  <c r="N51" i="16"/>
  <c r="N53" i="16"/>
  <c r="N37" i="16"/>
  <c r="N29" i="16"/>
  <c r="N21" i="16"/>
  <c r="N4" i="16"/>
  <c r="J30" i="16"/>
  <c r="J31" i="16"/>
  <c r="J17" i="16"/>
  <c r="J8" i="16"/>
  <c r="O41" i="15"/>
  <c r="O27" i="15"/>
  <c r="O53" i="15"/>
  <c r="O31" i="15"/>
  <c r="O50" i="15"/>
  <c r="N30" i="15"/>
  <c r="N28" i="15"/>
  <c r="N22" i="15"/>
  <c r="N35" i="15"/>
  <c r="N17" i="15"/>
  <c r="N18" i="15"/>
  <c r="N4" i="15"/>
  <c r="J42" i="15"/>
  <c r="N36" i="16"/>
  <c r="J58" i="16"/>
  <c r="J20" i="16"/>
  <c r="O33" i="15"/>
  <c r="O21" i="15"/>
  <c r="O26" i="15"/>
  <c r="N29" i="15"/>
  <c r="N55" i="15"/>
  <c r="N27" i="15"/>
  <c r="N13" i="15"/>
  <c r="N3" i="15"/>
  <c r="J57" i="15"/>
  <c r="N50" i="15"/>
  <c r="N17" i="16"/>
  <c r="G5" i="16"/>
  <c r="N7" i="15"/>
  <c r="N42" i="16"/>
  <c r="N57" i="16"/>
  <c r="N44" i="16"/>
  <c r="N28" i="16"/>
  <c r="N20" i="16"/>
  <c r="N9" i="16"/>
  <c r="J36" i="16"/>
  <c r="J7" i="16"/>
  <c r="O34" i="15"/>
  <c r="O23" i="15"/>
  <c r="N53" i="15"/>
  <c r="N11" i="15"/>
  <c r="N45" i="15"/>
  <c r="N10" i="15"/>
  <c r="J32" i="15"/>
  <c r="N6" i="16"/>
  <c r="O55" i="15"/>
  <c r="N14" i="15"/>
  <c r="N34" i="16"/>
  <c r="N49" i="16"/>
  <c r="N43" i="16"/>
  <c r="N35" i="16"/>
  <c r="N27" i="16"/>
  <c r="N19" i="16"/>
  <c r="N8" i="16"/>
  <c r="J33" i="16"/>
  <c r="J35" i="16"/>
  <c r="J19" i="16"/>
  <c r="G11" i="16"/>
  <c r="O25" i="15"/>
  <c r="O56" i="15"/>
  <c r="O36" i="15"/>
  <c r="O46" i="15"/>
  <c r="O54" i="15"/>
  <c r="N56" i="15"/>
  <c r="N47" i="15"/>
  <c r="N16" i="15"/>
  <c r="J29" i="15"/>
  <c r="N25" i="16"/>
  <c r="J11" i="16"/>
  <c r="N32" i="15"/>
  <c r="N26" i="16"/>
  <c r="N41" i="16"/>
  <c r="N56" i="16"/>
  <c r="N55" i="16"/>
  <c r="N22" i="16"/>
  <c r="N15" i="16"/>
  <c r="N12" i="16"/>
  <c r="J40" i="16"/>
  <c r="J32" i="16"/>
  <c r="J15" i="16"/>
  <c r="G10" i="16"/>
  <c r="O38" i="15"/>
  <c r="O48" i="15"/>
  <c r="O51" i="15"/>
  <c r="O22" i="15"/>
  <c r="N57" i="15"/>
  <c r="N48" i="15"/>
  <c r="N39" i="15"/>
  <c r="N52" i="15"/>
  <c r="N42" i="15"/>
  <c r="N20" i="15"/>
  <c r="N9" i="15"/>
  <c r="J37" i="15"/>
  <c r="J47" i="15"/>
  <c r="N10" i="16"/>
  <c r="O29" i="15"/>
  <c r="N23" i="15"/>
  <c r="J36" i="15"/>
  <c r="N46" i="16"/>
  <c r="N33" i="16"/>
  <c r="N48" i="16"/>
  <c r="N47" i="16"/>
  <c r="N18" i="16"/>
  <c r="N13" i="16"/>
  <c r="N11" i="16"/>
  <c r="J53" i="16"/>
  <c r="J43" i="16"/>
  <c r="J12" i="16"/>
  <c r="G6" i="16"/>
  <c r="O45" i="15"/>
  <c r="O40" i="15"/>
  <c r="O42" i="15"/>
  <c r="O37" i="15"/>
  <c r="N49" i="15"/>
  <c r="N40" i="15"/>
  <c r="N31" i="15"/>
  <c r="N44" i="15"/>
  <c r="N34" i="15"/>
  <c r="N15" i="15"/>
  <c r="N8" i="15"/>
  <c r="J34" i="15"/>
  <c r="J30" i="15"/>
  <c r="J28" i="16"/>
  <c r="O52" i="15"/>
  <c r="N26" i="15"/>
  <c r="N45" i="16"/>
  <c r="N54" i="16"/>
  <c r="N32" i="16"/>
  <c r="N31" i="16"/>
  <c r="N16" i="16"/>
  <c r="N7" i="16"/>
  <c r="N3" i="16"/>
  <c r="J34" i="16"/>
  <c r="J18" i="16"/>
  <c r="J10" i="16"/>
  <c r="O57" i="15"/>
  <c r="O44" i="15"/>
  <c r="O24" i="15"/>
  <c r="O47" i="15"/>
  <c r="O28" i="15"/>
  <c r="N33" i="15"/>
  <c r="N24" i="15"/>
  <c r="N46" i="15"/>
  <c r="N51" i="15"/>
  <c r="N37" i="15"/>
  <c r="N12" i="15"/>
  <c r="N6" i="15"/>
  <c r="J33" i="15"/>
  <c r="N58" i="16"/>
  <c r="N52" i="16"/>
  <c r="N30" i="16"/>
  <c r="N24" i="16"/>
  <c r="N23" i="16"/>
  <c r="N14" i="16"/>
  <c r="N5" i="16"/>
  <c r="J38" i="16"/>
  <c r="J48" i="16"/>
  <c r="J16" i="16"/>
  <c r="J9" i="16"/>
  <c r="O49" i="15"/>
  <c r="O43" i="15"/>
  <c r="O30" i="15"/>
  <c r="O39" i="15"/>
  <c r="O35" i="15"/>
  <c r="N25" i="15"/>
  <c r="N38" i="15"/>
  <c r="N54" i="15"/>
  <c r="N43" i="15"/>
  <c r="N21" i="15"/>
  <c r="N19" i="15"/>
  <c r="N5" i="15"/>
  <c r="J35" i="15"/>
  <c r="N38" i="16"/>
  <c r="N40" i="16"/>
  <c r="N39" i="16"/>
  <c r="J37" i="16"/>
  <c r="O32" i="15"/>
  <c r="N41" i="15"/>
  <c r="N36" i="15"/>
  <c r="J31" i="15"/>
  <c r="S4" i="16" l="1"/>
  <c r="S27" i="15"/>
  <c r="S33" i="16"/>
  <c r="S31" i="15"/>
  <c r="S9" i="16"/>
  <c r="S14" i="16"/>
  <c r="S44" i="16"/>
  <c r="S34" i="16"/>
  <c r="S29" i="15"/>
  <c r="S10" i="16"/>
  <c r="S16" i="16"/>
  <c r="S30" i="16"/>
  <c r="S24" i="16"/>
  <c r="S26" i="15"/>
  <c r="S30" i="15"/>
  <c r="S12" i="16"/>
  <c r="S39" i="16"/>
  <c r="S49" i="16"/>
  <c r="S32" i="15"/>
  <c r="S43" i="15"/>
  <c r="S33" i="15"/>
  <c r="S13" i="16"/>
  <c r="S28" i="16"/>
  <c r="S36" i="16"/>
  <c r="S11" i="16"/>
  <c r="S25" i="15"/>
  <c r="S17" i="16"/>
  <c r="S31" i="16"/>
  <c r="S29" i="16"/>
  <c r="S28" i="15"/>
  <c r="S7" i="16"/>
  <c r="S32" i="16"/>
  <c r="S53" i="15"/>
  <c r="S18" i="16"/>
  <c r="S54" i="16"/>
  <c r="S38" i="15"/>
  <c r="S8" i="16"/>
  <c r="S15" i="16"/>
  <c r="S27" i="16"/>
  <c r="S26" i="16"/>
  <c r="S5" i="16"/>
  <c r="S3" i="16"/>
  <c r="J22" i="15"/>
  <c r="S20" i="15" s="1"/>
  <c r="S3" i="15"/>
  <c r="J6" i="15"/>
  <c r="S6" i="15" s="1"/>
  <c r="J5" i="15"/>
  <c r="S5" i="15" s="1"/>
  <c r="J4" i="15"/>
  <c r="S4" i="15" s="1"/>
  <c r="M57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J59" i="14"/>
  <c r="S57" i="14" s="1"/>
  <c r="J58" i="14"/>
  <c r="S56" i="14" s="1"/>
  <c r="J57" i="14"/>
  <c r="S55" i="14" s="1"/>
  <c r="J56" i="14"/>
  <c r="S54" i="14" s="1"/>
  <c r="J54" i="14"/>
  <c r="S52" i="14" s="1"/>
  <c r="J43" i="14"/>
  <c r="S41" i="14" s="1"/>
  <c r="J42" i="14"/>
  <c r="S40" i="14" s="1"/>
  <c r="J41" i="14"/>
  <c r="S39" i="14" s="1"/>
  <c r="J39" i="14"/>
  <c r="S37" i="14" s="1"/>
  <c r="J38" i="14"/>
  <c r="S36" i="14" s="1"/>
  <c r="J37" i="14"/>
  <c r="S35" i="14" s="1"/>
  <c r="J35" i="14"/>
  <c r="S33" i="14" s="1"/>
  <c r="J34" i="14"/>
  <c r="S32" i="14" s="1"/>
  <c r="J33" i="14"/>
  <c r="S31" i="14" s="1"/>
  <c r="J31" i="14"/>
  <c r="S29" i="14" s="1"/>
  <c r="J30" i="14"/>
  <c r="S28" i="14" s="1"/>
  <c r="J29" i="14"/>
  <c r="S27" i="14" s="1"/>
  <c r="J28" i="14"/>
  <c r="S26" i="14" s="1"/>
  <c r="J27" i="14"/>
  <c r="S25" i="14" s="1"/>
  <c r="J25" i="14"/>
  <c r="S23" i="14" s="1"/>
  <c r="J24" i="14"/>
  <c r="S22" i="14" s="1"/>
  <c r="J23" i="14"/>
  <c r="S21" i="14" s="1"/>
  <c r="J21" i="14"/>
  <c r="S19" i="14" s="1"/>
  <c r="J19" i="14"/>
  <c r="S17" i="14" s="1"/>
  <c r="J18" i="14"/>
  <c r="S16" i="14" s="1"/>
  <c r="J16" i="14"/>
  <c r="S14" i="14" s="1"/>
  <c r="J15" i="14"/>
  <c r="S13" i="14" s="1"/>
  <c r="J8" i="14"/>
  <c r="S6" i="14" s="1"/>
  <c r="J7" i="14"/>
  <c r="S5" i="14" s="1"/>
  <c r="J6" i="14"/>
  <c r="S4" i="14" s="1"/>
  <c r="J21" i="15"/>
  <c r="J3" i="14"/>
  <c r="J22" i="14"/>
  <c r="N41" i="14"/>
  <c r="N32" i="14"/>
  <c r="N23" i="14"/>
  <c r="N14" i="14"/>
  <c r="N5" i="14"/>
  <c r="N43" i="14"/>
  <c r="N26" i="14"/>
  <c r="N16" i="14"/>
  <c r="N44" i="14"/>
  <c r="N10" i="14"/>
  <c r="N54" i="14"/>
  <c r="N36" i="14"/>
  <c r="N20" i="14"/>
  <c r="G6" i="15"/>
  <c r="N33" i="14"/>
  <c r="N24" i="14"/>
  <c r="N15" i="14"/>
  <c r="N6" i="14"/>
  <c r="N52" i="14"/>
  <c r="N35" i="14"/>
  <c r="N18" i="14"/>
  <c r="N25" i="14"/>
  <c r="N7" i="14"/>
  <c r="N53" i="14"/>
  <c r="N27" i="14"/>
  <c r="N17" i="14"/>
  <c r="N8" i="14"/>
  <c r="N45" i="14"/>
  <c r="N19" i="14"/>
  <c r="N29" i="14"/>
  <c r="N50" i="14"/>
  <c r="G5" i="15"/>
  <c r="N56" i="14"/>
  <c r="N4" i="14"/>
  <c r="N47" i="14"/>
  <c r="N9" i="14"/>
  <c r="N55" i="14"/>
  <c r="N46" i="14"/>
  <c r="N37" i="14"/>
  <c r="N28" i="14"/>
  <c r="N11" i="14"/>
  <c r="N38" i="14"/>
  <c r="N57" i="14"/>
  <c r="N48" i="14"/>
  <c r="N39" i="14"/>
  <c r="N30" i="14"/>
  <c r="N21" i="14"/>
  <c r="N12" i="14"/>
  <c r="N42" i="14"/>
  <c r="N49" i="14"/>
  <c r="N40" i="14"/>
  <c r="N31" i="14"/>
  <c r="N22" i="14"/>
  <c r="N13" i="14"/>
  <c r="N51" i="14"/>
  <c r="N34" i="14"/>
  <c r="S19" i="15" l="1"/>
  <c r="S3" i="14"/>
  <c r="S20" i="14"/>
  <c r="AH23" i="14" l="1"/>
  <c r="AH22" i="14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AM23" i="14"/>
  <c r="AM22" i="14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AH12" i="16"/>
  <c r="AM12" i="16" s="1"/>
  <c r="AH13" i="16"/>
  <c r="AM13" i="16" s="1"/>
  <c r="AH14" i="16"/>
  <c r="AM14" i="16" s="1"/>
  <c r="AH15" i="16"/>
  <c r="AM15" i="16" s="1"/>
  <c r="AH16" i="16"/>
  <c r="AM16" i="16" s="1"/>
  <c r="AH17" i="16"/>
  <c r="AM17" i="16" s="1"/>
  <c r="AH18" i="16"/>
  <c r="AM18" i="16" s="1"/>
  <c r="AH19" i="16"/>
  <c r="AM19" i="16" s="1"/>
  <c r="AH20" i="16"/>
  <c r="AM20" i="16" s="1"/>
  <c r="AH21" i="16"/>
  <c r="AM21" i="16" s="1"/>
  <c r="AH22" i="16"/>
  <c r="AM22" i="16" s="1"/>
  <c r="AH23" i="16"/>
  <c r="AM23" i="16" s="1"/>
  <c r="AH11" i="16"/>
  <c r="AM11" i="16" s="1"/>
  <c r="I3" i="1"/>
  <c r="I5" i="1"/>
  <c r="I4" i="1"/>
  <c r="AJ16" i="14"/>
  <c r="AJ11" i="15"/>
  <c r="AJ15" i="14"/>
  <c r="AJ17" i="16"/>
  <c r="AJ22" i="16"/>
  <c r="AJ19" i="15"/>
  <c r="AJ18" i="15"/>
  <c r="AJ20" i="14"/>
  <c r="AJ11" i="16"/>
  <c r="AJ11" i="14"/>
  <c r="AJ18" i="14"/>
  <c r="AJ22" i="14"/>
  <c r="AJ22" i="15"/>
  <c r="AJ23" i="14"/>
  <c r="AJ23" i="15"/>
  <c r="AJ16" i="15"/>
  <c r="AJ12" i="14"/>
  <c r="AJ19" i="14"/>
  <c r="AJ17" i="15"/>
  <c r="AJ16" i="16"/>
  <c r="AJ21" i="14"/>
  <c r="AJ20" i="16"/>
  <c r="AJ13" i="14"/>
  <c r="AJ14" i="15"/>
  <c r="AJ18" i="16"/>
  <c r="AJ14" i="14"/>
  <c r="AJ14" i="16"/>
  <c r="AJ21" i="16"/>
  <c r="AJ13" i="16"/>
  <c r="AJ19" i="16"/>
  <c r="AJ15" i="16"/>
  <c r="AJ21" i="15"/>
  <c r="AJ17" i="14"/>
  <c r="AJ13" i="15"/>
  <c r="AJ23" i="16"/>
  <c r="AJ20" i="15"/>
  <c r="AJ12" i="15"/>
  <c r="AJ12" i="16"/>
  <c r="AJ15" i="15"/>
  <c r="L56" i="16" l="1"/>
  <c r="L57" i="16"/>
  <c r="L58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26" i="16"/>
  <c r="G60" i="16"/>
  <c r="H61" i="15" l="1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25" i="15"/>
  <c r="W1" i="16" l="1"/>
  <c r="C23" i="16"/>
  <c r="C22" i="16"/>
  <c r="C21" i="16"/>
  <c r="C20" i="16"/>
  <c r="C19" i="16"/>
  <c r="C18" i="16"/>
  <c r="C17" i="16"/>
  <c r="C16" i="16"/>
  <c r="C15" i="16"/>
  <c r="G62" i="16"/>
  <c r="G61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C22" i="15"/>
  <c r="C21" i="15"/>
  <c r="C20" i="15"/>
  <c r="C19" i="15"/>
  <c r="C18" i="15"/>
  <c r="C17" i="15"/>
  <c r="C16" i="15"/>
  <c r="C15" i="15"/>
  <c r="C14" i="15"/>
  <c r="C13" i="15"/>
  <c r="C12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J50" i="14"/>
  <c r="J26" i="14"/>
  <c r="J10" i="14"/>
  <c r="J46" i="14"/>
  <c r="J45" i="14"/>
  <c r="J49" i="14"/>
  <c r="J17" i="14"/>
  <c r="J9" i="14"/>
  <c r="J14" i="14"/>
  <c r="J52" i="14"/>
  <c r="J12" i="14"/>
  <c r="J51" i="14"/>
  <c r="J11" i="14"/>
  <c r="J48" i="14"/>
  <c r="J40" i="14"/>
  <c r="J32" i="14"/>
  <c r="J47" i="14"/>
  <c r="J53" i="14"/>
  <c r="J13" i="14"/>
  <c r="J44" i="14"/>
  <c r="J20" i="14"/>
  <c r="J55" i="14"/>
  <c r="J36" i="14"/>
  <c r="S34" i="14" l="1"/>
  <c r="S53" i="14"/>
  <c r="S18" i="14"/>
  <c r="S42" i="14"/>
  <c r="S11" i="14"/>
  <c r="S51" i="14"/>
  <c r="S45" i="14"/>
  <c r="S30" i="14"/>
  <c r="S38" i="14"/>
  <c r="S46" i="14"/>
  <c r="S9" i="14"/>
  <c r="S49" i="14"/>
  <c r="S10" i="14"/>
  <c r="S50" i="14"/>
  <c r="S12" i="14"/>
  <c r="S7" i="14"/>
  <c r="S15" i="14"/>
  <c r="S47" i="14"/>
  <c r="S43" i="14"/>
  <c r="S44" i="14"/>
  <c r="S8" i="14"/>
  <c r="S24" i="14"/>
  <c r="S48" i="14"/>
  <c r="D33" i="1"/>
  <c r="I17" i="1"/>
  <c r="D17" i="1"/>
  <c r="L54" i="14" l="1"/>
  <c r="L55" i="14"/>
  <c r="L56" i="14"/>
  <c r="L57" i="14"/>
  <c r="L23" i="16" l="1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22" i="16"/>
  <c r="L21" i="16"/>
  <c r="L14" i="16"/>
  <c r="L15" i="16"/>
  <c r="L16" i="16"/>
  <c r="L17" i="16"/>
  <c r="L18" i="16"/>
  <c r="L19" i="16"/>
  <c r="L20" i="16"/>
  <c r="L13" i="16"/>
  <c r="L10" i="16"/>
  <c r="L11" i="16"/>
  <c r="L12" i="16"/>
  <c r="H22" i="16"/>
  <c r="H23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H11" i="16" l="1"/>
  <c r="H12" i="16"/>
  <c r="H10" i="16"/>
  <c r="H4" i="16"/>
  <c r="H9" i="16"/>
  <c r="H3" i="16"/>
  <c r="H7" i="16"/>
  <c r="H6" i="16"/>
  <c r="H5" i="16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21" i="15"/>
  <c r="L11" i="15"/>
  <c r="L12" i="15"/>
  <c r="L13" i="15"/>
  <c r="L14" i="15"/>
  <c r="L15" i="15"/>
  <c r="L16" i="15"/>
  <c r="L17" i="15"/>
  <c r="L18" i="15"/>
  <c r="L19" i="15"/>
  <c r="L20" i="15"/>
  <c r="L10" i="15"/>
  <c r="L4" i="15"/>
  <c r="L5" i="15"/>
  <c r="L6" i="15"/>
  <c r="L7" i="15"/>
  <c r="L8" i="15"/>
  <c r="L9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4" i="14"/>
  <c r="L3" i="14"/>
  <c r="H3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N3" i="14"/>
  <c r="J12" i="15"/>
  <c r="J13" i="15"/>
  <c r="J20" i="15"/>
  <c r="J19" i="15"/>
  <c r="J15" i="15"/>
  <c r="J9" i="15"/>
  <c r="J14" i="15"/>
  <c r="J17" i="15"/>
  <c r="J18" i="15"/>
  <c r="J16" i="15"/>
  <c r="M3" i="14" l="1"/>
  <c r="S14" i="15"/>
  <c r="S16" i="15"/>
  <c r="S15" i="15"/>
  <c r="S12" i="15"/>
  <c r="S9" i="15"/>
  <c r="S13" i="15"/>
  <c r="S17" i="15"/>
  <c r="S18" i="15"/>
  <c r="S11" i="15"/>
  <c r="S10" i="15"/>
  <c r="H8" i="15"/>
  <c r="H7" i="15"/>
  <c r="H5" i="15"/>
  <c r="H6" i="15"/>
  <c r="I10" i="1"/>
  <c r="J8" i="15"/>
  <c r="U19" i="14"/>
  <c r="T19" i="14"/>
  <c r="T20" i="14"/>
  <c r="T16" i="15"/>
  <c r="U20" i="15"/>
  <c r="T14" i="15"/>
  <c r="T12" i="15"/>
  <c r="U15" i="15"/>
  <c r="U12" i="15"/>
  <c r="T25" i="14"/>
  <c r="T28" i="14"/>
  <c r="T15" i="15"/>
  <c r="U19" i="15"/>
  <c r="T19" i="15"/>
  <c r="T21" i="16"/>
  <c r="U17" i="15"/>
  <c r="U5" i="16"/>
  <c r="U25" i="14"/>
  <c r="U28" i="14"/>
  <c r="T5" i="16"/>
  <c r="U32" i="14"/>
  <c r="U16" i="15"/>
  <c r="T10" i="15"/>
  <c r="T36" i="14"/>
  <c r="T17" i="15"/>
  <c r="U6" i="16"/>
  <c r="U37" i="14"/>
  <c r="T56" i="14"/>
  <c r="U4" i="16"/>
  <c r="U3" i="16"/>
  <c r="U4" i="15"/>
  <c r="U23" i="14"/>
  <c r="U36" i="14"/>
  <c r="T29" i="14"/>
  <c r="T26" i="14"/>
  <c r="U22" i="14"/>
  <c r="U56" i="14"/>
  <c r="U26" i="14"/>
  <c r="U20" i="14"/>
  <c r="T37" i="14"/>
  <c r="T54" i="14"/>
  <c r="T33" i="14"/>
  <c r="T6" i="16"/>
  <c r="T4" i="16"/>
  <c r="T3" i="16"/>
  <c r="U54" i="14"/>
  <c r="T11" i="15"/>
  <c r="T32" i="14"/>
  <c r="U21" i="16"/>
  <c r="U11" i="15"/>
  <c r="I6" i="1"/>
  <c r="T4" i="15"/>
  <c r="U29" i="14"/>
  <c r="T13" i="15"/>
  <c r="T23" i="14"/>
  <c r="U10" i="15"/>
  <c r="U13" i="15"/>
  <c r="J7" i="15"/>
  <c r="U33" i="14"/>
  <c r="T20" i="15"/>
  <c r="U14" i="15"/>
  <c r="T22" i="14"/>
  <c r="S7" i="15" l="1"/>
  <c r="S8" i="15"/>
  <c r="D34" i="1"/>
  <c r="I18" i="1"/>
  <c r="D7" i="1"/>
  <c r="U13" i="16"/>
  <c r="U9" i="16"/>
  <c r="U17" i="16"/>
  <c r="T8" i="15"/>
  <c r="U39" i="15"/>
  <c r="T47" i="15"/>
  <c r="U56" i="16"/>
  <c r="U58" i="16"/>
  <c r="T50" i="15"/>
  <c r="U8" i="16"/>
  <c r="T22" i="15"/>
  <c r="U45" i="15"/>
  <c r="T35" i="16"/>
  <c r="U36" i="15"/>
  <c r="U49" i="15"/>
  <c r="T54" i="15"/>
  <c r="T37" i="16"/>
  <c r="U22" i="16"/>
  <c r="T56" i="16"/>
  <c r="U6" i="15"/>
  <c r="U42" i="15"/>
  <c r="U3" i="15"/>
  <c r="T24" i="15"/>
  <c r="T9" i="15"/>
  <c r="T10" i="16"/>
  <c r="U5" i="15"/>
  <c r="U10" i="16"/>
  <c r="T42" i="15"/>
  <c r="U35" i="16"/>
  <c r="U40" i="16"/>
  <c r="T40" i="16"/>
  <c r="U22" i="15"/>
  <c r="U52" i="15"/>
  <c r="T45" i="16"/>
  <c r="U46" i="15"/>
  <c r="T22" i="16"/>
  <c r="T46" i="15"/>
  <c r="U48" i="16"/>
  <c r="U47" i="16"/>
  <c r="T51" i="15"/>
  <c r="T18" i="16"/>
  <c r="T41" i="15"/>
  <c r="U40" i="15"/>
  <c r="T34" i="15"/>
  <c r="U8" i="15"/>
  <c r="U16" i="16"/>
  <c r="T12" i="16"/>
  <c r="T15" i="16"/>
  <c r="U43" i="16"/>
  <c r="T36" i="15"/>
  <c r="T38" i="16"/>
  <c r="T13" i="16"/>
  <c r="U7" i="16"/>
  <c r="U45" i="16"/>
  <c r="T9" i="16"/>
  <c r="U21" i="15"/>
  <c r="U37" i="16"/>
  <c r="U20" i="16"/>
  <c r="U7" i="15"/>
  <c r="T3" i="15"/>
  <c r="U9" i="15"/>
  <c r="T45" i="15"/>
  <c r="T8" i="16"/>
  <c r="T57" i="16"/>
  <c r="T42" i="16"/>
  <c r="U51" i="15"/>
  <c r="U38" i="16"/>
  <c r="T44" i="15"/>
  <c r="T23" i="15"/>
  <c r="T5" i="15"/>
  <c r="T47" i="16"/>
  <c r="U15" i="16"/>
  <c r="T19" i="16"/>
  <c r="T6" i="15"/>
  <c r="T7" i="15"/>
  <c r="T56" i="15"/>
  <c r="T21" i="15"/>
  <c r="U24" i="15"/>
  <c r="U41" i="15"/>
  <c r="T58" i="16"/>
  <c r="T11" i="16"/>
  <c r="T20" i="16"/>
  <c r="U54" i="15"/>
  <c r="U12" i="16"/>
  <c r="U42" i="16"/>
  <c r="T14" i="16"/>
  <c r="U18" i="16"/>
  <c r="U19" i="16"/>
  <c r="T16" i="16"/>
  <c r="U44" i="15"/>
  <c r="U34" i="15"/>
  <c r="U11" i="16"/>
  <c r="T48" i="16"/>
  <c r="T39" i="15"/>
  <c r="U56" i="15"/>
  <c r="U57" i="16"/>
  <c r="T7" i="16"/>
  <c r="T52" i="15"/>
  <c r="T50" i="16"/>
  <c r="U23" i="15"/>
  <c r="T43" i="16"/>
  <c r="U50" i="16"/>
  <c r="T49" i="15"/>
  <c r="U14" i="16"/>
  <c r="U47" i="15"/>
  <c r="T17" i="16"/>
  <c r="U50" i="15"/>
  <c r="T40" i="15"/>
  <c r="C27" i="14" l="1"/>
  <c r="C24" i="14"/>
  <c r="C56" i="14"/>
  <c r="C47" i="14"/>
  <c r="C54" i="14"/>
  <c r="C42" i="14"/>
  <c r="C25" i="14"/>
  <c r="C44" i="14"/>
  <c r="C46" i="14"/>
  <c r="C28" i="14"/>
  <c r="C59" i="14"/>
  <c r="C31" i="14"/>
  <c r="C57" i="14"/>
  <c r="C50" i="14"/>
  <c r="C55" i="14"/>
  <c r="C36" i="14"/>
  <c r="C58" i="14"/>
  <c r="C39" i="14"/>
  <c r="C53" i="14"/>
  <c r="C51" i="14"/>
  <c r="C33" i="14"/>
  <c r="C38" i="14"/>
  <c r="C45" i="14"/>
  <c r="C40" i="14"/>
  <c r="C48" i="14"/>
  <c r="C23" i="14"/>
  <c r="C30" i="14"/>
  <c r="C37" i="14"/>
  <c r="C43" i="14"/>
  <c r="C26" i="14"/>
  <c r="C34" i="14"/>
  <c r="C22" i="14"/>
  <c r="C29" i="14"/>
  <c r="C32" i="14"/>
  <c r="C52" i="14"/>
  <c r="C49" i="14"/>
  <c r="C21" i="14"/>
  <c r="C41" i="14"/>
  <c r="C35" i="14"/>
  <c r="C9" i="14" l="1"/>
  <c r="C12" i="14"/>
  <c r="C14" i="14"/>
  <c r="C11" i="14"/>
  <c r="C19" i="14"/>
  <c r="C10" i="14"/>
  <c r="C15" i="14"/>
  <c r="C13" i="14"/>
  <c r="C16" i="14"/>
  <c r="C18" i="14"/>
  <c r="C8" i="14"/>
  <c r="C6" i="14"/>
  <c r="C20" i="14"/>
  <c r="C17" i="14"/>
  <c r="C7" i="14"/>
  <c r="T57" i="15"/>
  <c r="T46" i="16"/>
  <c r="T55" i="16"/>
  <c r="T31" i="14"/>
  <c r="U46" i="16"/>
  <c r="T30" i="14"/>
  <c r="U43" i="14"/>
  <c r="T45" i="14"/>
  <c r="T24" i="14"/>
  <c r="U8" i="14"/>
  <c r="T17" i="14"/>
  <c r="T50" i="14"/>
  <c r="U14" i="14"/>
  <c r="U4" i="14"/>
  <c r="U27" i="15"/>
  <c r="T33" i="16"/>
  <c r="AG22" i="14"/>
  <c r="T39" i="16"/>
  <c r="U33" i="16"/>
  <c r="U39" i="16"/>
  <c r="T31" i="15"/>
  <c r="U28" i="15"/>
  <c r="T30" i="15"/>
  <c r="U31" i="16"/>
  <c r="T25" i="15"/>
  <c r="AG15" i="15"/>
  <c r="U34" i="16"/>
  <c r="T40" i="14"/>
  <c r="U32" i="16"/>
  <c r="U54" i="16"/>
  <c r="U46" i="14"/>
  <c r="U18" i="14"/>
  <c r="T27" i="15"/>
  <c r="AG13" i="15"/>
  <c r="T23" i="16"/>
  <c r="U57" i="15"/>
  <c r="U48" i="15"/>
  <c r="U40" i="14"/>
  <c r="T41" i="14"/>
  <c r="U9" i="14"/>
  <c r="U45" i="14"/>
  <c r="T8" i="14"/>
  <c r="T15" i="14"/>
  <c r="T7" i="14"/>
  <c r="T51" i="14"/>
  <c r="T43" i="14"/>
  <c r="T16" i="14"/>
  <c r="AG19" i="15"/>
  <c r="U43" i="15"/>
  <c r="T32" i="16"/>
  <c r="T31" i="16"/>
  <c r="U27" i="16"/>
  <c r="U31" i="15"/>
  <c r="AG20" i="14"/>
  <c r="U30" i="16"/>
  <c r="AG16" i="15"/>
  <c r="U28" i="16"/>
  <c r="AG11" i="16"/>
  <c r="T29" i="15"/>
  <c r="T29" i="16"/>
  <c r="U44" i="16"/>
  <c r="U38" i="14"/>
  <c r="U29" i="16"/>
  <c r="U53" i="16"/>
  <c r="U48" i="14"/>
  <c r="U6" i="14"/>
  <c r="T43" i="15"/>
  <c r="U39" i="14"/>
  <c r="T35" i="15"/>
  <c r="U55" i="16"/>
  <c r="T53" i="16"/>
  <c r="U52" i="14"/>
  <c r="T49" i="14"/>
  <c r="U16" i="14"/>
  <c r="T27" i="14"/>
  <c r="T44" i="14"/>
  <c r="T46" i="14"/>
  <c r="U5" i="14"/>
  <c r="U53" i="14"/>
  <c r="U21" i="14"/>
  <c r="AG20" i="15"/>
  <c r="U33" i="15"/>
  <c r="T54" i="16"/>
  <c r="AG21" i="14"/>
  <c r="T49" i="16"/>
  <c r="T28" i="15"/>
  <c r="U36" i="16"/>
  <c r="U35" i="15"/>
  <c r="T5" i="14"/>
  <c r="T10" i="14"/>
  <c r="U11" i="14"/>
  <c r="AG22" i="15"/>
  <c r="U26" i="15"/>
  <c r="U35" i="14"/>
  <c r="U57" i="14"/>
  <c r="AG12" i="15"/>
  <c r="U41" i="16"/>
  <c r="T52" i="14"/>
  <c r="U52" i="16"/>
  <c r="T55" i="15"/>
  <c r="T48" i="14"/>
  <c r="T18" i="14"/>
  <c r="U10" i="14"/>
  <c r="T21" i="14"/>
  <c r="T53" i="14"/>
  <c r="U17" i="14"/>
  <c r="U12" i="14"/>
  <c r="T13" i="14"/>
  <c r="T55" i="14"/>
  <c r="AG17" i="14"/>
  <c r="U29" i="15"/>
  <c r="AG18" i="14"/>
  <c r="AG17" i="15"/>
  <c r="T37" i="15"/>
  <c r="U32" i="15"/>
  <c r="AG12" i="14"/>
  <c r="AG21" i="15"/>
  <c r="T35" i="14"/>
  <c r="U50" i="14"/>
  <c r="U49" i="14"/>
  <c r="T38" i="15"/>
  <c r="T24" i="16"/>
  <c r="T41" i="16"/>
  <c r="U27" i="14"/>
  <c r="U30" i="15"/>
  <c r="T53" i="15"/>
  <c r="U51" i="16"/>
  <c r="U31" i="14"/>
  <c r="U55" i="15"/>
  <c r="T25" i="16"/>
  <c r="T12" i="14"/>
  <c r="U3" i="14"/>
  <c r="U7" i="14"/>
  <c r="U44" i="14"/>
  <c r="T3" i="14"/>
  <c r="T9" i="14"/>
  <c r="T6" i="14"/>
  <c r="U15" i="14"/>
  <c r="U30" i="14"/>
  <c r="T30" i="16"/>
  <c r="AG15" i="14"/>
  <c r="U25" i="15"/>
  <c r="X3" i="16" a="1"/>
  <c r="T26" i="15"/>
  <c r="T32" i="15"/>
  <c r="AG18" i="15"/>
  <c r="AG19" i="14"/>
  <c r="T52" i="16"/>
  <c r="U24" i="14"/>
  <c r="T47" i="14"/>
  <c r="U38" i="15"/>
  <c r="T28" i="16"/>
  <c r="T38" i="14"/>
  <c r="T36" i="16"/>
  <c r="U24" i="16"/>
  <c r="U41" i="14"/>
  <c r="U25" i="16"/>
  <c r="T48" i="15"/>
  <c r="T51" i="16"/>
  <c r="U23" i="16"/>
  <c r="U34" i="14"/>
  <c r="T42" i="14"/>
  <c r="U55" i="14"/>
  <c r="U13" i="14"/>
  <c r="U42" i="14"/>
  <c r="U51" i="14"/>
  <c r="T11" i="14"/>
  <c r="T34" i="14"/>
  <c r="T4" i="14"/>
  <c r="T33" i="15"/>
  <c r="U37" i="15"/>
  <c r="AG14" i="14"/>
  <c r="T34" i="16"/>
  <c r="AG16" i="14"/>
  <c r="U26" i="16"/>
  <c r="AG13" i="14"/>
  <c r="AG11" i="15"/>
  <c r="T27" i="16"/>
  <c r="T44" i="16"/>
  <c r="AG11" i="14"/>
  <c r="AI11" i="14"/>
  <c r="U53" i="15"/>
  <c r="U47" i="14"/>
  <c r="AG14" i="15"/>
  <c r="T39" i="14"/>
  <c r="T57" i="14"/>
  <c r="T14" i="14"/>
  <c r="T26" i="16"/>
  <c r="U49" i="16"/>
  <c r="X3" i="16" l="1"/>
  <c r="X11" i="16"/>
  <c r="X28" i="16"/>
  <c r="X8" i="16"/>
  <c r="X33" i="16"/>
  <c r="X22" i="16"/>
  <c r="X34" i="16"/>
  <c r="X12" i="16"/>
  <c r="X20" i="16"/>
  <c r="X37" i="16"/>
  <c r="X54" i="16"/>
  <c r="X51" i="16"/>
  <c r="X40" i="16"/>
  <c r="X35" i="16"/>
  <c r="X21" i="16"/>
  <c r="X29" i="16"/>
  <c r="X46" i="16"/>
  <c r="X42" i="16"/>
  <c r="X5" i="16"/>
  <c r="X49" i="16"/>
  <c r="X44" i="16"/>
  <c r="X30" i="16"/>
  <c r="X38" i="16"/>
  <c r="X55" i="16"/>
  <c r="X43" i="16"/>
  <c r="X14" i="16"/>
  <c r="X17" i="16"/>
  <c r="X53" i="16"/>
  <c r="X39" i="16"/>
  <c r="X47" i="16"/>
  <c r="X9" i="16"/>
  <c r="X52" i="16"/>
  <c r="X23" i="16"/>
  <c r="X32" i="16"/>
  <c r="X7" i="16"/>
  <c r="X48" i="16"/>
  <c r="X56" i="16"/>
  <c r="X27" i="16"/>
  <c r="X6" i="16"/>
  <c r="X41" i="16"/>
  <c r="X13" i="16"/>
  <c r="X16" i="16"/>
  <c r="X57" i="16"/>
  <c r="X18" i="16"/>
  <c r="X36" i="16"/>
  <c r="X15" i="16"/>
  <c r="X58" i="16"/>
  <c r="X31" i="16"/>
  <c r="X25" i="16"/>
  <c r="X10" i="16"/>
  <c r="X19" i="16"/>
  <c r="X45" i="16"/>
  <c r="X24" i="16"/>
  <c r="X4" i="16"/>
  <c r="X26" i="16"/>
  <c r="X50" i="16"/>
  <c r="AK11" i="14"/>
  <c r="AC26" i="16"/>
  <c r="AI17" i="15"/>
  <c r="AB11" i="16"/>
  <c r="Y16" i="16"/>
  <c r="AC4" i="16"/>
  <c r="AC17" i="16"/>
  <c r="Y34" i="16"/>
  <c r="Z40" i="16"/>
  <c r="AA25" i="16"/>
  <c r="AA50" i="16"/>
  <c r="AA9" i="16"/>
  <c r="Y38" i="16"/>
  <c r="AC27" i="16"/>
  <c r="AB29" i="16"/>
  <c r="Y44" i="16"/>
  <c r="Z10" i="16"/>
  <c r="AB17" i="16"/>
  <c r="AB24" i="16"/>
  <c r="AB37" i="16"/>
  <c r="AA42" i="16"/>
  <c r="AA54" i="16"/>
  <c r="AC10" i="16"/>
  <c r="AI11" i="16"/>
  <c r="AA32" i="16"/>
  <c r="AC7" i="16"/>
  <c r="AB46" i="16"/>
  <c r="AA29" i="16"/>
  <c r="AB7" i="16"/>
  <c r="Z44" i="16"/>
  <c r="AC8" i="16"/>
  <c r="AA18" i="16"/>
  <c r="Y32" i="16"/>
  <c r="AG23" i="15"/>
  <c r="Z12" i="16"/>
  <c r="AC33" i="16"/>
  <c r="AA15" i="16"/>
  <c r="AA4" i="16"/>
  <c r="Z17" i="16"/>
  <c r="AA20" i="16"/>
  <c r="Z24" i="16"/>
  <c r="Z47" i="16"/>
  <c r="AC3" i="16"/>
  <c r="Z53" i="16"/>
  <c r="AC36" i="16"/>
  <c r="Y53" i="16"/>
  <c r="Z25" i="16"/>
  <c r="AI12" i="14"/>
  <c r="Y26" i="16"/>
  <c r="AG23" i="16"/>
  <c r="Y29" i="16"/>
  <c r="AA57" i="16"/>
  <c r="AI12" i="15"/>
  <c r="AA35" i="16"/>
  <c r="AB41" i="16"/>
  <c r="Y13" i="16"/>
  <c r="Z19" i="16"/>
  <c r="Z55" i="16"/>
  <c r="Z45" i="16"/>
  <c r="Y10" i="16"/>
  <c r="AB35" i="16"/>
  <c r="AA16" i="16"/>
  <c r="Z57" i="16"/>
  <c r="AA46" i="16"/>
  <c r="Y57" i="16"/>
  <c r="Z21" i="16"/>
  <c r="AC9" i="16"/>
  <c r="AB25" i="16"/>
  <c r="Y8" i="16"/>
  <c r="AB31" i="16"/>
  <c r="AB58" i="16"/>
  <c r="Z49" i="16"/>
  <c r="Z36" i="16"/>
  <c r="AI21" i="14"/>
  <c r="Y52" i="16"/>
  <c r="AI18" i="14"/>
  <c r="Z52" i="16"/>
  <c r="Y41" i="16"/>
  <c r="AC41" i="16"/>
  <c r="AB28" i="16"/>
  <c r="AB22" i="16"/>
  <c r="AC30" i="16"/>
  <c r="AB26" i="16"/>
  <c r="Y48" i="16"/>
  <c r="AC54" i="16"/>
  <c r="AB57" i="16"/>
  <c r="AB6" i="16"/>
  <c r="AI19" i="15"/>
  <c r="Y51" i="16"/>
  <c r="Y21" i="16"/>
  <c r="Z41" i="16"/>
  <c r="Z8" i="16"/>
  <c r="AA5" i="16"/>
  <c r="Z58" i="16"/>
  <c r="AA36" i="16"/>
  <c r="AB19" i="16"/>
  <c r="Y33" i="16"/>
  <c r="Z54" i="16"/>
  <c r="AB40" i="16"/>
  <c r="AA24" i="16"/>
  <c r="AC46" i="16"/>
  <c r="AA34" i="16"/>
  <c r="AC38" i="16"/>
  <c r="AA17" i="16"/>
  <c r="Z31" i="16"/>
  <c r="AA43" i="16"/>
  <c r="AI16" i="14"/>
  <c r="AI22" i="15"/>
  <c r="Y19" i="16"/>
  <c r="AC13" i="16"/>
  <c r="Y46" i="16"/>
  <c r="Y6" i="16"/>
  <c r="Z6" i="16"/>
  <c r="Y24" i="16"/>
  <c r="Y54" i="16"/>
  <c r="Z48" i="16"/>
  <c r="AB3" i="16"/>
  <c r="AI14" i="15"/>
  <c r="AB13" i="16"/>
  <c r="AA44" i="16"/>
  <c r="AA7" i="16"/>
  <c r="Z28" i="16"/>
  <c r="AC29" i="16"/>
  <c r="AA27" i="16"/>
  <c r="AC56" i="16"/>
  <c r="AA21" i="16"/>
  <c r="AB34" i="16"/>
  <c r="AB52" i="16"/>
  <c r="AB55" i="16"/>
  <c r="AC21" i="16"/>
  <c r="AA48" i="16"/>
  <c r="AC50" i="16"/>
  <c r="Y42" i="16"/>
  <c r="Z26" i="16"/>
  <c r="AB54" i="16"/>
  <c r="AC43" i="16"/>
  <c r="AB5" i="16"/>
  <c r="AB51" i="16"/>
  <c r="AI16" i="15"/>
  <c r="Z27" i="16"/>
  <c r="AA39" i="16"/>
  <c r="AC25" i="16"/>
  <c r="AI11" i="15"/>
  <c r="AG13" i="16"/>
  <c r="AC32" i="16"/>
  <c r="Y15" i="16"/>
  <c r="Z34" i="16"/>
  <c r="AA8" i="16"/>
  <c r="AB36" i="16"/>
  <c r="Y27" i="16"/>
  <c r="AB39" i="16"/>
  <c r="Y55" i="16"/>
  <c r="Z46" i="16"/>
  <c r="Z13" i="16"/>
  <c r="Z38" i="16"/>
  <c r="Z43" i="16"/>
  <c r="AA28" i="16"/>
  <c r="Z4" i="16"/>
  <c r="AB18" i="16"/>
  <c r="AC39" i="16"/>
  <c r="AB10" i="16"/>
  <c r="AA47" i="16"/>
  <c r="Y30" i="16"/>
  <c r="Y12" i="16"/>
  <c r="AC53" i="16"/>
  <c r="AA40" i="16"/>
  <c r="AB44" i="16"/>
  <c r="Y23" i="16"/>
  <c r="Y7" i="16"/>
  <c r="AC14" i="16"/>
  <c r="Y31" i="16"/>
  <c r="Y14" i="16"/>
  <c r="Y25" i="16"/>
  <c r="AB8" i="16"/>
  <c r="AC22" i="16"/>
  <c r="AC35" i="16"/>
  <c r="AI19" i="14"/>
  <c r="AA52" i="16"/>
  <c r="AC55" i="16"/>
  <c r="AA38" i="16"/>
  <c r="Y56" i="16"/>
  <c r="AA23" i="16"/>
  <c r="AC24" i="16"/>
  <c r="AA33" i="16"/>
  <c r="Y35" i="16"/>
  <c r="AC16" i="16"/>
  <c r="AA49" i="16"/>
  <c r="AA31" i="16"/>
  <c r="Z9" i="16"/>
  <c r="AC18" i="16"/>
  <c r="Z33" i="16"/>
  <c r="Z16" i="16"/>
  <c r="Z29" i="16"/>
  <c r="AC40" i="16"/>
  <c r="AI15" i="14"/>
  <c r="AI18" i="15"/>
  <c r="AA3" i="16"/>
  <c r="AA53" i="16"/>
  <c r="AB53" i="16"/>
  <c r="Y5" i="16"/>
  <c r="AB14" i="16"/>
  <c r="Y49" i="16"/>
  <c r="AA12" i="16"/>
  <c r="AB23" i="16"/>
  <c r="AB16" i="16"/>
  <c r="Z30" i="16"/>
  <c r="AA51" i="16"/>
  <c r="AB12" i="16"/>
  <c r="Y58" i="16"/>
  <c r="AC44" i="16"/>
  <c r="AI17" i="14"/>
  <c r="Y18" i="16"/>
  <c r="Y40" i="16"/>
  <c r="AB49" i="16"/>
  <c r="Z7" i="16"/>
  <c r="Z15" i="16"/>
  <c r="Y37" i="16"/>
  <c r="AB21" i="16"/>
  <c r="Z32" i="16"/>
  <c r="AA14" i="16"/>
  <c r="Y43" i="16"/>
  <c r="AC47" i="16"/>
  <c r="Y39" i="16"/>
  <c r="Z11" i="16"/>
  <c r="AC6" i="16"/>
  <c r="AC45" i="16"/>
  <c r="AB47" i="16"/>
  <c r="AC37" i="16"/>
  <c r="Y20" i="16"/>
  <c r="Y47" i="16"/>
  <c r="AA30" i="16"/>
  <c r="Z37" i="16"/>
  <c r="Y28" i="16"/>
  <c r="Z42" i="16"/>
  <c r="Y22" i="16"/>
  <c r="Y9" i="16"/>
  <c r="AC52" i="16"/>
  <c r="AB38" i="16"/>
  <c r="AB43" i="16"/>
  <c r="AI15" i="15"/>
  <c r="Y17" i="16"/>
  <c r="Z3" i="16"/>
  <c r="AC49" i="16"/>
  <c r="Z35" i="16"/>
  <c r="Z50" i="16"/>
  <c r="AA10" i="16"/>
  <c r="AC57" i="16"/>
  <c r="Z51" i="16"/>
  <c r="AC11" i="16"/>
  <c r="Y4" i="16"/>
  <c r="Z23" i="16"/>
  <c r="AA37" i="16"/>
  <c r="AA56" i="16"/>
  <c r="AA13" i="16"/>
  <c r="AB30" i="16"/>
  <c r="Y36" i="16"/>
  <c r="AC31" i="16"/>
  <c r="AB4" i="16"/>
  <c r="AI21" i="15"/>
  <c r="AC19" i="16"/>
  <c r="AA6" i="16"/>
  <c r="AB9" i="16"/>
  <c r="AB42" i="16"/>
  <c r="AC58" i="16"/>
  <c r="AI20" i="15"/>
  <c r="AB20" i="16"/>
  <c r="AC42" i="16"/>
  <c r="AB56" i="16"/>
  <c r="Z22" i="16"/>
  <c r="AC20" i="16"/>
  <c r="Z14" i="16"/>
  <c r="Z56" i="16"/>
  <c r="AA55" i="16"/>
  <c r="AA45" i="16"/>
  <c r="AC12" i="16"/>
  <c r="AI22" i="14"/>
  <c r="AI20" i="14"/>
  <c r="Z18" i="16"/>
  <c r="AA26" i="16"/>
  <c r="AA11" i="16"/>
  <c r="AB45" i="16"/>
  <c r="AI13" i="15"/>
  <c r="AC28" i="16"/>
  <c r="AB50" i="16"/>
  <c r="AI13" i="14"/>
  <c r="Z5" i="16"/>
  <c r="Z39" i="16"/>
  <c r="AA58" i="16"/>
  <c r="Y50" i="16"/>
  <c r="AG12" i="16"/>
  <c r="AB32" i="16"/>
  <c r="AB48" i="16"/>
  <c r="Y45" i="16"/>
  <c r="AB15" i="16"/>
  <c r="AC15" i="16"/>
  <c r="AI14" i="14"/>
  <c r="AG23" i="14"/>
  <c r="AC5" i="16"/>
  <c r="Z20" i="16"/>
  <c r="AB33" i="16"/>
  <c r="AA19" i="16"/>
  <c r="AA41" i="16"/>
  <c r="AC48" i="16"/>
  <c r="AC51" i="16"/>
  <c r="AC34" i="16"/>
  <c r="Y11" i="16"/>
  <c r="AB27" i="16"/>
  <c r="AA22" i="16"/>
  <c r="AC23" i="16"/>
  <c r="Y3" i="16"/>
  <c r="AK12" i="15" l="1"/>
  <c r="AK17" i="14"/>
  <c r="AK14" i="15"/>
  <c r="AK20" i="15"/>
  <c r="AK14" i="14"/>
  <c r="AK18" i="14"/>
  <c r="AK18" i="15"/>
  <c r="AK21" i="15"/>
  <c r="AK16" i="15"/>
  <c r="AK12" i="14"/>
  <c r="AK16" i="14"/>
  <c r="AK17" i="15"/>
  <c r="AK15" i="14"/>
  <c r="AK19" i="15"/>
  <c r="AK20" i="14"/>
  <c r="AK15" i="15"/>
  <c r="AK11" i="15"/>
  <c r="AK21" i="14"/>
  <c r="AK13" i="15"/>
  <c r="AK19" i="14"/>
  <c r="AK13" i="14"/>
  <c r="AK11" i="16"/>
  <c r="AK22" i="15"/>
  <c r="AK22" i="14"/>
  <c r="W19" i="16"/>
  <c r="W57" i="16"/>
  <c r="W7" i="16"/>
  <c r="W17" i="16"/>
  <c r="W5" i="16"/>
  <c r="W54" i="16"/>
  <c r="W28" i="16"/>
  <c r="W10" i="16"/>
  <c r="W16" i="16"/>
  <c r="W32" i="16"/>
  <c r="W14" i="16"/>
  <c r="W42" i="16"/>
  <c r="W37" i="16"/>
  <c r="W11" i="16"/>
  <c r="W25" i="16"/>
  <c r="W13" i="16"/>
  <c r="W23" i="16"/>
  <c r="W43" i="16"/>
  <c r="W46" i="16"/>
  <c r="W20" i="16"/>
  <c r="W3" i="16"/>
  <c r="W50" i="16"/>
  <c r="W31" i="16"/>
  <c r="W41" i="16"/>
  <c r="W52" i="16"/>
  <c r="W55" i="16"/>
  <c r="W29" i="16"/>
  <c r="W12" i="16"/>
  <c r="W26" i="16"/>
  <c r="W58" i="16"/>
  <c r="W6" i="16"/>
  <c r="W9" i="16"/>
  <c r="W38" i="16"/>
  <c r="W21" i="16"/>
  <c r="W34" i="16"/>
  <c r="W4" i="16"/>
  <c r="W15" i="16"/>
  <c r="W27" i="16"/>
  <c r="W47" i="16"/>
  <c r="W30" i="16"/>
  <c r="W35" i="16"/>
  <c r="W22" i="16"/>
  <c r="W24" i="16"/>
  <c r="W36" i="16"/>
  <c r="W56" i="16"/>
  <c r="W39" i="16"/>
  <c r="W44" i="16"/>
  <c r="W40" i="16"/>
  <c r="W33" i="16"/>
  <c r="W45" i="16"/>
  <c r="W18" i="16"/>
  <c r="W48" i="16"/>
  <c r="W53" i="16"/>
  <c r="W49" i="16"/>
  <c r="W51" i="16"/>
  <c r="W8" i="16"/>
  <c r="AI12" i="16"/>
  <c r="AI23" i="14"/>
  <c r="AI23" i="16"/>
  <c r="AG14" i="16"/>
  <c r="AI13" i="16"/>
  <c r="AI23" i="15"/>
  <c r="AK12" i="16" l="1"/>
  <c r="AK23" i="15"/>
  <c r="AK23" i="14"/>
  <c r="AK13" i="16"/>
  <c r="AK23" i="16"/>
  <c r="AI14" i="16"/>
  <c r="AG15" i="16"/>
  <c r="AK14" i="16" l="1"/>
  <c r="AI15" i="16"/>
  <c r="AG16" i="16"/>
  <c r="AK15" i="16" l="1"/>
  <c r="AI16" i="16"/>
  <c r="AG17" i="16"/>
  <c r="AK16" i="16" l="1"/>
  <c r="AG18" i="16"/>
  <c r="AI17" i="16"/>
  <c r="AK17" i="16" l="1"/>
  <c r="AG19" i="16"/>
  <c r="AI18" i="16"/>
  <c r="AK18" i="16" l="1"/>
  <c r="AG20" i="16"/>
  <c r="AI19" i="16"/>
  <c r="AK19" i="16" l="1"/>
  <c r="AG21" i="16"/>
  <c r="AI21" i="16" s="1"/>
  <c r="AI20" i="16"/>
  <c r="AK20" i="16" l="1"/>
  <c r="AK21" i="16"/>
  <c r="AG22" i="16"/>
  <c r="AI22" i="16"/>
  <c r="AK22" i="16" l="1"/>
  <c r="D31" i="1"/>
  <c r="D32" i="1"/>
  <c r="C40" i="1"/>
  <c r="D40" i="1" s="1"/>
  <c r="AD2" i="16" a="1"/>
  <c r="C39" i="1"/>
  <c r="D39" i="1" s="1"/>
  <c r="AD45" i="16" l="1"/>
  <c r="AD28" i="16"/>
  <c r="AD9" i="16"/>
  <c r="AD11" i="16"/>
  <c r="AD48" i="16"/>
  <c r="AD16" i="16"/>
  <c r="AD43" i="16"/>
  <c r="AD47" i="16"/>
  <c r="AD40" i="16"/>
  <c r="AD54" i="16"/>
  <c r="AD10" i="16"/>
  <c r="AD3" i="16"/>
  <c r="AD17" i="16"/>
  <c r="AD56" i="16"/>
  <c r="AD57" i="16"/>
  <c r="AD14" i="16"/>
  <c r="AD13" i="16"/>
  <c r="AD34" i="16"/>
  <c r="AD33" i="16"/>
  <c r="AD23" i="16"/>
  <c r="AD24" i="16"/>
  <c r="AD55" i="16"/>
  <c r="AD27" i="16"/>
  <c r="AD18" i="16"/>
  <c r="AD20" i="16"/>
  <c r="AD50" i="16"/>
  <c r="AD51" i="16"/>
  <c r="AD58" i="16"/>
  <c r="AD29" i="16"/>
  <c r="AD4" i="16"/>
  <c r="AD2" i="16"/>
  <c r="AD19" i="16"/>
  <c r="AD46" i="16"/>
  <c r="AD30" i="16"/>
  <c r="AD31" i="16"/>
  <c r="AD12" i="16"/>
  <c r="AD41" i="16"/>
  <c r="AD44" i="16"/>
  <c r="AD21" i="16"/>
  <c r="AD15" i="16"/>
  <c r="AD36" i="16"/>
  <c r="AD53" i="16"/>
  <c r="AD6" i="16"/>
  <c r="AD22" i="16"/>
  <c r="AD42" i="16"/>
  <c r="AD5" i="16"/>
  <c r="AD35" i="16"/>
  <c r="AD25" i="16"/>
  <c r="AD49" i="16"/>
  <c r="AD32" i="16"/>
  <c r="AD37" i="16"/>
  <c r="AD26" i="16"/>
  <c r="AD38" i="16"/>
  <c r="AD8" i="16"/>
  <c r="AD7" i="16"/>
  <c r="AD39" i="16"/>
  <c r="AD52" i="16"/>
  <c r="D43" i="1"/>
  <c r="H25" i="1" l="1"/>
  <c r="C41" i="1"/>
  <c r="C25" i="1"/>
  <c r="D41" i="1"/>
  <c r="X3" i="14" a="1"/>
  <c r="U18" i="15"/>
  <c r="P18" i="15"/>
  <c r="T18" i="15"/>
  <c r="X18" i="14" l="1"/>
  <c r="X35" i="14"/>
  <c r="X52" i="14"/>
  <c r="X14" i="14"/>
  <c r="X31" i="14"/>
  <c r="X30" i="14"/>
  <c r="X8" i="14"/>
  <c r="X57" i="14"/>
  <c r="X10" i="14"/>
  <c r="X27" i="14"/>
  <c r="X44" i="14"/>
  <c r="X6" i="14"/>
  <c r="X23" i="14"/>
  <c r="X40" i="14"/>
  <c r="X38" i="14"/>
  <c r="X25" i="14"/>
  <c r="X13" i="14"/>
  <c r="X19" i="14"/>
  <c r="X36" i="14"/>
  <c r="X53" i="14"/>
  <c r="X15" i="14"/>
  <c r="X32" i="14"/>
  <c r="X49" i="14"/>
  <c r="X3" i="14"/>
  <c r="X21" i="14"/>
  <c r="X47" i="14"/>
  <c r="X34" i="14"/>
  <c r="X28" i="14"/>
  <c r="X45" i="14"/>
  <c r="X7" i="14"/>
  <c r="X24" i="14"/>
  <c r="X41" i="14"/>
  <c r="X20" i="14"/>
  <c r="X39" i="14"/>
  <c r="X4" i="14"/>
  <c r="X17" i="14"/>
  <c r="X37" i="14"/>
  <c r="X54" i="14"/>
  <c r="X16" i="14"/>
  <c r="X33" i="14"/>
  <c r="X50" i="14"/>
  <c r="X56" i="14"/>
  <c r="X11" i="14"/>
  <c r="X42" i="14"/>
  <c r="X51" i="14"/>
  <c r="X9" i="14"/>
  <c r="X26" i="14"/>
  <c r="X43" i="14"/>
  <c r="X5" i="14"/>
  <c r="X22" i="14"/>
  <c r="X29" i="14"/>
  <c r="X48" i="14"/>
  <c r="X46" i="14"/>
  <c r="X55" i="14"/>
  <c r="X12" i="14"/>
  <c r="X3" i="15" a="1"/>
  <c r="Y57" i="14"/>
  <c r="Z57" i="14"/>
  <c r="AC57" i="14"/>
  <c r="AA57" i="14"/>
  <c r="AB57" i="14"/>
  <c r="Y25" i="14"/>
  <c r="AC25" i="14"/>
  <c r="Z25" i="14"/>
  <c r="AA25" i="14"/>
  <c r="AB25" i="14"/>
  <c r="Y3" i="14"/>
  <c r="AA3" i="14"/>
  <c r="Z3" i="14"/>
  <c r="AB3" i="14"/>
  <c r="AC3" i="14"/>
  <c r="Y41" i="14"/>
  <c r="AB41" i="14"/>
  <c r="AC41" i="14"/>
  <c r="Z41" i="14"/>
  <c r="AA41" i="14"/>
  <c r="AA33" i="14"/>
  <c r="Y33" i="14"/>
  <c r="Z33" i="14"/>
  <c r="AC33" i="14"/>
  <c r="AB33" i="14"/>
  <c r="AC43" i="14"/>
  <c r="Z43" i="14"/>
  <c r="Y43" i="14"/>
  <c r="AA43" i="14"/>
  <c r="AB43" i="14"/>
  <c r="AA23" i="14"/>
  <c r="Z23" i="14"/>
  <c r="AC23" i="14"/>
  <c r="AB23" i="14"/>
  <c r="Y23" i="14"/>
  <c r="AB9" i="14"/>
  <c r="AA9" i="14"/>
  <c r="Y9" i="14"/>
  <c r="AC9" i="14"/>
  <c r="Z9" i="14"/>
  <c r="Y18" i="14"/>
  <c r="AB18" i="14"/>
  <c r="AC18" i="14"/>
  <c r="AA18" i="14"/>
  <c r="Z18" i="14"/>
  <c r="AA10" i="14"/>
  <c r="AB10" i="14"/>
  <c r="AC10" i="14"/>
  <c r="Z10" i="14"/>
  <c r="Y10" i="14"/>
  <c r="AC13" i="14"/>
  <c r="Z13" i="14"/>
  <c r="AA13" i="14"/>
  <c r="Y13" i="14"/>
  <c r="AB13" i="14"/>
  <c r="AB21" i="14"/>
  <c r="AA21" i="14"/>
  <c r="Z21" i="14"/>
  <c r="AC21" i="14"/>
  <c r="Y21" i="14"/>
  <c r="Z20" i="14"/>
  <c r="Y20" i="14"/>
  <c r="AB20" i="14"/>
  <c r="AC20" i="14"/>
  <c r="AA20" i="14"/>
  <c r="Z50" i="14"/>
  <c r="Y50" i="14"/>
  <c r="AB50" i="14"/>
  <c r="AA50" i="14"/>
  <c r="AC50" i="14"/>
  <c r="AB5" i="14"/>
  <c r="Z5" i="14"/>
  <c r="AC5" i="14"/>
  <c r="Y5" i="14"/>
  <c r="AA5" i="14"/>
  <c r="AC45" i="14"/>
  <c r="AA45" i="14"/>
  <c r="Z45" i="14"/>
  <c r="Y45" i="14"/>
  <c r="AB45" i="14"/>
  <c r="Z7" i="14"/>
  <c r="AB7" i="14"/>
  <c r="Y7" i="14"/>
  <c r="AA7" i="14"/>
  <c r="AC7" i="14"/>
  <c r="AA35" i="14"/>
  <c r="Y35" i="14"/>
  <c r="AC35" i="14"/>
  <c r="AB35" i="14"/>
  <c r="Z35" i="14"/>
  <c r="Y27" i="14"/>
  <c r="AC27" i="14"/>
  <c r="AB27" i="14"/>
  <c r="Z27" i="14"/>
  <c r="AA27" i="14"/>
  <c r="Z19" i="14"/>
  <c r="AB19" i="14"/>
  <c r="AA19" i="14"/>
  <c r="AC19" i="14"/>
  <c r="Y19" i="14"/>
  <c r="Z47" i="14"/>
  <c r="AB47" i="14"/>
  <c r="AA47" i="14"/>
  <c r="AC47" i="14"/>
  <c r="Y47" i="14"/>
  <c r="AA39" i="14"/>
  <c r="AC39" i="14"/>
  <c r="Z39" i="14"/>
  <c r="Y39" i="14"/>
  <c r="AB39" i="14"/>
  <c r="Z56" i="14"/>
  <c r="AA56" i="14"/>
  <c r="AC56" i="14"/>
  <c r="AB56" i="14"/>
  <c r="Y56" i="14"/>
  <c r="AA22" i="14"/>
  <c r="AC22" i="14"/>
  <c r="AB22" i="14"/>
  <c r="Y22" i="14"/>
  <c r="Z22" i="14"/>
  <c r="AA31" i="14"/>
  <c r="Y31" i="14"/>
  <c r="Z31" i="14"/>
  <c r="AC31" i="14"/>
  <c r="AB31" i="14"/>
  <c r="Z40" i="14"/>
  <c r="AB40" i="14"/>
  <c r="AC40" i="14"/>
  <c r="AA40" i="14"/>
  <c r="Y40" i="14"/>
  <c r="AA52" i="14"/>
  <c r="AC52" i="14"/>
  <c r="AB52" i="14"/>
  <c r="Y52" i="14"/>
  <c r="Z52" i="14"/>
  <c r="Y44" i="14"/>
  <c r="AB44" i="14"/>
  <c r="Z44" i="14"/>
  <c r="AA44" i="14"/>
  <c r="AC44" i="14"/>
  <c r="AA36" i="14"/>
  <c r="AC36" i="14"/>
  <c r="Z36" i="14"/>
  <c r="Y36" i="14"/>
  <c r="AB36" i="14"/>
  <c r="Y34" i="14"/>
  <c r="AC34" i="14"/>
  <c r="Z34" i="14"/>
  <c r="AB34" i="14"/>
  <c r="AA34" i="14"/>
  <c r="Y4" i="14"/>
  <c r="AA4" i="14"/>
  <c r="AB4" i="14"/>
  <c r="Z4" i="14"/>
  <c r="AC4" i="14"/>
  <c r="AB11" i="14"/>
  <c r="AA11" i="14"/>
  <c r="AC11" i="14"/>
  <c r="Z11" i="14"/>
  <c r="Y11" i="14"/>
  <c r="AA29" i="14"/>
  <c r="Z29" i="14"/>
  <c r="AC29" i="14"/>
  <c r="Y29" i="14"/>
  <c r="AB29" i="14"/>
  <c r="AC51" i="14"/>
  <c r="Y51" i="14"/>
  <c r="AA51" i="14"/>
  <c r="Z51" i="14"/>
  <c r="AB51" i="14"/>
  <c r="Z46" i="14"/>
  <c r="Y46" i="14"/>
  <c r="AB46" i="14"/>
  <c r="AA46" i="14"/>
  <c r="AC46" i="14"/>
  <c r="Y32" i="14"/>
  <c r="AB32" i="14"/>
  <c r="Z32" i="14"/>
  <c r="AA32" i="14"/>
  <c r="AC32" i="14"/>
  <c r="Y14" i="14"/>
  <c r="AC14" i="14"/>
  <c r="Z14" i="14"/>
  <c r="AB14" i="14"/>
  <c r="AA14" i="14"/>
  <c r="AA6" i="14"/>
  <c r="AC6" i="14"/>
  <c r="Z6" i="14"/>
  <c r="AB6" i="14"/>
  <c r="Y6" i="14"/>
  <c r="Y53" i="14"/>
  <c r="AA53" i="14"/>
  <c r="AB53" i="14"/>
  <c r="AC53" i="14"/>
  <c r="Z53" i="14"/>
  <c r="AB28" i="14"/>
  <c r="AC28" i="14"/>
  <c r="Z28" i="14"/>
  <c r="AA28" i="14"/>
  <c r="Y28" i="14"/>
  <c r="Y17" i="14"/>
  <c r="Z17" i="14"/>
  <c r="AC17" i="14"/>
  <c r="AB17" i="14"/>
  <c r="AA17" i="14"/>
  <c r="Z42" i="14"/>
  <c r="AA42" i="14"/>
  <c r="Y42" i="14"/>
  <c r="AC42" i="14"/>
  <c r="AB42" i="14"/>
  <c r="Y48" i="14"/>
  <c r="AA48" i="14"/>
  <c r="AB48" i="14"/>
  <c r="Z48" i="14"/>
  <c r="AC48" i="14"/>
  <c r="Z37" i="14"/>
  <c r="AC37" i="14"/>
  <c r="Y37" i="14"/>
  <c r="AA37" i="14"/>
  <c r="AB37" i="14"/>
  <c r="AC30" i="14"/>
  <c r="Y30" i="14"/>
  <c r="Z30" i="14"/>
  <c r="AB30" i="14"/>
  <c r="AA30" i="14"/>
  <c r="AB8" i="14"/>
  <c r="Y8" i="14"/>
  <c r="AC8" i="14"/>
  <c r="AA8" i="14"/>
  <c r="Z8" i="14"/>
  <c r="AB38" i="14"/>
  <c r="Y38" i="14"/>
  <c r="AC38" i="14"/>
  <c r="Z38" i="14"/>
  <c r="AA38" i="14"/>
  <c r="AC49" i="14"/>
  <c r="AA49" i="14"/>
  <c r="Z49" i="14"/>
  <c r="Y49" i="14"/>
  <c r="AB49" i="14"/>
  <c r="AB24" i="14"/>
  <c r="AA24" i="14"/>
  <c r="AC24" i="14"/>
  <c r="Z24" i="14"/>
  <c r="Y24" i="14"/>
  <c r="Z16" i="14"/>
  <c r="AC16" i="14"/>
  <c r="AA16" i="14"/>
  <c r="AB16" i="14"/>
  <c r="Y16" i="14"/>
  <c r="AB26" i="14"/>
  <c r="Z26" i="14"/>
  <c r="AC26" i="14"/>
  <c r="Y26" i="14"/>
  <c r="AA26" i="14"/>
  <c r="Y12" i="14"/>
  <c r="AA12" i="14"/>
  <c r="AC12" i="14"/>
  <c r="AB12" i="14"/>
  <c r="Z12" i="14"/>
  <c r="Y15" i="14"/>
  <c r="AC15" i="14"/>
  <c r="AB15" i="14"/>
  <c r="Z15" i="14"/>
  <c r="AA15" i="14"/>
  <c r="AA54" i="14"/>
  <c r="AC54" i="14"/>
  <c r="Y54" i="14"/>
  <c r="AB54" i="14"/>
  <c r="Z54" i="14"/>
  <c r="AC55" i="14"/>
  <c r="AB55" i="14"/>
  <c r="Y55" i="14"/>
  <c r="AA55" i="14"/>
  <c r="Z55" i="14"/>
  <c r="W55" i="14" l="1"/>
  <c r="W54" i="14"/>
  <c r="W15" i="14"/>
  <c r="W12" i="14"/>
  <c r="W26" i="14"/>
  <c r="W16" i="14"/>
  <c r="W24" i="14"/>
  <c r="W49" i="14"/>
  <c r="W38" i="14"/>
  <c r="W8" i="14"/>
  <c r="W30" i="14"/>
  <c r="W37" i="14"/>
  <c r="W48" i="14"/>
  <c r="W42" i="14"/>
  <c r="W17" i="14"/>
  <c r="W28" i="14"/>
  <c r="W53" i="14"/>
  <c r="W6" i="14"/>
  <c r="W14" i="14"/>
  <c r="W32" i="14"/>
  <c r="W46" i="14"/>
  <c r="W51" i="14"/>
  <c r="W29" i="14"/>
  <c r="W11" i="14"/>
  <c r="W4" i="14"/>
  <c r="W34" i="14"/>
  <c r="W36" i="14"/>
  <c r="W44" i="14"/>
  <c r="W52" i="14"/>
  <c r="W40" i="14"/>
  <c r="W31" i="14"/>
  <c r="W22" i="14"/>
  <c r="W56" i="14"/>
  <c r="W39" i="14"/>
  <c r="W47" i="14"/>
  <c r="W19" i="14"/>
  <c r="W27" i="14"/>
  <c r="W35" i="14"/>
  <c r="W7" i="14"/>
  <c r="W45" i="14"/>
  <c r="W5" i="14"/>
  <c r="W50" i="14"/>
  <c r="W20" i="14"/>
  <c r="W21" i="14"/>
  <c r="W13" i="14"/>
  <c r="W10" i="14"/>
  <c r="W18" i="14"/>
  <c r="W9" i="14"/>
  <c r="W23" i="14"/>
  <c r="W43" i="14"/>
  <c r="W33" i="14"/>
  <c r="W41" i="14"/>
  <c r="W3" i="14"/>
  <c r="W25" i="14"/>
  <c r="W57" i="14"/>
  <c r="X10" i="15"/>
  <c r="X27" i="15"/>
  <c r="X44" i="15"/>
  <c r="X6" i="15"/>
  <c r="X23" i="15"/>
  <c r="X40" i="15"/>
  <c r="X57" i="15"/>
  <c r="X5" i="15"/>
  <c r="X19" i="15"/>
  <c r="X36" i="15"/>
  <c r="X53" i="15"/>
  <c r="X15" i="15"/>
  <c r="X32" i="15"/>
  <c r="X49" i="15"/>
  <c r="X11" i="15"/>
  <c r="X26" i="15"/>
  <c r="X56" i="15"/>
  <c r="X28" i="15"/>
  <c r="X45" i="15"/>
  <c r="X7" i="15"/>
  <c r="X24" i="15"/>
  <c r="X41" i="15"/>
  <c r="X3" i="15"/>
  <c r="X20" i="15"/>
  <c r="X37" i="15"/>
  <c r="X54" i="15"/>
  <c r="X16" i="15"/>
  <c r="X33" i="15"/>
  <c r="X50" i="15"/>
  <c r="X12" i="15"/>
  <c r="X29" i="15"/>
  <c r="X55" i="15"/>
  <c r="X34" i="15"/>
  <c r="X51" i="15"/>
  <c r="X13" i="15"/>
  <c r="X30" i="15"/>
  <c r="X47" i="15"/>
  <c r="X46" i="15"/>
  <c r="X8" i="15"/>
  <c r="X25" i="15"/>
  <c r="X42" i="15"/>
  <c r="X4" i="15"/>
  <c r="X21" i="15"/>
  <c r="X38" i="15"/>
  <c r="X17" i="15"/>
  <c r="X18" i="15"/>
  <c r="X35" i="15"/>
  <c r="X52" i="15"/>
  <c r="X14" i="15"/>
  <c r="X31" i="15"/>
  <c r="X48" i="15"/>
  <c r="X9" i="15"/>
  <c r="X43" i="15"/>
  <c r="X22" i="15"/>
  <c r="X39" i="15"/>
  <c r="Z27" i="15"/>
  <c r="AB27" i="15"/>
  <c r="AC27" i="15"/>
  <c r="AA27" i="15"/>
  <c r="Y27" i="15"/>
  <c r="AA36" i="15"/>
  <c r="Y36" i="15"/>
  <c r="AB36" i="15"/>
  <c r="AC36" i="15"/>
  <c r="Z36" i="15"/>
  <c r="Y28" i="15"/>
  <c r="Z28" i="15"/>
  <c r="AA28" i="15"/>
  <c r="AC28" i="15"/>
  <c r="AB28" i="15"/>
  <c r="Z54" i="15"/>
  <c r="AA54" i="15"/>
  <c r="AC54" i="15"/>
  <c r="AB54" i="15"/>
  <c r="Y54" i="15"/>
  <c r="Z51" i="15"/>
  <c r="Y51" i="15"/>
  <c r="AC51" i="15"/>
  <c r="AA51" i="15"/>
  <c r="AB51" i="15"/>
  <c r="Z4" i="15"/>
  <c r="AA4" i="15"/>
  <c r="Y4" i="15"/>
  <c r="AC4" i="15"/>
  <c r="AB4" i="15"/>
  <c r="AC31" i="15"/>
  <c r="Y31" i="15"/>
  <c r="AA31" i="15"/>
  <c r="AB31" i="15"/>
  <c r="Z31" i="15"/>
  <c r="AA30" i="15"/>
  <c r="Z30" i="15"/>
  <c r="Y30" i="15"/>
  <c r="AB30" i="15"/>
  <c r="AC30" i="15"/>
  <c r="AC11" i="15"/>
  <c r="AB11" i="15"/>
  <c r="Z11" i="15"/>
  <c r="AA11" i="15"/>
  <c r="Y11" i="15"/>
  <c r="AB35" i="15"/>
  <c r="AC35" i="15"/>
  <c r="Z35" i="15"/>
  <c r="AA35" i="15"/>
  <c r="Y35" i="15"/>
  <c r="AC44" i="15"/>
  <c r="Y44" i="15"/>
  <c r="Z44" i="15"/>
  <c r="AA44" i="15"/>
  <c r="AB44" i="15"/>
  <c r="Y53" i="15"/>
  <c r="AC53" i="15"/>
  <c r="AB53" i="15"/>
  <c r="Z53" i="15"/>
  <c r="AA53" i="15"/>
  <c r="AC45" i="15"/>
  <c r="AA45" i="15"/>
  <c r="Y45" i="15"/>
  <c r="Z45" i="15"/>
  <c r="AB45" i="15"/>
  <c r="AA16" i="15"/>
  <c r="Y16" i="15"/>
  <c r="Z16" i="15"/>
  <c r="AB16" i="15"/>
  <c r="AC16" i="15"/>
  <c r="Y13" i="15"/>
  <c r="AB13" i="15"/>
  <c r="AC13" i="15"/>
  <c r="Z13" i="15"/>
  <c r="AA13" i="15"/>
  <c r="Y21" i="15"/>
  <c r="Z21" i="15"/>
  <c r="AC21" i="15"/>
  <c r="AB21" i="15"/>
  <c r="AA21" i="15"/>
  <c r="Y48" i="15"/>
  <c r="AC48" i="15"/>
  <c r="AA48" i="15"/>
  <c r="Z48" i="15"/>
  <c r="AB48" i="15"/>
  <c r="AA6" i="15"/>
  <c r="AC6" i="15"/>
  <c r="Y6" i="15"/>
  <c r="AB6" i="15"/>
  <c r="Z6" i="15"/>
  <c r="Z7" i="15"/>
  <c r="Y7" i="15"/>
  <c r="AC7" i="15"/>
  <c r="AA7" i="15"/>
  <c r="AB7" i="15"/>
  <c r="Z33" i="15"/>
  <c r="AB33" i="15"/>
  <c r="AA33" i="15"/>
  <c r="AC33" i="15"/>
  <c r="Y33" i="15"/>
  <c r="Y38" i="15"/>
  <c r="AC38" i="15"/>
  <c r="Z38" i="15"/>
  <c r="AB38" i="15"/>
  <c r="AA38" i="15"/>
  <c r="AC9" i="15"/>
  <c r="AA9" i="15"/>
  <c r="Y9" i="15"/>
  <c r="Z9" i="15"/>
  <c r="AB9" i="15"/>
  <c r="Y23" i="15"/>
  <c r="AA23" i="15"/>
  <c r="AC23" i="15"/>
  <c r="Z23" i="15"/>
  <c r="AB23" i="15"/>
  <c r="AA32" i="15"/>
  <c r="Z32" i="15"/>
  <c r="AB32" i="15"/>
  <c r="AC32" i="15"/>
  <c r="Y32" i="15"/>
  <c r="AC24" i="15"/>
  <c r="Y24" i="15"/>
  <c r="Z24" i="15"/>
  <c r="AA24" i="15"/>
  <c r="AB24" i="15"/>
  <c r="AA50" i="15"/>
  <c r="Y50" i="15"/>
  <c r="AB50" i="15"/>
  <c r="AC50" i="15"/>
  <c r="Z50" i="15"/>
  <c r="Y47" i="15"/>
  <c r="AB47" i="15"/>
  <c r="Z47" i="15"/>
  <c r="AA47" i="15"/>
  <c r="AC47" i="15"/>
  <c r="AB17" i="15"/>
  <c r="AC17" i="15"/>
  <c r="Y17" i="15"/>
  <c r="AA17" i="15"/>
  <c r="Z17" i="15"/>
  <c r="Y43" i="15"/>
  <c r="AB43" i="15"/>
  <c r="AC43" i="15"/>
  <c r="AA43" i="15"/>
  <c r="Z43" i="15"/>
  <c r="Y40" i="15"/>
  <c r="AA40" i="15"/>
  <c r="AB40" i="15"/>
  <c r="AC40" i="15"/>
  <c r="Z40" i="15"/>
  <c r="AB49" i="15"/>
  <c r="Y49" i="15"/>
  <c r="Z49" i="15"/>
  <c r="AA49" i="15"/>
  <c r="AC49" i="15"/>
  <c r="AB41" i="15"/>
  <c r="AA41" i="15"/>
  <c r="Z41" i="15"/>
  <c r="AC41" i="15"/>
  <c r="Y41" i="15"/>
  <c r="AA12" i="15"/>
  <c r="AC12" i="15"/>
  <c r="Y12" i="15"/>
  <c r="AB12" i="15"/>
  <c r="Z12" i="15"/>
  <c r="AC46" i="15"/>
  <c r="AB46" i="15"/>
  <c r="Z46" i="15"/>
  <c r="AA46" i="15"/>
  <c r="Y46" i="15"/>
  <c r="Y18" i="15"/>
  <c r="AC18" i="15"/>
  <c r="AA18" i="15"/>
  <c r="Z18" i="15"/>
  <c r="AB18" i="15"/>
  <c r="AA22" i="15"/>
  <c r="Z22" i="15"/>
  <c r="AB22" i="15"/>
  <c r="Y22" i="15"/>
  <c r="AC22" i="15"/>
  <c r="Y5" i="15"/>
  <c r="AC5" i="15"/>
  <c r="AA5" i="15"/>
  <c r="Z5" i="15"/>
  <c r="AB5" i="15"/>
  <c r="AB25" i="15"/>
  <c r="AA25" i="15"/>
  <c r="Z25" i="15"/>
  <c r="AC25" i="15"/>
  <c r="Y25" i="15"/>
  <c r="Z57" i="15"/>
  <c r="AA57" i="15"/>
  <c r="Y57" i="15"/>
  <c r="AC57" i="15"/>
  <c r="AB57" i="15"/>
  <c r="AA20" i="15"/>
  <c r="AC20" i="15"/>
  <c r="Y20" i="15"/>
  <c r="Z20" i="15"/>
  <c r="AB20" i="15"/>
  <c r="Y26" i="15"/>
  <c r="Z26" i="15"/>
  <c r="AC26" i="15"/>
  <c r="AB26" i="15"/>
  <c r="AA26" i="15"/>
  <c r="AA52" i="15"/>
  <c r="Y52" i="15"/>
  <c r="AC52" i="15"/>
  <c r="Z52" i="15"/>
  <c r="AB52" i="15"/>
  <c r="AB10" i="15"/>
  <c r="Y10" i="15"/>
  <c r="Z10" i="15"/>
  <c r="AC10" i="15"/>
  <c r="AA10" i="15"/>
  <c r="Z19" i="15"/>
  <c r="Y19" i="15"/>
  <c r="AC19" i="15"/>
  <c r="AA19" i="15"/>
  <c r="AB19" i="15"/>
  <c r="AB56" i="15"/>
  <c r="Y56" i="15"/>
  <c r="AC56" i="15"/>
  <c r="Z56" i="15"/>
  <c r="AA56" i="15"/>
  <c r="Z37" i="15"/>
  <c r="AA37" i="15"/>
  <c r="AC37" i="15"/>
  <c r="Y37" i="15"/>
  <c r="AB37" i="15"/>
  <c r="AC34" i="15"/>
  <c r="AB34" i="15"/>
  <c r="AA34" i="15"/>
  <c r="Z34" i="15"/>
  <c r="Y34" i="15"/>
  <c r="AA42" i="15"/>
  <c r="AB42" i="15"/>
  <c r="Y42" i="15"/>
  <c r="Z42" i="15"/>
  <c r="AC42" i="15"/>
  <c r="AC14" i="15"/>
  <c r="AB14" i="15"/>
  <c r="Z14" i="15"/>
  <c r="Y14" i="15"/>
  <c r="AA14" i="15"/>
  <c r="AA15" i="15"/>
  <c r="Z15" i="15"/>
  <c r="AB15" i="15"/>
  <c r="Y15" i="15"/>
  <c r="AC15" i="15"/>
  <c r="Y3" i="15"/>
  <c r="AA3" i="15"/>
  <c r="AC3" i="15"/>
  <c r="AB3" i="15"/>
  <c r="Z3" i="15"/>
  <c r="Y29" i="15"/>
  <c r="AA29" i="15"/>
  <c r="Z29" i="15"/>
  <c r="AC29" i="15"/>
  <c r="AB29" i="15"/>
  <c r="AA8" i="15"/>
  <c r="Y8" i="15"/>
  <c r="AC8" i="15"/>
  <c r="Z8" i="15"/>
  <c r="AB8" i="15"/>
  <c r="Y39" i="15"/>
  <c r="AA39" i="15"/>
  <c r="Z39" i="15"/>
  <c r="AC39" i="15"/>
  <c r="AB39" i="15"/>
  <c r="Y55" i="15"/>
  <c r="Z55" i="15"/>
  <c r="AC55" i="15"/>
  <c r="AB55" i="15"/>
  <c r="AA55" i="15"/>
  <c r="Y58" i="15"/>
  <c r="W55" i="15" l="1"/>
  <c r="W39" i="15"/>
  <c r="W8" i="15"/>
  <c r="W29" i="15"/>
  <c r="W3" i="15"/>
  <c r="W15" i="15"/>
  <c r="W14" i="15"/>
  <c r="W42" i="15"/>
  <c r="W34" i="15"/>
  <c r="W37" i="15"/>
  <c r="W56" i="15"/>
  <c r="W19" i="15"/>
  <c r="W10" i="15"/>
  <c r="W52" i="15"/>
  <c r="W26" i="15"/>
  <c r="W20" i="15"/>
  <c r="W57" i="15"/>
  <c r="W25" i="15"/>
  <c r="W5" i="15"/>
  <c r="W22" i="15"/>
  <c r="W18" i="15"/>
  <c r="W46" i="15"/>
  <c r="W12" i="15"/>
  <c r="W41" i="15"/>
  <c r="W49" i="15"/>
  <c r="W40" i="15"/>
  <c r="W43" i="15"/>
  <c r="W17" i="15"/>
  <c r="W47" i="15"/>
  <c r="W50" i="15"/>
  <c r="W24" i="15"/>
  <c r="W32" i="15"/>
  <c r="W23" i="15"/>
  <c r="W9" i="15"/>
  <c r="W38" i="15"/>
  <c r="W33" i="15"/>
  <c r="W7" i="15"/>
  <c r="W6" i="15"/>
  <c r="W48" i="15"/>
  <c r="W21" i="15"/>
  <c r="W13" i="15"/>
  <c r="W16" i="15"/>
  <c r="W45" i="15"/>
  <c r="W53" i="15"/>
  <c r="W44" i="15"/>
  <c r="W35" i="15"/>
  <c r="W11" i="15"/>
  <c r="W30" i="15"/>
  <c r="W31" i="15"/>
  <c r="W4" i="15"/>
  <c r="W51" i="15"/>
  <c r="W54" i="15"/>
  <c r="W28" i="15"/>
  <c r="W36" i="15"/>
  <c r="W27" i="15"/>
  <c r="Y59" i="16" l="1"/>
  <c r="Y58" i="14"/>
  <c r="D15" i="1"/>
  <c r="D27" i="1"/>
  <c r="C23" i="1"/>
  <c r="C24" i="1"/>
  <c r="D24" i="1"/>
  <c r="D23" i="1"/>
  <c r="AD2" i="14" a="1"/>
  <c r="AD41" i="14" l="1"/>
  <c r="AD53" i="14"/>
  <c r="AD21" i="14"/>
  <c r="AD12" i="14"/>
  <c r="AD17" i="14"/>
  <c r="AD49" i="14"/>
  <c r="AD9" i="14"/>
  <c r="AD22" i="14"/>
  <c r="AD30" i="14"/>
  <c r="AD39" i="14"/>
  <c r="AD15" i="14"/>
  <c r="AD37" i="14"/>
  <c r="AD33" i="14"/>
  <c r="AD16" i="14"/>
  <c r="AD18" i="14"/>
  <c r="AD42" i="14"/>
  <c r="AD25" i="14"/>
  <c r="AD43" i="14"/>
  <c r="AD19" i="14"/>
  <c r="AD23" i="14"/>
  <c r="AD47" i="14"/>
  <c r="AD29" i="14"/>
  <c r="AD7" i="14"/>
  <c r="AD11" i="14"/>
  <c r="AD6" i="14"/>
  <c r="AD4" i="14"/>
  <c r="AD31" i="14"/>
  <c r="AD51" i="14"/>
  <c r="AD48" i="14"/>
  <c r="AD5" i="14"/>
  <c r="AD54" i="14"/>
  <c r="AD44" i="14"/>
  <c r="AD8" i="14"/>
  <c r="AD14" i="14"/>
  <c r="AD55" i="14"/>
  <c r="AD57" i="14"/>
  <c r="AD26" i="14"/>
  <c r="AD20" i="14"/>
  <c r="AD27" i="14"/>
  <c r="AD56" i="14"/>
  <c r="AD52" i="14"/>
  <c r="AD28" i="14"/>
  <c r="AD36" i="14"/>
  <c r="AD40" i="14"/>
  <c r="AD45" i="14"/>
  <c r="AD2" i="14"/>
  <c r="AD46" i="14"/>
  <c r="AD34" i="14"/>
  <c r="AD38" i="14"/>
  <c r="AD3" i="14"/>
  <c r="AD32" i="14"/>
  <c r="AD13" i="14"/>
  <c r="AD24" i="14"/>
  <c r="AD10" i="14"/>
  <c r="AD50" i="14"/>
  <c r="AD35" i="14"/>
  <c r="D16" i="1"/>
  <c r="D25" i="1"/>
  <c r="I15" i="1"/>
  <c r="I16" i="1"/>
  <c r="H23" i="1"/>
  <c r="I23" i="1"/>
  <c r="H24" i="1"/>
  <c r="I24" i="1"/>
  <c r="AD2" i="15" l="1" a="1"/>
  <c r="I27" i="1"/>
  <c r="I25" i="1"/>
  <c r="AD45" i="15" l="1"/>
  <c r="AD20" i="15"/>
  <c r="AD42" i="15"/>
  <c r="AD21" i="15"/>
  <c r="AD17" i="15"/>
  <c r="AD43" i="15"/>
  <c r="AD5" i="15"/>
  <c r="AD56" i="15"/>
  <c r="AD35" i="15"/>
  <c r="AD37" i="15"/>
  <c r="AD54" i="15"/>
  <c r="AD16" i="15"/>
  <c r="AD41" i="15"/>
  <c r="AD50" i="15"/>
  <c r="AD12" i="15"/>
  <c r="AD29" i="15"/>
  <c r="AD46" i="15"/>
  <c r="AD8" i="15"/>
  <c r="AD4" i="15"/>
  <c r="AD55" i="15"/>
  <c r="AD25" i="15"/>
  <c r="AD34" i="15"/>
  <c r="AD51" i="15"/>
  <c r="AD13" i="15"/>
  <c r="AD30" i="15"/>
  <c r="AD47" i="15"/>
  <c r="AD26" i="15"/>
  <c r="AD22" i="15"/>
  <c r="AD52" i="15"/>
  <c r="AD44" i="15"/>
  <c r="AD23" i="15"/>
  <c r="AD40" i="15"/>
  <c r="AD18" i="15"/>
  <c r="AD27" i="15"/>
  <c r="AD6" i="15"/>
  <c r="AD19" i="15"/>
  <c r="AD36" i="15"/>
  <c r="AD53" i="15"/>
  <c r="AD15" i="15"/>
  <c r="AD32" i="15"/>
  <c r="AD57" i="15"/>
  <c r="AD11" i="15"/>
  <c r="AD28" i="15"/>
  <c r="AD7" i="15"/>
  <c r="AD24" i="15"/>
  <c r="AD49" i="15"/>
  <c r="AD3" i="15"/>
  <c r="AD33" i="15"/>
  <c r="AD38" i="15"/>
  <c r="AD39" i="15"/>
  <c r="AD9" i="15"/>
  <c r="AD14" i="15"/>
  <c r="AD31" i="15"/>
  <c r="AD48" i="15"/>
  <c r="AD10" i="15"/>
  <c r="AD2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<sst xmlns="http://schemas.openxmlformats.org/spreadsheetml/2006/main" count="841" uniqueCount="160">
  <si>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</si>
  <si>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</si>
  <si>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</si>
  <si>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</si>
  <si>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</si>
  <si>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</si>
  <si>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</si>
  <si>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</si>
  <si>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</si>
  <si>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</si>
  <si>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</si>
  <si>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</si>
  <si>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</si>
  <si>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</si>
  <si>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</si>
  <si>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</si>
  <si>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</si>
  <si>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</si>
  <si>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</si>
  <si>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</si>
  <si>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</si>
  <si>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</si>
  <si>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</si>
  <si>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</si>
  <si>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</si>
  <si>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</si>
  <si>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</si>
  <si>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</si>
  <si>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</si>
  <si>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</si>
  <si>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</si>
  <si>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</si>
  <si>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</si>
  <si>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</si>
  <si>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</si>
  <si>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</si>
  <si>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</si>
  <si>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</si>
  <si>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</si>
  <si>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</si>
  <si>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</si>
  <si>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</si>
  <si>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</si>
  <si>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</si>
  <si>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</si>
  <si>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</si>
  <si>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</si>
  <si>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</si>
  <si>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</si>
  <si>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</si>
  <si>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</si>
  <si>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</si>
  <si>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</si>
  <si>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</si>
  <si>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</si>
  <si>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</si>
  <si>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</si>
  <si>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</si>
  <si>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</si>
  <si>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</si>
  <si>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</si>
  <si>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</si>
  <si>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</si>
  <si>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</si>
  <si>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</si>
  <si>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</si>
  <si>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</si>
  <si>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</si>
  <si>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</si>
  <si>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</si>
  <si>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</si>
  <si>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</si>
  <si>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</si>
  <si>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</si>
  <si>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</si>
  <si>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</si>
  <si>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</si>
  <si>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</si>
  <si>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</si>
  <si>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</si>
  <si>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</si>
  <si>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</si>
  <si>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</si>
  <si>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</si>
  <si>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</si>
  <si>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</si>
  <si>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</si>
  <si>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</si>
  <si>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</si>
  <si>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</si>
  <si>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</si>
  <si>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</si>
  <si>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</si>
  <si>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</si>
  <si>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</si>
  <si>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</si>
  <si>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</si>
  <si>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</si>
  <si>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</si>
  <si>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</si>
  <si>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</si>
  <si>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</si>
  <si>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</si>
  <si>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</si>
  <si>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</si>
  <si>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</si>
  <si>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</si>
  <si>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</si>
  <si>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</si>
  <si>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</si>
  <si>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</si>
  <si>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</si>
  <si>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</si>
  <si>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</si>
  <si>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</si>
  <si>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</si>
  <si>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</si>
  <si>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</si>
  <si>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</si>
  <si>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</si>
  <si>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</si>
  <si>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</si>
  <si>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</si>
  <si>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</si>
  <si>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</si>
  <si>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</si>
  <si>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</si>
  <si>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</si>
  <si>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</si>
  <si>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</si>
  <si>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3L</t>
  </si>
  <si>
    <t>fwd</t>
  </si>
  <si>
    <t>Day Count</t>
  </si>
  <si>
    <t>6L</t>
  </si>
  <si>
    <t>Extrapolation</t>
  </si>
  <si>
    <t>JPY</t>
  </si>
  <si>
    <t>JP Calendar</t>
  </si>
  <si>
    <t>Japan</t>
  </si>
  <si>
    <t>Tonar</t>
  </si>
  <si>
    <t>BasSW</t>
  </si>
  <si>
    <t>SB</t>
  </si>
  <si>
    <t>Semiannual</t>
  </si>
  <si>
    <t>Actual/365 (Fixed)</t>
  </si>
  <si>
    <t>Jump</t>
  </si>
  <si>
    <t>#</t>
  </si>
  <si>
    <t>Dates</t>
  </si>
  <si>
    <t>quote</t>
  </si>
  <si>
    <t>tau</t>
  </si>
  <si>
    <t>value</t>
  </si>
  <si>
    <t>Size</t>
  </si>
  <si>
    <t>overwrite</t>
  </si>
  <si>
    <t>used</t>
  </si>
  <si>
    <t>JumpSuffix</t>
  </si>
  <si>
    <t>_SYNTHON</t>
  </si>
  <si>
    <t>LiborSettlementDate</t>
  </si>
  <si>
    <t>FirstLiborFixingDate</t>
  </si>
  <si>
    <t>CurveCalendar</t>
  </si>
  <si>
    <t>NullCalendar</t>
  </si>
  <si>
    <t>CheckExtrapolation</t>
  </si>
  <si>
    <t>Instruments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</si>
</sst>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5" fillId="3" borderId="8" xfId="0" applyFont="1" applyFill="1" applyBorder="1"/>
    <xf numFmtId="167" fontId="5" fillId="3" borderId="8" xfId="0" applyNumberFormat="1" applyFont="1" applyFill="1" applyBorder="1"/>
    <xf numFmtId="179" fontId="5" fillId="3" borderId="8" xfId="0" applyNumberFormat="1" applyFont="1" applyFill="1" applyBorder="1"/>
    <xf numFmtId="166" fontId="5" fillId="3" borderId="8" xfId="0" applyNumberFormat="1" applyFont="1" applyFill="1" applyBorder="1"/>
    <xf numFmtId="10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79" fontId="5" fillId="3" borderId="6" xfId="0" applyNumberFormat="1" applyFont="1" applyFill="1" applyBorder="1"/>
    <xf numFmtId="166" fontId="5" fillId="3" borderId="6" xfId="0" applyNumberFormat="1" applyFont="1" applyFill="1" applyBorder="1"/>
    <xf numFmtId="10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79" fontId="5" fillId="3" borderId="1" xfId="0" applyNumberFormat="1" applyFont="1" applyFill="1" applyBorder="1"/>
    <xf numFmtId="166" fontId="5" fillId="3" borderId="1" xfId="0" applyNumberFormat="1" applyFont="1" applyFill="1" applyBorder="1"/>
    <xf numFmtId="10" fontId="5" fillId="3" borderId="1" xfId="0" applyNumberFormat="1" applyFont="1" applyFill="1" applyBorder="1"/>
    <xf numFmtId="166" fontId="5" fillId="6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14" fontId="5" fillId="8" borderId="0" xfId="0" applyNumberFormat="1" applyFont="1" applyFill="1"/>
    <xf numFmtId="167" fontId="3" fillId="2" borderId="15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164" fontId="5" fillId="11" borderId="1" xfId="0" applyNumberFormat="1" applyFont="1" applyFill="1" applyBorder="1"/>
    <xf numFmtId="166" fontId="5" fillId="11" borderId="1" xfId="0" applyNumberFormat="1" applyFont="1" applyFill="1" applyBorder="1" applyAlignment="1">
      <alignment horizontal="center"/>
    </xf>
    <xf numFmtId="165" fontId="5" fillId="11" borderId="1" xfId="0" applyNumberFormat="1" applyFont="1" applyFill="1" applyBorder="1" applyAlignment="1">
      <alignment horizontal="center"/>
    </xf>
    <xf numFmtId="165" fontId="5" fillId="12" borderId="1" xfId="0" applyNumberFormat="1" applyFont="1" applyFill="1" applyBorder="1" applyAlignment="1">
      <alignment horizontal="center"/>
    </xf>
    <xf numFmtId="164" fontId="5" fillId="11" borderId="6" xfId="0" applyNumberFormat="1" applyFont="1" applyFill="1" applyBorder="1"/>
    <xf numFmtId="166" fontId="5" fillId="11" borderId="6" xfId="0" applyNumberFormat="1" applyFont="1" applyFill="1" applyBorder="1" applyAlignment="1">
      <alignment horizontal="center"/>
    </xf>
    <xf numFmtId="165" fontId="5" fillId="11" borderId="6" xfId="0" applyNumberFormat="1" applyFont="1" applyFill="1" applyBorder="1" applyAlignment="1">
      <alignment horizontal="center"/>
    </xf>
    <xf numFmtId="165" fontId="5" fillId="12" borderId="6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3" borderId="2" xfId="0" applyFont="1" applyFill="1" applyBorder="1"/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8" borderId="6" xfId="1" applyNumberFormat="1" applyFont="1" applyFill="1" applyBorder="1" applyAlignment="1">
      <alignment horizontal="center"/>
    </xf>
    <xf numFmtId="164" fontId="5" fillId="11" borderId="8" xfId="0" applyNumberFormat="1" applyFont="1" applyFill="1" applyBorder="1"/>
    <xf numFmtId="166" fontId="5" fillId="11" borderId="8" xfId="0" applyNumberFormat="1" applyFont="1" applyFill="1" applyBorder="1" applyAlignment="1"/>
    <xf numFmtId="165" fontId="5" fillId="11" borderId="8" xfId="0" applyNumberFormat="1" applyFont="1" applyFill="1" applyBorder="1" applyAlignment="1">
      <alignment horizontal="center"/>
    </xf>
    <xf numFmtId="165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/>
    <xf numFmtId="166" fontId="5" fillId="0" borderId="8" xfId="0" applyNumberFormat="1" applyFont="1" applyBorder="1" applyAlignment="1">
      <alignment horizontal="center" vertical="center"/>
    </xf>
    <xf numFmtId="164" fontId="5" fillId="11" borderId="6" xfId="0" applyNumberFormat="1" applyFont="1" applyFill="1" applyBorder="1" applyAlignment="1"/>
    <xf numFmtId="0" fontId="9" fillId="7" borderId="14" xfId="1" applyFont="1" applyFill="1" applyBorder="1" applyAlignment="1">
      <alignment horizontal="center" vertical="center" wrapText="1"/>
    </xf>
    <xf numFmtId="0" fontId="9" fillId="7" borderId="13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right"/>
    </xf>
    <xf numFmtId="166" fontId="3" fillId="10" borderId="8" xfId="1" applyNumberFormat="1" applyFont="1" applyFill="1" applyBorder="1" applyAlignment="1">
      <alignment horizontal="right"/>
    </xf>
    <xf numFmtId="166" fontId="3" fillId="10" borderId="6" xfId="1" applyNumberFormat="1" applyFont="1" applyFill="1" applyBorder="1" applyAlignment="1">
      <alignment horizontal="right"/>
    </xf>
    <xf numFmtId="0" fontId="3" fillId="10" borderId="2" xfId="1" applyNumberFormat="1" applyFont="1" applyFill="1" applyBorder="1" applyAlignment="1">
      <alignment horizontal="center"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JPYLibor"/>
      <sheetName val="Tibor"/>
      <sheetName val="LiborSwapForBasisCalc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</sheetNames>
    <sheetDataSet>
      <sheetData sheetId="0"/>
      <sheetData sheetId="1">
        <row r="4">
          <cell r="D4" t="str">
            <v>JPYON#0000</v>
          </cell>
        </row>
        <row r="9">
          <cell r="D9" t="str">
            <v>JPY3M#0000</v>
          </cell>
        </row>
        <row r="10">
          <cell r="D10" t="str">
            <v>JPY6M#0000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L4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1.42578125" style="48" bestFit="1" customWidth="1"/>
    <col min="9" max="9" width="30.7109375" style="48" customWidth="1"/>
    <col min="10" max="10" width="2.7109375" style="48" customWidth="1"/>
    <col min="11" max="11" width="9.140625" style="48"/>
    <col min="12" max="12" width="11" style="48" bestFit="1" customWidth="1"/>
    <col min="13" max="13" width="9.140625" style="48"/>
    <col min="14" max="14" width="9.7109375" style="48" bestFit="1" customWidth="1"/>
    <col min="15" max="16384" width="9.140625" style="48"/>
  </cols>
  <sheetData>
    <row r="2" spans="1:12" x14ac:dyDescent="0.2">
      <c r="B2" s="81"/>
      <c r="C2" s="82"/>
      <c r="D2" s="82"/>
      <c r="E2" s="83"/>
      <c r="G2" s="81"/>
      <c r="H2" s="82"/>
      <c r="I2" s="82"/>
      <c r="J2" s="83"/>
    </row>
    <row r="3" spans="1:12" ht="11.25" customHeight="1" x14ac:dyDescent="0.2">
      <c r="B3" s="86"/>
      <c r="C3" s="11" t="s">
        <v>20</v>
      </c>
      <c r="D3" s="79" t="s">
        <v>135</v>
      </c>
      <c r="E3" s="84"/>
      <c r="G3" s="86"/>
      <c r="H3" s="11" t="s">
        <v>28</v>
      </c>
      <c r="I3" s="12">
        <f>_xll.qlSettingsEvaluationDate(Trigger)</f>
        <v>42559</v>
      </c>
      <c r="J3" s="84"/>
      <c r="L3" s="174"/>
    </row>
    <row r="4" spans="1:12" ht="11.25" customHeight="1" x14ac:dyDescent="0.2">
      <c r="B4" s="86"/>
      <c r="C4" s="13" t="s">
        <v>17</v>
      </c>
      <c r="D4" s="15" t="b">
        <v>1</v>
      </c>
      <c r="E4" s="84"/>
      <c r="G4" s="86"/>
      <c r="H4" s="13" t="s">
        <v>29</v>
      </c>
      <c r="I4" s="14">
        <f>_xll.qlCalendarAdvance(LocalCalendar,I5,"2D","F",,Trigger)</f>
        <v>42563</v>
      </c>
      <c r="J4" s="84"/>
    </row>
    <row r="5" spans="1:12" ht="11.25" customHeight="1" x14ac:dyDescent="0.2">
      <c r="A5" s="50"/>
      <c r="B5" s="87"/>
      <c r="C5" s="19" t="s">
        <v>16</v>
      </c>
      <c r="D5" s="20"/>
      <c r="E5" s="84"/>
      <c r="G5" s="86"/>
      <c r="H5" s="11" t="s">
        <v>155</v>
      </c>
      <c r="I5" s="12">
        <f>_xll.qlCalendarAdjust(LiborCalendar,Evaluationdate,,Trigger)</f>
        <v>42559</v>
      </c>
      <c r="J5" s="84"/>
    </row>
    <row r="6" spans="1:12" ht="11.25" customHeight="1" x14ac:dyDescent="0.2">
      <c r="A6" s="50"/>
      <c r="B6" s="87"/>
      <c r="C6" s="13" t="s">
        <v>18</v>
      </c>
      <c r="D6" s="15" t="b">
        <v>1</v>
      </c>
      <c r="E6" s="84"/>
      <c r="G6" s="86"/>
      <c r="H6" s="17" t="s">
        <v>154</v>
      </c>
      <c r="I6" s="80">
        <f>_xll.qlCalendarAdjust(JoinCalendar,_xll.qlCalendarAdvance(LiborCalendar,I5,"2D","F",,Trigger),,Trigger)</f>
        <v>42563</v>
      </c>
      <c r="J6" s="84"/>
    </row>
    <row r="7" spans="1:12" ht="11.25" customHeight="1" x14ac:dyDescent="0.2">
      <c r="A7" s="50"/>
      <c r="B7" s="87"/>
      <c r="C7" s="13" t="s">
        <v>19</v>
      </c>
      <c r="D7" s="16" t="str">
        <f>Currency&amp;"ON"</f>
        <v>JPYON</v>
      </c>
      <c r="E7" s="84"/>
      <c r="G7" s="86"/>
      <c r="H7" s="19" t="s">
        <v>32</v>
      </c>
      <c r="I7" s="175" t="s">
        <v>33</v>
      </c>
      <c r="J7" s="84"/>
    </row>
    <row r="8" spans="1:12" ht="11.25" customHeight="1" x14ac:dyDescent="0.2">
      <c r="A8" s="50"/>
      <c r="B8" s="87"/>
      <c r="C8" s="13" t="s">
        <v>36</v>
      </c>
      <c r="D8" s="16" t="s">
        <v>37</v>
      </c>
      <c r="E8" s="84"/>
      <c r="G8" s="86"/>
      <c r="H8" s="11" t="s">
        <v>34</v>
      </c>
      <c r="I8" s="12" t="s">
        <v>38</v>
      </c>
      <c r="J8" s="84" t="s">
        <v>39</v>
      </c>
    </row>
    <row r="9" spans="1:12" ht="11.25" customHeight="1" x14ac:dyDescent="0.2">
      <c r="B9" s="88"/>
      <c r="C9" s="13" t="s">
        <v>92</v>
      </c>
      <c r="D9" s="16" t="s">
        <v>93</v>
      </c>
      <c r="E9" s="84"/>
      <c r="G9" s="86"/>
      <c r="H9" s="13" t="s">
        <v>136</v>
      </c>
      <c r="I9" s="14" t="s">
        <v>137</v>
      </c>
      <c r="J9" s="84"/>
    </row>
    <row r="10" spans="1:12" ht="11.25" customHeight="1" x14ac:dyDescent="0.2">
      <c r="B10" s="88"/>
      <c r="C10" s="17" t="s">
        <v>152</v>
      </c>
      <c r="D10" s="18" t="s">
        <v>153</v>
      </c>
      <c r="E10" s="84"/>
      <c r="G10" s="86"/>
      <c r="H10" s="17" t="s">
        <v>35</v>
      </c>
      <c r="I10" s="177" t="str">
        <f>I7&amp;"("&amp;I8&amp;","&amp;I9&amp;")"</f>
        <v>JoinHolidays(UnitedKingdom::Exchange,Japan)</v>
      </c>
      <c r="J10" s="84"/>
    </row>
    <row r="11" spans="1:12" ht="11.25" customHeight="1" x14ac:dyDescent="0.2">
      <c r="B11" s="88"/>
      <c r="C11" s="17" t="s">
        <v>95</v>
      </c>
      <c r="D11" s="141" t="s">
        <v>96</v>
      </c>
      <c r="E11" s="84"/>
      <c r="G11" s="86"/>
      <c r="H11" s="17" t="s">
        <v>156</v>
      </c>
      <c r="I11" s="176" t="s">
        <v>157</v>
      </c>
      <c r="J11" s="84"/>
    </row>
    <row r="12" spans="1:12" ht="11.25" customHeight="1" x14ac:dyDescent="0.2">
      <c r="B12" s="89"/>
      <c r="C12" s="90"/>
      <c r="D12" s="91"/>
      <c r="E12" s="85"/>
      <c r="G12" s="92"/>
      <c r="H12" s="90"/>
      <c r="I12" s="93"/>
      <c r="J12" s="85"/>
    </row>
    <row r="13" spans="1:12" ht="11.25" customHeight="1" x14ac:dyDescent="0.2"/>
    <row r="14" spans="1:12" x14ac:dyDescent="0.2">
      <c r="B14" s="37"/>
      <c r="C14" s="38"/>
      <c r="D14" s="38"/>
      <c r="E14" s="39"/>
      <c r="G14" s="37"/>
      <c r="H14" s="38"/>
      <c r="I14" s="38"/>
      <c r="J14" s="39"/>
    </row>
    <row r="15" spans="1:12" x14ac:dyDescent="0.2">
      <c r="B15" s="22"/>
      <c r="C15" s="21" t="s">
        <v>9</v>
      </c>
      <c r="D15" s="41" t="str">
        <f>_xll.qlPiecewiseYieldCurve($D$17,$D$18,LocalCalendar,_xll.ohPack(JPYON!X3:X54),,,,D19,D20,D21,Permanent,,ObjectOverwrite)</f>
        <v>_JPYON#0012</v>
      </c>
      <c r="E15" s="42"/>
      <c r="G15" s="22"/>
      <c r="H15" s="21" t="s">
        <v>9</v>
      </c>
      <c r="I15" s="41" t="str">
        <f>_xll.qlPiecewiseYieldCurve(I17,I18,CurveCalendar,_xll.ohPack(JPY3M!X3:X57),,,,I19,I20,I21,Permanent,,ObjectOverwrite)</f>
        <v>_JPY3M#0006</v>
      </c>
      <c r="J15" s="42"/>
    </row>
    <row r="16" spans="1:12" x14ac:dyDescent="0.2">
      <c r="B16" s="22"/>
      <c r="C16" s="23" t="s">
        <v>10</v>
      </c>
      <c r="D16" s="43" t="str">
        <f>_xll.ohRangeRetrieveError(YieldCurve_ON)</f>
        <v/>
      </c>
      <c r="E16" s="42"/>
      <c r="G16" s="22"/>
      <c r="H16" s="23" t="s">
        <v>10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11</v>
      </c>
      <c r="D17" s="24" t="str">
        <f>"_"&amp;Currency&amp;"ON"</f>
        <v>_JPYON</v>
      </c>
      <c r="E17" s="42"/>
      <c r="G17" s="22"/>
      <c r="H17" s="21" t="s">
        <v>11</v>
      </c>
      <c r="I17" s="24" t="str">
        <f>"_"&amp;Currency&amp;"3M"</f>
        <v>_JPY3M</v>
      </c>
      <c r="J17" s="42"/>
    </row>
    <row r="18" spans="1:10" x14ac:dyDescent="0.2">
      <c r="B18" s="22"/>
      <c r="C18" s="25" t="s">
        <v>12</v>
      </c>
      <c r="D18" s="26">
        <v>0</v>
      </c>
      <c r="E18" s="42"/>
      <c r="G18" s="22"/>
      <c r="H18" s="25" t="s">
        <v>12</v>
      </c>
      <c r="I18" s="26">
        <f>LiborSettlementDate-Evaluationdate</f>
        <v>4</v>
      </c>
      <c r="J18" s="42"/>
    </row>
    <row r="19" spans="1:10" x14ac:dyDescent="0.2">
      <c r="B19" s="22"/>
      <c r="C19" s="25" t="s">
        <v>13</v>
      </c>
      <c r="D19" s="27"/>
      <c r="E19" s="42"/>
      <c r="G19" s="22"/>
      <c r="H19" s="25" t="s">
        <v>13</v>
      </c>
      <c r="I19" s="27"/>
      <c r="J19" s="42"/>
    </row>
    <row r="20" spans="1:10" x14ac:dyDescent="0.2">
      <c r="B20" s="22"/>
      <c r="C20" s="25" t="s">
        <v>14</v>
      </c>
      <c r="D20" s="28" t="s">
        <v>30</v>
      </c>
      <c r="E20" s="42"/>
      <c r="G20" s="22"/>
      <c r="H20" s="25" t="s">
        <v>14</v>
      </c>
      <c r="I20" s="28" t="s">
        <v>30</v>
      </c>
      <c r="J20" s="42"/>
    </row>
    <row r="21" spans="1:10" x14ac:dyDescent="0.2">
      <c r="B21" s="22"/>
      <c r="C21" s="23" t="s">
        <v>15</v>
      </c>
      <c r="D21" s="29" t="s">
        <v>40</v>
      </c>
      <c r="E21" s="42"/>
      <c r="G21" s="22"/>
      <c r="H21" s="23" t="s">
        <v>15</v>
      </c>
      <c r="I21" s="29" t="s">
        <v>40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42559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42563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53520</v>
      </c>
      <c r="D24" s="34">
        <f>_xll.qlYieldTSDiscount(YieldCurve_ON,C24,,Trigger)</f>
        <v>1.0152827066972228</v>
      </c>
      <c r="E24" s="42"/>
      <c r="G24" s="22"/>
      <c r="H24" s="33">
        <f>_xll.qlTermStructureMaxDate(YieldCurve_3M,Trigger)</f>
        <v>53520</v>
      </c>
      <c r="I24" s="34">
        <f>_xll.qlYieldTSDiscount(YieldCurve_3M,H24,,Trigger)</f>
        <v>0.95189245211777307</v>
      </c>
      <c r="J24" s="42"/>
    </row>
    <row r="25" spans="1:10" x14ac:dyDescent="0.2">
      <c r="B25" s="22"/>
      <c r="C25" s="33" t="str">
        <f>[1]JPYLibor!$D$4</f>
        <v>JPYON#0000</v>
      </c>
      <c r="D25" s="34" t="b">
        <f>_xll.qlRelinkableHandleLinkTo(C25,D15,Trigger)</f>
        <v>1</v>
      </c>
      <c r="E25" s="42"/>
      <c r="G25" s="22"/>
      <c r="H25" s="33" t="str">
        <f>[1]JPYLibor!$D$9</f>
        <v>JPY3M#0000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134</v>
      </c>
      <c r="D26" s="36" t="b">
        <v>1</v>
      </c>
      <c r="E26" s="42"/>
      <c r="G26" s="22"/>
      <c r="H26" s="35" t="s">
        <v>134</v>
      </c>
      <c r="I26" s="36" t="b">
        <v>0</v>
      </c>
      <c r="J26" s="42"/>
    </row>
    <row r="27" spans="1:10" x14ac:dyDescent="0.2">
      <c r="B27" s="22"/>
      <c r="C27" s="178" t="s">
        <v>158</v>
      </c>
      <c r="D27" s="179" t="b">
        <f>_xll.qlExtrapolatorEnableExtrapolation(YieldCurve_ON,D26,Trigger)</f>
        <v>1</v>
      </c>
      <c r="E27" s="42"/>
      <c r="G27" s="22"/>
      <c r="H27" s="178" t="s">
        <v>158</v>
      </c>
      <c r="I27" s="179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</row>
    <row r="31" spans="1:10" x14ac:dyDescent="0.2">
      <c r="B31" s="40"/>
      <c r="C31" s="21" t="s">
        <v>9</v>
      </c>
      <c r="D31" s="41" t="str">
        <f>_xll.qlPiecewiseYieldCurve(D33,D34,CurveCalendar,_xll.ohPack(JPY6M!X3:X58),,,,D35,D36,D37,Permanent,,ObjectOverwrite)</f>
        <v>_JPY6M#0014</v>
      </c>
      <c r="E31" s="42"/>
      <c r="F31" s="49"/>
    </row>
    <row r="32" spans="1:10" x14ac:dyDescent="0.2">
      <c r="B32" s="40"/>
      <c r="C32" s="23" t="s">
        <v>10</v>
      </c>
      <c r="D32" s="43" t="str">
        <f>_xll.ohRangeRetrieveError(YieldCurve_6M)</f>
        <v/>
      </c>
      <c r="E32" s="42"/>
      <c r="F32" s="49"/>
    </row>
    <row r="33" spans="2:6" x14ac:dyDescent="0.2">
      <c r="B33" s="22"/>
      <c r="C33" s="21" t="s">
        <v>11</v>
      </c>
      <c r="D33" s="24" t="str">
        <f>"_"&amp;Currency&amp;"6M"</f>
        <v>_JPY6M</v>
      </c>
      <c r="E33" s="42"/>
      <c r="F33" s="49"/>
    </row>
    <row r="34" spans="2:6" x14ac:dyDescent="0.2">
      <c r="B34" s="22"/>
      <c r="C34" s="25" t="s">
        <v>12</v>
      </c>
      <c r="D34" s="26">
        <f>LiborSettlementDate-Evaluationdate</f>
        <v>4</v>
      </c>
      <c r="E34" s="42"/>
      <c r="F34" s="49"/>
    </row>
    <row r="35" spans="2:6" x14ac:dyDescent="0.2">
      <c r="B35" s="22"/>
      <c r="C35" s="25" t="s">
        <v>13</v>
      </c>
      <c r="D35" s="27"/>
      <c r="E35" s="42"/>
      <c r="F35" s="49"/>
    </row>
    <row r="36" spans="2:6" x14ac:dyDescent="0.2">
      <c r="B36" s="22"/>
      <c r="C36" s="25" t="s">
        <v>14</v>
      </c>
      <c r="D36" s="28" t="s">
        <v>30</v>
      </c>
      <c r="E36" s="42"/>
      <c r="F36" s="49"/>
    </row>
    <row r="37" spans="2:6" x14ac:dyDescent="0.2">
      <c r="B37" s="22"/>
      <c r="C37" s="23" t="s">
        <v>15</v>
      </c>
      <c r="D37" s="29" t="s">
        <v>40</v>
      </c>
      <c r="E37" s="42"/>
      <c r="F37" s="49"/>
    </row>
    <row r="38" spans="2:6" x14ac:dyDescent="0.2">
      <c r="B38" s="22"/>
      <c r="C38" s="30"/>
      <c r="D38" s="30"/>
      <c r="E38" s="42"/>
      <c r="F38" s="49"/>
    </row>
    <row r="39" spans="2:6" x14ac:dyDescent="0.2">
      <c r="B39" s="22"/>
      <c r="C39" s="31">
        <f>_xll.qlTermStructureReferenceDate(YieldCurve_6M)</f>
        <v>42563</v>
      </c>
      <c r="D39" s="32">
        <f>_xll.qlYieldTSDiscount(YieldCurve_6M,C39,,Trigger)</f>
        <v>1</v>
      </c>
      <c r="E39" s="42"/>
      <c r="F39" s="49"/>
    </row>
    <row r="40" spans="2:6" x14ac:dyDescent="0.2">
      <c r="B40" s="22"/>
      <c r="C40" s="33">
        <f>_xll.qlTermStructureMaxDate(YieldCurve_6M,Trigger)</f>
        <v>53520</v>
      </c>
      <c r="D40" s="34">
        <f>_xll.qlYieldTSDiscount(YieldCurve_6M,C40,,Trigger)</f>
        <v>0.94828199350172926</v>
      </c>
      <c r="E40" s="42"/>
      <c r="F40" s="49"/>
    </row>
    <row r="41" spans="2:6" x14ac:dyDescent="0.2">
      <c r="B41" s="22"/>
      <c r="C41" s="33" t="str">
        <f>[1]JPYLibor!$D$10</f>
        <v>JPY6M#0000</v>
      </c>
      <c r="D41" s="34" t="b">
        <f>_xll.qlRelinkableHandleLinkTo(C41,D31,Trigger)</f>
        <v>1</v>
      </c>
      <c r="E41" s="42"/>
      <c r="F41" s="49"/>
    </row>
    <row r="42" spans="2:6" x14ac:dyDescent="0.2">
      <c r="B42" s="22"/>
      <c r="C42" s="35" t="s">
        <v>134</v>
      </c>
      <c r="D42" s="36" t="b">
        <v>0</v>
      </c>
      <c r="E42" s="42"/>
      <c r="F42" s="49"/>
    </row>
    <row r="43" spans="2:6" x14ac:dyDescent="0.2">
      <c r="B43" s="22"/>
      <c r="C43" s="178" t="s">
        <v>158</v>
      </c>
      <c r="D43" s="179" t="b">
        <f>_xll.qlExtrapolatorEnableExtrapolation(YieldCurve_6M,D42,Trigger)</f>
        <v>1</v>
      </c>
      <c r="E43" s="42"/>
      <c r="F43" s="49"/>
    </row>
    <row r="44" spans="2:6" x14ac:dyDescent="0.2">
      <c r="B44" s="44"/>
      <c r="C44" s="45"/>
      <c r="D44" s="45"/>
      <c r="E44" s="46"/>
      <c r="F44" s="49"/>
    </row>
    <row r="45" spans="2:6" x14ac:dyDescent="0.2">
      <c r="F45" s="49"/>
    </row>
    <row r="46" spans="2:6" x14ac:dyDescent="0.2">
      <c r="F46" s="49"/>
    </row>
    <row r="47" spans="2:6" x14ac:dyDescent="0.2">
      <c r="F47" s="49"/>
    </row>
  </sheetData>
  <dataValidations count="7">
    <dataValidation type="list" allowBlank="1" showInputMessage="1" showErrorMessage="1" sqref="D36 D20 I20">
      <formula1>"Discount,ZeroYield,ForwardRate"</formula1>
    </dataValidation>
    <dataValidation type="list" allowBlank="1" showInputMessage="1" showErrorMessage="1" sqref="D37 D21 I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1">
      <formula1>"MaturityDate,LastRelevantDate,CustomDate"</formula1>
    </dataValidation>
    <dataValidation type="list" allowBlank="1" showInputMessage="1" showErrorMessage="1" sqref="D26 I26 D4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5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8" width="25.7109375" style="48" hidden="1" customWidth="1" outlineLevel="1"/>
    <col min="9" max="9" width="10.7109375" style="48" hidden="1" customWidth="1" outlineLevel="1"/>
    <col min="10" max="10" width="15.7109375" style="102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2" hidden="1" customWidth="1" outlineLevel="1"/>
    <col min="14" max="18" width="8.7109375" style="102" hidden="1" customWidth="1" outlineLevel="1"/>
    <col min="19" max="19" width="15.7109375" style="102" hidden="1" customWidth="1" outlineLevel="1"/>
    <col min="20" max="21" width="10.7109375" style="102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2" width="2.7109375" style="152" customWidth="1"/>
    <col min="33" max="33" width="24.42578125" style="48" bestFit="1" customWidth="1"/>
    <col min="34" max="34" width="24.42578125" style="48" hidden="1" customWidth="1" outlineLevel="1"/>
    <col min="35" max="35" width="7" style="48" hidden="1" customWidth="1" outlineLevel="1"/>
    <col min="36" max="36" width="8.85546875" style="48" hidden="1" customWidth="1" outlineLevel="1"/>
    <col min="37" max="37" width="9" style="48" bestFit="1" customWidth="1" collapsed="1"/>
    <col min="38" max="38" width="10" style="48" bestFit="1" customWidth="1"/>
    <col min="39" max="39" width="24.42578125" style="48" bestFit="1" customWidth="1"/>
    <col min="40" max="16384" width="9.140625" style="48"/>
  </cols>
  <sheetData>
    <row r="1" spans="1:39" ht="18" customHeight="1" x14ac:dyDescent="0.2">
      <c r="G1" s="52" t="s">
        <v>138</v>
      </c>
      <c r="L1" s="68" t="s">
        <v>23</v>
      </c>
      <c r="M1" s="105"/>
      <c r="N1" s="105"/>
      <c r="O1" s="105"/>
      <c r="P1" s="105"/>
      <c r="Q1" s="105"/>
      <c r="R1" s="105"/>
      <c r="S1" s="105"/>
      <c r="T1" s="105"/>
      <c r="U1" s="97"/>
      <c r="V1" s="94"/>
      <c r="W1" s="73" t="str">
        <f>Currency&amp;Tenor</f>
        <v>JPYTonar</v>
      </c>
      <c r="X1" s="67"/>
      <c r="Y1" s="67"/>
      <c r="Z1" s="69"/>
      <c r="AA1" s="69"/>
      <c r="AB1" s="67"/>
      <c r="AC1" s="67"/>
      <c r="AD1" s="71" t="s">
        <v>30</v>
      </c>
    </row>
    <row r="2" spans="1:39" ht="21.75" customHeight="1" x14ac:dyDescent="0.2">
      <c r="A2" s="66" t="s">
        <v>8</v>
      </c>
      <c r="B2" s="66" t="s">
        <v>27</v>
      </c>
      <c r="C2" s="66" t="s">
        <v>97</v>
      </c>
      <c r="D2" s="66"/>
      <c r="E2" s="66"/>
      <c r="F2" s="66" t="s">
        <v>132</v>
      </c>
      <c r="G2" s="66" t="s">
        <v>4</v>
      </c>
      <c r="H2" s="66" t="s">
        <v>1</v>
      </c>
      <c r="I2" s="66"/>
      <c r="J2" s="66" t="s">
        <v>23</v>
      </c>
      <c r="L2" s="72" t="s">
        <v>8</v>
      </c>
      <c r="M2" s="72" t="s">
        <v>98</v>
      </c>
      <c r="N2" s="72" t="s">
        <v>101</v>
      </c>
      <c r="O2" s="72" t="s">
        <v>103</v>
      </c>
      <c r="P2" s="72" t="s">
        <v>99</v>
      </c>
      <c r="Q2" s="72" t="s">
        <v>100</v>
      </c>
      <c r="R2" s="72" t="s">
        <v>102</v>
      </c>
      <c r="S2" s="72" t="s">
        <v>23</v>
      </c>
      <c r="T2" s="72" t="s">
        <v>21</v>
      </c>
      <c r="U2" s="72" t="s">
        <v>95</v>
      </c>
      <c r="V2" s="94"/>
      <c r="W2" s="72" t="s">
        <v>8</v>
      </c>
      <c r="X2" s="72" t="s">
        <v>23</v>
      </c>
      <c r="Y2" s="72" t="s">
        <v>98</v>
      </c>
      <c r="Z2" s="74" t="s">
        <v>22</v>
      </c>
      <c r="AA2" s="74" t="s">
        <v>103</v>
      </c>
      <c r="AB2" s="72" t="s">
        <v>21</v>
      </c>
      <c r="AC2" s="72" t="s">
        <v>95</v>
      </c>
      <c r="AD2" s="75">
        <f t="array" ref="AD2:AD57">_xll.qlPiecewiseYieldCurveData(YieldCurve_ON,Trigger)</f>
        <v>1</v>
      </c>
      <c r="AG2" s="207" t="s">
        <v>104</v>
      </c>
      <c r="AH2" s="208"/>
      <c r="AI2" s="208"/>
      <c r="AJ2" s="208"/>
      <c r="AK2" s="209"/>
    </row>
    <row r="3" spans="1:39" ht="11.25" customHeight="1" x14ac:dyDescent="0.2">
      <c r="A3" s="1" t="s">
        <v>25</v>
      </c>
      <c r="B3" s="8" t="s">
        <v>94</v>
      </c>
      <c r="C3" s="6">
        <v>2</v>
      </c>
      <c r="D3" s="123"/>
      <c r="E3" s="123"/>
      <c r="F3" s="210" t="s">
        <v>142</v>
      </c>
      <c r="G3" s="6" t="str">
        <f>_xll.qlOvernightIndex(,,C3,Currency,LocalCalendar,F3,,Permanent,Trigger,ObjectOverwrite)</f>
        <v>obj_00222#0004</v>
      </c>
      <c r="H3" s="2" t="str">
        <f>Currency&amp;$B3&amp;"D"&amp;QuoteSuffix</f>
        <v>JPYSND_Quote</v>
      </c>
      <c r="I3" s="213"/>
      <c r="J3" s="180" t="str">
        <f>IF(P3,_xll.qlFraRateHelper(,H3,C3,G3,,,Permanent,Trigger,ObjectOverwrite),"--")</f>
        <v>--</v>
      </c>
      <c r="K3" s="51"/>
      <c r="L3" s="183" t="str">
        <f>A3</f>
        <v>Dp</v>
      </c>
      <c r="M3" s="184" t="str">
        <f>H3</f>
        <v>JPYSND_Quote</v>
      </c>
      <c r="N3" s="185">
        <f>IFERROR(_xll.qlQuoteValue(H3,Trigger),"--")</f>
        <v>-9.9140000000000014E-4</v>
      </c>
      <c r="O3" s="186"/>
      <c r="P3" s="100" t="b">
        <v>0</v>
      </c>
      <c r="Q3" s="96">
        <v>70</v>
      </c>
      <c r="R3" s="96">
        <v>1</v>
      </c>
      <c r="S3" s="96" t="str">
        <f>J3</f>
        <v>--</v>
      </c>
      <c r="T3" s="101" t="str">
        <f>IFERROR(_xll.qlRateHelperEarliestDate(S3,Trigger),"--")</f>
        <v>--</v>
      </c>
      <c r="U3" s="101" t="str">
        <f>IFERROR(_xll.qlRateHelperPillarDate(S3,Trigger),"--")</f>
        <v>--</v>
      </c>
      <c r="W3" s="3" t="str">
        <f t="shared" ref="W3:W34" si="0">IFERROR(INDEX($L$3:$L$57,MATCH(Y3,$M$3:$M$57,0),1),"")</f>
        <v>OIS</v>
      </c>
      <c r="X3" s="3" t="str">
        <f t="array" ref="X3:X57">_xll.qlRateHelperSelection(_xll.ohFilter(RateHelpers,IncludeFlag),_xll.ohFilter(Priority,IncludeFlag),$AK$3,$AK$4,$AK$5,$AK$6,_xll.ohFilter(MinDistance,IncludeFlag),Trigger)</f>
        <v>obj_001e4</v>
      </c>
      <c r="Y3" s="3" t="str">
        <f>IFERROR(_xll.qlRateHelperQuoteName(X3,Trigger),"")</f>
        <v>JPYOIS1M_Quote</v>
      </c>
      <c r="Z3" s="70">
        <f>IFERROR(_xll.qlRateHelperRate(X3,Trigger),"")</f>
        <v>-9.2500000000000004E-4</v>
      </c>
      <c r="AA3" s="103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6">
        <v>1.0000869743892937</v>
      </c>
      <c r="AG3" s="171" t="s">
        <v>105</v>
      </c>
      <c r="AK3" s="172">
        <v>0</v>
      </c>
    </row>
    <row r="4" spans="1:39" ht="11.25" customHeight="1" x14ac:dyDescent="0.2">
      <c r="K4" s="50"/>
      <c r="L4" s="187" t="str">
        <f t="shared" ref="L4:L35" si="1">A6</f>
        <v>OIS</v>
      </c>
      <c r="M4" s="188" t="str">
        <f>H6</f>
        <v>JPYOISSW_Quote</v>
      </c>
      <c r="N4" s="189" t="str">
        <f>IFERROR(_xll.qlQuoteValue(H6,Trigger),"--")</f>
        <v>--</v>
      </c>
      <c r="O4" s="190"/>
      <c r="P4" s="98" t="b">
        <v>0</v>
      </c>
      <c r="Q4" s="95">
        <v>50</v>
      </c>
      <c r="R4" s="95">
        <v>1</v>
      </c>
      <c r="S4" s="95" t="str">
        <f>J6</f>
        <v>--</v>
      </c>
      <c r="T4" s="99" t="str">
        <f>IFERROR(_xll.qlRateHelperEarliestDate(S4,Trigger),"--")</f>
        <v>--</v>
      </c>
      <c r="U4" s="99" t="str">
        <f>IFERROR(_xll.qlRateHelperPillarDate(S4,Trigger),"--")</f>
        <v>--</v>
      </c>
      <c r="W4" s="3" t="str">
        <f t="shared" si="0"/>
        <v>OIS</v>
      </c>
      <c r="X4" s="3" t="str">
        <v>obj_001e3</v>
      </c>
      <c r="Y4" s="3" t="str">
        <f>IFERROR(_xll.qlRateHelperQuoteName(X4,Trigger),"")</f>
        <v>JPYOIS2M_Quote</v>
      </c>
      <c r="Z4" s="70">
        <f>IFERROR(_xll.qlRateHelperRate(X4,Trigger),"")</f>
        <v>-1.2250000000000002E-3</v>
      </c>
      <c r="AA4" s="103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6">
        <v>1.000216533161592</v>
      </c>
      <c r="AG4" s="106" t="s">
        <v>106</v>
      </c>
      <c r="AK4" s="107">
        <v>0</v>
      </c>
    </row>
    <row r="5" spans="1:39" ht="11.25" customHeight="1" x14ac:dyDescent="0.2">
      <c r="A5" s="66" t="s">
        <v>8</v>
      </c>
      <c r="B5" s="66" t="s">
        <v>27</v>
      </c>
      <c r="C5" s="66" t="s">
        <v>97</v>
      </c>
      <c r="D5" s="66"/>
      <c r="E5" s="66"/>
      <c r="F5" s="66"/>
      <c r="G5" s="66" t="s">
        <v>4</v>
      </c>
      <c r="H5" s="66" t="s">
        <v>1</v>
      </c>
      <c r="I5" s="66"/>
      <c r="J5" s="66" t="s">
        <v>23</v>
      </c>
      <c r="K5" s="50"/>
      <c r="L5" s="187" t="str">
        <f t="shared" si="1"/>
        <v>OIS</v>
      </c>
      <c r="M5" s="191" t="str">
        <f t="shared" ref="M5:M57" si="2">H7</f>
        <v>JPYOIS2W_Quote</v>
      </c>
      <c r="N5" s="189" t="str">
        <f>IFERROR(_xll.qlQuoteValue(H7,Trigger),"--")</f>
        <v>--</v>
      </c>
      <c r="O5" s="190"/>
      <c r="P5" s="98" t="b">
        <v>0</v>
      </c>
      <c r="Q5" s="95">
        <v>50</v>
      </c>
      <c r="R5" s="95">
        <v>1</v>
      </c>
      <c r="S5" s="95" t="str">
        <f t="shared" ref="S5:S57" si="3">J7</f>
        <v>--</v>
      </c>
      <c r="T5" s="99" t="str">
        <f>IFERROR(_xll.qlRateHelperEarliestDate(S5,Trigger),"--")</f>
        <v>--</v>
      </c>
      <c r="U5" s="99" t="str">
        <f>IFERROR(_xll.qlRateHelperPillarDate(S5,Trigger),"--")</f>
        <v>--</v>
      </c>
      <c r="W5" s="3" t="str">
        <f t="shared" si="0"/>
        <v>OIS</v>
      </c>
      <c r="X5" s="3" t="str">
        <v>obj_001f4</v>
      </c>
      <c r="Y5" s="3" t="str">
        <f>IFERROR(_xll.qlRateHelperQuoteName(X5,Trigger),"")</f>
        <v>JPYOIS3M_Quote</v>
      </c>
      <c r="Z5" s="70">
        <f>IFERROR(_xll.qlRateHelperRate(X5,Trigger),"")</f>
        <v>-1.4750000000000002E-3</v>
      </c>
      <c r="AA5" s="103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6">
        <v>1.0003803281334713</v>
      </c>
      <c r="AG5" s="106" t="s">
        <v>107</v>
      </c>
      <c r="AK5" s="107">
        <v>0</v>
      </c>
    </row>
    <row r="6" spans="1:39" ht="11.25" customHeight="1" x14ac:dyDescent="0.2">
      <c r="A6" s="55" t="s">
        <v>91</v>
      </c>
      <c r="B6" s="56" t="s">
        <v>41</v>
      </c>
      <c r="C6" s="57">
        <f>IF(B6="O/N",0,IF(B6="T/N",1,2))</f>
        <v>2</v>
      </c>
      <c r="D6" s="211"/>
      <c r="E6" s="211"/>
      <c r="F6" s="211"/>
      <c r="G6" s="63" t="str">
        <f t="shared" ref="G6:G37" si="4">Currency&amp;Tenor</f>
        <v>JPYTonar</v>
      </c>
      <c r="H6" s="59" t="str">
        <f t="shared" ref="H6:H37" si="5">Currency&amp;$A6&amp;IF($B6="1W","SW",$B6)&amp;QuoteSuffix</f>
        <v>JPYOISSW_Quote</v>
      </c>
      <c r="I6" s="214"/>
      <c r="J6" s="181" t="str">
        <f>IF(P4,_xll.qlOISRateHelper(,C6,B6,H6,$G6,,Permanent,Trigger,ObjectOverwrite),"--")</f>
        <v>--</v>
      </c>
      <c r="K6" s="50"/>
      <c r="L6" s="187" t="str">
        <f t="shared" si="1"/>
        <v>OIS</v>
      </c>
      <c r="M6" s="191" t="str">
        <f t="shared" si="2"/>
        <v>JPYOIS3W_Quote</v>
      </c>
      <c r="N6" s="189" t="str">
        <f>IFERROR(_xll.qlQuoteValue(H8,Trigger),"--")</f>
        <v>--</v>
      </c>
      <c r="O6" s="190"/>
      <c r="P6" s="98" t="b">
        <v>0</v>
      </c>
      <c r="Q6" s="95">
        <v>50</v>
      </c>
      <c r="R6" s="95">
        <v>1</v>
      </c>
      <c r="S6" s="95" t="str">
        <f t="shared" si="3"/>
        <v>--</v>
      </c>
      <c r="T6" s="99" t="str">
        <f>IFERROR(_xll.qlRateHelperEarliestDate(S6,Trigger),"--")</f>
        <v>--</v>
      </c>
      <c r="U6" s="99" t="str">
        <f>IFERROR(_xll.qlRateHelperPillarDate(S6,Trigger),"--")</f>
        <v>--</v>
      </c>
      <c r="W6" s="3" t="str">
        <f t="shared" si="0"/>
        <v>OIS</v>
      </c>
      <c r="X6" s="3" t="str">
        <v>obj_001e2</v>
      </c>
      <c r="Y6" s="3" t="str">
        <f>IFERROR(_xll.qlRateHelperQuoteName(X6,Trigger),"")</f>
        <v>JPYOIS4M_Quote</v>
      </c>
      <c r="Z6" s="70">
        <f>IFERROR(_xll.qlRateHelperRate(X6,Trigger),"")</f>
        <v>-1.6750000000000003E-3</v>
      </c>
      <c r="AA6" s="103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42688</v>
      </c>
      <c r="AD6" s="76">
        <v>1.0005823701148742</v>
      </c>
      <c r="AG6" s="106" t="s">
        <v>108</v>
      </c>
      <c r="AK6" s="108" t="s">
        <v>109</v>
      </c>
    </row>
    <row r="7" spans="1:39" ht="11.25" customHeight="1" x14ac:dyDescent="0.2">
      <c r="A7" s="60" t="s">
        <v>91</v>
      </c>
      <c r="B7" s="61" t="s">
        <v>42</v>
      </c>
      <c r="C7" s="62">
        <f t="shared" ref="C7:C20" si="6">IF(B7="O/N",0,IF(B7="T/N",1,2))</f>
        <v>2</v>
      </c>
      <c r="D7" s="211"/>
      <c r="E7" s="211"/>
      <c r="F7" s="211"/>
      <c r="G7" s="63" t="str">
        <f t="shared" si="4"/>
        <v>JPYTonar</v>
      </c>
      <c r="H7" s="65" t="str">
        <f t="shared" si="5"/>
        <v>JPYOIS2W_Quote</v>
      </c>
      <c r="I7" s="215"/>
      <c r="J7" s="182" t="str">
        <f>IF(P5,_xll.qlOISRateHelper(,C7,B7,H7,$G7,,Permanent,Trigger,ObjectOverwrite),"--")</f>
        <v>--</v>
      </c>
      <c r="K7" s="50"/>
      <c r="L7" s="187" t="str">
        <f t="shared" si="1"/>
        <v>OIS</v>
      </c>
      <c r="M7" s="191" t="str">
        <f t="shared" si="2"/>
        <v>JPYOIS1M_Quote</v>
      </c>
      <c r="N7" s="189">
        <f>IFERROR(_xll.qlQuoteValue(H9,Trigger),"--")</f>
        <v>-9.2500000000000004E-4</v>
      </c>
      <c r="O7" s="190"/>
      <c r="P7" s="98" t="b">
        <v>1</v>
      </c>
      <c r="Q7" s="95">
        <v>50</v>
      </c>
      <c r="R7" s="95">
        <v>1</v>
      </c>
      <c r="S7" s="95" t="str">
        <f t="shared" si="3"/>
        <v>obj_001e4#0005</v>
      </c>
      <c r="T7" s="99">
        <f>IFERROR(_xll.qlRateHelperEarliestDate(S7,Trigger),"--")</f>
        <v>42563</v>
      </c>
      <c r="U7" s="99">
        <f>IFERROR(_xll.qlRateHelperPillarDate(S7,Trigger),"--")</f>
        <v>42594</v>
      </c>
      <c r="W7" s="3" t="str">
        <f t="shared" si="0"/>
        <v>OIS</v>
      </c>
      <c r="X7" s="3" t="str">
        <v>obj_001e9</v>
      </c>
      <c r="Y7" s="3" t="str">
        <f>IFERROR(_xll.qlRateHelperQuoteName(X7,Trigger),"")</f>
        <v>JPYOIS5M_Quote</v>
      </c>
      <c r="Z7" s="70">
        <f>IFERROR(_xll.qlRateHelperRate(X7,Trigger),"")</f>
        <v>-1.8500000000000001E-3</v>
      </c>
      <c r="AA7" s="103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42563</v>
      </c>
      <c r="AC7" s="4">
        <f>IFERROR(_xll.qlRateHelperPillarDate(X7,Trigger),"")</f>
        <v>42716</v>
      </c>
      <c r="AD7" s="76">
        <v>1.0007844937236692</v>
      </c>
    </row>
    <row r="8" spans="1:39" ht="11.25" customHeight="1" x14ac:dyDescent="0.2">
      <c r="A8" s="60" t="s">
        <v>91</v>
      </c>
      <c r="B8" s="61" t="s">
        <v>43</v>
      </c>
      <c r="C8" s="62">
        <f t="shared" si="6"/>
        <v>2</v>
      </c>
      <c r="D8" s="211"/>
      <c r="E8" s="211"/>
      <c r="F8" s="211"/>
      <c r="G8" s="63" t="str">
        <f t="shared" si="4"/>
        <v>JPYTonar</v>
      </c>
      <c r="H8" s="65" t="str">
        <f t="shared" si="5"/>
        <v>JPYOIS3W_Quote</v>
      </c>
      <c r="I8" s="215"/>
      <c r="J8" s="182" t="str">
        <f>IF(P6,_xll.qlOISRateHelper(,C8,B8,H8,$G8,,Permanent,Trigger,ObjectOverwrite),"--")</f>
        <v>--</v>
      </c>
      <c r="K8" s="50"/>
      <c r="L8" s="187" t="str">
        <f t="shared" si="1"/>
        <v>OIS</v>
      </c>
      <c r="M8" s="191" t="str">
        <f t="shared" si="2"/>
        <v>JPYOIS2M_Quote</v>
      </c>
      <c r="N8" s="189">
        <f>IFERROR(_xll.qlQuoteValue(H10,Trigger),"--")</f>
        <v>-1.2250000000000002E-3</v>
      </c>
      <c r="O8" s="190"/>
      <c r="P8" s="98" t="b">
        <v>1</v>
      </c>
      <c r="Q8" s="95">
        <v>50</v>
      </c>
      <c r="R8" s="95">
        <v>1</v>
      </c>
      <c r="S8" s="95" t="str">
        <f t="shared" si="3"/>
        <v>obj_001e3#0005</v>
      </c>
      <c r="T8" s="99">
        <f>IFERROR(_xll.qlRateHelperEarliestDate(S8,Trigger),"--")</f>
        <v>42563</v>
      </c>
      <c r="U8" s="99">
        <f>IFERROR(_xll.qlRateHelperPillarDate(S8,Trigger),"--")</f>
        <v>42625</v>
      </c>
      <c r="W8" s="3" t="str">
        <f t="shared" si="0"/>
        <v>OIS</v>
      </c>
      <c r="X8" s="3" t="str">
        <v>obj_001df</v>
      </c>
      <c r="Y8" s="3" t="str">
        <f>IFERROR(_xll.qlRateHelperQuoteName(X8,Trigger),"")</f>
        <v>JPYOIS6M_Quote</v>
      </c>
      <c r="Z8" s="70">
        <f>IFERROR(_xll.qlRateHelperRate(X8,Trigger),"")</f>
        <v>-2E-3</v>
      </c>
      <c r="AA8" s="103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42563</v>
      </c>
      <c r="AC8" s="4">
        <f>IFERROR(_xll.qlRateHelperPillarDate(X8,Trigger),"")</f>
        <v>42747</v>
      </c>
      <c r="AD8" s="76">
        <v>1.0010176511062865</v>
      </c>
    </row>
    <row r="9" spans="1:39" ht="11.25" customHeight="1" x14ac:dyDescent="0.2">
      <c r="A9" s="60" t="s">
        <v>91</v>
      </c>
      <c r="B9" s="61" t="s">
        <v>2</v>
      </c>
      <c r="C9" s="62">
        <f t="shared" si="6"/>
        <v>2</v>
      </c>
      <c r="D9" s="211"/>
      <c r="E9" s="211"/>
      <c r="F9" s="211"/>
      <c r="G9" s="63" t="str">
        <f t="shared" si="4"/>
        <v>JPYTonar</v>
      </c>
      <c r="H9" s="65" t="str">
        <f t="shared" si="5"/>
        <v>JPYOIS1M_Quote</v>
      </c>
      <c r="I9" s="215"/>
      <c r="J9" s="182" t="str">
        <f>IF(P7,_xll.qlOISRateHelper(,C9,B9,H9,$G9,,Permanent,Trigger,ObjectOverwrite),"--")</f>
        <v>obj_001e4#0005</v>
      </c>
      <c r="K9" s="50"/>
      <c r="L9" s="187" t="str">
        <f t="shared" si="1"/>
        <v>OIS</v>
      </c>
      <c r="M9" s="191" t="str">
        <f t="shared" si="2"/>
        <v>JPYOIS3M_Quote</v>
      </c>
      <c r="N9" s="189">
        <f>IFERROR(_xll.qlQuoteValue(H11,Trigger),"--")</f>
        <v>-1.4750000000000002E-3</v>
      </c>
      <c r="O9" s="190"/>
      <c r="P9" s="98" t="b">
        <v>1</v>
      </c>
      <c r="Q9" s="95">
        <v>50</v>
      </c>
      <c r="R9" s="95">
        <v>1</v>
      </c>
      <c r="S9" s="95" t="str">
        <f t="shared" si="3"/>
        <v>obj_001f4#0005</v>
      </c>
      <c r="T9" s="99">
        <f>IFERROR(_xll.qlRateHelperEarliestDate(S9,Trigger),"--")</f>
        <v>42563</v>
      </c>
      <c r="U9" s="99">
        <f>IFERROR(_xll.qlRateHelperPillarDate(S9,Trigger),"--")</f>
        <v>42655</v>
      </c>
      <c r="W9" s="3" t="str">
        <f t="shared" si="0"/>
        <v>OIS</v>
      </c>
      <c r="X9" s="3" t="str">
        <v>obj_001f0</v>
      </c>
      <c r="Y9" s="3" t="str">
        <f>IFERROR(_xll.qlRateHelperQuoteName(X9,Trigger),"")</f>
        <v>JPYOIS9M_Quote</v>
      </c>
      <c r="Z9" s="70">
        <f>IFERROR(_xll.qlRateHelperRate(X9,Trigger),"")</f>
        <v>-2.4000000000000002E-3</v>
      </c>
      <c r="AA9" s="103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42563</v>
      </c>
      <c r="AC9" s="4">
        <f>IFERROR(_xll.qlRateHelperPillarDate(X9,Trigger),"")</f>
        <v>42837</v>
      </c>
      <c r="AD9" s="76">
        <v>1.0018133166991239</v>
      </c>
      <c r="AH9" s="48" t="s">
        <v>143</v>
      </c>
    </row>
    <row r="10" spans="1:39" ht="11.25" customHeight="1" x14ac:dyDescent="0.2">
      <c r="A10" s="60" t="s">
        <v>91</v>
      </c>
      <c r="B10" s="61" t="s">
        <v>44</v>
      </c>
      <c r="C10" s="62">
        <f t="shared" si="6"/>
        <v>2</v>
      </c>
      <c r="D10" s="211"/>
      <c r="E10" s="211"/>
      <c r="F10" s="211"/>
      <c r="G10" s="63" t="str">
        <f t="shared" si="4"/>
        <v>JPYTonar</v>
      </c>
      <c r="H10" s="65" t="str">
        <f t="shared" si="5"/>
        <v>JPYOIS2M_Quote</v>
      </c>
      <c r="I10" s="215"/>
      <c r="J10" s="182" t="str">
        <f>IF(P8,_xll.qlOISRateHelper(,C10,B10,H10,$G10,,Permanent,Trigger,ObjectOverwrite),"--")</f>
        <v>obj_001e3#0005</v>
      </c>
      <c r="K10" s="50"/>
      <c r="L10" s="187" t="str">
        <f t="shared" si="1"/>
        <v>OIS</v>
      </c>
      <c r="M10" s="191" t="str">
        <f t="shared" si="2"/>
        <v>JPYOIS4M_Quote</v>
      </c>
      <c r="N10" s="189">
        <f>IFERROR(_xll.qlQuoteValue(H12,Trigger),"--")</f>
        <v>-1.6750000000000003E-3</v>
      </c>
      <c r="O10" s="190"/>
      <c r="P10" s="98" t="b">
        <v>1</v>
      </c>
      <c r="Q10" s="95">
        <v>50</v>
      </c>
      <c r="R10" s="95">
        <v>1</v>
      </c>
      <c r="S10" s="95" t="str">
        <f t="shared" si="3"/>
        <v>obj_001e2#0005</v>
      </c>
      <c r="T10" s="99">
        <f>IFERROR(_xll.qlRateHelperEarliestDate(S10,Trigger),"--")</f>
        <v>42563</v>
      </c>
      <c r="U10" s="99">
        <f>IFERROR(_xll.qlRateHelperPillarDate(S10,Trigger),"--")</f>
        <v>42688</v>
      </c>
      <c r="W10" s="3" t="str">
        <f t="shared" si="0"/>
        <v>OIS</v>
      </c>
      <c r="X10" s="3" t="str">
        <v>obj_001ea</v>
      </c>
      <c r="Y10" s="3" t="str">
        <f>IFERROR(_xll.qlRateHelperQuoteName(X10,Trigger),"")</f>
        <v>JPYOIS1Y_Quote</v>
      </c>
      <c r="Z10" s="70">
        <f>IFERROR(_xll.qlRateHelperRate(X10,Trigger),"")</f>
        <v>-2.725E-3</v>
      </c>
      <c r="AA10" s="103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42563</v>
      </c>
      <c r="AC10" s="4">
        <f>IFERROR(_xll.qlRateHelperPillarDate(X10,Trigger),"")</f>
        <v>42928</v>
      </c>
      <c r="AD10" s="76">
        <v>1.0027408747964717</v>
      </c>
      <c r="AF10" s="72" t="s">
        <v>144</v>
      </c>
      <c r="AG10" s="72" t="s">
        <v>145</v>
      </c>
      <c r="AH10" s="72" t="s">
        <v>146</v>
      </c>
      <c r="AI10" s="72" t="s">
        <v>147</v>
      </c>
      <c r="AJ10" s="72" t="s">
        <v>148</v>
      </c>
      <c r="AK10" s="72" t="s">
        <v>149</v>
      </c>
      <c r="AL10" s="72" t="s">
        <v>150</v>
      </c>
      <c r="AM10" s="72" t="s">
        <v>151</v>
      </c>
    </row>
    <row r="11" spans="1:39" ht="11.25" customHeight="1" x14ac:dyDescent="0.2">
      <c r="A11" s="60" t="s">
        <v>91</v>
      </c>
      <c r="B11" s="61" t="s">
        <v>0</v>
      </c>
      <c r="C11" s="62">
        <f t="shared" si="6"/>
        <v>2</v>
      </c>
      <c r="D11" s="211"/>
      <c r="E11" s="211"/>
      <c r="F11" s="211"/>
      <c r="G11" s="63" t="str">
        <f t="shared" si="4"/>
        <v>JPYTonar</v>
      </c>
      <c r="H11" s="65" t="str">
        <f t="shared" si="5"/>
        <v>JPYOIS3M_Quote</v>
      </c>
      <c r="I11" s="215"/>
      <c r="J11" s="182" t="str">
        <f>IF(P9,_xll.qlOISRateHelper(,C11,B11,H11,$G11,,Permanent,Trigger,ObjectOverwrite),"--")</f>
        <v>obj_001f4#0005</v>
      </c>
      <c r="K11" s="50"/>
      <c r="L11" s="187" t="str">
        <f t="shared" si="1"/>
        <v>OIS</v>
      </c>
      <c r="M11" s="191" t="str">
        <f t="shared" si="2"/>
        <v>JPYOIS5M_Quote</v>
      </c>
      <c r="N11" s="189">
        <f>IFERROR(_xll.qlQuoteValue(H13,Trigger),"--")</f>
        <v>-1.8500000000000001E-3</v>
      </c>
      <c r="O11" s="190"/>
      <c r="P11" s="98" t="b">
        <v>1</v>
      </c>
      <c r="Q11" s="95">
        <v>50</v>
      </c>
      <c r="R11" s="95">
        <v>1</v>
      </c>
      <c r="S11" s="95" t="str">
        <f t="shared" si="3"/>
        <v>obj_001e9#0004</v>
      </c>
      <c r="T11" s="99">
        <f>IFERROR(_xll.qlRateHelperEarliestDate(S11,Trigger),"--")</f>
        <v>42563</v>
      </c>
      <c r="U11" s="99">
        <f>IFERROR(_xll.qlRateHelperPillarDate(S11,Trigger),"--")</f>
        <v>42716</v>
      </c>
      <c r="W11" s="3" t="str">
        <f t="shared" si="0"/>
        <v>OIS</v>
      </c>
      <c r="X11" s="3" t="str">
        <v>obj_001eb</v>
      </c>
      <c r="Y11" s="3" t="str">
        <f>IFERROR(_xll.qlRateHelperQuoteName(X11,Trigger),"")</f>
        <v>JPYOIS18M_Quote</v>
      </c>
      <c r="Z11" s="70">
        <f>IFERROR(_xll.qlRateHelperRate(X11,Trigger),"")</f>
        <v>-3.1250000000000002E-3</v>
      </c>
      <c r="AA11" s="103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42563</v>
      </c>
      <c r="AC11" s="4">
        <f>IFERROR(_xll.qlRateHelperPillarDate(X11,Trigger),"")</f>
        <v>43112</v>
      </c>
      <c r="AD11" s="76">
        <v>1.0047251175209293</v>
      </c>
      <c r="AF11" s="153">
        <v>1</v>
      </c>
      <c r="AG11" s="154" t="e">
        <f>_xll.qlCalendarEndOfMonth(Calendar,Settlementdate,Trigger)</f>
        <v>#VALUE!</v>
      </c>
      <c r="AH11" s="154" t="str">
        <f t="shared" ref="AH11:AH23" si="7">Currency&amp;$AH$9&amp;AF11&amp;JumpSuffix&amp;QuoteSuffix</f>
        <v>JPYJump1_SYNTHON_Quote</v>
      </c>
      <c r="AI11" s="155" t="e">
        <f>_xll.qlDayCounterYearFraction("actual/360",AG11,_xll.qlCalendarAdvance(Calendar,AG11,"1D",,,Trigger))</f>
        <v>#NUM!</v>
      </c>
      <c r="AJ11" s="154" t="e">
        <f>IF(_xll.qlQuoteIsValid(AH11,Trigger),_xll.qlQuoteValue(AH11,Trigger),1)</f>
        <v>#NUM!</v>
      </c>
      <c r="AK11" s="157" t="e">
        <f>-LN(AJ11)/AI11</f>
        <v>#NUM!</v>
      </c>
      <c r="AL11" s="158"/>
      <c r="AM11" s="156" t="str">
        <f>IF(ISBLANK(AL11),AH11,EXP(-AL11*AI11))</f>
        <v>JPYJump1_SYNTHON_Quote</v>
      </c>
    </row>
    <row r="12" spans="1:39" ht="11.25" customHeight="1" x14ac:dyDescent="0.2">
      <c r="A12" s="60" t="s">
        <v>91</v>
      </c>
      <c r="B12" s="61" t="s">
        <v>45</v>
      </c>
      <c r="C12" s="62">
        <f t="shared" si="6"/>
        <v>2</v>
      </c>
      <c r="D12" s="211"/>
      <c r="E12" s="211"/>
      <c r="F12" s="211"/>
      <c r="G12" s="63" t="str">
        <f t="shared" si="4"/>
        <v>JPYTonar</v>
      </c>
      <c r="H12" s="65" t="str">
        <f t="shared" si="5"/>
        <v>JPYOIS4M_Quote</v>
      </c>
      <c r="I12" s="215"/>
      <c r="J12" s="182" t="str">
        <f>IF(P10,_xll.qlOISRateHelper(,C12,B12,H12,$G12,,Permanent,Trigger,ObjectOverwrite),"--")</f>
        <v>obj_001e2#0005</v>
      </c>
      <c r="K12" s="50"/>
      <c r="L12" s="187" t="str">
        <f t="shared" si="1"/>
        <v>OIS</v>
      </c>
      <c r="M12" s="191" t="str">
        <f t="shared" si="2"/>
        <v>JPYOIS6M_Quote</v>
      </c>
      <c r="N12" s="189">
        <f>IFERROR(_xll.qlQuoteValue(H14,Trigger),"--")</f>
        <v>-2E-3</v>
      </c>
      <c r="O12" s="190"/>
      <c r="P12" s="98" t="b">
        <v>1</v>
      </c>
      <c r="Q12" s="95">
        <v>50</v>
      </c>
      <c r="R12" s="95">
        <v>1</v>
      </c>
      <c r="S12" s="95" t="str">
        <f t="shared" si="3"/>
        <v>obj_001df#0005</v>
      </c>
      <c r="T12" s="99">
        <f>IFERROR(_xll.qlRateHelperEarliestDate(S12,Trigger),"--")</f>
        <v>42563</v>
      </c>
      <c r="U12" s="99">
        <f>IFERROR(_xll.qlRateHelperPillarDate(S12,Trigger),"--")</f>
        <v>42747</v>
      </c>
      <c r="W12" s="3" t="str">
        <f t="shared" si="0"/>
        <v>OIS</v>
      </c>
      <c r="X12" s="3" t="str">
        <v>obj_001de</v>
      </c>
      <c r="Y12" s="3" t="str">
        <f>IFERROR(_xll.qlRateHelperQuoteName(X12,Trigger),"")</f>
        <v>JPYOIS2Y_Quote</v>
      </c>
      <c r="Z12" s="70">
        <f>IFERROR(_xll.qlRateHelperRate(X12,Trigger),"")</f>
        <v>-3.4000000000000002E-3</v>
      </c>
      <c r="AA12" s="103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42563</v>
      </c>
      <c r="AC12" s="4">
        <f>IFERROR(_xll.qlRateHelperPillarDate(X12,Trigger),"")</f>
        <v>43293</v>
      </c>
      <c r="AD12" s="76">
        <v>1.0068409842346284</v>
      </c>
      <c r="AF12" s="159">
        <v>2</v>
      </c>
      <c r="AG12" s="160" t="e">
        <f>_xll.qlCalendarEndOfMonth(Calendar,_xll.qlCalendarAdvance(Calendar,AG11,"1m","mf",TRUE),Trigger)</f>
        <v>#VALUE!</v>
      </c>
      <c r="AH12" s="160" t="str">
        <f t="shared" si="7"/>
        <v>JPYJump2_SYNTHON_Quote</v>
      </c>
      <c r="AI12" s="161" t="e">
        <f>_xll.qlDayCounterYearFraction("actual/360",AG12,_xll.qlCalendarAdvance(Calendar,AG12,"1D",,,Trigger))</f>
        <v>#NUM!</v>
      </c>
      <c r="AJ12" s="160" t="e">
        <f>IF(_xll.qlQuoteIsValid(AH12,Trigger),_xll.qlQuoteValue(AH12,Trigger),1)</f>
        <v>#NUM!</v>
      </c>
      <c r="AK12" s="163" t="e">
        <f t="shared" ref="AK12:AK23" si="8">-LN(AJ12)/AI12</f>
        <v>#NUM!</v>
      </c>
      <c r="AL12" s="164"/>
      <c r="AM12" s="162" t="str">
        <f t="shared" ref="AM12:AM23" si="9">IF(ISBLANK(AL12),AH12,EXP(-AL12*AI12))</f>
        <v>JPYJump2_SYNTHON_Quote</v>
      </c>
    </row>
    <row r="13" spans="1:39" ht="11.25" customHeight="1" x14ac:dyDescent="0.2">
      <c r="A13" s="60" t="s">
        <v>91</v>
      </c>
      <c r="B13" s="61" t="s">
        <v>46</v>
      </c>
      <c r="C13" s="62">
        <f t="shared" si="6"/>
        <v>2</v>
      </c>
      <c r="D13" s="211"/>
      <c r="E13" s="211"/>
      <c r="F13" s="211"/>
      <c r="G13" s="63" t="str">
        <f t="shared" si="4"/>
        <v>JPYTonar</v>
      </c>
      <c r="H13" s="65" t="str">
        <f t="shared" si="5"/>
        <v>JPYOIS5M_Quote</v>
      </c>
      <c r="I13" s="215"/>
      <c r="J13" s="182" t="str">
        <f>IF(P11,_xll.qlOISRateHelper(,C13,B13,H13,$G13,,Permanent,Trigger,ObjectOverwrite),"--")</f>
        <v>obj_001e9#0004</v>
      </c>
      <c r="K13" s="50"/>
      <c r="L13" s="187" t="str">
        <f t="shared" si="1"/>
        <v>OIS</v>
      </c>
      <c r="M13" s="191" t="str">
        <f t="shared" si="2"/>
        <v>JPYOIS7M_Quote</v>
      </c>
      <c r="N13" s="189" t="str">
        <f>IFERROR(_xll.qlQuoteValue(H15,Trigger),"--")</f>
        <v>--</v>
      </c>
      <c r="O13" s="190"/>
      <c r="P13" s="98" t="b">
        <v>0</v>
      </c>
      <c r="Q13" s="95">
        <v>50</v>
      </c>
      <c r="R13" s="95">
        <v>1</v>
      </c>
      <c r="S13" s="95" t="str">
        <f t="shared" si="3"/>
        <v>--</v>
      </c>
      <c r="T13" s="99" t="str">
        <f>IFERROR(_xll.qlRateHelperEarliestDate(S13,Trigger),"--")</f>
        <v>--</v>
      </c>
      <c r="U13" s="99" t="str">
        <f>IFERROR(_xll.qlRateHelperPillarDate(S13,Trigger),"--")</f>
        <v>--</v>
      </c>
      <c r="W13" s="3" t="str">
        <f t="shared" si="0"/>
        <v>OIS</v>
      </c>
      <c r="X13" s="3" t="str">
        <v>obj_001e0</v>
      </c>
      <c r="Y13" s="3" t="str">
        <f>IFERROR(_xll.qlRateHelperQuoteName(X13,Trigger),"")</f>
        <v>JPYOIS3Y_Quote</v>
      </c>
      <c r="Z13" s="70">
        <f>IFERROR(_xll.qlRateHelperRate(X13,Trigger),"")</f>
        <v>-3.65E-3</v>
      </c>
      <c r="AA13" s="103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42563</v>
      </c>
      <c r="AC13" s="4">
        <f>IFERROR(_xll.qlRateHelperPillarDate(X13,Trigger),"")</f>
        <v>43658</v>
      </c>
      <c r="AD13" s="76">
        <v>1.011033652531125</v>
      </c>
      <c r="AF13" s="159">
        <v>3</v>
      </c>
      <c r="AG13" s="160" t="e">
        <f>_xll.qlCalendarEndOfMonth(Calendar,_xll.qlCalendarAdvance(Calendar,AG12,"1m","mf",TRUE),Trigger)</f>
        <v>#VALUE!</v>
      </c>
      <c r="AH13" s="160" t="str">
        <f t="shared" si="7"/>
        <v>JPYJump3_SYNTHON_Quote</v>
      </c>
      <c r="AI13" s="161" t="e">
        <f>_xll.qlDayCounterYearFraction("actual/360",AG13,_xll.qlCalendarAdvance(Calendar,AG13,"1D",,,Trigger))</f>
        <v>#NUM!</v>
      </c>
      <c r="AJ13" s="160" t="e">
        <f>IF(_xll.qlQuoteIsValid(AH13,Trigger),_xll.qlQuoteValue(AH13,Trigger),1)</f>
        <v>#NUM!</v>
      </c>
      <c r="AK13" s="163" t="e">
        <f t="shared" si="8"/>
        <v>#NUM!</v>
      </c>
      <c r="AL13" s="164"/>
      <c r="AM13" s="162" t="str">
        <f t="shared" si="9"/>
        <v>JPYJump3_SYNTHON_Quote</v>
      </c>
    </row>
    <row r="14" spans="1:39" ht="11.25" customHeight="1" x14ac:dyDescent="0.2">
      <c r="A14" s="60" t="s">
        <v>91</v>
      </c>
      <c r="B14" s="61" t="s">
        <v>3</v>
      </c>
      <c r="C14" s="62">
        <f t="shared" si="6"/>
        <v>2</v>
      </c>
      <c r="D14" s="211"/>
      <c r="E14" s="211"/>
      <c r="F14" s="211"/>
      <c r="G14" s="63" t="str">
        <f t="shared" si="4"/>
        <v>JPYTonar</v>
      </c>
      <c r="H14" s="65" t="str">
        <f t="shared" si="5"/>
        <v>JPYOIS6M_Quote</v>
      </c>
      <c r="I14" s="215"/>
      <c r="J14" s="182" t="str">
        <f>IF(P12,_xll.qlOISRateHelper(,C14,B14,H14,$G14,,Permanent,Trigger,ObjectOverwrite),"--")</f>
        <v>obj_001df#0005</v>
      </c>
      <c r="K14" s="50"/>
      <c r="L14" s="187" t="str">
        <f t="shared" si="1"/>
        <v>OIS</v>
      </c>
      <c r="M14" s="191" t="str">
        <f t="shared" si="2"/>
        <v>JPYOIS8M_Quote</v>
      </c>
      <c r="N14" s="189" t="str">
        <f>IFERROR(_xll.qlQuoteValue(H16,Trigger),"--")</f>
        <v>--</v>
      </c>
      <c r="O14" s="190"/>
      <c r="P14" s="98" t="b">
        <v>0</v>
      </c>
      <c r="Q14" s="95">
        <v>50</v>
      </c>
      <c r="R14" s="95">
        <v>1</v>
      </c>
      <c r="S14" s="95" t="str">
        <f t="shared" si="3"/>
        <v>--</v>
      </c>
      <c r="T14" s="99" t="str">
        <f>IFERROR(_xll.qlRateHelperEarliestDate(S14,Trigger),"--")</f>
        <v>--</v>
      </c>
      <c r="U14" s="99" t="str">
        <f>IFERROR(_xll.qlRateHelperPillarDate(S14,Trigger),"--")</f>
        <v>--</v>
      </c>
      <c r="W14" s="3" t="str">
        <f t="shared" si="0"/>
        <v>OIS</v>
      </c>
      <c r="X14" s="3" t="str">
        <v>obj_001f1</v>
      </c>
      <c r="Y14" s="3" t="str">
        <f>IFERROR(_xll.qlRateHelperQuoteName(X14,Trigger),"")</f>
        <v>JPYOIS4Y_Quote</v>
      </c>
      <c r="Z14" s="70">
        <f>IFERROR(_xll.qlRateHelperRate(X14,Trigger),"")</f>
        <v>-3.7250000000000004E-3</v>
      </c>
      <c r="AA14" s="103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42563</v>
      </c>
      <c r="AC14" s="4">
        <f>IFERROR(_xll.qlRateHelperPillarDate(X14,Trigger),"")</f>
        <v>44025</v>
      </c>
      <c r="AD14" s="76">
        <v>1.0150620231198528</v>
      </c>
      <c r="AF14" s="159">
        <v>4</v>
      </c>
      <c r="AG14" s="160" t="e">
        <f>_xll.qlCalendarEndOfMonth(Calendar,_xll.qlCalendarAdvance(Calendar,AG13,"1m","mf",TRUE),Trigger)</f>
        <v>#VALUE!</v>
      </c>
      <c r="AH14" s="160" t="str">
        <f t="shared" si="7"/>
        <v>JPYJump4_SYNTHON_Quote</v>
      </c>
      <c r="AI14" s="161" t="e">
        <f>_xll.qlDayCounterYearFraction("actual/360",AG14,_xll.qlCalendarAdvance(Calendar,AG14,"1D",,,Trigger))</f>
        <v>#NUM!</v>
      </c>
      <c r="AJ14" s="160" t="e">
        <f>IF(_xll.qlQuoteIsValid(AH14,Trigger),_xll.qlQuoteValue(AH14,Trigger),1)</f>
        <v>#NUM!</v>
      </c>
      <c r="AK14" s="163" t="e">
        <f t="shared" si="8"/>
        <v>#NUM!</v>
      </c>
      <c r="AL14" s="164"/>
      <c r="AM14" s="162" t="str">
        <f t="shared" si="9"/>
        <v>JPYJump4_SYNTHON_Quote</v>
      </c>
    </row>
    <row r="15" spans="1:39" ht="11.25" customHeight="1" x14ac:dyDescent="0.2">
      <c r="A15" s="60" t="s">
        <v>91</v>
      </c>
      <c r="B15" s="61" t="s">
        <v>47</v>
      </c>
      <c r="C15" s="62">
        <f t="shared" si="6"/>
        <v>2</v>
      </c>
      <c r="D15" s="211"/>
      <c r="E15" s="211"/>
      <c r="F15" s="211"/>
      <c r="G15" s="63" t="str">
        <f t="shared" si="4"/>
        <v>JPYTonar</v>
      </c>
      <c r="H15" s="65" t="str">
        <f t="shared" si="5"/>
        <v>JPYOIS7M_Quote</v>
      </c>
      <c r="I15" s="215"/>
      <c r="J15" s="182" t="str">
        <f>IF(P13,_xll.qlOISRateHelper(,C15,B15,H15,$G15,,Permanent,Trigger,ObjectOverwrite),"--")</f>
        <v>--</v>
      </c>
      <c r="K15" s="50"/>
      <c r="L15" s="187" t="str">
        <f t="shared" si="1"/>
        <v>OIS</v>
      </c>
      <c r="M15" s="191" t="str">
        <f t="shared" si="2"/>
        <v>JPYOIS9M_Quote</v>
      </c>
      <c r="N15" s="189">
        <f>IFERROR(_xll.qlQuoteValue(H17,Trigger),"--")</f>
        <v>-2.4000000000000002E-3</v>
      </c>
      <c r="O15" s="190"/>
      <c r="P15" s="98" t="b">
        <v>1</v>
      </c>
      <c r="Q15" s="95">
        <v>50</v>
      </c>
      <c r="R15" s="95">
        <v>1</v>
      </c>
      <c r="S15" s="95" t="str">
        <f t="shared" si="3"/>
        <v>obj_001f0#0005</v>
      </c>
      <c r="T15" s="99">
        <f>IFERROR(_xll.qlRateHelperEarliestDate(S15,Trigger),"--")</f>
        <v>42563</v>
      </c>
      <c r="U15" s="99">
        <f>IFERROR(_xll.qlRateHelperPillarDate(S15,Trigger),"--")</f>
        <v>42837</v>
      </c>
      <c r="W15" s="3" t="str">
        <f t="shared" si="0"/>
        <v>OIS</v>
      </c>
      <c r="X15" s="3" t="str">
        <v>obj_001e6</v>
      </c>
      <c r="Y15" s="3" t="str">
        <f>IFERROR(_xll.qlRateHelperQuoteName(X15,Trigger),"")</f>
        <v>JPYOIS5Y_Quote</v>
      </c>
      <c r="Z15" s="70">
        <f>IFERROR(_xll.qlRateHelperRate(X15,Trigger),"")</f>
        <v>-3.6750000000000003E-3</v>
      </c>
      <c r="AA15" s="103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42563</v>
      </c>
      <c r="AC15" s="4">
        <f>IFERROR(_xll.qlRateHelperPillarDate(X15,Trigger),"")</f>
        <v>44389</v>
      </c>
      <c r="AD15" s="76">
        <v>1.0185930348500132</v>
      </c>
      <c r="AF15" s="159">
        <v>5</v>
      </c>
      <c r="AG15" s="160" t="e">
        <f>_xll.qlCalendarEndOfMonth(Calendar,_xll.qlCalendarAdvance(Calendar,AG14,"1m","mf",TRUE),Trigger)</f>
        <v>#VALUE!</v>
      </c>
      <c r="AH15" s="160" t="str">
        <f t="shared" si="7"/>
        <v>JPYJump5_SYNTHON_Quote</v>
      </c>
      <c r="AI15" s="161" t="e">
        <f>_xll.qlDayCounterYearFraction("actual/360",AG15,_xll.qlCalendarAdvance(Calendar,AG15,"1D",,,Trigger))</f>
        <v>#NUM!</v>
      </c>
      <c r="AJ15" s="160" t="e">
        <f>IF(_xll.qlQuoteIsValid(AH15,Trigger),_xll.qlQuoteValue(AH15,Trigger),1)</f>
        <v>#NUM!</v>
      </c>
      <c r="AK15" s="163" t="e">
        <f t="shared" si="8"/>
        <v>#NUM!</v>
      </c>
      <c r="AL15" s="164"/>
      <c r="AM15" s="162" t="str">
        <f t="shared" si="9"/>
        <v>JPYJump5_SYNTHON_Quote</v>
      </c>
    </row>
    <row r="16" spans="1:39" ht="11.25" customHeight="1" x14ac:dyDescent="0.2">
      <c r="A16" s="60" t="s">
        <v>91</v>
      </c>
      <c r="B16" s="61" t="s">
        <v>48</v>
      </c>
      <c r="C16" s="62">
        <f t="shared" si="6"/>
        <v>2</v>
      </c>
      <c r="D16" s="211"/>
      <c r="E16" s="211"/>
      <c r="F16" s="211"/>
      <c r="G16" s="63" t="str">
        <f t="shared" si="4"/>
        <v>JPYTonar</v>
      </c>
      <c r="H16" s="65" t="str">
        <f t="shared" si="5"/>
        <v>JPYOIS8M_Quote</v>
      </c>
      <c r="I16" s="215"/>
      <c r="J16" s="182" t="str">
        <f>IF(P14,_xll.qlOISRateHelper(,C16,B16,H16,$G16,,Permanent,Trigger,ObjectOverwrite),"--")</f>
        <v>--</v>
      </c>
      <c r="K16" s="50"/>
      <c r="L16" s="187" t="str">
        <f t="shared" si="1"/>
        <v>OIS</v>
      </c>
      <c r="M16" s="191" t="str">
        <f t="shared" si="2"/>
        <v>JPYOIS10M_Quote</v>
      </c>
      <c r="N16" s="189" t="str">
        <f>IFERROR(_xll.qlQuoteValue(H18,Trigger),"--")</f>
        <v>--</v>
      </c>
      <c r="O16" s="190"/>
      <c r="P16" s="98" t="b">
        <v>0</v>
      </c>
      <c r="Q16" s="95">
        <v>50</v>
      </c>
      <c r="R16" s="95">
        <v>1</v>
      </c>
      <c r="S16" s="95" t="str">
        <f t="shared" si="3"/>
        <v>--</v>
      </c>
      <c r="T16" s="99" t="str">
        <f>IFERROR(_xll.qlRateHelperEarliestDate(S16,Trigger),"--")</f>
        <v>--</v>
      </c>
      <c r="U16" s="99" t="str">
        <f>IFERROR(_xll.qlRateHelperPillarDate(S16,Trigger),"--")</f>
        <v>--</v>
      </c>
      <c r="W16" s="3" t="str">
        <f t="shared" si="0"/>
        <v>OIS</v>
      </c>
      <c r="X16" s="3" t="str">
        <v>obj_001e5</v>
      </c>
      <c r="Y16" s="3" t="str">
        <f>IFERROR(_xll.qlRateHelperQuoteName(X16,Trigger),"")</f>
        <v>JPYOIS6Y_Quote</v>
      </c>
      <c r="Z16" s="70">
        <f>IFERROR(_xll.qlRateHelperRate(X16,Trigger),"")</f>
        <v>-3.5250000000000004E-3</v>
      </c>
      <c r="AA16" s="103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42563</v>
      </c>
      <c r="AC16" s="4">
        <f>IFERROR(_xll.qlRateHelperPillarDate(X16,Trigger),"")</f>
        <v>44754</v>
      </c>
      <c r="AD16" s="76">
        <v>1.0214350370725882</v>
      </c>
      <c r="AF16" s="159">
        <v>6</v>
      </c>
      <c r="AG16" s="160" t="e">
        <f>_xll.qlCalendarEndOfMonth(Calendar,_xll.qlCalendarAdvance(Calendar,AG15,"1m","mf",TRUE),Trigger)</f>
        <v>#VALUE!</v>
      </c>
      <c r="AH16" s="160" t="str">
        <f t="shared" si="7"/>
        <v>JPYJump6_SYNTHON_Quote</v>
      </c>
      <c r="AI16" s="161" t="e">
        <f>_xll.qlDayCounterYearFraction("actual/360",AG16,_xll.qlCalendarAdvance(Calendar,AG16,"1D",,,Trigger))</f>
        <v>#NUM!</v>
      </c>
      <c r="AJ16" s="160" t="e">
        <f>IF(_xll.qlQuoteIsValid(AH16,Trigger),_xll.qlQuoteValue(AH16,Trigger),1)</f>
        <v>#NUM!</v>
      </c>
      <c r="AK16" s="163" t="e">
        <f t="shared" si="8"/>
        <v>#NUM!</v>
      </c>
      <c r="AL16" s="164"/>
      <c r="AM16" s="162" t="str">
        <f t="shared" si="9"/>
        <v>JPYJump6_SYNTHON_Quote</v>
      </c>
    </row>
    <row r="17" spans="1:39" ht="11.25" customHeight="1" x14ac:dyDescent="0.2">
      <c r="A17" s="60" t="s">
        <v>91</v>
      </c>
      <c r="B17" s="61" t="s">
        <v>49</v>
      </c>
      <c r="C17" s="62">
        <f t="shared" si="6"/>
        <v>2</v>
      </c>
      <c r="D17" s="211"/>
      <c r="E17" s="211"/>
      <c r="F17" s="211"/>
      <c r="G17" s="63" t="str">
        <f t="shared" si="4"/>
        <v>JPYTonar</v>
      </c>
      <c r="H17" s="65" t="str">
        <f t="shared" si="5"/>
        <v>JPYOIS9M_Quote</v>
      </c>
      <c r="I17" s="215"/>
      <c r="J17" s="182" t="str">
        <f>IF(P15,_xll.qlOISRateHelper(,C17,B17,H17,$G17,,Permanent,Trigger,ObjectOverwrite),"--")</f>
        <v>obj_001f0#0005</v>
      </c>
      <c r="K17" s="50"/>
      <c r="L17" s="187" t="str">
        <f t="shared" si="1"/>
        <v>OIS</v>
      </c>
      <c r="M17" s="191" t="str">
        <f t="shared" si="2"/>
        <v>JPYOIS11M_Quote</v>
      </c>
      <c r="N17" s="189" t="str">
        <f>IFERROR(_xll.qlQuoteValue(H19,Trigger),"--")</f>
        <v>--</v>
      </c>
      <c r="O17" s="190"/>
      <c r="P17" s="98" t="b">
        <v>0</v>
      </c>
      <c r="Q17" s="95">
        <v>50</v>
      </c>
      <c r="R17" s="95">
        <v>1</v>
      </c>
      <c r="S17" s="95" t="str">
        <f t="shared" si="3"/>
        <v>--</v>
      </c>
      <c r="T17" s="99" t="str">
        <f>IFERROR(_xll.qlRateHelperEarliestDate(S17,Trigger),"--")</f>
        <v>--</v>
      </c>
      <c r="U17" s="99" t="str">
        <f>IFERROR(_xll.qlRateHelperPillarDate(S17,Trigger),"--")</f>
        <v>--</v>
      </c>
      <c r="W17" s="3" t="str">
        <f t="shared" si="0"/>
        <v>OIS</v>
      </c>
      <c r="X17" s="3" t="str">
        <v>obj_001f2</v>
      </c>
      <c r="Y17" s="3" t="str">
        <f>IFERROR(_xll.qlRateHelperQuoteName(X17,Trigger),"")</f>
        <v>JPYOIS7Y_Quote</v>
      </c>
      <c r="Z17" s="70">
        <f>IFERROR(_xll.qlRateHelperRate(X17,Trigger),"")</f>
        <v>-3.3E-3</v>
      </c>
      <c r="AA17" s="103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42563</v>
      </c>
      <c r="AC17" s="4">
        <f>IFERROR(_xll.qlRateHelperPillarDate(X17,Trigger),"")</f>
        <v>45119</v>
      </c>
      <c r="AD17" s="76">
        <v>1.0234447474311106</v>
      </c>
      <c r="AF17" s="159">
        <v>7</v>
      </c>
      <c r="AG17" s="160" t="e">
        <f>_xll.qlCalendarEndOfMonth(Calendar,_xll.qlCalendarAdvance(Calendar,AG16,"1m","mf",TRUE),Trigger)</f>
        <v>#VALUE!</v>
      </c>
      <c r="AH17" s="160" t="str">
        <f t="shared" si="7"/>
        <v>JPYJump7_SYNTHON_Quote</v>
      </c>
      <c r="AI17" s="161" t="e">
        <f>_xll.qlDayCounterYearFraction("actual/360",AG17,_xll.qlCalendarAdvance(Calendar,AG17,"1D",,,Trigger))</f>
        <v>#NUM!</v>
      </c>
      <c r="AJ17" s="160" t="e">
        <f>IF(_xll.qlQuoteIsValid(AH17,Trigger),_xll.qlQuoteValue(AH17,Trigger),1)</f>
        <v>#NUM!</v>
      </c>
      <c r="AK17" s="163" t="e">
        <f t="shared" si="8"/>
        <v>#NUM!</v>
      </c>
      <c r="AL17" s="164"/>
      <c r="AM17" s="162" t="str">
        <f t="shared" si="9"/>
        <v>JPYJump7_SYNTHON_Quote</v>
      </c>
    </row>
    <row r="18" spans="1:39" ht="11.25" customHeight="1" x14ac:dyDescent="0.2">
      <c r="A18" s="60" t="s">
        <v>91</v>
      </c>
      <c r="B18" s="61" t="s">
        <v>50</v>
      </c>
      <c r="C18" s="62">
        <f t="shared" si="6"/>
        <v>2</v>
      </c>
      <c r="D18" s="211"/>
      <c r="E18" s="211"/>
      <c r="F18" s="211"/>
      <c r="G18" s="63" t="str">
        <f t="shared" si="4"/>
        <v>JPYTonar</v>
      </c>
      <c r="H18" s="65" t="str">
        <f t="shared" si="5"/>
        <v>JPYOIS10M_Quote</v>
      </c>
      <c r="I18" s="215"/>
      <c r="J18" s="182" t="str">
        <f>IF(P16,_xll.qlOISRateHelper(,C18,B18,H18,$G18,,Permanent,Trigger,ObjectOverwrite),"--")</f>
        <v>--</v>
      </c>
      <c r="K18" s="50"/>
      <c r="L18" s="187" t="str">
        <f t="shared" si="1"/>
        <v>OIS</v>
      </c>
      <c r="M18" s="191" t="str">
        <f t="shared" si="2"/>
        <v>JPYOIS1Y_Quote</v>
      </c>
      <c r="N18" s="189">
        <f>IFERROR(_xll.qlQuoteValue(H20,Trigger),"--")</f>
        <v>-2.725E-3</v>
      </c>
      <c r="O18" s="190"/>
      <c r="P18" s="98" t="b">
        <v>1</v>
      </c>
      <c r="Q18" s="95">
        <v>50</v>
      </c>
      <c r="R18" s="95">
        <v>1</v>
      </c>
      <c r="S18" s="95" t="str">
        <f t="shared" si="3"/>
        <v>obj_001ea#0004</v>
      </c>
      <c r="T18" s="99">
        <f>IFERROR(_xll.qlRateHelperEarliestDate(S18,Trigger),"--")</f>
        <v>42563</v>
      </c>
      <c r="U18" s="99">
        <f>IFERROR(_xll.qlRateHelperPillarDate(S18,Trigger),"--")</f>
        <v>42928</v>
      </c>
      <c r="W18" s="3" t="str">
        <f t="shared" si="0"/>
        <v>OIS</v>
      </c>
      <c r="X18" s="3" t="str">
        <v>obj_001ec</v>
      </c>
      <c r="Y18" s="3" t="str">
        <f>IFERROR(_xll.qlRateHelperQuoteName(X18,Trigger),"")</f>
        <v>JPYOIS8Y_Quote</v>
      </c>
      <c r="Z18" s="70">
        <f>IFERROR(_xll.qlRateHelperRate(X18,Trigger),"")</f>
        <v>-3.075E-3</v>
      </c>
      <c r="AA18" s="103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42563</v>
      </c>
      <c r="AC18" s="4">
        <f>IFERROR(_xll.qlRateHelperPillarDate(X18,Trigger),"")</f>
        <v>45485</v>
      </c>
      <c r="AD18" s="76">
        <v>1.0250073479858719</v>
      </c>
      <c r="AF18" s="159">
        <v>8</v>
      </c>
      <c r="AG18" s="160" t="e">
        <f>_xll.qlCalendarEndOfMonth(Calendar,_xll.qlCalendarAdvance(Calendar,AG17,"1m","mf",TRUE),Trigger)</f>
        <v>#VALUE!</v>
      </c>
      <c r="AH18" s="160" t="str">
        <f t="shared" si="7"/>
        <v>JPYJump8_SYNTHON_Quote</v>
      </c>
      <c r="AI18" s="161" t="e">
        <f>_xll.qlDayCounterYearFraction("actual/360",AG18,_xll.qlCalendarAdvance(Calendar,AG18,"1D",,,Trigger))</f>
        <v>#NUM!</v>
      </c>
      <c r="AJ18" s="160" t="e">
        <f>IF(_xll.qlQuoteIsValid(AH18,Trigger),_xll.qlQuoteValue(AH18,Trigger),1)</f>
        <v>#NUM!</v>
      </c>
      <c r="AK18" s="163" t="e">
        <f t="shared" si="8"/>
        <v>#NUM!</v>
      </c>
      <c r="AL18" s="164"/>
      <c r="AM18" s="162" t="str">
        <f t="shared" si="9"/>
        <v>JPYJump8_SYNTHON_Quote</v>
      </c>
    </row>
    <row r="19" spans="1:39" ht="11.25" customHeight="1" x14ac:dyDescent="0.2">
      <c r="A19" s="60" t="s">
        <v>91</v>
      </c>
      <c r="B19" s="61" t="s">
        <v>51</v>
      </c>
      <c r="C19" s="62">
        <f t="shared" si="6"/>
        <v>2</v>
      </c>
      <c r="D19" s="211"/>
      <c r="E19" s="211"/>
      <c r="F19" s="211"/>
      <c r="G19" s="63" t="str">
        <f t="shared" si="4"/>
        <v>JPYTonar</v>
      </c>
      <c r="H19" s="65" t="str">
        <f t="shared" si="5"/>
        <v>JPYOIS11M_Quote</v>
      </c>
      <c r="I19" s="215"/>
      <c r="J19" s="182" t="str">
        <f>IF(P17,_xll.qlOISRateHelper(,C19,B19,H19,$G19,,Permanent,Trigger,ObjectOverwrite),"--")</f>
        <v>--</v>
      </c>
      <c r="K19" s="50"/>
      <c r="L19" s="187" t="str">
        <f t="shared" si="1"/>
        <v>OIS</v>
      </c>
      <c r="M19" s="191" t="str">
        <f t="shared" si="2"/>
        <v>JPYOIS13M_Quote</v>
      </c>
      <c r="N19" s="189" t="str">
        <f>IFERROR(_xll.qlQuoteValue(H21,Trigger),"--")</f>
        <v>--</v>
      </c>
      <c r="O19" s="190"/>
      <c r="P19" s="98" t="b">
        <v>0</v>
      </c>
      <c r="Q19" s="95">
        <v>50</v>
      </c>
      <c r="R19" s="95">
        <v>1</v>
      </c>
      <c r="S19" s="95" t="str">
        <f t="shared" si="3"/>
        <v>--</v>
      </c>
      <c r="T19" s="99" t="str">
        <f>IFERROR(_xll.qlRateHelperEarliestDate(S19,Trigger),"--")</f>
        <v>--</v>
      </c>
      <c r="U19" s="99" t="str">
        <f>IFERROR(_xll.qlRateHelperPillarDate(S19,Trigger),"--")</f>
        <v>--</v>
      </c>
      <c r="W19" s="3" t="str">
        <f t="shared" si="0"/>
        <v>OIS</v>
      </c>
      <c r="X19" s="3" t="str">
        <v>obj_001ef</v>
      </c>
      <c r="Y19" s="3" t="str">
        <f>IFERROR(_xll.qlRateHelperQuoteName(X19,Trigger),"")</f>
        <v>JPYOIS9Y_Quote</v>
      </c>
      <c r="Z19" s="70">
        <f>IFERROR(_xll.qlRateHelperRate(X19,Trigger),"")</f>
        <v>-2.8750000000000004E-3</v>
      </c>
      <c r="AA19" s="103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42563</v>
      </c>
      <c r="AC19" s="4">
        <f>IFERROR(_xll.qlRateHelperPillarDate(X19,Trigger),"")</f>
        <v>45852</v>
      </c>
      <c r="AD19" s="76">
        <v>1.026348320456288</v>
      </c>
      <c r="AF19" s="159">
        <v>9</v>
      </c>
      <c r="AG19" s="160" t="e">
        <f>_xll.qlCalendarEndOfMonth(Calendar,_xll.qlCalendarAdvance(Calendar,AG18,"1m","mf",TRUE),Trigger)</f>
        <v>#VALUE!</v>
      </c>
      <c r="AH19" s="160" t="str">
        <f t="shared" si="7"/>
        <v>JPYJump9_SYNTHON_Quote</v>
      </c>
      <c r="AI19" s="161" t="e">
        <f>_xll.qlDayCounterYearFraction("actual/360",AG19,_xll.qlCalendarAdvance(Calendar,AG19,"1D",,,Trigger))</f>
        <v>#NUM!</v>
      </c>
      <c r="AJ19" s="160" t="e">
        <f>IF(_xll.qlQuoteIsValid(AH19,Trigger),_xll.qlQuoteValue(AH19,Trigger),1)</f>
        <v>#NUM!</v>
      </c>
      <c r="AK19" s="163" t="e">
        <f t="shared" si="8"/>
        <v>#NUM!</v>
      </c>
      <c r="AL19" s="164"/>
      <c r="AM19" s="162" t="str">
        <f t="shared" si="9"/>
        <v>JPYJump9_SYNTHON_Quote</v>
      </c>
    </row>
    <row r="20" spans="1:39" ht="11.25" customHeight="1" x14ac:dyDescent="0.2">
      <c r="A20" s="60" t="s">
        <v>91</v>
      </c>
      <c r="B20" s="61" t="s">
        <v>26</v>
      </c>
      <c r="C20" s="62">
        <f t="shared" si="6"/>
        <v>2</v>
      </c>
      <c r="D20" s="211"/>
      <c r="E20" s="211"/>
      <c r="F20" s="211"/>
      <c r="G20" s="63" t="str">
        <f t="shared" si="4"/>
        <v>JPYTonar</v>
      </c>
      <c r="H20" s="65" t="str">
        <f t="shared" si="5"/>
        <v>JPYOIS1Y_Quote</v>
      </c>
      <c r="I20" s="215"/>
      <c r="J20" s="182" t="str">
        <f>IF(P18,_xll.qlOISRateHelper(,C20,B20,H20,$G20,,Permanent,Trigger,ObjectOverwrite),"--")</f>
        <v>obj_001ea#0004</v>
      </c>
      <c r="K20" s="50"/>
      <c r="L20" s="187" t="str">
        <f t="shared" si="1"/>
        <v>OIS</v>
      </c>
      <c r="M20" s="191" t="str">
        <f t="shared" si="2"/>
        <v>JPYOIS14M_Quote</v>
      </c>
      <c r="N20" s="189" t="str">
        <f>IFERROR(_xll.qlQuoteValue(H22,Trigger),"--")</f>
        <v>--</v>
      </c>
      <c r="O20" s="190"/>
      <c r="P20" s="98" t="b">
        <v>0</v>
      </c>
      <c r="Q20" s="95">
        <v>50</v>
      </c>
      <c r="R20" s="95">
        <v>1</v>
      </c>
      <c r="S20" s="95" t="str">
        <f t="shared" si="3"/>
        <v>--</v>
      </c>
      <c r="T20" s="99" t="str">
        <f>IFERROR(_xll.qlRateHelperEarliestDate(S20,Trigger),"--")</f>
        <v>--</v>
      </c>
      <c r="U20" s="99" t="str">
        <f>IFERROR(_xll.qlRateHelperPillarDate(S20,Trigger),"--")</f>
        <v>--</v>
      </c>
      <c r="W20" s="3" t="str">
        <f t="shared" si="0"/>
        <v>OIS</v>
      </c>
      <c r="X20" s="3" t="str">
        <v>obj_001f5</v>
      </c>
      <c r="Y20" s="3" t="str">
        <f>IFERROR(_xll.qlRateHelperQuoteName(X20,Trigger),"")</f>
        <v>JPYOIS10Y_Quote</v>
      </c>
      <c r="Z20" s="70">
        <f>IFERROR(_xll.qlRateHelperRate(X20,Trigger),"")</f>
        <v>-2.65E-3</v>
      </c>
      <c r="AA20" s="103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42563</v>
      </c>
      <c r="AC20" s="4">
        <f>IFERROR(_xll.qlRateHelperPillarDate(X20,Trigger),"")</f>
        <v>46216</v>
      </c>
      <c r="AD20" s="76">
        <v>1.0270010322665708</v>
      </c>
      <c r="AF20" s="159">
        <v>10</v>
      </c>
      <c r="AG20" s="160" t="e">
        <f>_xll.qlCalendarEndOfMonth(Calendar,_xll.qlCalendarAdvance(Calendar,AG19,"1m","mf",TRUE),Trigger)</f>
        <v>#VALUE!</v>
      </c>
      <c r="AH20" s="160" t="str">
        <f t="shared" si="7"/>
        <v>JPYJump10_SYNTHON_Quote</v>
      </c>
      <c r="AI20" s="161" t="e">
        <f>_xll.qlDayCounterYearFraction("actual/360",AG20,_xll.qlCalendarAdvance(Calendar,AG20,"1D",,,Trigger))</f>
        <v>#NUM!</v>
      </c>
      <c r="AJ20" s="160" t="e">
        <f>IF(_xll.qlQuoteIsValid(AH20,Trigger),_xll.qlQuoteValue(AH20,Trigger),1)</f>
        <v>#NUM!</v>
      </c>
      <c r="AK20" s="163" t="e">
        <f t="shared" si="8"/>
        <v>#NUM!</v>
      </c>
      <c r="AL20" s="164"/>
      <c r="AM20" s="162" t="str">
        <f t="shared" si="9"/>
        <v>JPYJump10_SYNTHON_Quote</v>
      </c>
    </row>
    <row r="21" spans="1:39" ht="11.25" customHeight="1" x14ac:dyDescent="0.2">
      <c r="A21" s="60" t="s">
        <v>91</v>
      </c>
      <c r="B21" s="61" t="s">
        <v>52</v>
      </c>
      <c r="C21" s="62">
        <f t="shared" ref="C21:C59" si="10">IF(B21="O/N",0,IF(B21="T/N",1,2))</f>
        <v>2</v>
      </c>
      <c r="D21" s="211"/>
      <c r="E21" s="211"/>
      <c r="F21" s="211"/>
      <c r="G21" s="63" t="str">
        <f t="shared" si="4"/>
        <v>JPYTonar</v>
      </c>
      <c r="H21" s="65" t="str">
        <f t="shared" si="5"/>
        <v>JPYOIS13M_Quote</v>
      </c>
      <c r="I21" s="215"/>
      <c r="J21" s="182" t="str">
        <f>IF(P19,_xll.qlOISRateHelper(,C21,B21,H21,$G21,,Permanent,Trigger,ObjectOverwrite),"--")</f>
        <v>--</v>
      </c>
      <c r="K21" s="50"/>
      <c r="L21" s="187" t="str">
        <f t="shared" si="1"/>
        <v>OIS</v>
      </c>
      <c r="M21" s="191" t="str">
        <f t="shared" si="2"/>
        <v>JPYOIS15M_Quote</v>
      </c>
      <c r="N21" s="189" t="str">
        <f>IFERROR(_xll.qlQuoteValue(H23,Trigger),"--")</f>
        <v>--</v>
      </c>
      <c r="O21" s="190"/>
      <c r="P21" s="98" t="b">
        <v>0</v>
      </c>
      <c r="Q21" s="95">
        <v>50</v>
      </c>
      <c r="R21" s="95">
        <v>1</v>
      </c>
      <c r="S21" s="95" t="str">
        <f t="shared" si="3"/>
        <v>--</v>
      </c>
      <c r="T21" s="99" t="str">
        <f>IFERROR(_xll.qlRateHelperEarliestDate(S21,Trigger),"--")</f>
        <v>--</v>
      </c>
      <c r="U21" s="99" t="str">
        <f>IFERROR(_xll.qlRateHelperPillarDate(S21,Trigger),"--")</f>
        <v>--</v>
      </c>
      <c r="W21" s="3" t="str">
        <f t="shared" si="0"/>
        <v>OIS</v>
      </c>
      <c r="X21" s="3" t="str">
        <v>obj_001e8</v>
      </c>
      <c r="Y21" s="3" t="str">
        <f>IFERROR(_xll.qlRateHelperQuoteName(X21,Trigger),"")</f>
        <v>JPYOIS12Y_Quote</v>
      </c>
      <c r="Z21" s="70">
        <f>IFERROR(_xll.qlRateHelperRate(X21,Trigger),"")</f>
        <v>-2.1250000000000002E-3</v>
      </c>
      <c r="AA21" s="103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42563</v>
      </c>
      <c r="AC21" s="4">
        <f>IFERROR(_xll.qlRateHelperPillarDate(X21,Trigger),"")</f>
        <v>46946</v>
      </c>
      <c r="AD21" s="76">
        <v>1.0260156399007156</v>
      </c>
      <c r="AF21" s="159">
        <v>11</v>
      </c>
      <c r="AG21" s="160" t="e">
        <f>_xll.qlCalendarEndOfMonth(Calendar,_xll.qlCalendarAdvance(Calendar,AG20,"1m","mf",TRUE),Trigger)</f>
        <v>#VALUE!</v>
      </c>
      <c r="AH21" s="160" t="str">
        <f t="shared" si="7"/>
        <v>JPYJump11_SYNTHON_Quote</v>
      </c>
      <c r="AI21" s="161" t="e">
        <f>_xll.qlDayCounterYearFraction("actual/360",AG21,_xll.qlCalendarAdvance(Calendar,AG21,"1D",,,Trigger))</f>
        <v>#NUM!</v>
      </c>
      <c r="AJ21" s="160" t="e">
        <f>IF(_xll.qlQuoteIsValid(AH21,Trigger),_xll.qlQuoteValue(AH21,Trigger),1)</f>
        <v>#NUM!</v>
      </c>
      <c r="AK21" s="163" t="e">
        <f t="shared" si="8"/>
        <v>#NUM!</v>
      </c>
      <c r="AL21" s="164"/>
      <c r="AM21" s="162" t="str">
        <f t="shared" si="9"/>
        <v>JPYJump11_SYNTHON_Quote</v>
      </c>
    </row>
    <row r="22" spans="1:39" ht="11.25" customHeight="1" x14ac:dyDescent="0.2">
      <c r="A22" s="60" t="s">
        <v>91</v>
      </c>
      <c r="B22" s="61" t="s">
        <v>53</v>
      </c>
      <c r="C22" s="62">
        <f t="shared" si="10"/>
        <v>2</v>
      </c>
      <c r="D22" s="211"/>
      <c r="E22" s="211"/>
      <c r="F22" s="211"/>
      <c r="G22" s="63" t="str">
        <f t="shared" si="4"/>
        <v>JPYTonar</v>
      </c>
      <c r="H22" s="65" t="str">
        <f t="shared" si="5"/>
        <v>JPYOIS14M_Quote</v>
      </c>
      <c r="I22" s="215"/>
      <c r="J22" s="182" t="str">
        <f>IF(P20,_xll.qlOISRateHelper(,C22,B22,H22,$G22,,Permanent,Trigger,ObjectOverwrite),"--")</f>
        <v>--</v>
      </c>
      <c r="L22" s="187" t="str">
        <f t="shared" si="1"/>
        <v>OIS</v>
      </c>
      <c r="M22" s="191" t="str">
        <f t="shared" si="2"/>
        <v>JPYOIS16M_Quote</v>
      </c>
      <c r="N22" s="189" t="str">
        <f>IFERROR(_xll.qlQuoteValue(H24,Trigger),"--")</f>
        <v>--</v>
      </c>
      <c r="O22" s="190"/>
      <c r="P22" s="98" t="b">
        <v>0</v>
      </c>
      <c r="Q22" s="95">
        <v>50</v>
      </c>
      <c r="R22" s="95">
        <v>1</v>
      </c>
      <c r="S22" s="95" t="str">
        <f t="shared" si="3"/>
        <v>--</v>
      </c>
      <c r="T22" s="99" t="str">
        <f>IFERROR(_xll.qlRateHelperEarliestDate(S22,Trigger),"--")</f>
        <v>--</v>
      </c>
      <c r="U22" s="99" t="str">
        <f>IFERROR(_xll.qlRateHelperPillarDate(S22,Trigger),"--")</f>
        <v>--</v>
      </c>
      <c r="W22" s="3" t="str">
        <f t="shared" si="0"/>
        <v>OIS</v>
      </c>
      <c r="X22" s="3" t="str">
        <v>obj_001f3</v>
      </c>
      <c r="Y22" s="3" t="str">
        <f>IFERROR(_xll.qlRateHelperQuoteName(X22,Trigger),"")</f>
        <v>JPYOIS15Y_Quote</v>
      </c>
      <c r="Z22" s="70">
        <f>IFERROR(_xll.qlRateHelperRate(X22,Trigger),"")</f>
        <v>-1.4750000000000002E-3</v>
      </c>
      <c r="AA22" s="103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42563</v>
      </c>
      <c r="AC22" s="4">
        <f>IFERROR(_xll.qlRateHelperPillarDate(X22,Trigger),"")</f>
        <v>48043</v>
      </c>
      <c r="AD22" s="76">
        <v>1.0225992680277929</v>
      </c>
      <c r="AF22" s="159">
        <v>12</v>
      </c>
      <c r="AG22" s="160" t="e">
        <f>_xll.qlCalendarEndOfMonth(Calendar,_xll.qlCalendarAdvance(Calendar,AG21,"1m","mf",TRUE),Trigger)</f>
        <v>#VALUE!</v>
      </c>
      <c r="AH22" s="160" t="str">
        <f t="shared" si="7"/>
        <v>JPYJump12_SYNTHON_Quote</v>
      </c>
      <c r="AI22" s="161" t="e">
        <f>_xll.qlDayCounterYearFraction("actual/360",AG22,_xll.qlCalendarAdvance(Calendar,AG22,"1D",,,Trigger))</f>
        <v>#NUM!</v>
      </c>
      <c r="AJ22" s="160" t="e">
        <f>IF(_xll.qlQuoteIsValid(AH22,Trigger),_xll.qlQuoteValue(AH22,Trigger),1)</f>
        <v>#NUM!</v>
      </c>
      <c r="AK22" s="163" t="e">
        <f t="shared" si="8"/>
        <v>#NUM!</v>
      </c>
      <c r="AL22" s="164"/>
      <c r="AM22" s="162" t="str">
        <f t="shared" si="9"/>
        <v>JPYJump12_SYNTHON_Quote</v>
      </c>
    </row>
    <row r="23" spans="1:39" ht="11.25" customHeight="1" x14ac:dyDescent="0.2">
      <c r="A23" s="60" t="s">
        <v>91</v>
      </c>
      <c r="B23" s="61" t="s">
        <v>54</v>
      </c>
      <c r="C23" s="62">
        <f t="shared" si="10"/>
        <v>2</v>
      </c>
      <c r="D23" s="211"/>
      <c r="E23" s="211"/>
      <c r="F23" s="211"/>
      <c r="G23" s="63" t="str">
        <f t="shared" si="4"/>
        <v>JPYTonar</v>
      </c>
      <c r="H23" s="65" t="str">
        <f t="shared" si="5"/>
        <v>JPYOIS15M_Quote</v>
      </c>
      <c r="I23" s="215"/>
      <c r="J23" s="182" t="str">
        <f>IF(P21,_xll.qlOISRateHelper(,C23,B23,H23,$G23,,Permanent,Trigger,ObjectOverwrite),"--")</f>
        <v>--</v>
      </c>
      <c r="L23" s="187" t="str">
        <f t="shared" si="1"/>
        <v>OIS</v>
      </c>
      <c r="M23" s="191" t="str">
        <f t="shared" si="2"/>
        <v>JPYOIS17M_Quote</v>
      </c>
      <c r="N23" s="189" t="str">
        <f>IFERROR(_xll.qlQuoteValue(H25,Trigger),"--")</f>
        <v>--</v>
      </c>
      <c r="O23" s="190"/>
      <c r="P23" s="98" t="b">
        <v>0</v>
      </c>
      <c r="Q23" s="95">
        <v>50</v>
      </c>
      <c r="R23" s="95">
        <v>1</v>
      </c>
      <c r="S23" s="95" t="str">
        <f t="shared" si="3"/>
        <v>--</v>
      </c>
      <c r="T23" s="99" t="str">
        <f>IFERROR(_xll.qlRateHelperEarliestDate(S23,Trigger),"--")</f>
        <v>--</v>
      </c>
      <c r="U23" s="99" t="str">
        <f>IFERROR(_xll.qlRateHelperPillarDate(S23,Trigger),"--")</f>
        <v>--</v>
      </c>
      <c r="W23" s="3" t="str">
        <f t="shared" si="0"/>
        <v>OIS</v>
      </c>
      <c r="X23" s="3" t="str">
        <v>obj_001f6</v>
      </c>
      <c r="Y23" s="3" t="str">
        <f>IFERROR(_xll.qlRateHelperQuoteName(X23,Trigger),"")</f>
        <v>JPYOIS20Y_Quote</v>
      </c>
      <c r="Z23" s="70">
        <f>IFERROR(_xll.qlRateHelperRate(X23,Trigger),"")</f>
        <v>-7.5000000000000002E-4</v>
      </c>
      <c r="AA23" s="103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42563</v>
      </c>
      <c r="AC23" s="4">
        <f>IFERROR(_xll.qlRateHelperPillarDate(X23,Trigger),"")</f>
        <v>49870</v>
      </c>
      <c r="AD23" s="76">
        <v>1.0153174904818294</v>
      </c>
      <c r="AF23" s="165">
        <v>13</v>
      </c>
      <c r="AG23" s="166" t="e">
        <f>_xll.qlCalendarAdjust(Calendar,DATE(YEAR(AG11)+1,12,31),"preceding",Trigger)</f>
        <v>#VALUE!</v>
      </c>
      <c r="AH23" s="166" t="str">
        <f t="shared" si="7"/>
        <v>JPYJump13_SYNTHON_Quote</v>
      </c>
      <c r="AI23" s="167" t="e">
        <f>_xll.qlDayCounterYearFraction("actual/360",AG23,_xll.qlCalendarAdvance(Calendar,AG23,"1D",,,Trigger))</f>
        <v>#NUM!</v>
      </c>
      <c r="AJ23" s="166" t="e">
        <f>IF(_xll.qlQuoteIsValid(AH23,Trigger),_xll.qlQuoteValue(AH23,Trigger),1)</f>
        <v>#NUM!</v>
      </c>
      <c r="AK23" s="169" t="e">
        <f t="shared" si="8"/>
        <v>#NUM!</v>
      </c>
      <c r="AL23" s="170"/>
      <c r="AM23" s="168" t="str">
        <f t="shared" si="9"/>
        <v>JPYJump13_SYNTHON_Quote</v>
      </c>
    </row>
    <row r="24" spans="1:39" ht="11.25" customHeight="1" x14ac:dyDescent="0.2">
      <c r="A24" s="60" t="s">
        <v>91</v>
      </c>
      <c r="B24" s="61" t="s">
        <v>55</v>
      </c>
      <c r="C24" s="62">
        <f t="shared" si="10"/>
        <v>2</v>
      </c>
      <c r="D24" s="211"/>
      <c r="E24" s="211"/>
      <c r="F24" s="211"/>
      <c r="G24" s="63" t="str">
        <f t="shared" si="4"/>
        <v>JPYTonar</v>
      </c>
      <c r="H24" s="65" t="str">
        <f t="shared" si="5"/>
        <v>JPYOIS16M_Quote</v>
      </c>
      <c r="I24" s="215"/>
      <c r="J24" s="182" t="str">
        <f>IF(P22,_xll.qlOISRateHelper(,C24,B24,H24,$G24,,Permanent,Trigger,ObjectOverwrite),"--")</f>
        <v>--</v>
      </c>
      <c r="L24" s="187" t="str">
        <f t="shared" si="1"/>
        <v>OIS</v>
      </c>
      <c r="M24" s="191" t="str">
        <f t="shared" si="2"/>
        <v>JPYOIS18M_Quote</v>
      </c>
      <c r="N24" s="189">
        <f>IFERROR(_xll.qlQuoteValue(H26,Trigger),"--")</f>
        <v>-3.1250000000000002E-3</v>
      </c>
      <c r="O24" s="190"/>
      <c r="P24" s="98" t="b">
        <v>1</v>
      </c>
      <c r="Q24" s="95">
        <v>50</v>
      </c>
      <c r="R24" s="95">
        <v>1</v>
      </c>
      <c r="S24" s="95" t="str">
        <f t="shared" si="3"/>
        <v>obj_001eb#0005</v>
      </c>
      <c r="T24" s="99">
        <f>IFERROR(_xll.qlRateHelperEarliestDate(S24,Trigger),"--")</f>
        <v>42563</v>
      </c>
      <c r="U24" s="99">
        <f>IFERROR(_xll.qlRateHelperPillarDate(S24,Trigger),"--")</f>
        <v>43112</v>
      </c>
      <c r="W24" s="3" t="str">
        <f t="shared" si="0"/>
        <v>OIS</v>
      </c>
      <c r="X24" s="3" t="str">
        <v>obj_001ed</v>
      </c>
      <c r="Y24" s="3" t="str">
        <f>IFERROR(_xll.qlRateHelperQuoteName(X24,Trigger),"")</f>
        <v>JPYOIS25Y_Quote</v>
      </c>
      <c r="Z24" s="70">
        <f>IFERROR(_xll.qlRateHelperRate(X24,Trigger),"")</f>
        <v>-5.0000000000000001E-4</v>
      </c>
      <c r="AA24" s="103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42563</v>
      </c>
      <c r="AC24" s="4">
        <f>IFERROR(_xll.qlRateHelperPillarDate(X24,Trigger),"")</f>
        <v>51694</v>
      </c>
      <c r="AD24" s="76">
        <v>1.0127463565349055</v>
      </c>
    </row>
    <row r="25" spans="1:39" ht="11.25" customHeight="1" x14ac:dyDescent="0.2">
      <c r="A25" s="60" t="s">
        <v>91</v>
      </c>
      <c r="B25" s="61" t="s">
        <v>56</v>
      </c>
      <c r="C25" s="62">
        <f t="shared" si="10"/>
        <v>2</v>
      </c>
      <c r="D25" s="211"/>
      <c r="E25" s="211"/>
      <c r="F25" s="211"/>
      <c r="G25" s="63" t="str">
        <f t="shared" si="4"/>
        <v>JPYTonar</v>
      </c>
      <c r="H25" s="65" t="str">
        <f t="shared" si="5"/>
        <v>JPYOIS17M_Quote</v>
      </c>
      <c r="I25" s="215"/>
      <c r="J25" s="182" t="str">
        <f>IF(P23,_xll.qlOISRateHelper(,C25,B25,H25,$G25,,Permanent,Trigger,ObjectOverwrite),"--")</f>
        <v>--</v>
      </c>
      <c r="L25" s="187" t="str">
        <f t="shared" si="1"/>
        <v>OIS</v>
      </c>
      <c r="M25" s="191" t="str">
        <f t="shared" si="2"/>
        <v>JPYOIS19M_Quote</v>
      </c>
      <c r="N25" s="189" t="str">
        <f>IFERROR(_xll.qlQuoteValue(H27,Trigger),"--")</f>
        <v>--</v>
      </c>
      <c r="O25" s="190"/>
      <c r="P25" s="98" t="b">
        <v>0</v>
      </c>
      <c r="Q25" s="95">
        <v>50</v>
      </c>
      <c r="R25" s="95">
        <v>1</v>
      </c>
      <c r="S25" s="95" t="str">
        <f t="shared" si="3"/>
        <v>--</v>
      </c>
      <c r="T25" s="99" t="str">
        <f>IFERROR(_xll.qlRateHelperEarliestDate(S25,Trigger),"--")</f>
        <v>--</v>
      </c>
      <c r="U25" s="99" t="str">
        <f>IFERROR(_xll.qlRateHelperPillarDate(S25,Trigger),"--")</f>
        <v>--</v>
      </c>
      <c r="W25" s="3" t="str">
        <f t="shared" si="0"/>
        <v>OIS</v>
      </c>
      <c r="X25" s="3" t="str">
        <v>obj_001e1</v>
      </c>
      <c r="Y25" s="3" t="str">
        <f>IFERROR(_xll.qlRateHelperQuoteName(X25,Trigger),"")</f>
        <v>JPYOIS30Y_Quote</v>
      </c>
      <c r="Z25" s="70">
        <f>IFERROR(_xll.qlRateHelperRate(X25,Trigger),"")</f>
        <v>-5.0000000000000001E-4</v>
      </c>
      <c r="AA25" s="103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42563</v>
      </c>
      <c r="AC25" s="4">
        <f>IFERROR(_xll.qlRateHelperPillarDate(X25,Trigger),"")</f>
        <v>53520</v>
      </c>
      <c r="AD25" s="76">
        <v>1.0152827066972228</v>
      </c>
    </row>
    <row r="26" spans="1:39" ht="11.25" customHeight="1" x14ac:dyDescent="0.2">
      <c r="A26" s="60" t="s">
        <v>91</v>
      </c>
      <c r="B26" s="61" t="s">
        <v>57</v>
      </c>
      <c r="C26" s="62">
        <f t="shared" si="10"/>
        <v>2</v>
      </c>
      <c r="D26" s="211"/>
      <c r="E26" s="211"/>
      <c r="F26" s="211"/>
      <c r="G26" s="63" t="str">
        <f t="shared" si="4"/>
        <v>JPYTonar</v>
      </c>
      <c r="H26" s="65" t="str">
        <f t="shared" si="5"/>
        <v>JPYOIS18M_Quote</v>
      </c>
      <c r="I26" s="215"/>
      <c r="J26" s="182" t="str">
        <f>IF(P24,_xll.qlOISRateHelper(,C26,B26,H26,$G26,,Permanent,Trigger,ObjectOverwrite),"--")</f>
        <v>obj_001eb#0005</v>
      </c>
      <c r="L26" s="187" t="str">
        <f t="shared" si="1"/>
        <v>OIS</v>
      </c>
      <c r="M26" s="191" t="str">
        <f t="shared" si="2"/>
        <v>JPYOIS20M_Quote</v>
      </c>
      <c r="N26" s="189" t="str">
        <f>IFERROR(_xll.qlQuoteValue(H28,Trigger),"--")</f>
        <v>--</v>
      </c>
      <c r="O26" s="190"/>
      <c r="P26" s="98" t="b">
        <v>0</v>
      </c>
      <c r="Q26" s="95">
        <v>50</v>
      </c>
      <c r="R26" s="95">
        <v>1</v>
      </c>
      <c r="S26" s="95" t="str">
        <f t="shared" si="3"/>
        <v>--</v>
      </c>
      <c r="T26" s="99" t="str">
        <f>IFERROR(_xll.qlRateHelperEarliestDate(S26,Trigger),"--")</f>
        <v>--</v>
      </c>
      <c r="U26" s="99" t="str">
        <f>IFERROR(_xll.qlRateHelperPillarDate(S26,Trigger),"--")</f>
        <v>--</v>
      </c>
      <c r="W26" s="3" t="str">
        <f t="shared" si="0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3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9" ht="11.25" customHeight="1" x14ac:dyDescent="0.2">
      <c r="A27" s="60" t="s">
        <v>91</v>
      </c>
      <c r="B27" s="61" t="s">
        <v>58</v>
      </c>
      <c r="C27" s="62">
        <f t="shared" si="10"/>
        <v>2</v>
      </c>
      <c r="D27" s="211"/>
      <c r="E27" s="211"/>
      <c r="F27" s="211"/>
      <c r="G27" s="63" t="str">
        <f t="shared" si="4"/>
        <v>JPYTonar</v>
      </c>
      <c r="H27" s="65" t="str">
        <f t="shared" si="5"/>
        <v>JPYOIS19M_Quote</v>
      </c>
      <c r="I27" s="215"/>
      <c r="J27" s="182" t="str">
        <f>IF(P25,_xll.qlOISRateHelper(,C27,B27,H27,$G27,,Permanent,Trigger,ObjectOverwrite),"--")</f>
        <v>--</v>
      </c>
      <c r="L27" s="187" t="str">
        <f t="shared" si="1"/>
        <v>OIS</v>
      </c>
      <c r="M27" s="191" t="str">
        <f t="shared" si="2"/>
        <v>JPYOIS21M_Quote</v>
      </c>
      <c r="N27" s="189" t="str">
        <f>IFERROR(_xll.qlQuoteValue(H29,Trigger),"--")</f>
        <v>--</v>
      </c>
      <c r="O27" s="190"/>
      <c r="P27" s="98" t="b">
        <v>0</v>
      </c>
      <c r="Q27" s="95">
        <v>50</v>
      </c>
      <c r="R27" s="95">
        <v>1</v>
      </c>
      <c r="S27" s="95" t="str">
        <f t="shared" si="3"/>
        <v>--</v>
      </c>
      <c r="T27" s="99" t="str">
        <f>IFERROR(_xll.qlRateHelperEarliestDate(S27,Trigger),"--")</f>
        <v>--</v>
      </c>
      <c r="U27" s="99" t="str">
        <f>IFERROR(_xll.qlRateHelperPillarDate(S27,Trigger),"--")</f>
        <v>--</v>
      </c>
      <c r="W27" s="3" t="str">
        <f t="shared" si="0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3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9" ht="11.25" customHeight="1" x14ac:dyDescent="0.2">
      <c r="A28" s="60" t="s">
        <v>91</v>
      </c>
      <c r="B28" s="61" t="s">
        <v>59</v>
      </c>
      <c r="C28" s="62">
        <f t="shared" si="10"/>
        <v>2</v>
      </c>
      <c r="D28" s="211"/>
      <c r="E28" s="211"/>
      <c r="F28" s="211"/>
      <c r="G28" s="63" t="str">
        <f t="shared" si="4"/>
        <v>JPYTonar</v>
      </c>
      <c r="H28" s="65" t="str">
        <f t="shared" si="5"/>
        <v>JPYOIS20M_Quote</v>
      </c>
      <c r="I28" s="215"/>
      <c r="J28" s="182" t="str">
        <f>IF(P26,_xll.qlOISRateHelper(,C28,B28,H28,$G28,,Permanent,Trigger,ObjectOverwrite),"--")</f>
        <v>--</v>
      </c>
      <c r="L28" s="187" t="str">
        <f t="shared" si="1"/>
        <v>OIS</v>
      </c>
      <c r="M28" s="191" t="str">
        <f t="shared" si="2"/>
        <v>JPYOIS22M_Quote</v>
      </c>
      <c r="N28" s="189" t="str">
        <f>IFERROR(_xll.qlQuoteValue(H30,Trigger),"--")</f>
        <v>--</v>
      </c>
      <c r="O28" s="190"/>
      <c r="P28" s="98" t="b">
        <v>0</v>
      </c>
      <c r="Q28" s="95">
        <v>50</v>
      </c>
      <c r="R28" s="95">
        <v>1</v>
      </c>
      <c r="S28" s="95" t="str">
        <f t="shared" si="3"/>
        <v>--</v>
      </c>
      <c r="T28" s="99" t="str">
        <f>IFERROR(_xll.qlRateHelperEarliestDate(S28,Trigger),"--")</f>
        <v>--</v>
      </c>
      <c r="U28" s="99" t="str">
        <f>IFERROR(_xll.qlRateHelperPillarDate(S28,Trigger),"--")</f>
        <v>--</v>
      </c>
      <c r="W28" s="3" t="str">
        <f t="shared" si="0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3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9" ht="11.25" customHeight="1" x14ac:dyDescent="0.2">
      <c r="A29" s="60" t="s">
        <v>91</v>
      </c>
      <c r="B29" s="61" t="s">
        <v>60</v>
      </c>
      <c r="C29" s="62">
        <f t="shared" si="10"/>
        <v>2</v>
      </c>
      <c r="D29" s="211"/>
      <c r="E29" s="211"/>
      <c r="F29" s="211"/>
      <c r="G29" s="63" t="str">
        <f t="shared" si="4"/>
        <v>JPYTonar</v>
      </c>
      <c r="H29" s="65" t="str">
        <f t="shared" si="5"/>
        <v>JPYOIS21M_Quote</v>
      </c>
      <c r="I29" s="215"/>
      <c r="J29" s="182" t="str">
        <f>IF(P27,_xll.qlOISRateHelper(,C29,B29,H29,$G29,,Permanent,Trigger,ObjectOverwrite),"--")</f>
        <v>--</v>
      </c>
      <c r="L29" s="187" t="str">
        <f t="shared" si="1"/>
        <v>OIS</v>
      </c>
      <c r="M29" s="191" t="str">
        <f t="shared" si="2"/>
        <v>JPYOIS23M_Quote</v>
      </c>
      <c r="N29" s="189" t="str">
        <f>IFERROR(_xll.qlQuoteValue(H31,Trigger),"--")</f>
        <v>--</v>
      </c>
      <c r="O29" s="190"/>
      <c r="P29" s="98" t="b">
        <v>0</v>
      </c>
      <c r="Q29" s="95">
        <v>50</v>
      </c>
      <c r="R29" s="95">
        <v>1</v>
      </c>
      <c r="S29" s="95" t="str">
        <f t="shared" si="3"/>
        <v>--</v>
      </c>
      <c r="T29" s="99" t="str">
        <f>IFERROR(_xll.qlRateHelperEarliestDate(S29,Trigger),"--")</f>
        <v>--</v>
      </c>
      <c r="U29" s="99" t="str">
        <f>IFERROR(_xll.qlRateHelperPillarDate(S29,Trigger),"--")</f>
        <v>--</v>
      </c>
      <c r="W29" s="3" t="str">
        <f t="shared" si="0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3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9" ht="11.25" customHeight="1" x14ac:dyDescent="0.2">
      <c r="A30" s="60" t="s">
        <v>91</v>
      </c>
      <c r="B30" s="61" t="s">
        <v>61</v>
      </c>
      <c r="C30" s="62">
        <f t="shared" si="10"/>
        <v>2</v>
      </c>
      <c r="D30" s="211"/>
      <c r="E30" s="211"/>
      <c r="F30" s="211"/>
      <c r="G30" s="63" t="str">
        <f t="shared" si="4"/>
        <v>JPYTonar</v>
      </c>
      <c r="H30" s="65" t="str">
        <f t="shared" si="5"/>
        <v>JPYOIS22M_Quote</v>
      </c>
      <c r="I30" s="215"/>
      <c r="J30" s="182" t="str">
        <f>IF(P28,_xll.qlOISRateHelper(,C30,B30,H30,$G30,,Permanent,Trigger,ObjectOverwrite),"--")</f>
        <v>--</v>
      </c>
      <c r="L30" s="187" t="str">
        <f t="shared" si="1"/>
        <v>OIS</v>
      </c>
      <c r="M30" s="191" t="str">
        <f t="shared" si="2"/>
        <v>JPYOIS2Y_Quote</v>
      </c>
      <c r="N30" s="189">
        <f>IFERROR(_xll.qlQuoteValue(H32,Trigger),"--")</f>
        <v>-3.4000000000000002E-3</v>
      </c>
      <c r="O30" s="190"/>
      <c r="P30" s="98" t="b">
        <v>1</v>
      </c>
      <c r="Q30" s="95">
        <v>50</v>
      </c>
      <c r="R30" s="95">
        <v>1</v>
      </c>
      <c r="S30" s="95" t="str">
        <f t="shared" si="3"/>
        <v>obj_001de#0004</v>
      </c>
      <c r="T30" s="99">
        <f>IFERROR(_xll.qlRateHelperEarliestDate(S30,Trigger),"--")</f>
        <v>42563</v>
      </c>
      <c r="U30" s="99">
        <f>IFERROR(_xll.qlRateHelperPillarDate(S30,Trigger),"--")</f>
        <v>43293</v>
      </c>
      <c r="W30" s="3" t="str">
        <f t="shared" si="0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3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9" ht="11.25" customHeight="1" x14ac:dyDescent="0.2">
      <c r="A31" s="60" t="s">
        <v>91</v>
      </c>
      <c r="B31" s="61" t="s">
        <v>62</v>
      </c>
      <c r="C31" s="62">
        <f t="shared" si="10"/>
        <v>2</v>
      </c>
      <c r="D31" s="211"/>
      <c r="E31" s="211"/>
      <c r="F31" s="211"/>
      <c r="G31" s="63" t="str">
        <f t="shared" si="4"/>
        <v>JPYTonar</v>
      </c>
      <c r="H31" s="65" t="str">
        <f t="shared" si="5"/>
        <v>JPYOIS23M_Quote</v>
      </c>
      <c r="I31" s="215"/>
      <c r="J31" s="182" t="str">
        <f>IF(P29,_xll.qlOISRateHelper(,C31,B31,H31,$G31,,Permanent,Trigger,ObjectOverwrite),"--")</f>
        <v>--</v>
      </c>
      <c r="L31" s="187" t="str">
        <f t="shared" si="1"/>
        <v>OIS</v>
      </c>
      <c r="M31" s="191" t="str">
        <f t="shared" si="2"/>
        <v>JPYOIS27M_Quote</v>
      </c>
      <c r="N31" s="189" t="str">
        <f>IFERROR(_xll.qlQuoteValue(H33,Trigger),"--")</f>
        <v>--</v>
      </c>
      <c r="O31" s="190"/>
      <c r="P31" s="98" t="b">
        <v>0</v>
      </c>
      <c r="Q31" s="95">
        <v>50</v>
      </c>
      <c r="R31" s="95">
        <v>1</v>
      </c>
      <c r="S31" s="95" t="str">
        <f t="shared" si="3"/>
        <v>--</v>
      </c>
      <c r="T31" s="99" t="str">
        <f>IFERROR(_xll.qlRateHelperEarliestDate(S31,Trigger),"--")</f>
        <v>--</v>
      </c>
      <c r="U31" s="99" t="str">
        <f>IFERROR(_xll.qlRateHelperPillarDate(S31,Trigger),"--")</f>
        <v>--</v>
      </c>
      <c r="W31" s="3" t="str">
        <f t="shared" si="0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3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9" ht="11.25" customHeight="1" x14ac:dyDescent="0.2">
      <c r="A32" s="60" t="s">
        <v>91</v>
      </c>
      <c r="B32" s="61" t="s">
        <v>63</v>
      </c>
      <c r="C32" s="62">
        <f t="shared" si="10"/>
        <v>2</v>
      </c>
      <c r="D32" s="211"/>
      <c r="E32" s="211"/>
      <c r="F32" s="211"/>
      <c r="G32" s="63" t="str">
        <f t="shared" si="4"/>
        <v>JPYTonar</v>
      </c>
      <c r="H32" s="65" t="str">
        <f t="shared" si="5"/>
        <v>JPYOIS2Y_Quote</v>
      </c>
      <c r="I32" s="215"/>
      <c r="J32" s="182" t="str">
        <f>IF(P30,_xll.qlOISRateHelper(,C32,B32,H32,$G32,,Permanent,Trigger,ObjectOverwrite),"--")</f>
        <v>obj_001de#0004</v>
      </c>
      <c r="L32" s="187" t="str">
        <f t="shared" si="1"/>
        <v>OIS</v>
      </c>
      <c r="M32" s="191" t="str">
        <f t="shared" si="2"/>
        <v>JPYOIS30M_Quote</v>
      </c>
      <c r="N32" s="189" t="str">
        <f>IFERROR(_xll.qlQuoteValue(H34,Trigger),"--")</f>
        <v>--</v>
      </c>
      <c r="O32" s="190"/>
      <c r="P32" s="98" t="b">
        <v>0</v>
      </c>
      <c r="Q32" s="95">
        <v>50</v>
      </c>
      <c r="R32" s="95">
        <v>1</v>
      </c>
      <c r="S32" s="95" t="str">
        <f t="shared" si="3"/>
        <v>--</v>
      </c>
      <c r="T32" s="99" t="str">
        <f>IFERROR(_xll.qlRateHelperEarliestDate(S32,Trigger),"--")</f>
        <v>--</v>
      </c>
      <c r="U32" s="99" t="str">
        <f>IFERROR(_xll.qlRateHelperPillarDate(S32,Trigger),"--")</f>
        <v>--</v>
      </c>
      <c r="W32" s="3" t="str">
        <f t="shared" si="0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3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91</v>
      </c>
      <c r="B33" s="61" t="s">
        <v>64</v>
      </c>
      <c r="C33" s="62">
        <f t="shared" si="10"/>
        <v>2</v>
      </c>
      <c r="D33" s="211"/>
      <c r="E33" s="211"/>
      <c r="F33" s="211"/>
      <c r="G33" s="63" t="str">
        <f t="shared" si="4"/>
        <v>JPYTonar</v>
      </c>
      <c r="H33" s="65" t="str">
        <f t="shared" si="5"/>
        <v>JPYOIS27M_Quote</v>
      </c>
      <c r="I33" s="215"/>
      <c r="J33" s="182" t="str">
        <f>IF(P31,_xll.qlOISRateHelper(,C33,B33,H33,$G33,,Permanent,Trigger,ObjectOverwrite),"--")</f>
        <v>--</v>
      </c>
      <c r="L33" s="187" t="str">
        <f t="shared" si="1"/>
        <v>OIS</v>
      </c>
      <c r="M33" s="191" t="str">
        <f t="shared" si="2"/>
        <v>JPYOIS33M_Quote</v>
      </c>
      <c r="N33" s="189" t="str">
        <f>IFERROR(_xll.qlQuoteValue(H35,Trigger),"--")</f>
        <v>--</v>
      </c>
      <c r="O33" s="190"/>
      <c r="P33" s="98" t="b">
        <v>0</v>
      </c>
      <c r="Q33" s="95">
        <v>50</v>
      </c>
      <c r="R33" s="95">
        <v>1</v>
      </c>
      <c r="S33" s="95" t="str">
        <f t="shared" si="3"/>
        <v>--</v>
      </c>
      <c r="T33" s="99" t="str">
        <f>IFERROR(_xll.qlRateHelperEarliestDate(S33,Trigger),"--")</f>
        <v>--</v>
      </c>
      <c r="U33" s="99" t="str">
        <f>IFERROR(_xll.qlRateHelperPillarDate(S33,Trigger),"--")</f>
        <v>--</v>
      </c>
      <c r="W33" s="3" t="str">
        <f t="shared" si="0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3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91</v>
      </c>
      <c r="B34" s="61" t="s">
        <v>65</v>
      </c>
      <c r="C34" s="62">
        <f t="shared" si="10"/>
        <v>2</v>
      </c>
      <c r="D34" s="211"/>
      <c r="E34" s="211"/>
      <c r="F34" s="211"/>
      <c r="G34" s="63" t="str">
        <f t="shared" si="4"/>
        <v>JPYTonar</v>
      </c>
      <c r="H34" s="65" t="str">
        <f t="shared" si="5"/>
        <v>JPYOIS30M_Quote</v>
      </c>
      <c r="I34" s="215"/>
      <c r="J34" s="182" t="str">
        <f>IF(P32,_xll.qlOISRateHelper(,C34,B34,H34,$G34,,Permanent,Trigger,ObjectOverwrite),"--")</f>
        <v>--</v>
      </c>
      <c r="L34" s="187" t="str">
        <f t="shared" si="1"/>
        <v>OIS</v>
      </c>
      <c r="M34" s="191" t="str">
        <f t="shared" si="2"/>
        <v>JPYOIS3Y_Quote</v>
      </c>
      <c r="N34" s="189">
        <f>IFERROR(_xll.qlQuoteValue(H36,Trigger),"--")</f>
        <v>-3.65E-3</v>
      </c>
      <c r="O34" s="190"/>
      <c r="P34" s="98" t="b">
        <v>1</v>
      </c>
      <c r="Q34" s="95">
        <v>50</v>
      </c>
      <c r="R34" s="95">
        <v>1</v>
      </c>
      <c r="S34" s="95" t="str">
        <f t="shared" si="3"/>
        <v>obj_001e0#0004</v>
      </c>
      <c r="T34" s="99">
        <f>IFERROR(_xll.qlRateHelperEarliestDate(S34,Trigger),"--")</f>
        <v>42563</v>
      </c>
      <c r="U34" s="99">
        <f>IFERROR(_xll.qlRateHelperPillarDate(S34,Trigger),"--")</f>
        <v>43658</v>
      </c>
      <c r="W34" s="3" t="str">
        <f t="shared" si="0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3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91</v>
      </c>
      <c r="B35" s="61" t="s">
        <v>66</v>
      </c>
      <c r="C35" s="62">
        <f t="shared" si="10"/>
        <v>2</v>
      </c>
      <c r="D35" s="211"/>
      <c r="E35" s="211"/>
      <c r="F35" s="211"/>
      <c r="G35" s="63" t="str">
        <f t="shared" si="4"/>
        <v>JPYTonar</v>
      </c>
      <c r="H35" s="65" t="str">
        <f t="shared" si="5"/>
        <v>JPYOIS33M_Quote</v>
      </c>
      <c r="I35" s="215"/>
      <c r="J35" s="182" t="str">
        <f>IF(P33,_xll.qlOISRateHelper(,C35,B35,H35,$G35,,Permanent,Trigger,ObjectOverwrite),"--")</f>
        <v>--</v>
      </c>
      <c r="L35" s="187" t="str">
        <f t="shared" si="1"/>
        <v>OIS</v>
      </c>
      <c r="M35" s="191" t="str">
        <f t="shared" si="2"/>
        <v>JPYOIS39M_Quote</v>
      </c>
      <c r="N35" s="189" t="str">
        <f>IFERROR(_xll.qlQuoteValue(H37,Trigger),"--")</f>
        <v>--</v>
      </c>
      <c r="O35" s="190"/>
      <c r="P35" s="98" t="b">
        <v>0</v>
      </c>
      <c r="Q35" s="95">
        <v>50</v>
      </c>
      <c r="R35" s="95">
        <v>1</v>
      </c>
      <c r="S35" s="95" t="str">
        <f t="shared" si="3"/>
        <v>--</v>
      </c>
      <c r="T35" s="99" t="str">
        <f>IFERROR(_xll.qlRateHelperEarliestDate(S35,Trigger),"--")</f>
        <v>--</v>
      </c>
      <c r="U35" s="99" t="str">
        <f>IFERROR(_xll.qlRateHelperPillarDate(S35,Trigger),"--")</f>
        <v>--</v>
      </c>
      <c r="W35" s="3" t="str">
        <f t="shared" ref="W35:W57" si="11">IFERROR(INDEX($L$3:$L$57,MATCH(Y35,$M$3:$M$57,0),1),"")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3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91</v>
      </c>
      <c r="B36" s="61" t="s">
        <v>67</v>
      </c>
      <c r="C36" s="62">
        <f t="shared" si="10"/>
        <v>2</v>
      </c>
      <c r="D36" s="211"/>
      <c r="E36" s="211"/>
      <c r="F36" s="211"/>
      <c r="G36" s="63" t="str">
        <f t="shared" si="4"/>
        <v>JPYTonar</v>
      </c>
      <c r="H36" s="65" t="str">
        <f t="shared" si="5"/>
        <v>JPYOIS3Y_Quote</v>
      </c>
      <c r="I36" s="215"/>
      <c r="J36" s="182" t="str">
        <f>IF(P34,_xll.qlOISRateHelper(,C36,B36,H36,$G36,,Permanent,Trigger,ObjectOverwrite),"--")</f>
        <v>obj_001e0#0004</v>
      </c>
      <c r="L36" s="187" t="str">
        <f t="shared" ref="L36:L53" si="12">A38</f>
        <v>OIS</v>
      </c>
      <c r="M36" s="191" t="str">
        <f t="shared" si="2"/>
        <v>JPYOIS42M_Quote</v>
      </c>
      <c r="N36" s="189" t="str">
        <f>IFERROR(_xll.qlQuoteValue(H38,Trigger),"--")</f>
        <v>--</v>
      </c>
      <c r="O36" s="190"/>
      <c r="P36" s="98" t="b">
        <v>0</v>
      </c>
      <c r="Q36" s="95">
        <v>50</v>
      </c>
      <c r="R36" s="95">
        <v>1</v>
      </c>
      <c r="S36" s="95" t="str">
        <f t="shared" si="3"/>
        <v>--</v>
      </c>
      <c r="T36" s="99" t="str">
        <f>IFERROR(_xll.qlRateHelperEarliestDate(S36,Trigger),"--")</f>
        <v>--</v>
      </c>
      <c r="U36" s="99" t="str">
        <f>IFERROR(_xll.qlRateHelperPillarDate(S36,Trigger),"--")</f>
        <v>--</v>
      </c>
      <c r="W36" s="3" t="str">
        <f t="shared" si="11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3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91</v>
      </c>
      <c r="B37" s="61" t="s">
        <v>68</v>
      </c>
      <c r="C37" s="62">
        <f t="shared" si="10"/>
        <v>2</v>
      </c>
      <c r="D37" s="211"/>
      <c r="E37" s="211"/>
      <c r="F37" s="211"/>
      <c r="G37" s="63" t="str">
        <f t="shared" si="4"/>
        <v>JPYTonar</v>
      </c>
      <c r="H37" s="65" t="str">
        <f t="shared" si="5"/>
        <v>JPYOIS39M_Quote</v>
      </c>
      <c r="I37" s="215"/>
      <c r="J37" s="182" t="str">
        <f>IF(P35,_xll.qlOISRateHelper(,C37,B37,H37,$G37,,Permanent,Trigger,ObjectOverwrite),"--")</f>
        <v>--</v>
      </c>
      <c r="L37" s="187" t="str">
        <f t="shared" si="12"/>
        <v>OIS</v>
      </c>
      <c r="M37" s="191" t="str">
        <f t="shared" si="2"/>
        <v>JPYOIS45M_Quote</v>
      </c>
      <c r="N37" s="189" t="str">
        <f>IFERROR(_xll.qlQuoteValue(H39,Trigger),"--")</f>
        <v>--</v>
      </c>
      <c r="O37" s="190"/>
      <c r="P37" s="98" t="b">
        <v>0</v>
      </c>
      <c r="Q37" s="95">
        <v>50</v>
      </c>
      <c r="R37" s="95">
        <v>1</v>
      </c>
      <c r="S37" s="95" t="str">
        <f t="shared" si="3"/>
        <v>--</v>
      </c>
      <c r="T37" s="99" t="str">
        <f>IFERROR(_xll.qlRateHelperEarliestDate(S37,Trigger),"--")</f>
        <v>--</v>
      </c>
      <c r="U37" s="99" t="str">
        <f>IFERROR(_xll.qlRateHelperPillarDate(S37,Trigger),"--")</f>
        <v>--</v>
      </c>
      <c r="W37" s="3" t="str">
        <f t="shared" si="11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3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91</v>
      </c>
      <c r="B38" s="61" t="s">
        <v>69</v>
      </c>
      <c r="C38" s="62">
        <f t="shared" si="10"/>
        <v>2</v>
      </c>
      <c r="D38" s="211"/>
      <c r="E38" s="211"/>
      <c r="F38" s="211"/>
      <c r="G38" s="63" t="str">
        <f t="shared" ref="G38:G59" si="13">Currency&amp;Tenor</f>
        <v>JPYTonar</v>
      </c>
      <c r="H38" s="65" t="str">
        <f t="shared" ref="H38:H59" si="14">Currency&amp;$A38&amp;IF($B38="1W","SW",$B38)&amp;QuoteSuffix</f>
        <v>JPYOIS42M_Quote</v>
      </c>
      <c r="I38" s="215"/>
      <c r="J38" s="182" t="str">
        <f>IF(P36,_xll.qlOISRateHelper(,C38,B38,H38,$G38,,Permanent,Trigger,ObjectOverwrite),"--")</f>
        <v>--</v>
      </c>
      <c r="L38" s="187" t="str">
        <f t="shared" si="12"/>
        <v>OIS</v>
      </c>
      <c r="M38" s="191" t="str">
        <f t="shared" si="2"/>
        <v>JPYOIS4Y_Quote</v>
      </c>
      <c r="N38" s="189">
        <f>IFERROR(_xll.qlQuoteValue(H40,Trigger),"--")</f>
        <v>-3.7250000000000004E-3</v>
      </c>
      <c r="O38" s="190"/>
      <c r="P38" s="98" t="b">
        <v>1</v>
      </c>
      <c r="Q38" s="95">
        <v>50</v>
      </c>
      <c r="R38" s="95">
        <v>1</v>
      </c>
      <c r="S38" s="95" t="str">
        <f t="shared" si="3"/>
        <v>obj_001f1#0005</v>
      </c>
      <c r="T38" s="99">
        <f>IFERROR(_xll.qlRateHelperEarliestDate(S38,Trigger),"--")</f>
        <v>42563</v>
      </c>
      <c r="U38" s="99">
        <f>IFERROR(_xll.qlRateHelperPillarDate(S38,Trigger),"--")</f>
        <v>44025</v>
      </c>
      <c r="W38" s="3" t="str">
        <f t="shared" si="11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3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91</v>
      </c>
      <c r="B39" s="61" t="s">
        <v>70</v>
      </c>
      <c r="C39" s="62">
        <f t="shared" si="10"/>
        <v>2</v>
      </c>
      <c r="D39" s="211"/>
      <c r="E39" s="211"/>
      <c r="F39" s="211"/>
      <c r="G39" s="63" t="str">
        <f t="shared" si="13"/>
        <v>JPYTonar</v>
      </c>
      <c r="H39" s="65" t="str">
        <f t="shared" si="14"/>
        <v>JPYOIS45M_Quote</v>
      </c>
      <c r="I39" s="215"/>
      <c r="J39" s="182" t="str">
        <f>IF(P37,_xll.qlOISRateHelper(,C39,B39,H39,$G39,,Permanent,Trigger,ObjectOverwrite),"--")</f>
        <v>--</v>
      </c>
      <c r="L39" s="187" t="str">
        <f t="shared" si="12"/>
        <v>OIS</v>
      </c>
      <c r="M39" s="191" t="str">
        <f t="shared" si="2"/>
        <v>JPYOIS51M_Quote</v>
      </c>
      <c r="N39" s="189" t="str">
        <f>IFERROR(_xll.qlQuoteValue(H41,Trigger),"--")</f>
        <v>--</v>
      </c>
      <c r="O39" s="190"/>
      <c r="P39" s="98" t="b">
        <v>0</v>
      </c>
      <c r="Q39" s="95">
        <v>50</v>
      </c>
      <c r="R39" s="95">
        <v>1</v>
      </c>
      <c r="S39" s="95" t="str">
        <f t="shared" si="3"/>
        <v>--</v>
      </c>
      <c r="T39" s="99" t="str">
        <f>IFERROR(_xll.qlRateHelperEarliestDate(S39,Trigger),"--")</f>
        <v>--</v>
      </c>
      <c r="U39" s="99" t="str">
        <f>IFERROR(_xll.qlRateHelperPillarDate(S39,Trigger),"--")</f>
        <v>--</v>
      </c>
      <c r="W39" s="3" t="str">
        <f t="shared" si="11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3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91</v>
      </c>
      <c r="B40" s="61" t="s">
        <v>71</v>
      </c>
      <c r="C40" s="62">
        <f t="shared" si="10"/>
        <v>2</v>
      </c>
      <c r="D40" s="211"/>
      <c r="E40" s="211"/>
      <c r="F40" s="211"/>
      <c r="G40" s="63" t="str">
        <f t="shared" si="13"/>
        <v>JPYTonar</v>
      </c>
      <c r="H40" s="65" t="str">
        <f t="shared" si="14"/>
        <v>JPYOIS4Y_Quote</v>
      </c>
      <c r="I40" s="215"/>
      <c r="J40" s="182" t="str">
        <f>IF(P38,_xll.qlOISRateHelper(,C40,B40,H40,$G40,,Permanent,Trigger,ObjectOverwrite),"--")</f>
        <v>obj_001f1#0005</v>
      </c>
      <c r="L40" s="187" t="str">
        <f t="shared" si="12"/>
        <v>OIS</v>
      </c>
      <c r="M40" s="191" t="str">
        <f t="shared" si="2"/>
        <v>JPYOIS54M_Quote</v>
      </c>
      <c r="N40" s="189" t="str">
        <f>IFERROR(_xll.qlQuoteValue(H42,Trigger),"--")</f>
        <v>--</v>
      </c>
      <c r="O40" s="190"/>
      <c r="P40" s="98" t="b">
        <v>0</v>
      </c>
      <c r="Q40" s="95">
        <v>50</v>
      </c>
      <c r="R40" s="95">
        <v>1</v>
      </c>
      <c r="S40" s="95" t="str">
        <f t="shared" si="3"/>
        <v>--</v>
      </c>
      <c r="T40" s="99" t="str">
        <f>IFERROR(_xll.qlRateHelperEarliestDate(S40,Trigger),"--")</f>
        <v>--</v>
      </c>
      <c r="U40" s="99" t="str">
        <f>IFERROR(_xll.qlRateHelperPillarDate(S40,Trigger),"--")</f>
        <v>--</v>
      </c>
      <c r="W40" s="3" t="str">
        <f t="shared" si="11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3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91</v>
      </c>
      <c r="B41" s="61" t="s">
        <v>72</v>
      </c>
      <c r="C41" s="62">
        <f t="shared" si="10"/>
        <v>2</v>
      </c>
      <c r="D41" s="211"/>
      <c r="E41" s="211"/>
      <c r="F41" s="211"/>
      <c r="G41" s="63" t="str">
        <f t="shared" si="13"/>
        <v>JPYTonar</v>
      </c>
      <c r="H41" s="65" t="str">
        <f t="shared" si="14"/>
        <v>JPYOIS51M_Quote</v>
      </c>
      <c r="I41" s="215"/>
      <c r="J41" s="182" t="str">
        <f>IF(P39,_xll.qlOISRateHelper(,C41,B41,H41,$G41,,Permanent,Trigger,ObjectOverwrite),"--")</f>
        <v>--</v>
      </c>
      <c r="L41" s="187" t="str">
        <f t="shared" si="12"/>
        <v>OIS</v>
      </c>
      <c r="M41" s="191" t="str">
        <f t="shared" si="2"/>
        <v>JPYOIS57M_Quote</v>
      </c>
      <c r="N41" s="189" t="str">
        <f>IFERROR(_xll.qlQuoteValue(H43,Trigger),"--")</f>
        <v>--</v>
      </c>
      <c r="O41" s="190"/>
      <c r="P41" s="98" t="b">
        <v>0</v>
      </c>
      <c r="Q41" s="95">
        <v>50</v>
      </c>
      <c r="R41" s="95">
        <v>1</v>
      </c>
      <c r="S41" s="95" t="str">
        <f t="shared" si="3"/>
        <v>--</v>
      </c>
      <c r="T41" s="99" t="str">
        <f>IFERROR(_xll.qlRateHelperEarliestDate(S41,Trigger),"--")</f>
        <v>--</v>
      </c>
      <c r="U41" s="99" t="str">
        <f>IFERROR(_xll.qlRateHelperPillarDate(S41,Trigger),"--")</f>
        <v>--</v>
      </c>
      <c r="W41" s="3" t="str">
        <f t="shared" si="11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3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91</v>
      </c>
      <c r="B42" s="61" t="s">
        <v>73</v>
      </c>
      <c r="C42" s="62">
        <f t="shared" si="10"/>
        <v>2</v>
      </c>
      <c r="D42" s="211"/>
      <c r="E42" s="211"/>
      <c r="F42" s="211"/>
      <c r="G42" s="63" t="str">
        <f t="shared" si="13"/>
        <v>JPYTonar</v>
      </c>
      <c r="H42" s="65" t="str">
        <f t="shared" si="14"/>
        <v>JPYOIS54M_Quote</v>
      </c>
      <c r="I42" s="215"/>
      <c r="J42" s="182" t="str">
        <f>IF(P40,_xll.qlOISRateHelper(,C42,B42,H42,$G42,,Permanent,Trigger,ObjectOverwrite),"--")</f>
        <v>--</v>
      </c>
      <c r="L42" s="187" t="str">
        <f t="shared" si="12"/>
        <v>OIS</v>
      </c>
      <c r="M42" s="191" t="str">
        <f t="shared" si="2"/>
        <v>JPYOIS5Y_Quote</v>
      </c>
      <c r="N42" s="189">
        <f>IFERROR(_xll.qlQuoteValue(H44,Trigger),"--")</f>
        <v>-3.6750000000000003E-3</v>
      </c>
      <c r="O42" s="190"/>
      <c r="P42" s="98" t="b">
        <v>1</v>
      </c>
      <c r="Q42" s="95">
        <v>50</v>
      </c>
      <c r="R42" s="95">
        <v>1</v>
      </c>
      <c r="S42" s="95" t="str">
        <f t="shared" si="3"/>
        <v>obj_001e6#0004</v>
      </c>
      <c r="T42" s="99">
        <f>IFERROR(_xll.qlRateHelperEarliestDate(S42,Trigger),"--")</f>
        <v>42563</v>
      </c>
      <c r="U42" s="99">
        <f>IFERROR(_xll.qlRateHelperPillarDate(S42,Trigger),"--")</f>
        <v>44389</v>
      </c>
      <c r="W42" s="3" t="str">
        <f t="shared" si="11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3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91</v>
      </c>
      <c r="B43" s="61" t="s">
        <v>74</v>
      </c>
      <c r="C43" s="62">
        <f t="shared" si="10"/>
        <v>2</v>
      </c>
      <c r="D43" s="211"/>
      <c r="E43" s="211"/>
      <c r="F43" s="211"/>
      <c r="G43" s="63" t="str">
        <f t="shared" si="13"/>
        <v>JPYTonar</v>
      </c>
      <c r="H43" s="65" t="str">
        <f t="shared" si="14"/>
        <v>JPYOIS57M_Quote</v>
      </c>
      <c r="I43" s="215"/>
      <c r="J43" s="182" t="str">
        <f>IF(P41,_xll.qlOISRateHelper(,C43,B43,H43,$G43,,Permanent,Trigger,ObjectOverwrite),"--")</f>
        <v>--</v>
      </c>
      <c r="L43" s="187" t="str">
        <f t="shared" si="12"/>
        <v>OIS</v>
      </c>
      <c r="M43" s="191" t="str">
        <f t="shared" si="2"/>
        <v>JPYOIS6Y_Quote</v>
      </c>
      <c r="N43" s="189">
        <f>IFERROR(_xll.qlQuoteValue(H45,Trigger),"--")</f>
        <v>-3.5250000000000004E-3</v>
      </c>
      <c r="O43" s="190"/>
      <c r="P43" s="98" t="b">
        <v>1</v>
      </c>
      <c r="Q43" s="95">
        <v>50</v>
      </c>
      <c r="R43" s="95">
        <v>1</v>
      </c>
      <c r="S43" s="95" t="str">
        <f t="shared" si="3"/>
        <v>obj_001e5#0005</v>
      </c>
      <c r="T43" s="99">
        <f>IFERROR(_xll.qlRateHelperEarliestDate(S43,Trigger),"--")</f>
        <v>42563</v>
      </c>
      <c r="U43" s="99">
        <f>IFERROR(_xll.qlRateHelperPillarDate(S43,Trigger),"--")</f>
        <v>44754</v>
      </c>
      <c r="W43" s="3" t="str">
        <f t="shared" si="11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3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91</v>
      </c>
      <c r="B44" s="61" t="s">
        <v>75</v>
      </c>
      <c r="C44" s="62">
        <f t="shared" si="10"/>
        <v>2</v>
      </c>
      <c r="D44" s="211"/>
      <c r="E44" s="211"/>
      <c r="F44" s="211"/>
      <c r="G44" s="63" t="str">
        <f t="shared" si="13"/>
        <v>JPYTonar</v>
      </c>
      <c r="H44" s="65" t="str">
        <f t="shared" si="14"/>
        <v>JPYOIS5Y_Quote</v>
      </c>
      <c r="I44" s="215"/>
      <c r="J44" s="182" t="str">
        <f>IF(P42,_xll.qlOISRateHelper(,C44,B44,H44,$G44,,Permanent,Trigger,ObjectOverwrite),"--")</f>
        <v>obj_001e6#0004</v>
      </c>
      <c r="L44" s="187" t="str">
        <f t="shared" si="12"/>
        <v>OIS</v>
      </c>
      <c r="M44" s="191" t="str">
        <f t="shared" si="2"/>
        <v>JPYOIS7Y_Quote</v>
      </c>
      <c r="N44" s="189">
        <f>IFERROR(_xll.qlQuoteValue(H46,Trigger),"--")</f>
        <v>-3.3E-3</v>
      </c>
      <c r="O44" s="190"/>
      <c r="P44" s="98" t="b">
        <v>1</v>
      </c>
      <c r="Q44" s="95">
        <v>50</v>
      </c>
      <c r="R44" s="95">
        <v>1</v>
      </c>
      <c r="S44" s="95" t="str">
        <f t="shared" si="3"/>
        <v>obj_001f2#0005</v>
      </c>
      <c r="T44" s="99">
        <f>IFERROR(_xll.qlRateHelperEarliestDate(S44,Trigger),"--")</f>
        <v>42563</v>
      </c>
      <c r="U44" s="99">
        <f>IFERROR(_xll.qlRateHelperPillarDate(S44,Trigger),"--")</f>
        <v>45119</v>
      </c>
      <c r="W44" s="3" t="str">
        <f t="shared" si="11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3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91</v>
      </c>
      <c r="B45" s="61" t="s">
        <v>76</v>
      </c>
      <c r="C45" s="62">
        <f t="shared" si="10"/>
        <v>2</v>
      </c>
      <c r="D45" s="211"/>
      <c r="E45" s="211"/>
      <c r="F45" s="211"/>
      <c r="G45" s="63" t="str">
        <f t="shared" si="13"/>
        <v>JPYTonar</v>
      </c>
      <c r="H45" s="65" t="str">
        <f t="shared" si="14"/>
        <v>JPYOIS6Y_Quote</v>
      </c>
      <c r="I45" s="215"/>
      <c r="J45" s="182" t="str">
        <f>IF(P43,_xll.qlOISRateHelper(,C45,B45,H45,$G45,,Permanent,Trigger,ObjectOverwrite),"--")</f>
        <v>obj_001e5#0005</v>
      </c>
      <c r="L45" s="187" t="str">
        <f t="shared" si="12"/>
        <v>OIS</v>
      </c>
      <c r="M45" s="191" t="str">
        <f t="shared" si="2"/>
        <v>JPYOIS8Y_Quote</v>
      </c>
      <c r="N45" s="189">
        <f>IFERROR(_xll.qlQuoteValue(H47,Trigger),"--")</f>
        <v>-3.075E-3</v>
      </c>
      <c r="O45" s="190"/>
      <c r="P45" s="98" t="b">
        <v>1</v>
      </c>
      <c r="Q45" s="95">
        <v>50</v>
      </c>
      <c r="R45" s="95">
        <v>1</v>
      </c>
      <c r="S45" s="95" t="str">
        <f t="shared" si="3"/>
        <v>obj_001ec#0004</v>
      </c>
      <c r="T45" s="99">
        <f>IFERROR(_xll.qlRateHelperEarliestDate(S45,Trigger),"--")</f>
        <v>42563</v>
      </c>
      <c r="U45" s="99">
        <f>IFERROR(_xll.qlRateHelperPillarDate(S45,Trigger),"--")</f>
        <v>45485</v>
      </c>
      <c r="W45" s="3" t="str">
        <f t="shared" si="11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3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91</v>
      </c>
      <c r="B46" s="61" t="s">
        <v>77</v>
      </c>
      <c r="C46" s="62">
        <f t="shared" si="10"/>
        <v>2</v>
      </c>
      <c r="D46" s="211"/>
      <c r="E46" s="211"/>
      <c r="F46" s="211"/>
      <c r="G46" s="63" t="str">
        <f t="shared" si="13"/>
        <v>JPYTonar</v>
      </c>
      <c r="H46" s="65" t="str">
        <f t="shared" si="14"/>
        <v>JPYOIS7Y_Quote</v>
      </c>
      <c r="I46" s="215"/>
      <c r="J46" s="182" t="str">
        <f>IF(P44,_xll.qlOISRateHelper(,C46,B46,H46,$G46,,Permanent,Trigger,ObjectOverwrite),"--")</f>
        <v>obj_001f2#0005</v>
      </c>
      <c r="L46" s="187" t="str">
        <f t="shared" si="12"/>
        <v>OIS</v>
      </c>
      <c r="M46" s="191" t="str">
        <f t="shared" si="2"/>
        <v>JPYOIS9Y_Quote</v>
      </c>
      <c r="N46" s="189">
        <f>IFERROR(_xll.qlQuoteValue(H48,Trigger),"--")</f>
        <v>-2.8750000000000004E-3</v>
      </c>
      <c r="O46" s="190"/>
      <c r="P46" s="98" t="b">
        <v>1</v>
      </c>
      <c r="Q46" s="95">
        <v>50</v>
      </c>
      <c r="R46" s="95">
        <v>1</v>
      </c>
      <c r="S46" s="95" t="str">
        <f t="shared" si="3"/>
        <v>obj_001ef#0005</v>
      </c>
      <c r="T46" s="99">
        <f>IFERROR(_xll.qlRateHelperEarliestDate(S46,Trigger),"--")</f>
        <v>42563</v>
      </c>
      <c r="U46" s="99">
        <f>IFERROR(_xll.qlRateHelperPillarDate(S46,Trigger),"--")</f>
        <v>45852</v>
      </c>
      <c r="W46" s="3" t="str">
        <f t="shared" si="11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3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91</v>
      </c>
      <c r="B47" s="61" t="s">
        <v>78</v>
      </c>
      <c r="C47" s="62">
        <f t="shared" si="10"/>
        <v>2</v>
      </c>
      <c r="D47" s="211"/>
      <c r="E47" s="211"/>
      <c r="F47" s="211"/>
      <c r="G47" s="63" t="str">
        <f t="shared" si="13"/>
        <v>JPYTonar</v>
      </c>
      <c r="H47" s="65" t="str">
        <f t="shared" si="14"/>
        <v>JPYOIS8Y_Quote</v>
      </c>
      <c r="I47" s="215"/>
      <c r="J47" s="182" t="str">
        <f>IF(P45,_xll.qlOISRateHelper(,C47,B47,H47,$G47,,Permanent,Trigger,ObjectOverwrite),"--")</f>
        <v>obj_001ec#0004</v>
      </c>
      <c r="L47" s="187" t="str">
        <f t="shared" si="12"/>
        <v>OIS</v>
      </c>
      <c r="M47" s="191" t="str">
        <f t="shared" si="2"/>
        <v>JPYOIS10Y_Quote</v>
      </c>
      <c r="N47" s="189">
        <f>IFERROR(_xll.qlQuoteValue(H49,Trigger),"--")</f>
        <v>-2.65E-3</v>
      </c>
      <c r="O47" s="190"/>
      <c r="P47" s="98" t="b">
        <v>1</v>
      </c>
      <c r="Q47" s="95">
        <v>50</v>
      </c>
      <c r="R47" s="95">
        <v>1</v>
      </c>
      <c r="S47" s="95" t="str">
        <f t="shared" si="3"/>
        <v>obj_001f5#0005</v>
      </c>
      <c r="T47" s="99">
        <f>IFERROR(_xll.qlRateHelperEarliestDate(S47,Trigger),"--")</f>
        <v>42563</v>
      </c>
      <c r="U47" s="99">
        <f>IFERROR(_xll.qlRateHelperPillarDate(S47,Trigger),"--")</f>
        <v>46216</v>
      </c>
      <c r="W47" s="3" t="str">
        <f t="shared" si="11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3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91</v>
      </c>
      <c r="B48" s="61" t="s">
        <v>79</v>
      </c>
      <c r="C48" s="62">
        <f t="shared" si="10"/>
        <v>2</v>
      </c>
      <c r="D48" s="211"/>
      <c r="E48" s="211"/>
      <c r="F48" s="211"/>
      <c r="G48" s="63" t="str">
        <f t="shared" si="13"/>
        <v>JPYTonar</v>
      </c>
      <c r="H48" s="65" t="str">
        <f t="shared" si="14"/>
        <v>JPYOIS9Y_Quote</v>
      </c>
      <c r="I48" s="215"/>
      <c r="J48" s="182" t="str">
        <f>IF(P46,_xll.qlOISRateHelper(,C48,B48,H48,$G48,,Permanent,Trigger,ObjectOverwrite),"--")</f>
        <v>obj_001ef#0005</v>
      </c>
      <c r="L48" s="187" t="str">
        <f t="shared" si="12"/>
        <v>OIS</v>
      </c>
      <c r="M48" s="191" t="str">
        <f t="shared" si="2"/>
        <v>JPYOIS12Y_Quote</v>
      </c>
      <c r="N48" s="189">
        <f>IFERROR(_xll.qlQuoteValue(H50,Trigger),"--")</f>
        <v>-2.1250000000000002E-3</v>
      </c>
      <c r="O48" s="190"/>
      <c r="P48" s="98" t="b">
        <v>1</v>
      </c>
      <c r="Q48" s="95">
        <v>50</v>
      </c>
      <c r="R48" s="95">
        <v>1</v>
      </c>
      <c r="S48" s="95" t="str">
        <f t="shared" si="3"/>
        <v>obj_001e8#0005</v>
      </c>
      <c r="T48" s="99">
        <f>IFERROR(_xll.qlRateHelperEarliestDate(S48,Trigger),"--")</f>
        <v>42563</v>
      </c>
      <c r="U48" s="99">
        <f>IFERROR(_xll.qlRateHelperPillarDate(S48,Trigger),"--")</f>
        <v>46946</v>
      </c>
      <c r="W48" s="3" t="str">
        <f t="shared" si="11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3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91</v>
      </c>
      <c r="B49" s="61" t="s">
        <v>80</v>
      </c>
      <c r="C49" s="62">
        <f t="shared" si="10"/>
        <v>2</v>
      </c>
      <c r="D49" s="211"/>
      <c r="E49" s="211"/>
      <c r="F49" s="211"/>
      <c r="G49" s="63" t="str">
        <f t="shared" si="13"/>
        <v>JPYTonar</v>
      </c>
      <c r="H49" s="65" t="str">
        <f t="shared" si="14"/>
        <v>JPYOIS10Y_Quote</v>
      </c>
      <c r="I49" s="215"/>
      <c r="J49" s="182" t="str">
        <f>IF(P47,_xll.qlOISRateHelper(,C49,B49,H49,$G49,,Permanent,Trigger,ObjectOverwrite),"--")</f>
        <v>obj_001f5#0005</v>
      </c>
      <c r="L49" s="187" t="str">
        <f t="shared" si="12"/>
        <v>OIS</v>
      </c>
      <c r="M49" s="191" t="str">
        <f t="shared" si="2"/>
        <v>JPYOIS15Y_Quote</v>
      </c>
      <c r="N49" s="189">
        <f>IFERROR(_xll.qlQuoteValue(H51,Trigger),"--")</f>
        <v>-1.4750000000000002E-3</v>
      </c>
      <c r="O49" s="190"/>
      <c r="P49" s="98" t="b">
        <v>1</v>
      </c>
      <c r="Q49" s="95">
        <v>50</v>
      </c>
      <c r="R49" s="95">
        <v>1</v>
      </c>
      <c r="S49" s="95" t="str">
        <f t="shared" si="3"/>
        <v>obj_001f3#0005</v>
      </c>
      <c r="T49" s="99">
        <f>IFERROR(_xll.qlRateHelperEarliestDate(S49,Trigger),"--")</f>
        <v>42563</v>
      </c>
      <c r="U49" s="99">
        <f>IFERROR(_xll.qlRateHelperPillarDate(S49,Trigger),"--")</f>
        <v>48043</v>
      </c>
      <c r="W49" s="3" t="str">
        <f t="shared" si="11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3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4" t="e">
        <v>#N/A</v>
      </c>
    </row>
    <row r="50" spans="1:30" ht="11.25" customHeight="1" x14ac:dyDescent="0.2">
      <c r="A50" s="60" t="s">
        <v>91</v>
      </c>
      <c r="B50" s="61" t="s">
        <v>81</v>
      </c>
      <c r="C50" s="62">
        <f t="shared" si="10"/>
        <v>2</v>
      </c>
      <c r="D50" s="211"/>
      <c r="E50" s="211"/>
      <c r="F50" s="211"/>
      <c r="G50" s="63" t="str">
        <f t="shared" si="13"/>
        <v>JPYTonar</v>
      </c>
      <c r="H50" s="65" t="str">
        <f t="shared" si="14"/>
        <v>JPYOIS12Y_Quote</v>
      </c>
      <c r="I50" s="215"/>
      <c r="J50" s="182" t="str">
        <f>IF(P48,_xll.qlOISRateHelper(,C50,B50,H50,$G50,,Permanent,Trigger,ObjectOverwrite),"--")</f>
        <v>obj_001e8#0005</v>
      </c>
      <c r="L50" s="187" t="str">
        <f t="shared" si="12"/>
        <v>OIS</v>
      </c>
      <c r="M50" s="191" t="str">
        <f t="shared" si="2"/>
        <v>JPYOIS20Y_Quote</v>
      </c>
      <c r="N50" s="189">
        <f>IFERROR(_xll.qlQuoteValue(H52,Trigger),"--")</f>
        <v>-7.5000000000000002E-4</v>
      </c>
      <c r="O50" s="190"/>
      <c r="P50" s="98" t="b">
        <v>1</v>
      </c>
      <c r="Q50" s="95">
        <v>50</v>
      </c>
      <c r="R50" s="95">
        <v>1</v>
      </c>
      <c r="S50" s="95" t="str">
        <f t="shared" si="3"/>
        <v>obj_001f6#0005</v>
      </c>
      <c r="T50" s="99">
        <f>IFERROR(_xll.qlRateHelperEarliestDate(S50,Trigger),"--")</f>
        <v>42563</v>
      </c>
      <c r="U50" s="99">
        <f>IFERROR(_xll.qlRateHelperPillarDate(S50,Trigger),"--")</f>
        <v>49870</v>
      </c>
      <c r="W50" s="3" t="str">
        <f t="shared" si="11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3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4" t="e">
        <v>#N/A</v>
      </c>
    </row>
    <row r="51" spans="1:30" ht="11.25" customHeight="1" x14ac:dyDescent="0.2">
      <c r="A51" s="60" t="s">
        <v>91</v>
      </c>
      <c r="B51" s="61" t="s">
        <v>82</v>
      </c>
      <c r="C51" s="62">
        <f t="shared" si="10"/>
        <v>2</v>
      </c>
      <c r="D51" s="211"/>
      <c r="E51" s="211"/>
      <c r="F51" s="211"/>
      <c r="G51" s="63" t="str">
        <f t="shared" si="13"/>
        <v>JPYTonar</v>
      </c>
      <c r="H51" s="65" t="str">
        <f t="shared" si="14"/>
        <v>JPYOIS15Y_Quote</v>
      </c>
      <c r="I51" s="215"/>
      <c r="J51" s="182" t="str">
        <f>IF(P49,_xll.qlOISRateHelper(,C51,B51,H51,$G51,,Permanent,Trigger,ObjectOverwrite),"--")</f>
        <v>obj_001f3#0005</v>
      </c>
      <c r="L51" s="187" t="str">
        <f t="shared" si="12"/>
        <v>OIS</v>
      </c>
      <c r="M51" s="191" t="str">
        <f t="shared" si="2"/>
        <v>JPYOIS25Y_Quote</v>
      </c>
      <c r="N51" s="189">
        <f>IFERROR(_xll.qlQuoteValue(H53,Trigger),"--")</f>
        <v>-5.0000000000000001E-4</v>
      </c>
      <c r="O51" s="190"/>
      <c r="P51" s="98" t="b">
        <v>1</v>
      </c>
      <c r="Q51" s="95">
        <v>50</v>
      </c>
      <c r="R51" s="95">
        <v>1</v>
      </c>
      <c r="S51" s="95" t="str">
        <f t="shared" si="3"/>
        <v>obj_001ed#0004</v>
      </c>
      <c r="T51" s="99">
        <f>IFERROR(_xll.qlRateHelperEarliestDate(S51,Trigger),"--")</f>
        <v>42563</v>
      </c>
      <c r="U51" s="99">
        <f>IFERROR(_xll.qlRateHelperPillarDate(S51,Trigger),"--")</f>
        <v>51694</v>
      </c>
      <c r="W51" s="3" t="str">
        <f t="shared" si="11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3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91</v>
      </c>
      <c r="B52" s="61" t="s">
        <v>83</v>
      </c>
      <c r="C52" s="62">
        <f t="shared" si="10"/>
        <v>2</v>
      </c>
      <c r="D52" s="211"/>
      <c r="E52" s="211"/>
      <c r="F52" s="211"/>
      <c r="G52" s="63" t="str">
        <f t="shared" si="13"/>
        <v>JPYTonar</v>
      </c>
      <c r="H52" s="65" t="str">
        <f t="shared" si="14"/>
        <v>JPYOIS20Y_Quote</v>
      </c>
      <c r="I52" s="215"/>
      <c r="J52" s="182" t="str">
        <f>IF(P50,_xll.qlOISRateHelper(,C52,B52,H52,$G52,,Permanent,Trigger,ObjectOverwrite),"--")</f>
        <v>obj_001f6#0005</v>
      </c>
      <c r="L52" s="187" t="str">
        <f t="shared" si="12"/>
        <v>OIS</v>
      </c>
      <c r="M52" s="191" t="str">
        <f t="shared" si="2"/>
        <v>JPYOIS27Y_Quote</v>
      </c>
      <c r="N52" s="189" t="str">
        <f>IFERROR(_xll.qlQuoteValue(H54,Trigger),"--")</f>
        <v>--</v>
      </c>
      <c r="O52" s="190"/>
      <c r="P52" s="98" t="b">
        <v>0</v>
      </c>
      <c r="Q52" s="95">
        <v>50</v>
      </c>
      <c r="R52" s="95">
        <v>1</v>
      </c>
      <c r="S52" s="95" t="str">
        <f t="shared" si="3"/>
        <v>--</v>
      </c>
      <c r="T52" s="99" t="str">
        <f>IFERROR(_xll.qlRateHelperEarliestDate(S52,Trigger),"--")</f>
        <v>--</v>
      </c>
      <c r="U52" s="99" t="str">
        <f>IFERROR(_xll.qlRateHelperPillarDate(S52,Trigger),"--")</f>
        <v>--</v>
      </c>
      <c r="W52" s="3" t="str">
        <f t="shared" si="11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3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91</v>
      </c>
      <c r="B53" s="61" t="s">
        <v>84</v>
      </c>
      <c r="C53" s="62">
        <f t="shared" si="10"/>
        <v>2</v>
      </c>
      <c r="D53" s="211"/>
      <c r="E53" s="211"/>
      <c r="F53" s="211"/>
      <c r="G53" s="63" t="str">
        <f t="shared" si="13"/>
        <v>JPYTonar</v>
      </c>
      <c r="H53" s="65" t="str">
        <f t="shared" si="14"/>
        <v>JPYOIS25Y_Quote</v>
      </c>
      <c r="I53" s="215"/>
      <c r="J53" s="182" t="str">
        <f>IF(P51,_xll.qlOISRateHelper(,C53,B53,H53,$G53,,Permanent,Trigger,ObjectOverwrite),"--")</f>
        <v>obj_001ed#0004</v>
      </c>
      <c r="L53" s="187" t="str">
        <f t="shared" si="12"/>
        <v>OIS</v>
      </c>
      <c r="M53" s="191" t="str">
        <f t="shared" si="2"/>
        <v>JPYOIS30Y_Quote</v>
      </c>
      <c r="N53" s="189">
        <f>IFERROR(_xll.qlQuoteValue(H55,Trigger),"--")</f>
        <v>-5.0000000000000001E-4</v>
      </c>
      <c r="O53" s="190"/>
      <c r="P53" s="98" t="b">
        <v>1</v>
      </c>
      <c r="Q53" s="95">
        <v>50</v>
      </c>
      <c r="R53" s="95">
        <v>1</v>
      </c>
      <c r="S53" s="95" t="str">
        <f t="shared" si="3"/>
        <v>obj_001e1#0004</v>
      </c>
      <c r="T53" s="99">
        <f>IFERROR(_xll.qlRateHelperEarliestDate(S53,Trigger),"--")</f>
        <v>42563</v>
      </c>
      <c r="U53" s="99">
        <f>IFERROR(_xll.qlRateHelperPillarDate(S53,Trigger),"--")</f>
        <v>53520</v>
      </c>
      <c r="W53" s="3" t="str">
        <f t="shared" si="11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3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91</v>
      </c>
      <c r="B54" s="61" t="s">
        <v>85</v>
      </c>
      <c r="C54" s="62">
        <f t="shared" si="10"/>
        <v>2</v>
      </c>
      <c r="D54" s="211"/>
      <c r="E54" s="211"/>
      <c r="F54" s="211"/>
      <c r="G54" s="63" t="str">
        <f t="shared" si="13"/>
        <v>JPYTonar</v>
      </c>
      <c r="H54" s="65" t="str">
        <f t="shared" si="14"/>
        <v>JPYOIS27Y_Quote</v>
      </c>
      <c r="I54" s="215"/>
      <c r="J54" s="182" t="str">
        <f>IF(P52,_xll.qlOISRateHelper(,C54,B54,H54,$G54,,Permanent,Trigger,ObjectOverwrite),"--")</f>
        <v>--</v>
      </c>
      <c r="L54" s="187" t="str">
        <f t="shared" ref="L54:L57" si="15">A56</f>
        <v>OIS</v>
      </c>
      <c r="M54" s="191" t="str">
        <f t="shared" si="2"/>
        <v>JPYOIS35Y_Quote</v>
      </c>
      <c r="N54" s="189" t="str">
        <f>IFERROR(_xll.qlQuoteValue(H56,Trigger),"--")</f>
        <v>--</v>
      </c>
      <c r="O54" s="190"/>
      <c r="P54" s="98" t="b">
        <v>0</v>
      </c>
      <c r="Q54" s="95">
        <v>50</v>
      </c>
      <c r="R54" s="95">
        <v>1</v>
      </c>
      <c r="S54" s="95" t="str">
        <f t="shared" si="3"/>
        <v>--</v>
      </c>
      <c r="T54" s="99" t="str">
        <f>IFERROR(_xll.qlRateHelperEarliestDate(S54,Trigger),"--")</f>
        <v>--</v>
      </c>
      <c r="U54" s="99" t="str">
        <f>IFERROR(_xll.qlRateHelperPillarDate(S54,Trigger),"--")</f>
        <v>--</v>
      </c>
      <c r="W54" s="3" t="str">
        <f t="shared" si="11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3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91</v>
      </c>
      <c r="B55" s="61" t="s">
        <v>86</v>
      </c>
      <c r="C55" s="62">
        <f t="shared" si="10"/>
        <v>2</v>
      </c>
      <c r="D55" s="211"/>
      <c r="E55" s="211"/>
      <c r="F55" s="211"/>
      <c r="G55" s="63" t="str">
        <f t="shared" si="13"/>
        <v>JPYTonar</v>
      </c>
      <c r="H55" s="65" t="str">
        <f t="shared" si="14"/>
        <v>JPYOIS30Y_Quote</v>
      </c>
      <c r="I55" s="215"/>
      <c r="J55" s="182" t="str">
        <f>IF(P53,_xll.qlOISRateHelper(,C55,B55,H55,$G55,,Permanent,Trigger,ObjectOverwrite),"--")</f>
        <v>obj_001e1#0004</v>
      </c>
      <c r="L55" s="187" t="str">
        <f t="shared" si="15"/>
        <v>OIS</v>
      </c>
      <c r="M55" s="191" t="str">
        <f t="shared" si="2"/>
        <v>JPYOIS40Y_Quote</v>
      </c>
      <c r="N55" s="189" t="str">
        <f>IFERROR(_xll.qlQuoteValue(H57,Trigger),"--")</f>
        <v>--</v>
      </c>
      <c r="O55" s="190"/>
      <c r="P55" s="98" t="b">
        <v>0</v>
      </c>
      <c r="Q55" s="95">
        <v>50</v>
      </c>
      <c r="R55" s="95">
        <v>1</v>
      </c>
      <c r="S55" s="95" t="str">
        <f t="shared" si="3"/>
        <v>--</v>
      </c>
      <c r="T55" s="99" t="str">
        <f>IFERROR(_xll.qlRateHelperEarliestDate(S55,Trigger),"--")</f>
        <v>--</v>
      </c>
      <c r="U55" s="99" t="str">
        <f>IFERROR(_xll.qlRateHelperPillarDate(S55,Trigger),"--")</f>
        <v>--</v>
      </c>
      <c r="W55" s="3" t="str">
        <f t="shared" si="11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3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91</v>
      </c>
      <c r="B56" s="61" t="s">
        <v>87</v>
      </c>
      <c r="C56" s="62">
        <f t="shared" si="10"/>
        <v>2</v>
      </c>
      <c r="D56" s="211"/>
      <c r="E56" s="211"/>
      <c r="F56" s="211"/>
      <c r="G56" s="63" t="str">
        <f t="shared" si="13"/>
        <v>JPYTonar</v>
      </c>
      <c r="H56" s="65" t="str">
        <f t="shared" si="14"/>
        <v>JPYOIS35Y_Quote</v>
      </c>
      <c r="I56" s="215"/>
      <c r="J56" s="182" t="str">
        <f>IF(P54,_xll.qlOISRateHelper(,C56,B56,H56,$G56,,Permanent,Trigger,ObjectOverwrite),"--")</f>
        <v>--</v>
      </c>
      <c r="L56" s="187" t="str">
        <f t="shared" si="15"/>
        <v>OIS</v>
      </c>
      <c r="M56" s="191" t="str">
        <f t="shared" si="2"/>
        <v>JPYOIS45Y_Quote</v>
      </c>
      <c r="N56" s="189" t="str">
        <f>IFERROR(_xll.qlQuoteValue(H58,Trigger),"--")</f>
        <v>--</v>
      </c>
      <c r="O56" s="190"/>
      <c r="P56" s="98" t="b">
        <v>0</v>
      </c>
      <c r="Q56" s="95">
        <v>50</v>
      </c>
      <c r="R56" s="95">
        <v>1</v>
      </c>
      <c r="S56" s="95" t="str">
        <f t="shared" si="3"/>
        <v>--</v>
      </c>
      <c r="T56" s="99" t="str">
        <f>IFERROR(_xll.qlRateHelperEarliestDate(S56,Trigger),"--")</f>
        <v>--</v>
      </c>
      <c r="U56" s="99" t="str">
        <f>IFERROR(_xll.qlRateHelperPillarDate(S56,Trigger),"--")</f>
        <v>--</v>
      </c>
      <c r="W56" s="3" t="str">
        <f t="shared" si="11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3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91</v>
      </c>
      <c r="B57" s="61" t="s">
        <v>88</v>
      </c>
      <c r="C57" s="62">
        <f t="shared" si="10"/>
        <v>2</v>
      </c>
      <c r="D57" s="211"/>
      <c r="E57" s="211"/>
      <c r="F57" s="211"/>
      <c r="G57" s="63" t="str">
        <f t="shared" si="13"/>
        <v>JPYTonar</v>
      </c>
      <c r="H57" s="65" t="str">
        <f t="shared" si="14"/>
        <v>JPYOIS40Y_Quote</v>
      </c>
      <c r="I57" s="215"/>
      <c r="J57" s="182" t="str">
        <f>IF(P55,_xll.qlOISRateHelper(,C57,B57,H57,$G57,,Permanent,Trigger,ObjectOverwrite),"--")</f>
        <v>--</v>
      </c>
      <c r="L57" s="183" t="str">
        <f t="shared" si="15"/>
        <v>OIS</v>
      </c>
      <c r="M57" s="192" t="str">
        <f t="shared" si="2"/>
        <v>JPYOIS50Y_Quote</v>
      </c>
      <c r="N57" s="185" t="str">
        <f>IFERROR(_xll.qlQuoteValue(H59,Trigger),"--")</f>
        <v>--</v>
      </c>
      <c r="O57" s="186"/>
      <c r="P57" s="100" t="b">
        <v>0</v>
      </c>
      <c r="Q57" s="96">
        <v>50</v>
      </c>
      <c r="R57" s="96">
        <v>1</v>
      </c>
      <c r="S57" s="96" t="str">
        <f t="shared" si="3"/>
        <v>--</v>
      </c>
      <c r="T57" s="101" t="str">
        <f>IFERROR(_xll.qlRateHelperEarliestDate(S57,Trigger),"--")</f>
        <v>--</v>
      </c>
      <c r="U57" s="101" t="str">
        <f>IFERROR(_xll.qlRateHelperPillarDate(S57,Trigger),"--")</f>
        <v>--</v>
      </c>
      <c r="W57" s="5" t="str">
        <f t="shared" si="11"/>
        <v/>
      </c>
      <c r="X57" s="5" t="e">
        <v>#N/A</v>
      </c>
      <c r="Y57" s="5" t="str">
        <f>IFERROR(_xll.qlRateHelperQuoteName(X57,Trigger),"")</f>
        <v/>
      </c>
      <c r="Z57" s="78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10" t="str">
        <f>IFERROR(_xll.qlRateHelperEarliestDate(X57,Trigger),"")</f>
        <v/>
      </c>
      <c r="AC57" s="10" t="str">
        <f>IFERROR(_xll.qlRateHelperPillarDate(X57,Trigger),"")</f>
        <v/>
      </c>
      <c r="AD57" s="10" t="e">
        <v>#N/A</v>
      </c>
    </row>
    <row r="58" spans="1:30" ht="11.25" customHeight="1" x14ac:dyDescent="0.2">
      <c r="A58" s="60" t="s">
        <v>91</v>
      </c>
      <c r="B58" s="61" t="s">
        <v>89</v>
      </c>
      <c r="C58" s="62">
        <f t="shared" si="10"/>
        <v>2</v>
      </c>
      <c r="D58" s="211"/>
      <c r="E58" s="211"/>
      <c r="F58" s="211"/>
      <c r="G58" s="63" t="str">
        <f t="shared" si="13"/>
        <v>JPYTonar</v>
      </c>
      <c r="H58" s="65" t="str">
        <f t="shared" si="14"/>
        <v>JPYOIS45Y_Quote</v>
      </c>
      <c r="I58" s="215"/>
      <c r="J58" s="182" t="str">
        <f>IF(P56,_xll.qlOISRateHelper(,C58,B58,H58,$G58,,Permanent,Trigger,ObjectOverwrite),"--")</f>
        <v>--</v>
      </c>
      <c r="Y58" s="193" t="str">
        <f>_xll.ohGroup("JPYON_instruments",Y3:Y57,Permanent,Trigger,ObjectOverwrite)</f>
        <v>JPYON_instruments#0012</v>
      </c>
    </row>
    <row r="59" spans="1:30" ht="11.25" customHeight="1" x14ac:dyDescent="0.2">
      <c r="A59" s="1" t="s">
        <v>91</v>
      </c>
      <c r="B59" s="8" t="s">
        <v>90</v>
      </c>
      <c r="C59" s="6">
        <f t="shared" si="10"/>
        <v>2</v>
      </c>
      <c r="D59" s="212"/>
      <c r="E59" s="212"/>
      <c r="F59" s="212"/>
      <c r="G59" s="7" t="str">
        <f t="shared" si="13"/>
        <v>JPYTonar</v>
      </c>
      <c r="H59" s="2" t="str">
        <f t="shared" si="14"/>
        <v>JPYOIS50Y_Quote</v>
      </c>
      <c r="I59" s="213"/>
      <c r="J59" s="180" t="str">
        <f>IF(P57,_xll.qlOISRateHelper(,C59,B59,H59,$G59,,Permanent,Trigger,ObjectOverwrite),"--")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G2:AK2"/>
  </mergeCells>
  <dataValidations count="3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F3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5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10.7109375" style="48" hidden="1" customWidth="1" outlineLevel="1"/>
    <col min="10" max="10" width="15.7109375" style="102" hidden="1" customWidth="1" outlineLevel="1"/>
    <col min="11" max="11" width="2.7109375" style="48" customWidth="1" collapsed="1"/>
    <col min="12" max="12" width="5" style="48" hidden="1" customWidth="1" outlineLevel="1"/>
    <col min="13" max="13" width="21.42578125" style="102" hidden="1" customWidth="1" outlineLevel="1"/>
    <col min="14" max="15" width="9.7109375" style="102" hidden="1" customWidth="1" outlineLevel="1"/>
    <col min="16" max="16" width="7.85546875" style="102" hidden="1" customWidth="1" outlineLevel="1"/>
    <col min="17" max="17" width="9" style="102" hidden="1" customWidth="1" outlineLevel="1"/>
    <col min="18" max="18" width="5.85546875" style="102" hidden="1" customWidth="1" outlineLevel="1"/>
    <col min="19" max="19" width="15.140625" style="102" hidden="1" customWidth="1" outlineLevel="1"/>
    <col min="20" max="21" width="10.7109375" style="102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.7109375" style="152" customWidth="1"/>
    <col min="33" max="33" width="24.42578125" style="48" bestFit="1" customWidth="1"/>
    <col min="34" max="34" width="24.42578125" style="48" hidden="1" customWidth="1" outlineLevel="1"/>
    <col min="35" max="35" width="7" style="48" hidden="1" customWidth="1" outlineLevel="1"/>
    <col min="36" max="36" width="8.85546875" style="48" hidden="1" customWidth="1" outlineLevel="1"/>
    <col min="37" max="37" width="9" style="48" bestFit="1" customWidth="1" collapsed="1"/>
    <col min="38" max="38" width="10" style="48" bestFit="1" customWidth="1"/>
    <col min="39" max="39" width="24.42578125" style="48" bestFit="1" customWidth="1"/>
    <col min="40" max="40" width="2.7109375" style="152" customWidth="1"/>
    <col min="41" max="16384" width="9.140625" style="48"/>
  </cols>
  <sheetData>
    <row r="1" spans="1:39" ht="18" customHeight="1" x14ac:dyDescent="0.2">
      <c r="G1" s="52" t="s">
        <v>0</v>
      </c>
      <c r="H1" s="52" t="str">
        <f>"_SYNTH"&amp;Tenor</f>
        <v>_SYNTH3M</v>
      </c>
      <c r="L1" s="68" t="s">
        <v>159</v>
      </c>
      <c r="M1" s="105"/>
      <c r="N1" s="105"/>
      <c r="O1" s="97"/>
      <c r="P1" s="105" t="s">
        <v>23</v>
      </c>
      <c r="Q1" s="105"/>
      <c r="R1" s="105"/>
      <c r="S1" s="105"/>
      <c r="T1" s="105"/>
      <c r="U1" s="97"/>
      <c r="V1" s="94"/>
      <c r="W1" s="73" t="str">
        <f>Currency&amp;Tenor</f>
        <v>JPY3M</v>
      </c>
      <c r="X1" s="67"/>
      <c r="Y1" s="67"/>
      <c r="Z1" s="69"/>
      <c r="AA1" s="69"/>
      <c r="AB1" s="67"/>
      <c r="AC1" s="67"/>
      <c r="AD1" s="71" t="s">
        <v>30</v>
      </c>
    </row>
    <row r="2" spans="1:39" ht="21.75" customHeight="1" x14ac:dyDescent="0.2">
      <c r="A2" s="66" t="s">
        <v>8</v>
      </c>
      <c r="B2" s="66" t="s">
        <v>27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23</v>
      </c>
      <c r="L2" s="72" t="s">
        <v>8</v>
      </c>
      <c r="M2" s="72" t="s">
        <v>98</v>
      </c>
      <c r="N2" s="72" t="s">
        <v>101</v>
      </c>
      <c r="O2" s="72" t="s">
        <v>103</v>
      </c>
      <c r="P2" s="72" t="s">
        <v>99</v>
      </c>
      <c r="Q2" s="72" t="s">
        <v>100</v>
      </c>
      <c r="R2" s="72" t="s">
        <v>102</v>
      </c>
      <c r="S2" s="72" t="s">
        <v>23</v>
      </c>
      <c r="T2" s="72" t="s">
        <v>21</v>
      </c>
      <c r="U2" s="72" t="s">
        <v>95</v>
      </c>
      <c r="V2" s="94"/>
      <c r="W2" s="72" t="s">
        <v>8</v>
      </c>
      <c r="X2" s="72" t="s">
        <v>23</v>
      </c>
      <c r="Y2" s="72" t="s">
        <v>98</v>
      </c>
      <c r="Z2" s="74" t="s">
        <v>22</v>
      </c>
      <c r="AA2" s="74" t="s">
        <v>103</v>
      </c>
      <c r="AB2" s="72" t="s">
        <v>21</v>
      </c>
      <c r="AC2" s="72" t="s">
        <v>95</v>
      </c>
      <c r="AD2" s="75">
        <f t="array" ref="AD2:AD57">_xll.qlPiecewiseYieldCurveData(YieldCurve_3M,Trigger)</f>
        <v>1</v>
      </c>
      <c r="AE2" s="152"/>
      <c r="AG2" s="207" t="s">
        <v>104</v>
      </c>
      <c r="AH2" s="208"/>
      <c r="AI2" s="208"/>
      <c r="AJ2" s="208"/>
      <c r="AK2" s="209"/>
    </row>
    <row r="3" spans="1:39" ht="11.25" customHeight="1" x14ac:dyDescent="0.2">
      <c r="A3" s="109" t="s">
        <v>25</v>
      </c>
      <c r="B3" s="110" t="s">
        <v>94</v>
      </c>
      <c r="C3" s="216"/>
      <c r="D3" s="121"/>
      <c r="E3" s="121"/>
      <c r="F3" s="121"/>
      <c r="G3" s="111" t="str">
        <f>_xll.qlLibor(,Currency,B3,,Permanent,Trigger,ObjectOverwrite)</f>
        <v>obj_00223#0018</v>
      </c>
      <c r="H3" s="118" t="str">
        <f t="shared" ref="H3:H9" si="0">Currency&amp;$B3&amp;"D"&amp;$H$1&amp;QuoteSuffix</f>
        <v>JPYSND_SYNTH3M_Quote</v>
      </c>
      <c r="I3" s="121"/>
      <c r="J3" s="194" t="str">
        <f>IF(P3,_xll.qlDepositRateHelper(,H3,G3,Permanent,Trigger,ObjectOverwrite),"--")</f>
        <v>--</v>
      </c>
      <c r="K3" s="51"/>
      <c r="L3" s="198" t="str">
        <f t="shared" ref="L3:L9" si="1">A3</f>
        <v>Dp</v>
      </c>
      <c r="M3" s="199" t="str">
        <f>H3</f>
        <v>JPYSND_SYNTH3M_Quote</v>
      </c>
      <c r="N3" s="200">
        <f>IFERROR(_xll.qlQuoteValue(H3,Trigger),"--")</f>
        <v>2.6499999999999999E-4</v>
      </c>
      <c r="O3" s="201"/>
      <c r="P3" s="130" t="b">
        <v>0</v>
      </c>
      <c r="Q3" s="129">
        <v>10</v>
      </c>
      <c r="R3" s="129">
        <v>1</v>
      </c>
      <c r="S3" s="205" t="str">
        <f>J3</f>
        <v>--</v>
      </c>
      <c r="T3" s="131" t="str">
        <f>IFERROR(_xll.qlRateHelperEarliestDate(S3,Trigger),"--")</f>
        <v>--</v>
      </c>
      <c r="U3" s="131" t="str">
        <f>IFERROR(_xll.qlRateHelperPillarDate(S3,Trigger),"--")</f>
        <v>--</v>
      </c>
      <c r="W3" s="3" t="str">
        <f t="shared" ref="W3:W34" si="2">IFERROR(INDEX($L$3:$L$57,MATCH(Y3,$M$3:$M$57,0),1),"")</f>
        <v>Dp</v>
      </c>
      <c r="X3" s="3" t="str">
        <f t="array" ref="X3:X57">_xll.qlRateHelperSelection(_xll.ohFilter(RateHelpers,IncludeFlag),_xll.ohFilter(Priority,IncludeFlag),$AK$3,$AK$4,$AK$5,$AK$6,_xll.ohFilter(MinDistance,IncludeFlag),Trigger)</f>
        <v>obj_00202</v>
      </c>
      <c r="Y3" s="3" t="str">
        <f>IFERROR(_xll.qlRateHelperQuoteName(X3,Trigger),"")</f>
        <v>JPY1MD_SYNTH3M_Quote</v>
      </c>
      <c r="Z3" s="70">
        <f>IFERROR(_xll.qlRateHelperRate(X3,Trigger),"")</f>
        <v>1.54E-4</v>
      </c>
      <c r="AA3" s="103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6">
        <v>0.99998673906474356</v>
      </c>
      <c r="AE3" s="152"/>
      <c r="AG3" s="171" t="s">
        <v>105</v>
      </c>
      <c r="AK3" s="172">
        <v>0</v>
      </c>
    </row>
    <row r="4" spans="1:39" ht="11.25" customHeight="1" x14ac:dyDescent="0.2">
      <c r="A4" s="60" t="s">
        <v>25</v>
      </c>
      <c r="B4" s="61" t="s">
        <v>110</v>
      </c>
      <c r="C4" s="122"/>
      <c r="D4" s="122"/>
      <c r="E4" s="122"/>
      <c r="F4" s="122"/>
      <c r="G4" s="62" t="str">
        <f>PROPER(Currency)&amp;FamilyName&amp;B4</f>
        <v>JpyLiborSW</v>
      </c>
      <c r="H4" s="119" t="str">
        <f t="shared" si="0"/>
        <v>JPYSWD_SYNTH3M_Quote</v>
      </c>
      <c r="I4" s="122"/>
      <c r="J4" s="182" t="str">
        <f>IF(P4,_xll.qlDepositRateHelper(,H4,G4,Permanent,Trigger,ObjectOverwrite),"--")</f>
        <v>--</v>
      </c>
      <c r="K4" s="50"/>
      <c r="L4" s="187" t="str">
        <f t="shared" si="1"/>
        <v>Dp</v>
      </c>
      <c r="M4" s="202" t="str">
        <f t="shared" ref="M4:M9" si="3">H4</f>
        <v>JPYSWD_SYNTH3M_Quote</v>
      </c>
      <c r="N4" s="189">
        <f>IFERROR(_xll.qlQuoteValue(H4,Trigger),"--")</f>
        <v>2.5999999999999998E-4</v>
      </c>
      <c r="O4" s="190"/>
      <c r="P4" s="98" t="b">
        <v>0</v>
      </c>
      <c r="Q4" s="95">
        <v>10</v>
      </c>
      <c r="R4" s="95">
        <v>1</v>
      </c>
      <c r="S4" s="95" t="str">
        <f t="shared" ref="S4:S9" si="4">J4</f>
        <v>--</v>
      </c>
      <c r="T4" s="99" t="str">
        <f>IFERROR(_xll.qlRateHelperEarliestDate(S4,Trigger),"--")</f>
        <v>--</v>
      </c>
      <c r="U4" s="99" t="str">
        <f>IFERROR(_xll.qlRateHelperPillarDate(S4,Trigger),"--")</f>
        <v>--</v>
      </c>
      <c r="W4" s="3" t="str">
        <f t="shared" si="2"/>
        <v>Dp</v>
      </c>
      <c r="X4" s="3" t="str">
        <v>obj_00201</v>
      </c>
      <c r="Y4" s="3" t="str">
        <f>IFERROR(_xll.qlRateHelperQuoteName(X4,Trigger),"")</f>
        <v>JPY2MD_SYNTH3M_Quote</v>
      </c>
      <c r="Z4" s="70">
        <f>IFERROR(_xll.qlRateHelperRate(X4,Trigger),"")</f>
        <v>-1.12E-4</v>
      </c>
      <c r="AA4" s="103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6">
        <v>1.0000192892609574</v>
      </c>
      <c r="AE4" s="152"/>
      <c r="AG4" s="106" t="s">
        <v>106</v>
      </c>
      <c r="AK4" s="107">
        <v>0</v>
      </c>
    </row>
    <row r="5" spans="1:39" ht="11.25" customHeight="1" x14ac:dyDescent="0.2">
      <c r="A5" s="142" t="s">
        <v>25</v>
      </c>
      <c r="B5" s="143" t="s">
        <v>42</v>
      </c>
      <c r="C5" s="144"/>
      <c r="D5" s="144"/>
      <c r="E5" s="144"/>
      <c r="F5" s="144"/>
      <c r="G5" s="145" t="str">
        <f>_xll.qlLibor(,Currency,B5,,Permanent,Trigger,ObjectOverwrite)</f>
        <v>obj_001ee#0001</v>
      </c>
      <c r="H5" s="146" t="str">
        <f t="shared" si="0"/>
        <v>JPY2WD_SYNTH3M_Quote</v>
      </c>
      <c r="I5" s="144"/>
      <c r="J5" s="195" t="str">
        <f>IF(P5,_xll.qlDepositRateHelper(,H5,G5,Permanent,Trigger,ObjectOverwrite),"--")</f>
        <v>--</v>
      </c>
      <c r="K5" s="50"/>
      <c r="L5" s="187" t="str">
        <f t="shared" si="1"/>
        <v>Dp</v>
      </c>
      <c r="M5" s="202" t="str">
        <f t="shared" si="3"/>
        <v>JPY2WD_SYNTH3M_Quote</v>
      </c>
      <c r="N5" s="189">
        <f>IFERROR(_xll.qlQuoteValue(H5,Trigger),"--")</f>
        <v>2.43E-4</v>
      </c>
      <c r="O5" s="190"/>
      <c r="P5" s="98" t="b">
        <v>0</v>
      </c>
      <c r="Q5" s="95">
        <v>10</v>
      </c>
      <c r="R5" s="95">
        <v>1</v>
      </c>
      <c r="S5" s="95" t="str">
        <f t="shared" si="4"/>
        <v>--</v>
      </c>
      <c r="T5" s="99" t="str">
        <f>IFERROR(_xll.qlRateHelperEarliestDate(S5,Trigger),"--")</f>
        <v>--</v>
      </c>
      <c r="U5" s="99" t="str">
        <f>IFERROR(_xll.qlRateHelperPillarDate(S5,Trigger),"--")</f>
        <v>--</v>
      </c>
      <c r="W5" s="3" t="str">
        <f t="shared" si="2"/>
        <v>Dp</v>
      </c>
      <c r="X5" s="3" t="str">
        <v>obj_001fc</v>
      </c>
      <c r="Y5" s="3" t="str">
        <f>IFERROR(_xll.qlRateHelperQuoteName(X5,Trigger),"")</f>
        <v>JPY3MD_SYNTH3M_Quote</v>
      </c>
      <c r="Z5" s="70">
        <f>IFERROR(_xll.qlRateHelperRate(X5,Trigger),"")</f>
        <v>-3.39E-4</v>
      </c>
      <c r="AA5" s="103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6">
        <v>1.0000866408393181</v>
      </c>
      <c r="AE5" s="152"/>
      <c r="AG5" s="106" t="s">
        <v>107</v>
      </c>
      <c r="AK5" s="107">
        <v>4</v>
      </c>
    </row>
    <row r="6" spans="1:39" ht="11.25" customHeight="1" x14ac:dyDescent="0.2">
      <c r="A6" s="147" t="s">
        <v>25</v>
      </c>
      <c r="B6" s="148" t="s">
        <v>43</v>
      </c>
      <c r="C6" s="149"/>
      <c r="D6" s="149"/>
      <c r="E6" s="149"/>
      <c r="F6" s="149"/>
      <c r="G6" s="150" t="str">
        <f>_xll.qlLibor(,Currency,B6,,Permanent,Trigger,ObjectOverwrite)</f>
        <v>obj_001e7#0001</v>
      </c>
      <c r="H6" s="151" t="str">
        <f t="shared" si="0"/>
        <v>JPY3WD_SYNTH3M_Quote</v>
      </c>
      <c r="I6" s="149"/>
      <c r="J6" s="196" t="str">
        <f>IF(P6,_xll.qlDepositRateHelper(,H6,G6,Permanent,Trigger,ObjectOverwrite),"--")</f>
        <v>--</v>
      </c>
      <c r="K6" s="50"/>
      <c r="L6" s="187" t="str">
        <f t="shared" si="1"/>
        <v>Dp</v>
      </c>
      <c r="M6" s="202" t="str">
        <f t="shared" si="3"/>
        <v>JPY3WD_SYNTH3M_Quote</v>
      </c>
      <c r="N6" s="189">
        <f>IFERROR(_xll.qlQuoteValue(H6,Trigger),"--")</f>
        <v>2.1499999999999999E-4</v>
      </c>
      <c r="O6" s="190"/>
      <c r="P6" s="98" t="b">
        <v>0</v>
      </c>
      <c r="Q6" s="95">
        <v>10</v>
      </c>
      <c r="R6" s="95">
        <v>1</v>
      </c>
      <c r="S6" s="95" t="str">
        <f t="shared" si="4"/>
        <v>--</v>
      </c>
      <c r="T6" s="99" t="str">
        <f>IFERROR(_xll.qlRateHelperEarliestDate(S6,Trigger),"--")</f>
        <v>--</v>
      </c>
      <c r="U6" s="99" t="str">
        <f>IFERROR(_xll.qlRateHelperPillarDate(S6,Trigger),"--")</f>
        <v>--</v>
      </c>
      <c r="W6" s="3" t="str">
        <f t="shared" si="2"/>
        <v>FRA</v>
      </c>
      <c r="X6" s="3" t="str">
        <v>obj_001f7</v>
      </c>
      <c r="Y6" s="3" t="str">
        <f>IFERROR(_xll.qlRateHelperQuoteName(X6,Trigger),"")</f>
        <v>JPY1x4F_Quote</v>
      </c>
      <c r="Z6" s="70">
        <f>IFERROR(_xll.qlRateHelperRate(X6,Trigger),"")</f>
        <v>-7.5000000000000012E-4</v>
      </c>
      <c r="AA6" s="103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42594</v>
      </c>
      <c r="AC6" s="4">
        <f>IFERROR(_xll.qlRateHelperPillarDate(X6,Trigger),"")</f>
        <v>42688</v>
      </c>
      <c r="AD6" s="76">
        <v>1.0001826081588414</v>
      </c>
      <c r="AE6" s="152"/>
      <c r="AG6" s="106" t="s">
        <v>108</v>
      </c>
      <c r="AK6" s="108" t="s">
        <v>109</v>
      </c>
    </row>
    <row r="7" spans="1:39" ht="11.25" customHeight="1" x14ac:dyDescent="0.2">
      <c r="A7" s="60" t="s">
        <v>25</v>
      </c>
      <c r="B7" s="61" t="s">
        <v>2</v>
      </c>
      <c r="C7" s="122"/>
      <c r="D7" s="122"/>
      <c r="E7" s="122"/>
      <c r="F7" s="122"/>
      <c r="G7" s="62" t="str">
        <f>PROPER(Currency)&amp;FamilyName&amp;B7</f>
        <v>JpyLibor1M</v>
      </c>
      <c r="H7" s="119" t="str">
        <f t="shared" si="0"/>
        <v>JPY1MD_SYNTH3M_Quote</v>
      </c>
      <c r="I7" s="122"/>
      <c r="J7" s="182" t="str">
        <f>IF(P7,_xll.qlDepositRateHelper(,H7,G7,Permanent,Trigger,ObjectOverwrite),"--")</f>
        <v>obj_00202#0001</v>
      </c>
      <c r="K7" s="50"/>
      <c r="L7" s="187" t="str">
        <f t="shared" si="1"/>
        <v>Dp</v>
      </c>
      <c r="M7" s="202" t="str">
        <f t="shared" si="3"/>
        <v>JPY1MD_SYNTH3M_Quote</v>
      </c>
      <c r="N7" s="189">
        <f>IFERROR(_xll.qlQuoteValue(H7,Trigger),"--")</f>
        <v>1.54E-4</v>
      </c>
      <c r="O7" s="190"/>
      <c r="P7" s="98" t="b">
        <v>1</v>
      </c>
      <c r="Q7" s="95">
        <v>10</v>
      </c>
      <c r="R7" s="95">
        <v>1</v>
      </c>
      <c r="S7" s="95" t="str">
        <f t="shared" si="4"/>
        <v>obj_00202#0001</v>
      </c>
      <c r="T7" s="99">
        <f>IFERROR(_xll.qlRateHelperEarliestDate(S7,Trigger),"--")</f>
        <v>42563</v>
      </c>
      <c r="U7" s="99">
        <f>IFERROR(_xll.qlRateHelperPillarDate(S7,Trigger),"--")</f>
        <v>42594</v>
      </c>
      <c r="W7" s="3" t="str">
        <f t="shared" si="2"/>
        <v>FRA</v>
      </c>
      <c r="X7" s="3" t="str">
        <v>obj_001f8</v>
      </c>
      <c r="Y7" s="3" t="str">
        <f>IFERROR(_xll.qlRateHelperQuoteName(X7,Trigger),"")</f>
        <v>JPY2x5F_Quote</v>
      </c>
      <c r="Z7" s="70">
        <f>IFERROR(_xll.qlRateHelperRate(X7,Trigger),"")</f>
        <v>-1.1000000000000001E-3</v>
      </c>
      <c r="AA7" s="103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42625</v>
      </c>
      <c r="AC7" s="4">
        <f>IFERROR(_xll.qlRateHelperPillarDate(X7,Trigger),"")</f>
        <v>42716</v>
      </c>
      <c r="AD7" s="76">
        <v>1.0002974275178866</v>
      </c>
      <c r="AE7" s="152"/>
    </row>
    <row r="8" spans="1:39" ht="11.25" customHeight="1" x14ac:dyDescent="0.2">
      <c r="A8" s="60" t="s">
        <v>25</v>
      </c>
      <c r="B8" s="61" t="s">
        <v>44</v>
      </c>
      <c r="C8" s="122"/>
      <c r="D8" s="122"/>
      <c r="E8" s="122"/>
      <c r="F8" s="122"/>
      <c r="G8" s="62" t="str">
        <f>PROPER(Currency)&amp;FamilyName&amp;B8</f>
        <v>JpyLibor2M</v>
      </c>
      <c r="H8" s="119" t="str">
        <f t="shared" si="0"/>
        <v>JPY2MD_SYNTH3M_Quote</v>
      </c>
      <c r="I8" s="122"/>
      <c r="J8" s="182" t="str">
        <f>IF(P8,_xll.qlDepositRateHelper(,H8,G8,Permanent,Trigger,ObjectOverwrite),"--")</f>
        <v>obj_00201#0001</v>
      </c>
      <c r="K8" s="50"/>
      <c r="L8" s="187" t="str">
        <f t="shared" si="1"/>
        <v>Dp</v>
      </c>
      <c r="M8" s="202" t="str">
        <f t="shared" si="3"/>
        <v>JPY2MD_SYNTH3M_Quote</v>
      </c>
      <c r="N8" s="189">
        <f>IFERROR(_xll.qlQuoteValue(H8,Trigger),"--")</f>
        <v>-1.12E-4</v>
      </c>
      <c r="O8" s="190"/>
      <c r="P8" s="98" t="b">
        <v>1</v>
      </c>
      <c r="Q8" s="95">
        <v>10</v>
      </c>
      <c r="R8" s="95">
        <v>1</v>
      </c>
      <c r="S8" s="95" t="str">
        <f t="shared" si="4"/>
        <v>obj_00201#0001</v>
      </c>
      <c r="T8" s="99">
        <f>IFERROR(_xll.qlRateHelperEarliestDate(S8,Trigger),"--")</f>
        <v>42563</v>
      </c>
      <c r="U8" s="99">
        <f>IFERROR(_xll.qlRateHelperPillarDate(S8,Trigger),"--")</f>
        <v>42625</v>
      </c>
      <c r="W8" s="3" t="str">
        <f t="shared" si="2"/>
        <v>FRA</v>
      </c>
      <c r="X8" s="3" t="str">
        <v>obj_001fd</v>
      </c>
      <c r="Y8" s="3" t="str">
        <f>IFERROR(_xll.qlRateHelperQuoteName(X8,Trigger),"")</f>
        <v>JPY3x6F_Quote</v>
      </c>
      <c r="Z8" s="70">
        <f>IFERROR(_xll.qlRateHelperRate(X8,Trigger),"")</f>
        <v>-1.4000000000000002E-3</v>
      </c>
      <c r="AA8" s="103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42655</v>
      </c>
      <c r="AC8" s="4">
        <f>IFERROR(_xll.qlRateHelperPillarDate(X8,Trigger),"")</f>
        <v>42747</v>
      </c>
      <c r="AD8" s="76">
        <v>1.0004445776771091</v>
      </c>
      <c r="AE8" s="152"/>
    </row>
    <row r="9" spans="1:39" ht="11.25" customHeight="1" x14ac:dyDescent="0.2">
      <c r="A9" s="1" t="s">
        <v>25</v>
      </c>
      <c r="B9" s="8" t="s">
        <v>0</v>
      </c>
      <c r="C9" s="123"/>
      <c r="D9" s="123"/>
      <c r="E9" s="123"/>
      <c r="F9" s="123"/>
      <c r="G9" s="6" t="str">
        <f>PROPER(Currency)&amp;FamilyName&amp;B9</f>
        <v>JpyLibor3M</v>
      </c>
      <c r="H9" s="120" t="str">
        <f t="shared" si="0"/>
        <v>JPY3MD_SYNTH3M_Quote</v>
      </c>
      <c r="I9" s="123"/>
      <c r="J9" s="180" t="str">
        <f>IF(P9,_xll.qlDepositRateHelper(,H9,G9,Permanent,Trigger,ObjectOverwrite),"--")</f>
        <v>obj_001fc#0001</v>
      </c>
      <c r="K9" s="50"/>
      <c r="L9" s="183" t="str">
        <f t="shared" si="1"/>
        <v>Dp</v>
      </c>
      <c r="M9" s="203" t="str">
        <f t="shared" si="3"/>
        <v>JPY3MD_SYNTH3M_Quote</v>
      </c>
      <c r="N9" s="185">
        <f>IFERROR(_xll.qlQuoteValue(H9,Trigger),"--")</f>
        <v>-3.39E-4</v>
      </c>
      <c r="O9" s="186"/>
      <c r="P9" s="100" t="b">
        <v>1</v>
      </c>
      <c r="Q9" s="96">
        <v>10</v>
      </c>
      <c r="R9" s="96">
        <v>1</v>
      </c>
      <c r="S9" s="96" t="str">
        <f t="shared" si="4"/>
        <v>obj_001fc#0001</v>
      </c>
      <c r="T9" s="101">
        <f>IFERROR(_xll.qlRateHelperEarliestDate(S9,Trigger),"--")</f>
        <v>42563</v>
      </c>
      <c r="U9" s="101">
        <f>IFERROR(_xll.qlRateHelperPillarDate(S9,Trigger),"--")</f>
        <v>42655</v>
      </c>
      <c r="W9" s="3" t="str">
        <f t="shared" si="2"/>
        <v>FRA</v>
      </c>
      <c r="X9" s="3" t="str">
        <v>obj_001fb</v>
      </c>
      <c r="Y9" s="3" t="str">
        <f>IFERROR(_xll.qlRateHelperQuoteName(X9,Trigger),"")</f>
        <v>JPY4x7F_Quote</v>
      </c>
      <c r="Z9" s="70">
        <f>IFERROR(_xll.qlRateHelperRate(X9,Trigger),"")</f>
        <v>-1.65E-3</v>
      </c>
      <c r="AA9" s="103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42688</v>
      </c>
      <c r="AC9" s="4">
        <f>IFERROR(_xll.qlRateHelperPillarDate(X9,Trigger),"")</f>
        <v>42779</v>
      </c>
      <c r="AD9" s="76">
        <v>1.0005995278312323</v>
      </c>
      <c r="AE9" s="152"/>
      <c r="AH9" s="48" t="s">
        <v>143</v>
      </c>
    </row>
    <row r="10" spans="1:39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98" t="str">
        <f t="shared" ref="L10:L20" si="5">A12</f>
        <v>FRA</v>
      </c>
      <c r="M10" s="199" t="str">
        <f>H12</f>
        <v>JPY1x4F_Quote</v>
      </c>
      <c r="N10" s="200">
        <f>IFERROR(_xll.qlQuoteValue(H12,Trigger),"--")</f>
        <v>-7.5000000000000012E-4</v>
      </c>
      <c r="O10" s="201"/>
      <c r="P10" s="130" t="b">
        <v>1</v>
      </c>
      <c r="Q10" s="129">
        <v>20</v>
      </c>
      <c r="R10" s="129">
        <v>1</v>
      </c>
      <c r="S10" s="205" t="str">
        <f>J12</f>
        <v>obj_001f7#0001</v>
      </c>
      <c r="T10" s="131">
        <f>IFERROR(_xll.qlRateHelperEarliestDate(S10,Trigger),"--")</f>
        <v>42594</v>
      </c>
      <c r="U10" s="131">
        <f>IFERROR(_xll.qlRateHelperPillarDate(S10,Trigger),"--")</f>
        <v>42688</v>
      </c>
      <c r="W10" s="3" t="str">
        <f t="shared" si="2"/>
        <v>FRA</v>
      </c>
      <c r="X10" s="3" t="str">
        <v>obj_00200</v>
      </c>
      <c r="Y10" s="3" t="str">
        <f>IFERROR(_xll.qlRateHelperQuoteName(X10,Trigger),"")</f>
        <v>JPY5x8F_Quote</v>
      </c>
      <c r="Z10" s="70">
        <f>IFERROR(_xll.qlRateHelperRate(X10,Trigger),"")</f>
        <v>-1.8E-3</v>
      </c>
      <c r="AA10" s="103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42716</v>
      </c>
      <c r="AC10" s="4">
        <f>IFERROR(_xll.qlRateHelperPillarDate(X10,Trigger),"")</f>
        <v>42807</v>
      </c>
      <c r="AD10" s="76">
        <v>1.0007527700282495</v>
      </c>
      <c r="AE10" s="152"/>
      <c r="AF10" s="72" t="s">
        <v>144</v>
      </c>
      <c r="AG10" s="72" t="s">
        <v>145</v>
      </c>
      <c r="AH10" s="72" t="s">
        <v>146</v>
      </c>
      <c r="AI10" s="72" t="s">
        <v>147</v>
      </c>
      <c r="AJ10" s="72" t="s">
        <v>148</v>
      </c>
      <c r="AK10" s="72" t="s">
        <v>149</v>
      </c>
      <c r="AL10" s="72" t="s">
        <v>150</v>
      </c>
      <c r="AM10" s="72" t="s">
        <v>151</v>
      </c>
    </row>
    <row r="11" spans="1:39" ht="11.25" customHeight="1" x14ac:dyDescent="0.2">
      <c r="A11" s="66" t="s">
        <v>8</v>
      </c>
      <c r="B11" s="66" t="s">
        <v>111</v>
      </c>
      <c r="C11" s="66" t="s">
        <v>112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23</v>
      </c>
      <c r="K11" s="50"/>
      <c r="L11" s="187" t="str">
        <f t="shared" si="5"/>
        <v>FRA</v>
      </c>
      <c r="M11" s="202" t="str">
        <f t="shared" ref="M11:M20" si="6">H13</f>
        <v>JPY2x5F_Quote</v>
      </c>
      <c r="N11" s="189">
        <f>IFERROR(_xll.qlQuoteValue(H13,Trigger),"--")</f>
        <v>-1.1000000000000001E-3</v>
      </c>
      <c r="O11" s="190"/>
      <c r="P11" s="98" t="b">
        <v>1</v>
      </c>
      <c r="Q11" s="95">
        <v>20</v>
      </c>
      <c r="R11" s="95">
        <v>1</v>
      </c>
      <c r="S11" s="95" t="str">
        <f t="shared" ref="S11:S20" si="7">J13</f>
        <v>obj_001f8#0001</v>
      </c>
      <c r="T11" s="99">
        <f>IFERROR(_xll.qlRateHelperEarliestDate(S11,Trigger),"--")</f>
        <v>42625</v>
      </c>
      <c r="U11" s="99">
        <f>IFERROR(_xll.qlRateHelperPillarDate(S11,Trigger),"--")</f>
        <v>42716</v>
      </c>
      <c r="W11" s="3" t="str">
        <f t="shared" si="2"/>
        <v>FRA</v>
      </c>
      <c r="X11" s="3" t="str">
        <v>obj_001fe</v>
      </c>
      <c r="Y11" s="3" t="str">
        <f>IFERROR(_xll.qlRateHelperQuoteName(X11,Trigger),"")</f>
        <v>JPY6x9F_Quote</v>
      </c>
      <c r="Z11" s="70">
        <f>IFERROR(_xll.qlRateHelperRate(X11,Trigger),"")</f>
        <v>-2.0500000000000002E-3</v>
      </c>
      <c r="AA11" s="103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42747</v>
      </c>
      <c r="AC11" s="4">
        <f>IFERROR(_xll.qlRateHelperPillarDate(X11,Trigger),"")</f>
        <v>42837</v>
      </c>
      <c r="AD11" s="76">
        <v>1.00095756843093</v>
      </c>
      <c r="AE11" s="152"/>
      <c r="AF11" s="153">
        <v>1</v>
      </c>
      <c r="AG11" s="154" t="e">
        <f>_xll.qlCalendarEndOfMonth(Calendar,Settlementdate,Trigger)</f>
        <v>#VALUE!</v>
      </c>
      <c r="AH11" s="154" t="str">
        <f t="shared" ref="AH11:AH23" si="8">Currency&amp;$AH$9&amp;AF11&amp;JumpSuffix&amp;QuoteSuffix</f>
        <v>JPYJump1_SYNTHON_Quote</v>
      </c>
      <c r="AI11" s="155" t="e">
        <f>_xll.qlDayCounterYearFraction("actual/360",AG11,_xll.qlCalendarAdvance(Calendar,AG11,"1D",,,Trigger))</f>
        <v>#NUM!</v>
      </c>
      <c r="AJ11" s="154" t="e">
        <f>IF(_xll.qlQuoteIsValid(AH11,Trigger),_xll.qlQuoteValue(AH11,Trigger),1)</f>
        <v>#NUM!</v>
      </c>
      <c r="AK11" s="157" t="e">
        <f>-LN(AJ11)/AI11</f>
        <v>#NUM!</v>
      </c>
      <c r="AL11" s="158"/>
      <c r="AM11" s="156" t="str">
        <f>IF(ISBLANK(AL11),AH11,EXP(-AL11*AI11))</f>
        <v>JPYJump1_SYNTHON_Quote</v>
      </c>
    </row>
    <row r="12" spans="1:39" ht="11.25" customHeight="1" x14ac:dyDescent="0.2">
      <c r="A12" s="55" t="s">
        <v>113</v>
      </c>
      <c r="B12" s="112">
        <v>1</v>
      </c>
      <c r="C12" s="58" t="str">
        <f t="shared" ref="C12:C22" si="9">"x"&amp;B12+SUBSTITUTE(Tenor,"M","")&amp;"F"</f>
        <v>x4F</v>
      </c>
      <c r="D12" s="122"/>
      <c r="E12" s="122"/>
      <c r="F12" s="122"/>
      <c r="G12" s="57" t="str">
        <f t="shared" ref="G12:G22" si="10">PROPER(Currency)&amp;FamilyName&amp;Tenor</f>
        <v>JpyLibor3M</v>
      </c>
      <c r="H12" s="115" t="str">
        <f t="shared" ref="H12:H22" si="11">Currency&amp;B12&amp;C12&amp;QuoteSuffix</f>
        <v>JPY1x4F_Quote</v>
      </c>
      <c r="I12" s="122"/>
      <c r="J12" s="181" t="str">
        <f>IF(P10,_xll.qlFraRateHelper(,H12,B12&amp;"M",G12,PillarDate,,Permanent,Trigger,ObjectOverwrite),"--")</f>
        <v>obj_001f7#0001</v>
      </c>
      <c r="K12" s="50" t="s">
        <v>39</v>
      </c>
      <c r="L12" s="187" t="str">
        <f t="shared" si="5"/>
        <v>FRA</v>
      </c>
      <c r="M12" s="202" t="str">
        <f t="shared" si="6"/>
        <v>JPY3x6F_Quote</v>
      </c>
      <c r="N12" s="189">
        <f>IFERROR(_xll.qlQuoteValue(H14,Trigger),"--")</f>
        <v>-1.4000000000000002E-3</v>
      </c>
      <c r="O12" s="190"/>
      <c r="P12" s="98" t="b">
        <v>1</v>
      </c>
      <c r="Q12" s="95">
        <v>20</v>
      </c>
      <c r="R12" s="95">
        <v>1</v>
      </c>
      <c r="S12" s="95" t="str">
        <f t="shared" si="7"/>
        <v>obj_001fd#0001</v>
      </c>
      <c r="T12" s="99">
        <f>IFERROR(_xll.qlRateHelperEarliestDate(S12,Trigger),"--")</f>
        <v>42655</v>
      </c>
      <c r="U12" s="99">
        <f>IFERROR(_xll.qlRateHelperPillarDate(S12,Trigger),"--")</f>
        <v>42747</v>
      </c>
      <c r="W12" s="3" t="str">
        <f t="shared" si="2"/>
        <v>FRA</v>
      </c>
      <c r="X12" s="3" t="str">
        <v>obj_001ff</v>
      </c>
      <c r="Y12" s="3" t="str">
        <f>IFERROR(_xll.qlRateHelperQuoteName(X12,Trigger),"")</f>
        <v>JPY9x12F_Quote</v>
      </c>
      <c r="Z12" s="70">
        <f>IFERROR(_xll.qlRateHelperRate(X12,Trigger),"")</f>
        <v>-2.4499999999999999E-3</v>
      </c>
      <c r="AA12" s="103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42837</v>
      </c>
      <c r="AC12" s="4">
        <f>IFERROR(_xll.qlRateHelperPillarDate(X12,Trigger),"")</f>
        <v>42928</v>
      </c>
      <c r="AD12" s="76">
        <v>1.0015778511584732</v>
      </c>
      <c r="AE12" s="152"/>
      <c r="AF12" s="159">
        <v>2</v>
      </c>
      <c r="AG12" s="160" t="e">
        <f>_xll.qlCalendarEndOfMonth(Calendar,_xll.qlCalendarAdvance(Calendar,AG11,"1m","mf",TRUE),Trigger)</f>
        <v>#VALUE!</v>
      </c>
      <c r="AH12" s="160" t="str">
        <f t="shared" si="8"/>
        <v>JPYJump2_SYNTHON_Quote</v>
      </c>
      <c r="AI12" s="161" t="e">
        <f>_xll.qlDayCounterYearFraction("actual/360",AG12,_xll.qlCalendarAdvance(Calendar,AG12,"1D",,,Trigger))</f>
        <v>#NUM!</v>
      </c>
      <c r="AJ12" s="160" t="e">
        <f>IF(_xll.qlQuoteIsValid(AH12,Trigger),_xll.qlQuoteValue(AH12,Trigger),1)</f>
        <v>#NUM!</v>
      </c>
      <c r="AK12" s="163" t="e">
        <f t="shared" ref="AK12:AK23" si="12">-LN(AJ12)/AI12</f>
        <v>#NUM!</v>
      </c>
      <c r="AL12" s="164"/>
      <c r="AM12" s="162" t="str">
        <f t="shared" ref="AM12:AM23" si="13">IF(ISBLANK(AL12),AH12,EXP(-AL12*AI12))</f>
        <v>JPYJump2_SYNTHON_Quote</v>
      </c>
    </row>
    <row r="13" spans="1:39" ht="11.25" customHeight="1" x14ac:dyDescent="0.2">
      <c r="A13" s="60" t="s">
        <v>113</v>
      </c>
      <c r="B13" s="113">
        <v>2</v>
      </c>
      <c r="C13" s="64" t="str">
        <f t="shared" si="9"/>
        <v>x5F</v>
      </c>
      <c r="D13" s="122"/>
      <c r="E13" s="122"/>
      <c r="F13" s="122"/>
      <c r="G13" s="62" t="str">
        <f t="shared" si="10"/>
        <v>JpyLibor3M</v>
      </c>
      <c r="H13" s="116" t="str">
        <f t="shared" si="11"/>
        <v>JPY2x5F_Quote</v>
      </c>
      <c r="I13" s="122"/>
      <c r="J13" s="182" t="str">
        <f>IF(P11,_xll.qlFraRateHelper(,H13,B13&amp;"M",G13,PillarDate,,Permanent,Trigger,ObjectOverwrite),"--")</f>
        <v>obj_001f8#0001</v>
      </c>
      <c r="K13" s="50"/>
      <c r="L13" s="187" t="str">
        <f t="shared" si="5"/>
        <v>FRA</v>
      </c>
      <c r="M13" s="202" t="str">
        <f t="shared" si="6"/>
        <v>JPY4x7F_Quote</v>
      </c>
      <c r="N13" s="189">
        <f>IFERROR(_xll.qlQuoteValue(H15,Trigger),"--")</f>
        <v>-1.65E-3</v>
      </c>
      <c r="O13" s="190"/>
      <c r="P13" s="98" t="b">
        <v>1</v>
      </c>
      <c r="Q13" s="95">
        <v>20</v>
      </c>
      <c r="R13" s="95">
        <v>1</v>
      </c>
      <c r="S13" s="95" t="str">
        <f t="shared" si="7"/>
        <v>obj_001fb#0001</v>
      </c>
      <c r="T13" s="99">
        <f>IFERROR(_xll.qlRateHelperEarliestDate(S13,Trigger),"--")</f>
        <v>42688</v>
      </c>
      <c r="U13" s="99">
        <f>IFERROR(_xll.qlRateHelperPillarDate(S13,Trigger),"--")</f>
        <v>42779</v>
      </c>
      <c r="W13" s="3" t="str">
        <f t="shared" si="2"/>
        <v>FRA</v>
      </c>
      <c r="X13" s="3" t="str">
        <v>obj_001fa</v>
      </c>
      <c r="Y13" s="3" t="str">
        <f>IFERROR(_xll.qlRateHelperQuoteName(X13,Trigger),"")</f>
        <v>JPY12x15F_Quote</v>
      </c>
      <c r="Z13" s="70">
        <f>IFERROR(_xll.qlRateHelperRate(X13,Trigger),"")</f>
        <v>-2.65E-3</v>
      </c>
      <c r="AA13" s="103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42928</v>
      </c>
      <c r="AC13" s="4">
        <f>IFERROR(_xll.qlRateHelperPillarDate(X13,Trigger),"")</f>
        <v>43020</v>
      </c>
      <c r="AD13" s="76">
        <v>1.002256601601446</v>
      </c>
      <c r="AE13" s="152"/>
      <c r="AF13" s="159">
        <v>3</v>
      </c>
      <c r="AG13" s="160" t="e">
        <f>_xll.qlCalendarEndOfMonth(Calendar,_xll.qlCalendarAdvance(Calendar,AG12,"1m","mf",TRUE),Trigger)</f>
        <v>#VALUE!</v>
      </c>
      <c r="AH13" s="160" t="str">
        <f t="shared" si="8"/>
        <v>JPYJump3_SYNTHON_Quote</v>
      </c>
      <c r="AI13" s="161" t="e">
        <f>_xll.qlDayCounterYearFraction("actual/360",AG13,_xll.qlCalendarAdvance(Calendar,AG13,"1D",,,Trigger))</f>
        <v>#NUM!</v>
      </c>
      <c r="AJ13" s="160" t="e">
        <f>IF(_xll.qlQuoteIsValid(AH13,Trigger),_xll.qlQuoteValue(AH13,Trigger),1)</f>
        <v>#NUM!</v>
      </c>
      <c r="AK13" s="163" t="e">
        <f t="shared" si="12"/>
        <v>#NUM!</v>
      </c>
      <c r="AL13" s="164"/>
      <c r="AM13" s="162" t="str">
        <f t="shared" si="13"/>
        <v>JPYJump3_SYNTHON_Quote</v>
      </c>
    </row>
    <row r="14" spans="1:39" ht="11.25" customHeight="1" x14ac:dyDescent="0.2">
      <c r="A14" s="60" t="s">
        <v>113</v>
      </c>
      <c r="B14" s="113">
        <v>3</v>
      </c>
      <c r="C14" s="64" t="str">
        <f t="shared" si="9"/>
        <v>x6F</v>
      </c>
      <c r="D14" s="122"/>
      <c r="E14" s="122"/>
      <c r="F14" s="122"/>
      <c r="G14" s="62" t="str">
        <f t="shared" si="10"/>
        <v>JpyLibor3M</v>
      </c>
      <c r="H14" s="116" t="str">
        <f t="shared" si="11"/>
        <v>JPY3x6F_Quote</v>
      </c>
      <c r="I14" s="122"/>
      <c r="J14" s="182" t="str">
        <f>IF(P12,_xll.qlFraRateHelper(,H14,B14&amp;"M",G14,PillarDate,,Permanent,Trigger,ObjectOverwrite),"--")</f>
        <v>obj_001fd#0001</v>
      </c>
      <c r="K14" s="50"/>
      <c r="L14" s="187" t="str">
        <f t="shared" si="5"/>
        <v>FRA</v>
      </c>
      <c r="M14" s="202" t="str">
        <f t="shared" si="6"/>
        <v>JPY5x8F_Quote</v>
      </c>
      <c r="N14" s="189">
        <f>IFERROR(_xll.qlQuoteValue(H16,Trigger),"--")</f>
        <v>-1.8E-3</v>
      </c>
      <c r="O14" s="190"/>
      <c r="P14" s="98" t="b">
        <v>1</v>
      </c>
      <c r="Q14" s="95">
        <v>20</v>
      </c>
      <c r="R14" s="95">
        <v>1</v>
      </c>
      <c r="S14" s="95" t="str">
        <f t="shared" si="7"/>
        <v>obj_00200#0001</v>
      </c>
      <c r="T14" s="99">
        <f>IFERROR(_xll.qlRateHelperEarliestDate(S14,Trigger),"--")</f>
        <v>42716</v>
      </c>
      <c r="U14" s="99">
        <f>IFERROR(_xll.qlRateHelperPillarDate(S14,Trigger),"--")</f>
        <v>42807</v>
      </c>
      <c r="W14" s="3" t="str">
        <f t="shared" si="2"/>
        <v>FRA</v>
      </c>
      <c r="X14" s="3" t="str">
        <v>obj_001f9</v>
      </c>
      <c r="Y14" s="3" t="str">
        <f>IFERROR(_xll.qlRateHelperQuoteName(X14,Trigger),"")</f>
        <v>JPY15x18F_Quote</v>
      </c>
      <c r="Z14" s="70">
        <f>IFERROR(_xll.qlRateHelperRate(X14,Trigger),"")</f>
        <v>-2.8500000000000001E-3</v>
      </c>
      <c r="AA14" s="103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43020</v>
      </c>
      <c r="AC14" s="4">
        <f>IFERROR(_xll.qlRateHelperPillarDate(X14,Trigger),"")</f>
        <v>43112</v>
      </c>
      <c r="AD14" s="76">
        <v>1.0029871105469605</v>
      </c>
      <c r="AE14" s="152"/>
      <c r="AF14" s="159">
        <v>4</v>
      </c>
      <c r="AG14" s="160" t="e">
        <f>_xll.qlCalendarEndOfMonth(Calendar,_xll.qlCalendarAdvance(Calendar,AG13,"1m","mf",TRUE),Trigger)</f>
        <v>#VALUE!</v>
      </c>
      <c r="AH14" s="160" t="str">
        <f t="shared" si="8"/>
        <v>JPYJump4_SYNTHON_Quote</v>
      </c>
      <c r="AI14" s="161" t="e">
        <f>_xll.qlDayCounterYearFraction("actual/360",AG14,_xll.qlCalendarAdvance(Calendar,AG14,"1D",,,Trigger))</f>
        <v>#NUM!</v>
      </c>
      <c r="AJ14" s="160" t="e">
        <f>IF(_xll.qlQuoteIsValid(AH14,Trigger),_xll.qlQuoteValue(AH14,Trigger),1)</f>
        <v>#NUM!</v>
      </c>
      <c r="AK14" s="163" t="e">
        <f t="shared" si="12"/>
        <v>#NUM!</v>
      </c>
      <c r="AL14" s="164"/>
      <c r="AM14" s="162" t="str">
        <f t="shared" si="13"/>
        <v>JPYJump4_SYNTHON_Quote</v>
      </c>
    </row>
    <row r="15" spans="1:39" ht="11.25" customHeight="1" x14ac:dyDescent="0.2">
      <c r="A15" s="60" t="s">
        <v>113</v>
      </c>
      <c r="B15" s="113">
        <v>4</v>
      </c>
      <c r="C15" s="64" t="str">
        <f t="shared" si="9"/>
        <v>x7F</v>
      </c>
      <c r="D15" s="122"/>
      <c r="E15" s="122"/>
      <c r="F15" s="122"/>
      <c r="G15" s="62" t="str">
        <f t="shared" si="10"/>
        <v>JpyLibor3M</v>
      </c>
      <c r="H15" s="116" t="str">
        <f t="shared" si="11"/>
        <v>JPY4x7F_Quote</v>
      </c>
      <c r="I15" s="122"/>
      <c r="J15" s="182" t="str">
        <f>IF(P13,_xll.qlFraRateHelper(,H15,B15&amp;"M",G15,PillarDate,,Permanent,Trigger,ObjectOverwrite),"--")</f>
        <v>obj_001fb#0001</v>
      </c>
      <c r="K15" s="50"/>
      <c r="L15" s="187" t="str">
        <f t="shared" si="5"/>
        <v>FRA</v>
      </c>
      <c r="M15" s="202" t="str">
        <f t="shared" si="6"/>
        <v>JPY6x9F_Quote</v>
      </c>
      <c r="N15" s="189">
        <f>IFERROR(_xll.qlQuoteValue(H17,Trigger),"--")</f>
        <v>-2.0500000000000002E-3</v>
      </c>
      <c r="O15" s="190"/>
      <c r="P15" s="98" t="b">
        <v>1</v>
      </c>
      <c r="Q15" s="95">
        <v>20</v>
      </c>
      <c r="R15" s="95">
        <v>1</v>
      </c>
      <c r="S15" s="95" t="str">
        <f t="shared" si="7"/>
        <v>obj_001fe#0001</v>
      </c>
      <c r="T15" s="99">
        <f>IFERROR(_xll.qlRateHelperEarliestDate(S15,Trigger),"--")</f>
        <v>42747</v>
      </c>
      <c r="U15" s="99">
        <f>IFERROR(_xll.qlRateHelperPillarDate(S15,Trigger),"--")</f>
        <v>42837</v>
      </c>
      <c r="W15" s="3" t="str">
        <f t="shared" si="2"/>
        <v>BasSW</v>
      </c>
      <c r="X15" s="3" t="str">
        <v>obj_001c3</v>
      </c>
      <c r="Y15" s="3" t="str">
        <f>IFERROR(_xll.qlRateHelperQuoteName(X15,Trigger),"")</f>
        <v>JPYSB6L2Y_Quote</v>
      </c>
      <c r="Z15" s="70">
        <f>IFERROR(_xll.qlRateHelperRate(X15,Trigger),"")</f>
        <v>-1.8E-3</v>
      </c>
      <c r="AA15" s="103">
        <f>IF(ISERROR(_xll.qlSwapRateHelperSpread($X15)),IF(ISERROR(_xll.qlFuturesRateHelperConvexityAdjustment($X15)),"",_xll.qlFuturesRateHelperConvexityAdjustment($X15)),_xll.qlSwapRateHelperSpread($X15))</f>
        <v>4.4999999999999999E-4</v>
      </c>
      <c r="AB15" s="4">
        <f>IFERROR(_xll.qlRateHelperEarliestDate(X15,Trigger),"")</f>
        <v>42563</v>
      </c>
      <c r="AC15" s="4">
        <f>IFERROR(_xll.qlRateHelperPillarDate(X15,Trigger),"")</f>
        <v>43293</v>
      </c>
      <c r="AD15" s="76">
        <v>1.0045224758283875</v>
      </c>
      <c r="AE15" s="152"/>
      <c r="AF15" s="159">
        <v>5</v>
      </c>
      <c r="AG15" s="160" t="e">
        <f>_xll.qlCalendarEndOfMonth(Calendar,_xll.qlCalendarAdvance(Calendar,AG14,"1m","mf",TRUE),Trigger)</f>
        <v>#VALUE!</v>
      </c>
      <c r="AH15" s="160" t="str">
        <f t="shared" si="8"/>
        <v>JPYJump5_SYNTHON_Quote</v>
      </c>
      <c r="AI15" s="161" t="e">
        <f>_xll.qlDayCounterYearFraction("actual/360",AG15,_xll.qlCalendarAdvance(Calendar,AG15,"1D",,,Trigger))</f>
        <v>#NUM!</v>
      </c>
      <c r="AJ15" s="160" t="e">
        <f>IF(_xll.qlQuoteIsValid(AH15,Trigger),_xll.qlQuoteValue(AH15,Trigger),1)</f>
        <v>#NUM!</v>
      </c>
      <c r="AK15" s="163" t="e">
        <f t="shared" si="12"/>
        <v>#NUM!</v>
      </c>
      <c r="AL15" s="164"/>
      <c r="AM15" s="162" t="str">
        <f t="shared" si="13"/>
        <v>JPYJump5_SYNTHON_Quote</v>
      </c>
    </row>
    <row r="16" spans="1:39" ht="11.25" customHeight="1" x14ac:dyDescent="0.2">
      <c r="A16" s="60" t="s">
        <v>113</v>
      </c>
      <c r="B16" s="113">
        <v>5</v>
      </c>
      <c r="C16" s="64" t="str">
        <f t="shared" si="9"/>
        <v>x8F</v>
      </c>
      <c r="D16" s="122"/>
      <c r="E16" s="122"/>
      <c r="F16" s="122"/>
      <c r="G16" s="62" t="str">
        <f t="shared" si="10"/>
        <v>JpyLibor3M</v>
      </c>
      <c r="H16" s="116" t="str">
        <f t="shared" si="11"/>
        <v>JPY5x8F_Quote</v>
      </c>
      <c r="I16" s="122"/>
      <c r="J16" s="182" t="str">
        <f>IF(P14,_xll.qlFraRateHelper(,H16,B16&amp;"M",G16,PillarDate,,Permanent,Trigger,ObjectOverwrite),"--")</f>
        <v>obj_00200#0001</v>
      </c>
      <c r="K16" s="50"/>
      <c r="L16" s="187" t="str">
        <f t="shared" si="5"/>
        <v>FRA</v>
      </c>
      <c r="M16" s="202" t="str">
        <f t="shared" si="6"/>
        <v>JPY9x12F_Quote</v>
      </c>
      <c r="N16" s="189">
        <f>IFERROR(_xll.qlQuoteValue(H18,Trigger),"--")</f>
        <v>-2.4499999999999999E-3</v>
      </c>
      <c r="O16" s="190"/>
      <c r="P16" s="98" t="b">
        <v>1</v>
      </c>
      <c r="Q16" s="95">
        <v>20</v>
      </c>
      <c r="R16" s="95">
        <v>1</v>
      </c>
      <c r="S16" s="95" t="str">
        <f t="shared" si="7"/>
        <v>obj_001ff#0001</v>
      </c>
      <c r="T16" s="99">
        <f>IFERROR(_xll.qlRateHelperEarliestDate(S16,Trigger),"--")</f>
        <v>42837</v>
      </c>
      <c r="U16" s="99">
        <f>IFERROR(_xll.qlRateHelperPillarDate(S16,Trigger),"--")</f>
        <v>42928</v>
      </c>
      <c r="W16" s="3" t="str">
        <f t="shared" si="2"/>
        <v>BasSW</v>
      </c>
      <c r="X16" s="3" t="str">
        <v>obj_001d1</v>
      </c>
      <c r="Y16" s="3" t="str">
        <f>IFERROR(_xll.qlRateHelperQuoteName(X16,Trigger),"")</f>
        <v>JPYSB6L3Y_Quote</v>
      </c>
      <c r="Z16" s="70">
        <f>IFERROR(_xll.qlRateHelperRate(X16,Trigger),"")</f>
        <v>-2.1000000000000003E-3</v>
      </c>
      <c r="AA16" s="103">
        <f>IF(ISERROR(_xll.qlSwapRateHelperSpread($X16)),IF(ISERROR(_xll.qlFuturesRateHelperConvexityAdjustment($X16)),"",_xll.qlFuturesRateHelperConvexityAdjustment($X16)),_xll.qlSwapRateHelperSpread($X16))</f>
        <v>3.7500000000000001E-4</v>
      </c>
      <c r="AB16" s="4">
        <f>IFERROR(_xll.qlRateHelperEarliestDate(X16,Trigger),"")</f>
        <v>42563</v>
      </c>
      <c r="AC16" s="4">
        <f>IFERROR(_xll.qlRateHelperPillarDate(X16,Trigger),"")</f>
        <v>43658</v>
      </c>
      <c r="AD16" s="76">
        <v>1.0074679716193715</v>
      </c>
      <c r="AE16" s="152"/>
      <c r="AF16" s="159">
        <v>6</v>
      </c>
      <c r="AG16" s="160" t="e">
        <f>_xll.qlCalendarEndOfMonth(Calendar,_xll.qlCalendarAdvance(Calendar,AG15,"1m","mf",TRUE),Trigger)</f>
        <v>#VALUE!</v>
      </c>
      <c r="AH16" s="160" t="str">
        <f t="shared" si="8"/>
        <v>JPYJump6_SYNTHON_Quote</v>
      </c>
      <c r="AI16" s="161" t="e">
        <f>_xll.qlDayCounterYearFraction("actual/360",AG16,_xll.qlCalendarAdvance(Calendar,AG16,"1D",,,Trigger))</f>
        <v>#NUM!</v>
      </c>
      <c r="AJ16" s="160" t="e">
        <f>IF(_xll.qlQuoteIsValid(AH16,Trigger),_xll.qlQuoteValue(AH16,Trigger),1)</f>
        <v>#NUM!</v>
      </c>
      <c r="AK16" s="163" t="e">
        <f t="shared" si="12"/>
        <v>#NUM!</v>
      </c>
      <c r="AL16" s="164"/>
      <c r="AM16" s="162" t="str">
        <f t="shared" si="13"/>
        <v>JPYJump6_SYNTHON_Quote</v>
      </c>
    </row>
    <row r="17" spans="1:39" ht="11.25" customHeight="1" x14ac:dyDescent="0.2">
      <c r="A17" s="60" t="s">
        <v>113</v>
      </c>
      <c r="B17" s="113">
        <v>6</v>
      </c>
      <c r="C17" s="64" t="str">
        <f t="shared" si="9"/>
        <v>x9F</v>
      </c>
      <c r="D17" s="122"/>
      <c r="E17" s="122"/>
      <c r="F17" s="122"/>
      <c r="G17" s="62" t="str">
        <f t="shared" si="10"/>
        <v>JpyLibor3M</v>
      </c>
      <c r="H17" s="116" t="str">
        <f t="shared" si="11"/>
        <v>JPY6x9F_Quote</v>
      </c>
      <c r="I17" s="122"/>
      <c r="J17" s="182" t="str">
        <f>IF(P15,_xll.qlFraRateHelper(,H17,B17&amp;"M",G17,PillarDate,,Permanent,Trigger,ObjectOverwrite),"--")</f>
        <v>obj_001fe#0001</v>
      </c>
      <c r="K17" s="50"/>
      <c r="L17" s="187" t="str">
        <f t="shared" si="5"/>
        <v>FRA</v>
      </c>
      <c r="M17" s="202" t="str">
        <f t="shared" si="6"/>
        <v>JPY12x15F_Quote</v>
      </c>
      <c r="N17" s="189">
        <f>IFERROR(_xll.qlQuoteValue(H19,Trigger),"--")</f>
        <v>-2.65E-3</v>
      </c>
      <c r="O17" s="190"/>
      <c r="P17" s="98" t="b">
        <v>1</v>
      </c>
      <c r="Q17" s="95">
        <v>20</v>
      </c>
      <c r="R17" s="95">
        <v>1</v>
      </c>
      <c r="S17" s="95" t="str">
        <f t="shared" si="7"/>
        <v>obj_001fa#0001</v>
      </c>
      <c r="T17" s="99">
        <f>IFERROR(_xll.qlRateHelperEarliestDate(S17,Trigger),"--")</f>
        <v>42928</v>
      </c>
      <c r="U17" s="99">
        <f>IFERROR(_xll.qlRateHelperPillarDate(S17,Trigger),"--")</f>
        <v>43020</v>
      </c>
      <c r="W17" s="3" t="str">
        <f t="shared" si="2"/>
        <v>BasSW</v>
      </c>
      <c r="X17" s="3" t="str">
        <v>obj_001dd</v>
      </c>
      <c r="Y17" s="3" t="str">
        <f>IFERROR(_xll.qlRateHelperQuoteName(X17,Trigger),"")</f>
        <v>JPYSB6L4Y_Quote</v>
      </c>
      <c r="Z17" s="70">
        <f>IFERROR(_xll.qlRateHelperRate(X17,Trigger),"")</f>
        <v>-2.1750000000000003E-3</v>
      </c>
      <c r="AA17" s="103">
        <f>IF(ISERROR(_xll.qlSwapRateHelperSpread($X17)),IF(ISERROR(_xll.qlFuturesRateHelperConvexityAdjustment($X17)),"",_xll.qlFuturesRateHelperConvexityAdjustment($X17)),_xll.qlSwapRateHelperSpread($X17))</f>
        <v>3.2499999999999999E-4</v>
      </c>
      <c r="AB17" s="4">
        <f>IFERROR(_xll.qlRateHelperEarliestDate(X17,Trigger),"")</f>
        <v>42563</v>
      </c>
      <c r="AC17" s="4">
        <f>IFERROR(_xll.qlRateHelperPillarDate(X17,Trigger),"")</f>
        <v>44025</v>
      </c>
      <c r="AD17" s="76">
        <v>1.0100834581817477</v>
      </c>
      <c r="AE17" s="152"/>
      <c r="AF17" s="159">
        <v>7</v>
      </c>
      <c r="AG17" s="160" t="e">
        <f>_xll.qlCalendarEndOfMonth(Calendar,_xll.qlCalendarAdvance(Calendar,AG16,"1m","mf",TRUE),Trigger)</f>
        <v>#VALUE!</v>
      </c>
      <c r="AH17" s="160" t="str">
        <f t="shared" si="8"/>
        <v>JPYJump7_SYNTHON_Quote</v>
      </c>
      <c r="AI17" s="161" t="e">
        <f>_xll.qlDayCounterYearFraction("actual/360",AG17,_xll.qlCalendarAdvance(Calendar,AG17,"1D",,,Trigger))</f>
        <v>#NUM!</v>
      </c>
      <c r="AJ17" s="160" t="e">
        <f>IF(_xll.qlQuoteIsValid(AH17,Trigger),_xll.qlQuoteValue(AH17,Trigger),1)</f>
        <v>#NUM!</v>
      </c>
      <c r="AK17" s="163" t="e">
        <f t="shared" si="12"/>
        <v>#NUM!</v>
      </c>
      <c r="AL17" s="164"/>
      <c r="AM17" s="162" t="str">
        <f t="shared" si="13"/>
        <v>JPYJump7_SYNTHON_Quote</v>
      </c>
    </row>
    <row r="18" spans="1:39" ht="11.25" customHeight="1" x14ac:dyDescent="0.2">
      <c r="A18" s="60" t="s">
        <v>113</v>
      </c>
      <c r="B18" s="113">
        <v>9</v>
      </c>
      <c r="C18" s="64" t="str">
        <f t="shared" si="9"/>
        <v>x12F</v>
      </c>
      <c r="D18" s="122"/>
      <c r="E18" s="122"/>
      <c r="F18" s="122"/>
      <c r="G18" s="62" t="str">
        <f t="shared" si="10"/>
        <v>JpyLibor3M</v>
      </c>
      <c r="H18" s="116" t="str">
        <f t="shared" si="11"/>
        <v>JPY9x12F_Quote</v>
      </c>
      <c r="I18" s="122"/>
      <c r="J18" s="182" t="str">
        <f>IF(P16,_xll.qlFraRateHelper(,H18,B18&amp;"M",G18,PillarDate,,Permanent,Trigger,ObjectOverwrite),"--")</f>
        <v>obj_001ff#0001</v>
      </c>
      <c r="K18" s="50"/>
      <c r="L18" s="187" t="str">
        <f t="shared" si="5"/>
        <v>FRA</v>
      </c>
      <c r="M18" s="202" t="str">
        <f t="shared" si="6"/>
        <v>JPY15x18F_Quote</v>
      </c>
      <c r="N18" s="189">
        <f>IFERROR(_xll.qlQuoteValue(H20,Trigger),"--")</f>
        <v>-2.8500000000000001E-3</v>
      </c>
      <c r="O18" s="190"/>
      <c r="P18" s="173" t="str">
        <f>IF(_xll.qlRateHelperQuoteIsValid(S18,Trigger),"TRUE","FALSE")</f>
        <v>TRUE</v>
      </c>
      <c r="Q18" s="95">
        <v>20</v>
      </c>
      <c r="R18" s="95">
        <v>1</v>
      </c>
      <c r="S18" s="95" t="str">
        <f t="shared" si="7"/>
        <v>obj_001f9#0001</v>
      </c>
      <c r="T18" s="99">
        <f>IFERROR(_xll.qlRateHelperEarliestDate(S18,Trigger),"--")</f>
        <v>43020</v>
      </c>
      <c r="U18" s="99">
        <f>IFERROR(_xll.qlRateHelperPillarDate(S18,Trigger),"--")</f>
        <v>43112</v>
      </c>
      <c r="W18" s="3" t="str">
        <f t="shared" si="2"/>
        <v>BasSW</v>
      </c>
      <c r="X18" s="3" t="str">
        <v>obj_001be</v>
      </c>
      <c r="Y18" s="3" t="str">
        <f>IFERROR(_xll.qlRateHelperQuoteName(X18,Trigger),"")</f>
        <v>JPYSB6L5Y_Quote</v>
      </c>
      <c r="Z18" s="70">
        <f>IFERROR(_xll.qlRateHelperRate(X18,Trigger),"")</f>
        <v>-2.1000000000000003E-3</v>
      </c>
      <c r="AA18" s="103">
        <f>IF(ISERROR(_xll.qlSwapRateHelperSpread($X18)),IF(ISERROR(_xll.qlFuturesRateHelperConvexityAdjustment($X18)),"",_xll.qlFuturesRateHelperConvexityAdjustment($X18)),_xll.qlSwapRateHelperSpread($X18))</f>
        <v>2.9999999999999997E-4</v>
      </c>
      <c r="AB18" s="4">
        <f>IFERROR(_xll.qlRateHelperEarliestDate(X18,Trigger),"")</f>
        <v>42563</v>
      </c>
      <c r="AC18" s="4">
        <f>IFERROR(_xll.qlRateHelperPillarDate(X18,Trigger),"")</f>
        <v>44389</v>
      </c>
      <c r="AD18" s="76">
        <v>1.0121066056741836</v>
      </c>
      <c r="AE18" s="152"/>
      <c r="AF18" s="159">
        <v>8</v>
      </c>
      <c r="AG18" s="160" t="e">
        <f>_xll.qlCalendarEndOfMonth(Calendar,_xll.qlCalendarAdvance(Calendar,AG17,"1m","mf",TRUE),Trigger)</f>
        <v>#VALUE!</v>
      </c>
      <c r="AH18" s="160" t="str">
        <f t="shared" si="8"/>
        <v>JPYJump8_SYNTHON_Quote</v>
      </c>
      <c r="AI18" s="161" t="e">
        <f>_xll.qlDayCounterYearFraction("actual/360",AG18,_xll.qlCalendarAdvance(Calendar,AG18,"1D",,,Trigger))</f>
        <v>#NUM!</v>
      </c>
      <c r="AJ18" s="160" t="e">
        <f>IF(_xll.qlQuoteIsValid(AH18,Trigger),_xll.qlQuoteValue(AH18,Trigger),1)</f>
        <v>#NUM!</v>
      </c>
      <c r="AK18" s="163" t="e">
        <f t="shared" si="12"/>
        <v>#NUM!</v>
      </c>
      <c r="AL18" s="164"/>
      <c r="AM18" s="162" t="str">
        <f t="shared" si="13"/>
        <v>JPYJump8_SYNTHON_Quote</v>
      </c>
    </row>
    <row r="19" spans="1:39" ht="11.25" customHeight="1" x14ac:dyDescent="0.2">
      <c r="A19" s="60" t="s">
        <v>113</v>
      </c>
      <c r="B19" s="113">
        <v>12</v>
      </c>
      <c r="C19" s="64" t="str">
        <f t="shared" si="9"/>
        <v>x15F</v>
      </c>
      <c r="D19" s="122"/>
      <c r="E19" s="122"/>
      <c r="F19" s="122"/>
      <c r="G19" s="62" t="str">
        <f t="shared" si="10"/>
        <v>JpyLibor3M</v>
      </c>
      <c r="H19" s="116" t="str">
        <f t="shared" si="11"/>
        <v>JPY12x15F_Quote</v>
      </c>
      <c r="I19" s="122"/>
      <c r="J19" s="182" t="str">
        <f>IF(P17,_xll.qlFraRateHelper(,H19,B19&amp;"M",G19,PillarDate,,Permanent,Trigger,ObjectOverwrite),"--")</f>
        <v>obj_001fa#0001</v>
      </c>
      <c r="K19" s="50"/>
      <c r="L19" s="187" t="str">
        <f t="shared" si="5"/>
        <v>FRA</v>
      </c>
      <c r="M19" s="202" t="str">
        <f t="shared" si="6"/>
        <v>JPY18x21F_Quote</v>
      </c>
      <c r="N19" s="189">
        <f>IFERROR(_xll.qlQuoteValue(H21,Trigger),"--")</f>
        <v>-3.0000000000000001E-3</v>
      </c>
      <c r="O19" s="190"/>
      <c r="P19" s="98" t="b">
        <v>0</v>
      </c>
      <c r="Q19" s="95">
        <v>20</v>
      </c>
      <c r="R19" s="95">
        <v>1</v>
      </c>
      <c r="S19" s="95" t="str">
        <f t="shared" si="7"/>
        <v>--</v>
      </c>
      <c r="T19" s="99" t="str">
        <f>IFERROR(_xll.qlRateHelperEarliestDate(S19,Trigger),"--")</f>
        <v>--</v>
      </c>
      <c r="U19" s="99" t="str">
        <f>IFERROR(_xll.qlRateHelperPillarDate(S19,Trigger),"--")</f>
        <v>--</v>
      </c>
      <c r="W19" s="3" t="str">
        <f t="shared" si="2"/>
        <v>BasSW</v>
      </c>
      <c r="X19" s="3" t="str">
        <v>obj_001d6</v>
      </c>
      <c r="Y19" s="3" t="str">
        <f>IFERROR(_xll.qlRateHelperQuoteName(X19,Trigger),"")</f>
        <v>JPYSB6L6Y_Quote</v>
      </c>
      <c r="Z19" s="70">
        <f>IFERROR(_xll.qlRateHelperRate(X19,Trigger),"")</f>
        <v>-1.9500000000000001E-3</v>
      </c>
      <c r="AA19" s="103">
        <f>IF(ISERROR(_xll.qlSwapRateHelperSpread($X19)),IF(ISERROR(_xll.qlFuturesRateHelperConvexityAdjustment($X19)),"",_xll.qlFuturesRateHelperConvexityAdjustment($X19)),_xll.qlSwapRateHelperSpread($X19))</f>
        <v>2.7500000000000002E-4</v>
      </c>
      <c r="AB19" s="4">
        <f>IFERROR(_xll.qlRateHelperEarliestDate(X19,Trigger),"")</f>
        <v>42563</v>
      </c>
      <c r="AC19" s="4">
        <f>IFERROR(_xll.qlRateHelperPillarDate(X19,Trigger),"")</f>
        <v>44754</v>
      </c>
      <c r="AD19" s="76">
        <v>1.0134858085656093</v>
      </c>
      <c r="AE19" s="152"/>
      <c r="AF19" s="159">
        <v>9</v>
      </c>
      <c r="AG19" s="160" t="e">
        <f>_xll.qlCalendarEndOfMonth(Calendar,_xll.qlCalendarAdvance(Calendar,AG18,"1m","mf",TRUE),Trigger)</f>
        <v>#VALUE!</v>
      </c>
      <c r="AH19" s="160" t="str">
        <f t="shared" si="8"/>
        <v>JPYJump9_SYNTHON_Quote</v>
      </c>
      <c r="AI19" s="161" t="e">
        <f>_xll.qlDayCounterYearFraction("actual/360",AG19,_xll.qlCalendarAdvance(Calendar,AG19,"1D",,,Trigger))</f>
        <v>#NUM!</v>
      </c>
      <c r="AJ19" s="160" t="e">
        <f>IF(_xll.qlQuoteIsValid(AH19,Trigger),_xll.qlQuoteValue(AH19,Trigger),1)</f>
        <v>#NUM!</v>
      </c>
      <c r="AK19" s="163" t="e">
        <f t="shared" si="12"/>
        <v>#NUM!</v>
      </c>
      <c r="AL19" s="164"/>
      <c r="AM19" s="162" t="str">
        <f t="shared" si="13"/>
        <v>JPYJump9_SYNTHON_Quote</v>
      </c>
    </row>
    <row r="20" spans="1:39" ht="11.25" customHeight="1" x14ac:dyDescent="0.2">
      <c r="A20" s="60" t="s">
        <v>113</v>
      </c>
      <c r="B20" s="113">
        <v>15</v>
      </c>
      <c r="C20" s="64" t="str">
        <f t="shared" si="9"/>
        <v>x18F</v>
      </c>
      <c r="D20" s="122"/>
      <c r="E20" s="122"/>
      <c r="F20" s="122"/>
      <c r="G20" s="62" t="str">
        <f t="shared" si="10"/>
        <v>JpyLibor3M</v>
      </c>
      <c r="H20" s="116" t="str">
        <f t="shared" si="11"/>
        <v>JPY15x18F_Quote</v>
      </c>
      <c r="I20" s="122"/>
      <c r="J20" s="197" t="str">
        <f>_xll.qlFraRateHelper(,H20,B20&amp;"M",G20,PillarDate,,Permanent,Trigger,ObjectOverwrite)</f>
        <v>obj_001f9#0001</v>
      </c>
      <c r="K20" s="50"/>
      <c r="L20" s="187" t="str">
        <f t="shared" si="5"/>
        <v>FRA</v>
      </c>
      <c r="M20" s="202" t="str">
        <f t="shared" si="6"/>
        <v>JPY21x24F_Quote</v>
      </c>
      <c r="N20" s="189">
        <f>IFERROR(_xll.qlQuoteValue(H22,Trigger),"--")</f>
        <v>-3.3500000000000001E-3</v>
      </c>
      <c r="O20" s="190"/>
      <c r="P20" s="98" t="b">
        <v>0</v>
      </c>
      <c r="Q20" s="95">
        <v>20</v>
      </c>
      <c r="R20" s="95">
        <v>1</v>
      </c>
      <c r="S20" s="95" t="str">
        <f t="shared" si="7"/>
        <v>--</v>
      </c>
      <c r="T20" s="99" t="str">
        <f>IFERROR(_xll.qlRateHelperEarliestDate(S20,Trigger),"--")</f>
        <v>--</v>
      </c>
      <c r="U20" s="99" t="str">
        <f>IFERROR(_xll.qlRateHelperPillarDate(S20,Trigger),"--")</f>
        <v>--</v>
      </c>
      <c r="W20" s="3" t="str">
        <f t="shared" si="2"/>
        <v>BasSW</v>
      </c>
      <c r="X20" s="3" t="str">
        <v>obj_001d0</v>
      </c>
      <c r="Y20" s="3" t="str">
        <f>IFERROR(_xll.qlRateHelperQuoteName(X20,Trigger),"")</f>
        <v>JPYSB6L7Y_Quote</v>
      </c>
      <c r="Z20" s="70">
        <f>IFERROR(_xll.qlRateHelperRate(X20,Trigger),"")</f>
        <v>-1.7250000000000002E-3</v>
      </c>
      <c r="AA20" s="103">
        <f>IF(ISERROR(_xll.qlSwapRateHelperSpread($X20)),IF(ISERROR(_xll.qlFuturesRateHelperConvexityAdjustment($X20)),"",_xll.qlFuturesRateHelperConvexityAdjustment($X20)),_xll.qlSwapRateHelperSpread($X20))</f>
        <v>2.5000000000000001E-4</v>
      </c>
      <c r="AB20" s="4">
        <f>IFERROR(_xll.qlRateHelperEarliestDate(X20,Trigger),"")</f>
        <v>42563</v>
      </c>
      <c r="AC20" s="4">
        <f>IFERROR(_xll.qlRateHelperPillarDate(X20,Trigger),"")</f>
        <v>45119</v>
      </c>
      <c r="AD20" s="76">
        <v>1.0139851307187053</v>
      </c>
      <c r="AE20" s="152"/>
      <c r="AF20" s="159">
        <v>10</v>
      </c>
      <c r="AG20" s="160" t="e">
        <f>_xll.qlCalendarEndOfMonth(Calendar,_xll.qlCalendarAdvance(Calendar,AG19,"1m","mf",TRUE),Trigger)</f>
        <v>#VALUE!</v>
      </c>
      <c r="AH20" s="160" t="str">
        <f t="shared" si="8"/>
        <v>JPYJump10_SYNTHON_Quote</v>
      </c>
      <c r="AI20" s="161" t="e">
        <f>_xll.qlDayCounterYearFraction("actual/360",AG20,_xll.qlCalendarAdvance(Calendar,AG20,"1D",,,Trigger))</f>
        <v>#NUM!</v>
      </c>
      <c r="AJ20" s="160" t="e">
        <f>IF(_xll.qlQuoteIsValid(AH20,Trigger),_xll.qlQuoteValue(AH20,Trigger),1)</f>
        <v>#NUM!</v>
      </c>
      <c r="AK20" s="163" t="e">
        <f t="shared" si="12"/>
        <v>#NUM!</v>
      </c>
      <c r="AL20" s="164"/>
      <c r="AM20" s="162" t="str">
        <f t="shared" si="13"/>
        <v>JPYJump10_SYNTHON_Quote</v>
      </c>
    </row>
    <row r="21" spans="1:39" ht="11.25" customHeight="1" x14ac:dyDescent="0.2">
      <c r="A21" s="60" t="s">
        <v>113</v>
      </c>
      <c r="B21" s="113">
        <v>18</v>
      </c>
      <c r="C21" s="64" t="str">
        <f t="shared" si="9"/>
        <v>x21F</v>
      </c>
      <c r="D21" s="122"/>
      <c r="E21" s="122"/>
      <c r="F21" s="122"/>
      <c r="G21" s="62" t="str">
        <f t="shared" si="10"/>
        <v>JpyLibor3M</v>
      </c>
      <c r="H21" s="116" t="str">
        <f t="shared" si="11"/>
        <v>JPY18x21F_Quote</v>
      </c>
      <c r="I21" s="122"/>
      <c r="J21" s="182" t="str">
        <f>IF(P19,_xll.qlFraRateHelper(,H21,B21&amp;"M",G21,PillarDate,,Permanent,Trigger,ObjectOverwrite),"--")</f>
        <v>--</v>
      </c>
      <c r="K21" s="50"/>
      <c r="L21" s="198" t="str">
        <f t="shared" ref="L21:L57" si="14">A25</f>
        <v>BasSW</v>
      </c>
      <c r="M21" s="204" t="str">
        <f>H25</f>
        <v>JPYSB6L1Y_Quote</v>
      </c>
      <c r="N21" s="200">
        <f>IFERROR(_xll.qlQuoteValue(H25,Trigger),"--")</f>
        <v>-1.0500000000000002E-3</v>
      </c>
      <c r="O21" s="200">
        <f>IFERROR(_xll.qlQuoteValue(I25,Trigger),"--")</f>
        <v>5.2499999999999997E-4</v>
      </c>
      <c r="P21" s="133" t="b">
        <v>0</v>
      </c>
      <c r="Q21" s="132">
        <v>40</v>
      </c>
      <c r="R21" s="132">
        <v>1</v>
      </c>
      <c r="S21" s="132" t="str">
        <f>J25</f>
        <v>--</v>
      </c>
      <c r="T21" s="134" t="str">
        <f>IFERROR(_xll.qlRateHelperEarliestDate(S21,Trigger),"--")</f>
        <v>--</v>
      </c>
      <c r="U21" s="134" t="str">
        <f>IFERROR(_xll.qlRateHelperPillarDate(S21,Trigger),"--")</f>
        <v>--</v>
      </c>
      <c r="W21" s="3" t="str">
        <f t="shared" si="2"/>
        <v>BasSW</v>
      </c>
      <c r="X21" s="3" t="str">
        <v>obj_001db</v>
      </c>
      <c r="Y21" s="3" t="str">
        <f>IFERROR(_xll.qlRateHelperQuoteName(X21,Trigger),"")</f>
        <v>JPYSB6L8Y_Quote</v>
      </c>
      <c r="Z21" s="70">
        <f>IFERROR(_xll.qlRateHelperRate(X21,Trigger),"")</f>
        <v>-1.4750000000000002E-3</v>
      </c>
      <c r="AA21" s="103">
        <f>IF(ISERROR(_xll.qlSwapRateHelperSpread($X21)),IF(ISERROR(_xll.qlFuturesRateHelperConvexityAdjustment($X21)),"",_xll.qlFuturesRateHelperConvexityAdjustment($X21)),_xll.qlSwapRateHelperSpread($X21))</f>
        <v>2.2499999999999999E-4</v>
      </c>
      <c r="AB21" s="4">
        <f>IFERROR(_xll.qlRateHelperEarliestDate(X21,Trigger),"")</f>
        <v>42563</v>
      </c>
      <c r="AC21" s="4">
        <f>IFERROR(_xll.qlRateHelperPillarDate(X21,Trigger),"")</f>
        <v>45485</v>
      </c>
      <c r="AD21" s="76">
        <v>1.0137833280970598</v>
      </c>
      <c r="AE21" s="152"/>
      <c r="AF21" s="159">
        <v>11</v>
      </c>
      <c r="AG21" s="160" t="e">
        <f>_xll.qlCalendarEndOfMonth(Calendar,_xll.qlCalendarAdvance(Calendar,AG20,"1m","mf",TRUE),Trigger)</f>
        <v>#VALUE!</v>
      </c>
      <c r="AH21" s="160" t="str">
        <f t="shared" si="8"/>
        <v>JPYJump11_SYNTHON_Quote</v>
      </c>
      <c r="AI21" s="161" t="e">
        <f>_xll.qlDayCounterYearFraction("actual/360",AG21,_xll.qlCalendarAdvance(Calendar,AG21,"1D",,,Trigger))</f>
        <v>#NUM!</v>
      </c>
      <c r="AJ21" s="160" t="e">
        <f>IF(_xll.qlQuoteIsValid(AH21,Trigger),_xll.qlQuoteValue(AH21,Trigger),1)</f>
        <v>#NUM!</v>
      </c>
      <c r="AK21" s="163" t="e">
        <f t="shared" si="12"/>
        <v>#NUM!</v>
      </c>
      <c r="AL21" s="164"/>
      <c r="AM21" s="162" t="str">
        <f t="shared" si="13"/>
        <v>JPYJump11_SYNTHON_Quote</v>
      </c>
    </row>
    <row r="22" spans="1:39" ht="11.25" customHeight="1" x14ac:dyDescent="0.2">
      <c r="A22" s="1" t="s">
        <v>113</v>
      </c>
      <c r="B22" s="114">
        <v>21</v>
      </c>
      <c r="C22" s="9" t="str">
        <f t="shared" si="9"/>
        <v>x24F</v>
      </c>
      <c r="D22" s="123"/>
      <c r="E22" s="123"/>
      <c r="F22" s="123"/>
      <c r="G22" s="6" t="str">
        <f t="shared" si="10"/>
        <v>JpyLibor3M</v>
      </c>
      <c r="H22" s="117" t="str">
        <f t="shared" si="11"/>
        <v>JPY21x24F_Quote</v>
      </c>
      <c r="I22" s="123"/>
      <c r="J22" s="180" t="str">
        <f>IF(P20,_xll.qlFraRateHelper(,H22,B22&amp;"M",G22,PillarDate,,Permanent,Trigger,ObjectOverwrite),"--")</f>
        <v>--</v>
      </c>
      <c r="K22" s="50"/>
      <c r="L22" s="187" t="str">
        <f t="shared" si="14"/>
        <v>BasSW</v>
      </c>
      <c r="M22" s="202" t="str">
        <f t="shared" ref="M22:M57" si="15">H26</f>
        <v>JPYSB6L15M_Quote</v>
      </c>
      <c r="N22" s="189" t="str">
        <f>IFERROR(_xll.qlQuoteValue(H26,Trigger),"--")</f>
        <v>--</v>
      </c>
      <c r="O22" s="189" t="str">
        <f>IFERROR(_xll.qlQuoteValue(I26,Trigger),"--")</f>
        <v>--</v>
      </c>
      <c r="P22" s="136" t="b">
        <v>0</v>
      </c>
      <c r="Q22" s="135">
        <v>40</v>
      </c>
      <c r="R22" s="135">
        <v>1</v>
      </c>
      <c r="S22" s="135" t="str">
        <f t="shared" ref="S22:S57" si="16">J26</f>
        <v>--</v>
      </c>
      <c r="T22" s="137" t="str">
        <f>IFERROR(_xll.qlRateHelperEarliestDate(S22,Trigger),"--")</f>
        <v>--</v>
      </c>
      <c r="U22" s="137" t="str">
        <f>IFERROR(_xll.qlRateHelperPillarDate(S22,Trigger),"--")</f>
        <v>--</v>
      </c>
      <c r="W22" s="3" t="str">
        <f t="shared" si="2"/>
        <v>BasSW</v>
      </c>
      <c r="X22" s="3" t="str">
        <v>obj_001cb</v>
      </c>
      <c r="Y22" s="3" t="str">
        <f>IFERROR(_xll.qlRateHelperQuoteName(X22,Trigger),"")</f>
        <v>JPYSB6L9Y_Quote</v>
      </c>
      <c r="Z22" s="70">
        <f>IFERROR(_xll.qlRateHelperRate(X22,Trigger),"")</f>
        <v>-1.1999999999999999E-3</v>
      </c>
      <c r="AA22" s="103">
        <f>IF(ISERROR(_xll.qlSwapRateHelperSpread($X22)),IF(ISERROR(_xll.qlFuturesRateHelperConvexityAdjustment($X22)),"",_xll.qlFuturesRateHelperConvexityAdjustment($X22)),_xll.qlSwapRateHelperSpread($X22))</f>
        <v>2.2499999999999999E-4</v>
      </c>
      <c r="AB22" s="4">
        <f>IFERROR(_xll.qlRateHelperEarliestDate(X22,Trigger),"")</f>
        <v>42563</v>
      </c>
      <c r="AC22" s="4">
        <f>IFERROR(_xll.qlRateHelperPillarDate(X22,Trigger),"")</f>
        <v>45852</v>
      </c>
      <c r="AD22" s="76">
        <v>1.013032075861366</v>
      </c>
      <c r="AE22" s="152"/>
      <c r="AF22" s="159">
        <v>12</v>
      </c>
      <c r="AG22" s="160" t="e">
        <f>_xll.qlCalendarEndOfMonth(Calendar,_xll.qlCalendarAdvance(Calendar,AG21,"1m","mf",TRUE),Trigger)</f>
        <v>#VALUE!</v>
      </c>
      <c r="AH22" s="160" t="str">
        <f t="shared" si="8"/>
        <v>JPYJump12_SYNTHON_Quote</v>
      </c>
      <c r="AI22" s="161" t="e">
        <f>_xll.qlDayCounterYearFraction("actual/360",AG22,_xll.qlCalendarAdvance(Calendar,AG22,"1D",,,Trigger))</f>
        <v>#NUM!</v>
      </c>
      <c r="AJ22" s="160" t="e">
        <f>IF(_xll.qlQuoteIsValid(AH22,Trigger),_xll.qlQuoteValue(AH22,Trigger),1)</f>
        <v>#NUM!</v>
      </c>
      <c r="AK22" s="163" t="e">
        <f t="shared" si="12"/>
        <v>#NUM!</v>
      </c>
      <c r="AL22" s="164"/>
      <c r="AM22" s="162" t="str">
        <f t="shared" si="13"/>
        <v>JPYJump12_SYNTHON_Quote</v>
      </c>
    </row>
    <row r="23" spans="1:39" ht="11.25" customHeight="1" x14ac:dyDescent="0.2">
      <c r="G23" s="52" t="s">
        <v>140</v>
      </c>
      <c r="H23" s="52" t="s">
        <v>130</v>
      </c>
      <c r="I23" s="102" t="s">
        <v>133</v>
      </c>
      <c r="K23" s="50"/>
      <c r="L23" s="187" t="str">
        <f t="shared" si="14"/>
        <v>BasSW</v>
      </c>
      <c r="M23" s="202" t="str">
        <f t="shared" si="15"/>
        <v>JPYSB6L18M_Quote</v>
      </c>
      <c r="N23" s="189">
        <f>IFERROR(_xll.qlQuoteValue(H27,Trigger),"--")</f>
        <v>-1.5000000000000002E-3</v>
      </c>
      <c r="O23" s="189" t="str">
        <f>IFERROR(_xll.qlQuoteValue(I27,Trigger),"--")</f>
        <v>--</v>
      </c>
      <c r="P23" s="136" t="b">
        <v>0</v>
      </c>
      <c r="Q23" s="135">
        <v>40</v>
      </c>
      <c r="R23" s="135">
        <v>1</v>
      </c>
      <c r="S23" s="135" t="str">
        <f t="shared" si="16"/>
        <v>--</v>
      </c>
      <c r="T23" s="137" t="str">
        <f>IFERROR(_xll.qlRateHelperEarliestDate(S23,Trigger),"--")</f>
        <v>--</v>
      </c>
      <c r="U23" s="137" t="str">
        <f>IFERROR(_xll.qlRateHelperPillarDate(S23,Trigger),"--")</f>
        <v>--</v>
      </c>
      <c r="W23" s="3" t="str">
        <f t="shared" si="2"/>
        <v>BasSW</v>
      </c>
      <c r="X23" s="3" t="str">
        <v>obj_001c9</v>
      </c>
      <c r="Y23" s="3" t="str">
        <f>IFERROR(_xll.qlRateHelperQuoteName(X23,Trigger),"")</f>
        <v>JPYSB6L10Y_Quote</v>
      </c>
      <c r="Z23" s="70">
        <f>IFERROR(_xll.qlRateHelperRate(X23,Trigger),"")</f>
        <v>-9.2500000000000004E-4</v>
      </c>
      <c r="AA23" s="103">
        <f>IF(ISERROR(_xll.qlSwapRateHelperSpread($X23)),IF(ISERROR(_xll.qlFuturesRateHelperConvexityAdjustment($X23)),"",_xll.qlFuturesRateHelperConvexityAdjustment($X23)),_xll.qlSwapRateHelperSpread($X23))</f>
        <v>2.0000000000000001E-4</v>
      </c>
      <c r="AB23" s="4">
        <f>IFERROR(_xll.qlRateHelperEarliestDate(X23,Trigger),"")</f>
        <v>42563</v>
      </c>
      <c r="AC23" s="4">
        <f>IFERROR(_xll.qlRateHelperPillarDate(X23,Trigger),"")</f>
        <v>46216</v>
      </c>
      <c r="AD23" s="76">
        <v>1.0114603552788668</v>
      </c>
      <c r="AE23" s="152"/>
      <c r="AF23" s="165">
        <v>13</v>
      </c>
      <c r="AG23" s="166" t="e">
        <f>_xll.qlCalendarAdjust(Calendar,DATE(YEAR(AG11)+1,12,31),"preceding",Trigger)</f>
        <v>#VALUE!</v>
      </c>
      <c r="AH23" s="166" t="str">
        <f t="shared" si="8"/>
        <v>JPYJump13_SYNTHON_Quote</v>
      </c>
      <c r="AI23" s="167" t="e">
        <f>_xll.qlDayCounterYearFraction("actual/360",AG23,_xll.qlCalendarAdvance(Calendar,AG23,"1D",,,Trigger))</f>
        <v>#NUM!</v>
      </c>
      <c r="AJ23" s="166" t="e">
        <f>IF(_xll.qlQuoteIsValid(AH23,Trigger),_xll.qlQuoteValue(AH23,Trigger),1)</f>
        <v>#NUM!</v>
      </c>
      <c r="AK23" s="169" t="e">
        <f t="shared" si="12"/>
        <v>#NUM!</v>
      </c>
      <c r="AL23" s="170"/>
      <c r="AM23" s="168" t="str">
        <f t="shared" si="13"/>
        <v>JPYJump13_SYNTHON_Quote</v>
      </c>
    </row>
    <row r="24" spans="1:39" ht="11.25" customHeight="1" x14ac:dyDescent="0.2">
      <c r="A24" s="66" t="s">
        <v>8</v>
      </c>
      <c r="B24" s="66" t="s">
        <v>27</v>
      </c>
      <c r="C24" s="66" t="s">
        <v>131</v>
      </c>
      <c r="D24" s="66" t="s">
        <v>5</v>
      </c>
      <c r="E24" s="66" t="s">
        <v>31</v>
      </c>
      <c r="F24" s="66" t="s">
        <v>132</v>
      </c>
      <c r="G24" s="66" t="s">
        <v>4</v>
      </c>
      <c r="H24" s="66" t="s">
        <v>1</v>
      </c>
      <c r="I24" s="66" t="s">
        <v>129</v>
      </c>
      <c r="J24" s="66" t="s">
        <v>23</v>
      </c>
      <c r="K24" s="50"/>
      <c r="L24" s="187" t="str">
        <f t="shared" si="14"/>
        <v>BasSW</v>
      </c>
      <c r="M24" s="202" t="str">
        <f t="shared" si="15"/>
        <v>JPYSB6L21M_Quote</v>
      </c>
      <c r="N24" s="189" t="str">
        <f>IFERROR(_xll.qlQuoteValue(H28,Trigger),"--")</f>
        <v>--</v>
      </c>
      <c r="O24" s="189" t="str">
        <f>IFERROR(_xll.qlQuoteValue(I28,Trigger),"--")</f>
        <v>--</v>
      </c>
      <c r="P24" s="136" t="b">
        <v>0</v>
      </c>
      <c r="Q24" s="135">
        <v>40</v>
      </c>
      <c r="R24" s="135">
        <v>1</v>
      </c>
      <c r="S24" s="135" t="str">
        <f t="shared" si="16"/>
        <v>--</v>
      </c>
      <c r="T24" s="137" t="str">
        <f>IFERROR(_xll.qlRateHelperEarliestDate(S24,Trigger),"--")</f>
        <v>--</v>
      </c>
      <c r="U24" s="137" t="str">
        <f>IFERROR(_xll.qlRateHelperPillarDate(S24,Trigger),"--")</f>
        <v>--</v>
      </c>
      <c r="W24" s="3" t="str">
        <f t="shared" si="2"/>
        <v>BasSW</v>
      </c>
      <c r="X24" s="3" t="str">
        <v>obj_001b7</v>
      </c>
      <c r="Y24" s="3" t="str">
        <f>IFERROR(_xll.qlRateHelperQuoteName(X24,Trigger),"")</f>
        <v>JPYSB6L15Y_Quote</v>
      </c>
      <c r="Z24" s="70">
        <f>IFERROR(_xll.qlRateHelperRate(X24,Trigger),"")</f>
        <v>4.2500000000000003E-4</v>
      </c>
      <c r="AA24" s="103">
        <f>IF(ISERROR(_xll.qlSwapRateHelperSpread($X24)),IF(ISERROR(_xll.qlFuturesRateHelperConvexityAdjustment($X24)),"",_xll.qlFuturesRateHelperConvexityAdjustment($X24)),_xll.qlSwapRateHelperSpread($X24))</f>
        <v>1.4999999999999999E-4</v>
      </c>
      <c r="AB24" s="4">
        <f>IFERROR(_xll.qlRateHelperEarliestDate(X24,Trigger),"")</f>
        <v>42563</v>
      </c>
      <c r="AC24" s="4">
        <f>IFERROR(_xll.qlRateHelperPillarDate(X24,Trigger),"")</f>
        <v>48043</v>
      </c>
      <c r="AD24" s="76">
        <v>0.99613208322318292</v>
      </c>
      <c r="AE24" s="152"/>
    </row>
    <row r="25" spans="1:39" ht="11.25" customHeight="1" x14ac:dyDescent="0.2">
      <c r="A25" s="55" t="s">
        <v>139</v>
      </c>
      <c r="B25" s="56" t="s">
        <v>26</v>
      </c>
      <c r="C25" s="57" t="s">
        <v>6</v>
      </c>
      <c r="D25" s="62" t="s">
        <v>141</v>
      </c>
      <c r="E25" s="62" t="s">
        <v>7</v>
      </c>
      <c r="F25" s="62" t="s">
        <v>142</v>
      </c>
      <c r="G25" s="62" t="str">
        <f t="shared" ref="G25:G61" si="17">PROPER(Currency)&amp;FamilyName&amp;Tenor</f>
        <v>JpyLibor3M</v>
      </c>
      <c r="H25" s="60" t="str">
        <f t="shared" ref="H25:H61" si="18">Currency&amp;$G$23&amp;$I$23&amp;$B25&amp;"_Quote"</f>
        <v>JPYSB6L1Y_Quote</v>
      </c>
      <c r="I25" s="125" t="str">
        <f t="shared" ref="I25:I61" si="19">Currency&amp;$H$23&amp;$I$23&amp;B25&amp;QuoteSuffix</f>
        <v>JPY3L6L1Y_Quote</v>
      </c>
      <c r="J25" s="181" t="str">
        <f>IF(P21,_xll.qlSwapRateHelper2(,H25,2,B25,JoinCalendar,+D25,E25,F25,G25,I25,C25,Discounting,PillarDate,,,Trigger),"--")</f>
        <v>--</v>
      </c>
      <c r="K25" s="50"/>
      <c r="L25" s="187" t="str">
        <f t="shared" si="14"/>
        <v>BasSW</v>
      </c>
      <c r="M25" s="202" t="str">
        <f t="shared" si="15"/>
        <v>JPYSB6L2Y_Quote</v>
      </c>
      <c r="N25" s="189">
        <f>IFERROR(_xll.qlQuoteValue(H29,Trigger),"--")</f>
        <v>-1.8E-3</v>
      </c>
      <c r="O25" s="189">
        <f>IFERROR(_xll.qlQuoteValue(I29,Trigger),"--")</f>
        <v>4.4999999999999999E-4</v>
      </c>
      <c r="P25" s="136" t="b">
        <v>1</v>
      </c>
      <c r="Q25" s="135">
        <v>40</v>
      </c>
      <c r="R25" s="135">
        <v>1</v>
      </c>
      <c r="S25" s="135" t="str">
        <f t="shared" si="16"/>
        <v>obj_001c3#0001</v>
      </c>
      <c r="T25" s="137">
        <f>IFERROR(_xll.qlRateHelperEarliestDate(S25,Trigger),"--")</f>
        <v>42563</v>
      </c>
      <c r="U25" s="137">
        <f>IFERROR(_xll.qlRateHelperPillarDate(S25,Trigger),"--")</f>
        <v>43293</v>
      </c>
      <c r="W25" s="3" t="str">
        <f t="shared" si="2"/>
        <v>BasSW</v>
      </c>
      <c r="X25" s="3" t="str">
        <v>obj_001ca</v>
      </c>
      <c r="Y25" s="3" t="str">
        <f>IFERROR(_xll.qlRateHelperQuoteName(X25,Trigger),"")</f>
        <v>JPYSB6L20Y_Quote</v>
      </c>
      <c r="Z25" s="70">
        <f>IFERROR(_xll.qlRateHelperRate(X25,Trigger),"")</f>
        <v>1.325E-3</v>
      </c>
      <c r="AA25" s="103">
        <f>IF(ISERROR(_xll.qlSwapRateHelperSpread($X25)),IF(ISERROR(_xll.qlFuturesRateHelperConvexityAdjustment($X25)),"",_xll.qlFuturesRateHelperConvexityAdjustment($X25)),_xll.qlSwapRateHelperSpread($X25))</f>
        <v>1.25E-4</v>
      </c>
      <c r="AB25" s="4">
        <f>IFERROR(_xll.qlRateHelperEarliestDate(X25,Trigger),"")</f>
        <v>42563</v>
      </c>
      <c r="AC25" s="4">
        <f>IFERROR(_xll.qlRateHelperPillarDate(X25,Trigger),"")</f>
        <v>49870</v>
      </c>
      <c r="AD25" s="76">
        <v>0.97651134987683297</v>
      </c>
      <c r="AE25" s="152"/>
    </row>
    <row r="26" spans="1:39" ht="11.25" customHeight="1" x14ac:dyDescent="0.2">
      <c r="A26" s="60" t="s">
        <v>139</v>
      </c>
      <c r="B26" s="61" t="s">
        <v>54</v>
      </c>
      <c r="C26" s="62" t="s">
        <v>6</v>
      </c>
      <c r="D26" s="62" t="s">
        <v>141</v>
      </c>
      <c r="E26" s="62" t="s">
        <v>7</v>
      </c>
      <c r="F26" s="62" t="s">
        <v>142</v>
      </c>
      <c r="G26" s="62" t="str">
        <f t="shared" si="17"/>
        <v>JpyLibor3M</v>
      </c>
      <c r="H26" s="60" t="str">
        <f t="shared" si="18"/>
        <v>JPYSB6L15M_Quote</v>
      </c>
      <c r="I26" s="126" t="str">
        <f t="shared" si="19"/>
        <v>JPY3L6L15M_Quote</v>
      </c>
      <c r="J26" s="182" t="str">
        <f>IF(P22,_xll.qlSwapRateHelper2(,H26,2,B26,JoinCalendar,+D26,E26,F26,G26,I26,C26,Discounting,PillarDate,,,Trigger),"--")</f>
        <v>--</v>
      </c>
      <c r="K26" s="50"/>
      <c r="L26" s="187" t="str">
        <f t="shared" si="14"/>
        <v>BasSW</v>
      </c>
      <c r="M26" s="202" t="str">
        <f t="shared" si="15"/>
        <v>JPYSB6L3Y_Quote</v>
      </c>
      <c r="N26" s="189">
        <f>IFERROR(_xll.qlQuoteValue(H30,Trigger),"--")</f>
        <v>-2.1000000000000003E-3</v>
      </c>
      <c r="O26" s="189">
        <f>IFERROR(_xll.qlQuoteValue(I30,Trigger),"--")</f>
        <v>3.7500000000000001E-4</v>
      </c>
      <c r="P26" s="136" t="b">
        <v>1</v>
      </c>
      <c r="Q26" s="135">
        <v>40</v>
      </c>
      <c r="R26" s="135">
        <v>1</v>
      </c>
      <c r="S26" s="135" t="str">
        <f t="shared" si="16"/>
        <v>obj_001d1#0001</v>
      </c>
      <c r="T26" s="137">
        <f>IFERROR(_xll.qlRateHelperEarliestDate(S26,Trigger),"--")</f>
        <v>42563</v>
      </c>
      <c r="U26" s="137">
        <f>IFERROR(_xll.qlRateHelperPillarDate(S26,Trigger),"--")</f>
        <v>43658</v>
      </c>
      <c r="W26" s="3" t="str">
        <f t="shared" si="2"/>
        <v>BasSW</v>
      </c>
      <c r="X26" s="3" t="str">
        <v>obj_001ba</v>
      </c>
      <c r="Y26" s="3" t="str">
        <f>IFERROR(_xll.qlRateHelperQuoteName(X26,Trigger),"")</f>
        <v>JPYSB6L30Y_Quote</v>
      </c>
      <c r="Z26" s="70">
        <f>IFERROR(_xll.qlRateHelperRate(X26,Trigger),"")</f>
        <v>1.7749999999999999E-3</v>
      </c>
      <c r="AA26" s="103">
        <f>IF(ISERROR(_xll.qlSwapRateHelperSpread($X26)),IF(ISERROR(_xll.qlFuturesRateHelperConvexityAdjustment($X26)),"",_xll.qlFuturesRateHelperConvexityAdjustment($X26)),_xll.qlSwapRateHelperSpread($X26))</f>
        <v>1.25E-4</v>
      </c>
      <c r="AB26" s="4">
        <f>IFERROR(_xll.qlRateHelperEarliestDate(X26,Trigger),"")</f>
        <v>42563</v>
      </c>
      <c r="AC26" s="4">
        <f>IFERROR(_xll.qlRateHelperPillarDate(X26,Trigger),"")</f>
        <v>53520</v>
      </c>
      <c r="AD26" s="76">
        <v>0.95189245211777307</v>
      </c>
      <c r="AE26" s="152"/>
    </row>
    <row r="27" spans="1:39" ht="11.25" customHeight="1" x14ac:dyDescent="0.2">
      <c r="A27" s="60" t="s">
        <v>139</v>
      </c>
      <c r="B27" s="61" t="s">
        <v>57</v>
      </c>
      <c r="C27" s="62" t="s">
        <v>6</v>
      </c>
      <c r="D27" s="62" t="s">
        <v>141</v>
      </c>
      <c r="E27" s="62" t="s">
        <v>7</v>
      </c>
      <c r="F27" s="62" t="s">
        <v>142</v>
      </c>
      <c r="G27" s="62" t="str">
        <f t="shared" si="17"/>
        <v>JpyLibor3M</v>
      </c>
      <c r="H27" s="60" t="str">
        <f t="shared" si="18"/>
        <v>JPYSB6L18M_Quote</v>
      </c>
      <c r="I27" s="126" t="str">
        <f t="shared" si="19"/>
        <v>JPY3L6L18M_Quote</v>
      </c>
      <c r="J27" s="182" t="str">
        <f>IF(P23,_xll.qlSwapRateHelper2(,H27,2,B27,JoinCalendar,+D27,E27,F27,G27,I27,C27,Discounting,PillarDate,,,Trigger),"--")</f>
        <v>--</v>
      </c>
      <c r="K27" s="50"/>
      <c r="L27" s="187" t="str">
        <f t="shared" si="14"/>
        <v>BasSW</v>
      </c>
      <c r="M27" s="202" t="str">
        <f t="shared" si="15"/>
        <v>JPYSB6L4Y_Quote</v>
      </c>
      <c r="N27" s="189">
        <f>IFERROR(_xll.qlQuoteValue(H31,Trigger),"--")</f>
        <v>-2.1750000000000003E-3</v>
      </c>
      <c r="O27" s="189">
        <f>IFERROR(_xll.qlQuoteValue(I31,Trigger),"--")</f>
        <v>3.2499999999999999E-4</v>
      </c>
      <c r="P27" s="136" t="b">
        <v>1</v>
      </c>
      <c r="Q27" s="135">
        <v>40</v>
      </c>
      <c r="R27" s="135">
        <v>1</v>
      </c>
      <c r="S27" s="135" t="str">
        <f t="shared" si="16"/>
        <v>obj_001dd#0001</v>
      </c>
      <c r="T27" s="137">
        <f>IFERROR(_xll.qlRateHelperEarliestDate(S27,Trigger),"--")</f>
        <v>42563</v>
      </c>
      <c r="U27" s="137">
        <f>IFERROR(_xll.qlRateHelperPillarDate(S27,Trigger),"--")</f>
        <v>44025</v>
      </c>
      <c r="W27" s="3" t="str">
        <f t="shared" si="2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3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  <c r="AE27" s="152"/>
    </row>
    <row r="28" spans="1:39" ht="11.25" customHeight="1" x14ac:dyDescent="0.2">
      <c r="A28" s="60" t="s">
        <v>139</v>
      </c>
      <c r="B28" s="61" t="s">
        <v>60</v>
      </c>
      <c r="C28" s="62" t="s">
        <v>6</v>
      </c>
      <c r="D28" s="62" t="s">
        <v>141</v>
      </c>
      <c r="E28" s="62" t="s">
        <v>7</v>
      </c>
      <c r="F28" s="62" t="s">
        <v>142</v>
      </c>
      <c r="G28" s="62" t="str">
        <f t="shared" si="17"/>
        <v>JpyLibor3M</v>
      </c>
      <c r="H28" s="60" t="str">
        <f t="shared" si="18"/>
        <v>JPYSB6L21M_Quote</v>
      </c>
      <c r="I28" s="126" t="str">
        <f t="shared" si="19"/>
        <v>JPY3L6L21M_Quote</v>
      </c>
      <c r="J28" s="182" t="str">
        <f>IF(P24,_xll.qlSwapRateHelper2(,H28,2,B28,JoinCalendar,+D28,E28,F28,G28,I28,C28,Discounting,PillarDate,,,Trigger),"--")</f>
        <v>--</v>
      </c>
      <c r="K28" s="50"/>
      <c r="L28" s="187" t="str">
        <f t="shared" si="14"/>
        <v>BasSW</v>
      </c>
      <c r="M28" s="202" t="str">
        <f t="shared" si="15"/>
        <v>JPYSB6L5Y_Quote</v>
      </c>
      <c r="N28" s="189">
        <f>IFERROR(_xll.qlQuoteValue(H32,Trigger),"--")</f>
        <v>-2.1000000000000003E-3</v>
      </c>
      <c r="O28" s="189">
        <f>IFERROR(_xll.qlQuoteValue(I32,Trigger),"--")</f>
        <v>2.9999999999999997E-4</v>
      </c>
      <c r="P28" s="136" t="b">
        <v>1</v>
      </c>
      <c r="Q28" s="135">
        <v>40</v>
      </c>
      <c r="R28" s="135">
        <v>1</v>
      </c>
      <c r="S28" s="135" t="str">
        <f t="shared" si="16"/>
        <v>obj_001be#0001</v>
      </c>
      <c r="T28" s="137">
        <f>IFERROR(_xll.qlRateHelperEarliestDate(S28,Trigger),"--")</f>
        <v>42563</v>
      </c>
      <c r="U28" s="137">
        <f>IFERROR(_xll.qlRateHelperPillarDate(S28,Trigger),"--")</f>
        <v>44389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3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  <c r="AE28" s="152"/>
    </row>
    <row r="29" spans="1:39" ht="11.25" customHeight="1" x14ac:dyDescent="0.2">
      <c r="A29" s="60" t="s">
        <v>139</v>
      </c>
      <c r="B29" s="61" t="s">
        <v>63</v>
      </c>
      <c r="C29" s="62" t="s">
        <v>6</v>
      </c>
      <c r="D29" s="62" t="s">
        <v>141</v>
      </c>
      <c r="E29" s="62" t="s">
        <v>7</v>
      </c>
      <c r="F29" s="62" t="s">
        <v>142</v>
      </c>
      <c r="G29" s="62" t="str">
        <f t="shared" si="17"/>
        <v>JpyLibor3M</v>
      </c>
      <c r="H29" s="60" t="str">
        <f t="shared" si="18"/>
        <v>JPYSB6L2Y_Quote</v>
      </c>
      <c r="I29" s="126" t="str">
        <f t="shared" si="19"/>
        <v>JPY3L6L2Y_Quote</v>
      </c>
      <c r="J29" s="182" t="str">
        <f>IF(P25,_xll.qlSwapRateHelper2(,H29,2,B29,JoinCalendar,+D29,E29,F29,G29,I29,C29,Discounting,PillarDate,,,Trigger),"--")</f>
        <v>obj_001c3#0001</v>
      </c>
      <c r="K29" s="50"/>
      <c r="L29" s="187" t="str">
        <f t="shared" si="14"/>
        <v>BasSW</v>
      </c>
      <c r="M29" s="202" t="str">
        <f t="shared" si="15"/>
        <v>JPYSB6L6Y_Quote</v>
      </c>
      <c r="N29" s="189">
        <f>IFERROR(_xll.qlQuoteValue(H33,Trigger),"--")</f>
        <v>-1.9500000000000001E-3</v>
      </c>
      <c r="O29" s="189">
        <f>IFERROR(_xll.qlQuoteValue(I33,Trigger),"--")</f>
        <v>2.7500000000000002E-4</v>
      </c>
      <c r="P29" s="136" t="b">
        <v>1</v>
      </c>
      <c r="Q29" s="135">
        <v>40</v>
      </c>
      <c r="R29" s="135">
        <v>1</v>
      </c>
      <c r="S29" s="135" t="str">
        <f t="shared" si="16"/>
        <v>obj_001d6#0001</v>
      </c>
      <c r="T29" s="137">
        <f>IFERROR(_xll.qlRateHelperEarliestDate(S29,Trigger),"--")</f>
        <v>42563</v>
      </c>
      <c r="U29" s="137">
        <f>IFERROR(_xll.qlRateHelperPillarDate(S29,Trigger),"--")</f>
        <v>44754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3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  <c r="AE29" s="152"/>
    </row>
    <row r="30" spans="1:39" ht="11.25" customHeight="1" x14ac:dyDescent="0.2">
      <c r="A30" s="60" t="s">
        <v>139</v>
      </c>
      <c r="B30" s="61" t="s">
        <v>67</v>
      </c>
      <c r="C30" s="62" t="s">
        <v>6</v>
      </c>
      <c r="D30" s="62" t="s">
        <v>141</v>
      </c>
      <c r="E30" s="62" t="s">
        <v>7</v>
      </c>
      <c r="F30" s="62" t="s">
        <v>142</v>
      </c>
      <c r="G30" s="62" t="str">
        <f t="shared" si="17"/>
        <v>JpyLibor3M</v>
      </c>
      <c r="H30" s="60" t="str">
        <f t="shared" si="18"/>
        <v>JPYSB6L3Y_Quote</v>
      </c>
      <c r="I30" s="126" t="str">
        <f t="shared" si="19"/>
        <v>JPY3L6L3Y_Quote</v>
      </c>
      <c r="J30" s="182" t="str">
        <f>IF(P26,_xll.qlSwapRateHelper2(,H30,2,B30,JoinCalendar,+D30,E30,F30,G30,I30,C30,Discounting,PillarDate,,,Trigger),"--")</f>
        <v>obj_001d1#0001</v>
      </c>
      <c r="K30" s="50"/>
      <c r="L30" s="187" t="str">
        <f t="shared" si="14"/>
        <v>BasSW</v>
      </c>
      <c r="M30" s="202" t="str">
        <f t="shared" si="15"/>
        <v>JPYSB6L7Y_Quote</v>
      </c>
      <c r="N30" s="189">
        <f>IFERROR(_xll.qlQuoteValue(H34,Trigger),"--")</f>
        <v>-1.7250000000000002E-3</v>
      </c>
      <c r="O30" s="189">
        <f>IFERROR(_xll.qlQuoteValue(I34,Trigger),"--")</f>
        <v>2.5000000000000001E-4</v>
      </c>
      <c r="P30" s="136" t="b">
        <v>1</v>
      </c>
      <c r="Q30" s="135">
        <v>40</v>
      </c>
      <c r="R30" s="135">
        <v>1</v>
      </c>
      <c r="S30" s="135" t="str">
        <f t="shared" si="16"/>
        <v>obj_001d0#0001</v>
      </c>
      <c r="T30" s="137">
        <f>IFERROR(_xll.qlRateHelperEarliestDate(S30,Trigger),"--")</f>
        <v>42563</v>
      </c>
      <c r="U30" s="137">
        <f>IFERROR(_xll.qlRateHelperPillarDate(S30,Trigger),"--")</f>
        <v>45119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3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  <c r="AE30" s="152"/>
    </row>
    <row r="31" spans="1:39" ht="11.25" customHeight="1" x14ac:dyDescent="0.2">
      <c r="A31" s="60" t="s">
        <v>139</v>
      </c>
      <c r="B31" s="61" t="s">
        <v>71</v>
      </c>
      <c r="C31" s="62" t="s">
        <v>6</v>
      </c>
      <c r="D31" s="62" t="s">
        <v>141</v>
      </c>
      <c r="E31" s="62" t="s">
        <v>7</v>
      </c>
      <c r="F31" s="62" t="s">
        <v>142</v>
      </c>
      <c r="G31" s="62" t="str">
        <f t="shared" si="17"/>
        <v>JpyLibor3M</v>
      </c>
      <c r="H31" s="60" t="str">
        <f t="shared" si="18"/>
        <v>JPYSB6L4Y_Quote</v>
      </c>
      <c r="I31" s="126" t="str">
        <f t="shared" si="19"/>
        <v>JPY3L6L4Y_Quote</v>
      </c>
      <c r="J31" s="182" t="str">
        <f>IF(P27,_xll.qlSwapRateHelper2(,H31,2,B31,JoinCalendar,+D31,E31,F31,G31,I31,C31,Discounting,PillarDate,,,Trigger),"--")</f>
        <v>obj_001dd#0001</v>
      </c>
      <c r="K31" s="50"/>
      <c r="L31" s="187" t="str">
        <f t="shared" si="14"/>
        <v>BasSW</v>
      </c>
      <c r="M31" s="202" t="str">
        <f t="shared" si="15"/>
        <v>JPYSB6L8Y_Quote</v>
      </c>
      <c r="N31" s="189">
        <f>IFERROR(_xll.qlQuoteValue(H35,Trigger),"--")</f>
        <v>-1.4750000000000002E-3</v>
      </c>
      <c r="O31" s="189">
        <f>IFERROR(_xll.qlQuoteValue(I35,Trigger),"--")</f>
        <v>2.2499999999999999E-4</v>
      </c>
      <c r="P31" s="136" t="b">
        <v>1</v>
      </c>
      <c r="Q31" s="135">
        <v>40</v>
      </c>
      <c r="R31" s="135">
        <v>1</v>
      </c>
      <c r="S31" s="135" t="str">
        <f t="shared" si="16"/>
        <v>obj_001db#0001</v>
      </c>
      <c r="T31" s="137">
        <f>IFERROR(_xll.qlRateHelperEarliestDate(S31,Trigger),"--")</f>
        <v>42563</v>
      </c>
      <c r="U31" s="137">
        <f>IFERROR(_xll.qlRateHelperPillarDate(S31,Trigger),"--")</f>
        <v>45485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3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9" ht="11.25" customHeight="1" x14ac:dyDescent="0.2">
      <c r="A32" s="60" t="s">
        <v>139</v>
      </c>
      <c r="B32" s="61" t="s">
        <v>75</v>
      </c>
      <c r="C32" s="62" t="s">
        <v>6</v>
      </c>
      <c r="D32" s="62" t="s">
        <v>141</v>
      </c>
      <c r="E32" s="62" t="s">
        <v>7</v>
      </c>
      <c r="F32" s="62" t="s">
        <v>142</v>
      </c>
      <c r="G32" s="62" t="str">
        <f t="shared" si="17"/>
        <v>JpyLibor3M</v>
      </c>
      <c r="H32" s="60" t="str">
        <f t="shared" si="18"/>
        <v>JPYSB6L5Y_Quote</v>
      </c>
      <c r="I32" s="126" t="str">
        <f t="shared" si="19"/>
        <v>JPY3L6L5Y_Quote</v>
      </c>
      <c r="J32" s="182" t="str">
        <f>IF(P28,_xll.qlSwapRateHelper2(,H32,2,B32,JoinCalendar,+D32,E32,F32,G32,I32,C32,Discounting,PillarDate,,,Trigger),"--")</f>
        <v>obj_001be#0001</v>
      </c>
      <c r="K32" s="50"/>
      <c r="L32" s="187" t="str">
        <f t="shared" si="14"/>
        <v>BasSW</v>
      </c>
      <c r="M32" s="202" t="str">
        <f t="shared" si="15"/>
        <v>JPYSB6L9Y_Quote</v>
      </c>
      <c r="N32" s="189">
        <f>IFERROR(_xll.qlQuoteValue(H36,Trigger),"--")</f>
        <v>-1.1999999999999999E-3</v>
      </c>
      <c r="O32" s="189">
        <f>IFERROR(_xll.qlQuoteValue(I36,Trigger),"--")</f>
        <v>2.2499999999999999E-4</v>
      </c>
      <c r="P32" s="136" t="b">
        <v>1</v>
      </c>
      <c r="Q32" s="135">
        <v>40</v>
      </c>
      <c r="R32" s="135">
        <v>1</v>
      </c>
      <c r="S32" s="135" t="str">
        <f t="shared" si="16"/>
        <v>obj_001cb#0001</v>
      </c>
      <c r="T32" s="137">
        <f>IFERROR(_xll.qlRateHelperEarliestDate(S32,Trigger),"--")</f>
        <v>42563</v>
      </c>
      <c r="U32" s="137">
        <f>IFERROR(_xll.qlRateHelperPillarDate(S32,Trigger),"--")</f>
        <v>45852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3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139</v>
      </c>
      <c r="B33" s="61" t="s">
        <v>76</v>
      </c>
      <c r="C33" s="62" t="s">
        <v>6</v>
      </c>
      <c r="D33" s="62" t="s">
        <v>141</v>
      </c>
      <c r="E33" s="62" t="s">
        <v>7</v>
      </c>
      <c r="F33" s="62" t="s">
        <v>142</v>
      </c>
      <c r="G33" s="62" t="str">
        <f t="shared" si="17"/>
        <v>JpyLibor3M</v>
      </c>
      <c r="H33" s="60" t="str">
        <f t="shared" si="18"/>
        <v>JPYSB6L6Y_Quote</v>
      </c>
      <c r="I33" s="126" t="str">
        <f t="shared" si="19"/>
        <v>JPY3L6L6Y_Quote</v>
      </c>
      <c r="J33" s="182" t="str">
        <f>IF(P29,_xll.qlSwapRateHelper2(,H33,2,B33,JoinCalendar,+D33,E33,F33,G33,I33,C33,Discounting,PillarDate,,,Trigger),"--")</f>
        <v>obj_001d6#0001</v>
      </c>
      <c r="K33" s="50"/>
      <c r="L33" s="187" t="str">
        <f t="shared" si="14"/>
        <v>BasSW</v>
      </c>
      <c r="M33" s="202" t="str">
        <f t="shared" si="15"/>
        <v>JPYSB6L10Y_Quote</v>
      </c>
      <c r="N33" s="189">
        <f>IFERROR(_xll.qlQuoteValue(H37,Trigger),"--")</f>
        <v>-9.2500000000000004E-4</v>
      </c>
      <c r="O33" s="189">
        <f>IFERROR(_xll.qlQuoteValue(I37,Trigger),"--")</f>
        <v>2.0000000000000001E-4</v>
      </c>
      <c r="P33" s="136" t="b">
        <v>1</v>
      </c>
      <c r="Q33" s="135">
        <v>40</v>
      </c>
      <c r="R33" s="135">
        <v>1</v>
      </c>
      <c r="S33" s="135" t="str">
        <f t="shared" si="16"/>
        <v>obj_001c9#0001</v>
      </c>
      <c r="T33" s="137">
        <f>IFERROR(_xll.qlRateHelperEarliestDate(S33,Trigger),"--")</f>
        <v>42563</v>
      </c>
      <c r="U33" s="137">
        <f>IFERROR(_xll.qlRateHelperPillarDate(S33,Trigger),"--")</f>
        <v>46216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3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139</v>
      </c>
      <c r="B34" s="61" t="s">
        <v>77</v>
      </c>
      <c r="C34" s="62" t="s">
        <v>6</v>
      </c>
      <c r="D34" s="62" t="s">
        <v>141</v>
      </c>
      <c r="E34" s="62" t="s">
        <v>7</v>
      </c>
      <c r="F34" s="62" t="s">
        <v>142</v>
      </c>
      <c r="G34" s="62" t="str">
        <f t="shared" si="17"/>
        <v>JpyLibor3M</v>
      </c>
      <c r="H34" s="60" t="str">
        <f t="shared" si="18"/>
        <v>JPYSB6L7Y_Quote</v>
      </c>
      <c r="I34" s="126" t="str">
        <f t="shared" si="19"/>
        <v>JPY3L6L7Y_Quote</v>
      </c>
      <c r="J34" s="182" t="str">
        <f>IF(P30,_xll.qlSwapRateHelper2(,H34,2,B34,JoinCalendar,+D34,E34,F34,G34,I34,C34,Discounting,PillarDate,,,Trigger),"--")</f>
        <v>obj_001d0#0001</v>
      </c>
      <c r="K34" s="50"/>
      <c r="L34" s="187" t="str">
        <f t="shared" si="14"/>
        <v>BasSW</v>
      </c>
      <c r="M34" s="202" t="str">
        <f t="shared" si="15"/>
        <v>JPYSB6L11Y_Quote</v>
      </c>
      <c r="N34" s="189" t="str">
        <f>IFERROR(_xll.qlQuoteValue(H38,Trigger),"--")</f>
        <v>--</v>
      </c>
      <c r="O34" s="189" t="str">
        <f>IFERROR(_xll.qlQuoteValue(I38,Trigger),"--")</f>
        <v>--</v>
      </c>
      <c r="P34" s="136" t="b">
        <v>0</v>
      </c>
      <c r="Q34" s="136">
        <v>40</v>
      </c>
      <c r="R34" s="136">
        <v>1</v>
      </c>
      <c r="S34" s="136" t="str">
        <f t="shared" si="16"/>
        <v>--</v>
      </c>
      <c r="T34" s="137" t="str">
        <f>IFERROR(_xll.qlRateHelperEarliestDate(S34,Trigger),"--")</f>
        <v>--</v>
      </c>
      <c r="U34" s="137" t="str">
        <f>IFERROR(_xll.qlRateHelperPillarDate(S34,Trigger),"--")</f>
        <v>--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3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139</v>
      </c>
      <c r="B35" s="61" t="s">
        <v>78</v>
      </c>
      <c r="C35" s="62" t="s">
        <v>6</v>
      </c>
      <c r="D35" s="62" t="s">
        <v>141</v>
      </c>
      <c r="E35" s="62" t="s">
        <v>7</v>
      </c>
      <c r="F35" s="62" t="s">
        <v>142</v>
      </c>
      <c r="G35" s="62" t="str">
        <f t="shared" si="17"/>
        <v>JpyLibor3M</v>
      </c>
      <c r="H35" s="60" t="str">
        <f t="shared" si="18"/>
        <v>JPYSB6L8Y_Quote</v>
      </c>
      <c r="I35" s="126" t="str">
        <f t="shared" si="19"/>
        <v>JPY3L6L8Y_Quote</v>
      </c>
      <c r="J35" s="182" t="str">
        <f>IF(P31,_xll.qlSwapRateHelper2(,H35,2,B35,JoinCalendar,+D35,E35,F35,G35,I35,C35,Discounting,PillarDate,,,Trigger),"--")</f>
        <v>obj_001db#0001</v>
      </c>
      <c r="K35" s="50"/>
      <c r="L35" s="187" t="str">
        <f t="shared" si="14"/>
        <v>BasSW</v>
      </c>
      <c r="M35" s="202" t="str">
        <f t="shared" si="15"/>
        <v>JPYSB6L12Y_Quote</v>
      </c>
      <c r="N35" s="189">
        <f>IFERROR(_xll.qlQuoteValue(H39,Trigger),"--")</f>
        <v>-3.7500000000000001E-4</v>
      </c>
      <c r="O35" s="189" t="str">
        <f>IFERROR(_xll.qlQuoteValue(I39,Trigger),"--")</f>
        <v>--</v>
      </c>
      <c r="P35" s="136" t="b">
        <v>0</v>
      </c>
      <c r="Q35" s="136">
        <v>40</v>
      </c>
      <c r="R35" s="136">
        <v>1</v>
      </c>
      <c r="S35" s="136" t="str">
        <f t="shared" si="16"/>
        <v>--</v>
      </c>
      <c r="T35" s="137" t="str">
        <f>IFERROR(_xll.qlRateHelperEarliestDate(S35,Trigger),"--")</f>
        <v>--</v>
      </c>
      <c r="U35" s="137" t="str">
        <f>IFERROR(_xll.qlRateHelperPillarDate(S35,Trigger),"--")</f>
        <v>--</v>
      </c>
      <c r="W35" s="3" t="str">
        <f t="shared" ref="W35:W57" si="20">IFERROR(INDEX($L$3:$L$57,MATCH(Y35,$M$3:$M$57,0),1),"")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3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139</v>
      </c>
      <c r="B36" s="61" t="s">
        <v>79</v>
      </c>
      <c r="C36" s="62" t="s">
        <v>6</v>
      </c>
      <c r="D36" s="62" t="s">
        <v>141</v>
      </c>
      <c r="E36" s="62" t="s">
        <v>7</v>
      </c>
      <c r="F36" s="62" t="s">
        <v>142</v>
      </c>
      <c r="G36" s="62" t="str">
        <f t="shared" si="17"/>
        <v>JpyLibor3M</v>
      </c>
      <c r="H36" s="60" t="str">
        <f t="shared" si="18"/>
        <v>JPYSB6L9Y_Quote</v>
      </c>
      <c r="I36" s="126" t="str">
        <f t="shared" si="19"/>
        <v>JPY3L6L9Y_Quote</v>
      </c>
      <c r="J36" s="182" t="str">
        <f>IF(P32,_xll.qlSwapRateHelper2(,H36,2,B36,JoinCalendar,+D36,E36,F36,G36,I36,C36,Discounting,PillarDate,,,Trigger),"--")</f>
        <v>obj_001cb#0001</v>
      </c>
      <c r="K36" s="50"/>
      <c r="L36" s="187" t="str">
        <f t="shared" si="14"/>
        <v>BasSW</v>
      </c>
      <c r="M36" s="202" t="str">
        <f t="shared" si="15"/>
        <v>JPYSB6L13Y_Quote</v>
      </c>
      <c r="N36" s="189" t="str">
        <f>IFERROR(_xll.qlQuoteValue(H40,Trigger),"--")</f>
        <v>--</v>
      </c>
      <c r="O36" s="189" t="str">
        <f>IFERROR(_xll.qlQuoteValue(I40,Trigger),"--")</f>
        <v>--</v>
      </c>
      <c r="P36" s="136" t="b">
        <v>0</v>
      </c>
      <c r="Q36" s="136">
        <v>40</v>
      </c>
      <c r="R36" s="136">
        <v>1</v>
      </c>
      <c r="S36" s="136" t="str">
        <f t="shared" si="16"/>
        <v>--</v>
      </c>
      <c r="T36" s="137" t="str">
        <f>IFERROR(_xll.qlRateHelperEarliestDate(S36,Trigger),"--")</f>
        <v>--</v>
      </c>
      <c r="U36" s="137" t="str">
        <f>IFERROR(_xll.qlRateHelperPillarDate(S36,Trigger),"--")</f>
        <v>--</v>
      </c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3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139</v>
      </c>
      <c r="B37" s="61" t="s">
        <v>80</v>
      </c>
      <c r="C37" s="62" t="s">
        <v>6</v>
      </c>
      <c r="D37" s="62" t="s">
        <v>141</v>
      </c>
      <c r="E37" s="62" t="s">
        <v>7</v>
      </c>
      <c r="F37" s="62" t="s">
        <v>142</v>
      </c>
      <c r="G37" s="62" t="str">
        <f t="shared" si="17"/>
        <v>JpyLibor3M</v>
      </c>
      <c r="H37" s="60" t="str">
        <f t="shared" si="18"/>
        <v>JPYSB6L10Y_Quote</v>
      </c>
      <c r="I37" s="126" t="str">
        <f t="shared" si="19"/>
        <v>JPY3L6L10Y_Quote</v>
      </c>
      <c r="J37" s="182" t="str">
        <f>IF(P33,_xll.qlSwapRateHelper2(,H37,2,B37,JoinCalendar,+D37,E37,F37,G37,I37,C37,Discounting,PillarDate,,,Trigger),"--")</f>
        <v>obj_001c9#0001</v>
      </c>
      <c r="K37" s="50"/>
      <c r="L37" s="187" t="str">
        <f t="shared" si="14"/>
        <v>BasSW</v>
      </c>
      <c r="M37" s="202" t="str">
        <f t="shared" si="15"/>
        <v>JPYSB6L14Y_Quote</v>
      </c>
      <c r="N37" s="189" t="str">
        <f>IFERROR(_xll.qlQuoteValue(H41,Trigger),"--")</f>
        <v>--</v>
      </c>
      <c r="O37" s="189" t="str">
        <f>IFERROR(_xll.qlQuoteValue(I41,Trigger),"--")</f>
        <v>--</v>
      </c>
      <c r="P37" s="136" t="b">
        <v>0</v>
      </c>
      <c r="Q37" s="136">
        <v>40</v>
      </c>
      <c r="R37" s="136">
        <v>1</v>
      </c>
      <c r="S37" s="136" t="str">
        <f t="shared" si="16"/>
        <v>--</v>
      </c>
      <c r="T37" s="137" t="str">
        <f>IFERROR(_xll.qlRateHelperEarliestDate(S37,Trigger),"--")</f>
        <v>--</v>
      </c>
      <c r="U37" s="137" t="str">
        <f>IFERROR(_xll.qlRateHelperPillarDate(S37,Trigger),"--")</f>
        <v>--</v>
      </c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3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139</v>
      </c>
      <c r="B38" s="61" t="s">
        <v>114</v>
      </c>
      <c r="C38" s="62" t="s">
        <v>6</v>
      </c>
      <c r="D38" s="62" t="s">
        <v>141</v>
      </c>
      <c r="E38" s="62" t="s">
        <v>7</v>
      </c>
      <c r="F38" s="62" t="s">
        <v>142</v>
      </c>
      <c r="G38" s="62" t="str">
        <f t="shared" si="17"/>
        <v>JpyLibor3M</v>
      </c>
      <c r="H38" s="60" t="str">
        <f t="shared" si="18"/>
        <v>JPYSB6L11Y_Quote</v>
      </c>
      <c r="I38" s="126" t="str">
        <f t="shared" si="19"/>
        <v>JPY3L6L11Y_Quote</v>
      </c>
      <c r="J38" s="182" t="str">
        <f>IF(P34,_xll.qlSwapRateHelper2(,H38,2,B38,JoinCalendar,+D38,E38,F38,G38,I38,C38,Discounting,PillarDate,,,Trigger),"--")</f>
        <v>--</v>
      </c>
      <c r="K38" s="50"/>
      <c r="L38" s="187" t="str">
        <f t="shared" si="14"/>
        <v>BasSW</v>
      </c>
      <c r="M38" s="202" t="str">
        <f t="shared" si="15"/>
        <v>JPYSB6L15Y_Quote</v>
      </c>
      <c r="N38" s="189">
        <f>IFERROR(_xll.qlQuoteValue(H42,Trigger),"--")</f>
        <v>4.2500000000000003E-4</v>
      </c>
      <c r="O38" s="189">
        <f>IFERROR(_xll.qlQuoteValue(I42,Trigger),"--")</f>
        <v>1.4999999999999999E-4</v>
      </c>
      <c r="P38" s="136" t="b">
        <v>1</v>
      </c>
      <c r="Q38" s="136">
        <v>40</v>
      </c>
      <c r="R38" s="136">
        <v>1</v>
      </c>
      <c r="S38" s="136" t="str">
        <f t="shared" si="16"/>
        <v>obj_001b7#0001</v>
      </c>
      <c r="T38" s="137">
        <f>IFERROR(_xll.qlRateHelperEarliestDate(S38,Trigger),"--")</f>
        <v>42563</v>
      </c>
      <c r="U38" s="137">
        <f>IFERROR(_xll.qlRateHelperPillarDate(S38,Trigger),"--")</f>
        <v>48043</v>
      </c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3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139</v>
      </c>
      <c r="B39" s="61" t="s">
        <v>81</v>
      </c>
      <c r="C39" s="62" t="s">
        <v>6</v>
      </c>
      <c r="D39" s="62" t="s">
        <v>141</v>
      </c>
      <c r="E39" s="62" t="s">
        <v>7</v>
      </c>
      <c r="F39" s="62" t="s">
        <v>142</v>
      </c>
      <c r="G39" s="62" t="str">
        <f t="shared" si="17"/>
        <v>JpyLibor3M</v>
      </c>
      <c r="H39" s="60" t="str">
        <f t="shared" si="18"/>
        <v>JPYSB6L12Y_Quote</v>
      </c>
      <c r="I39" s="126" t="str">
        <f t="shared" si="19"/>
        <v>JPY3L6L12Y_Quote</v>
      </c>
      <c r="J39" s="182" t="str">
        <f>IF(P35,_xll.qlSwapRateHelper2(,H39,2,B39,JoinCalendar,+D39,E39,F39,G39,I39,C39,Discounting,PillarDate,,,Trigger),"--")</f>
        <v>--</v>
      </c>
      <c r="K39" s="50"/>
      <c r="L39" s="187" t="str">
        <f t="shared" si="14"/>
        <v>BasSW</v>
      </c>
      <c r="M39" s="202" t="str">
        <f t="shared" si="15"/>
        <v>JPYSB6L16Y_Quote</v>
      </c>
      <c r="N39" s="189" t="str">
        <f>IFERROR(_xll.qlQuoteValue(H43,Trigger),"--")</f>
        <v>--</v>
      </c>
      <c r="O39" s="189" t="str">
        <f>IFERROR(_xll.qlQuoteValue(I43,Trigger),"--")</f>
        <v>--</v>
      </c>
      <c r="P39" s="136" t="b">
        <v>0</v>
      </c>
      <c r="Q39" s="136">
        <v>40</v>
      </c>
      <c r="R39" s="136">
        <v>1</v>
      </c>
      <c r="S39" s="136" t="str">
        <f t="shared" si="16"/>
        <v>--</v>
      </c>
      <c r="T39" s="137" t="str">
        <f>IFERROR(_xll.qlRateHelperEarliestDate(S39,Trigger),"--")</f>
        <v>--</v>
      </c>
      <c r="U39" s="137" t="str">
        <f>IFERROR(_xll.qlRateHelperPillarDate(S39,Trigger),"--")</f>
        <v>--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3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139</v>
      </c>
      <c r="B40" s="61" t="s">
        <v>115</v>
      </c>
      <c r="C40" s="62" t="s">
        <v>6</v>
      </c>
      <c r="D40" s="62" t="s">
        <v>141</v>
      </c>
      <c r="E40" s="62" t="s">
        <v>7</v>
      </c>
      <c r="F40" s="62" t="s">
        <v>142</v>
      </c>
      <c r="G40" s="62" t="str">
        <f t="shared" si="17"/>
        <v>JpyLibor3M</v>
      </c>
      <c r="H40" s="60" t="str">
        <f t="shared" si="18"/>
        <v>JPYSB6L13Y_Quote</v>
      </c>
      <c r="I40" s="126" t="str">
        <f t="shared" si="19"/>
        <v>JPY3L6L13Y_Quote</v>
      </c>
      <c r="J40" s="182" t="str">
        <f>IF(P36,_xll.qlSwapRateHelper2(,H40,2,B40,JoinCalendar,+D40,E40,F40,G40,I40,C40,Discounting,PillarDate,,,Trigger),"--")</f>
        <v>--</v>
      </c>
      <c r="K40" s="50"/>
      <c r="L40" s="187" t="str">
        <f t="shared" si="14"/>
        <v>BasSW</v>
      </c>
      <c r="M40" s="202" t="str">
        <f t="shared" si="15"/>
        <v>JPYSB6L17Y_Quote</v>
      </c>
      <c r="N40" s="189" t="str">
        <f>IFERROR(_xll.qlQuoteValue(H44,Trigger),"--")</f>
        <v>--</v>
      </c>
      <c r="O40" s="189" t="str">
        <f>IFERROR(_xll.qlQuoteValue(I44,Trigger),"--")</f>
        <v>--</v>
      </c>
      <c r="P40" s="136" t="b">
        <v>0</v>
      </c>
      <c r="Q40" s="136">
        <v>40</v>
      </c>
      <c r="R40" s="136">
        <v>1</v>
      </c>
      <c r="S40" s="136" t="str">
        <f t="shared" si="16"/>
        <v>--</v>
      </c>
      <c r="T40" s="137" t="str">
        <f>IFERROR(_xll.qlRateHelperEarliestDate(S40,Trigger),"--")</f>
        <v>--</v>
      </c>
      <c r="U40" s="137" t="str">
        <f>IFERROR(_xll.qlRateHelperPillarDate(S40,Trigger),"--")</f>
        <v>--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3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139</v>
      </c>
      <c r="B41" s="61" t="s">
        <v>116</v>
      </c>
      <c r="C41" s="62" t="s">
        <v>6</v>
      </c>
      <c r="D41" s="62" t="s">
        <v>141</v>
      </c>
      <c r="E41" s="62" t="s">
        <v>7</v>
      </c>
      <c r="F41" s="62" t="s">
        <v>142</v>
      </c>
      <c r="G41" s="62" t="str">
        <f t="shared" si="17"/>
        <v>JpyLibor3M</v>
      </c>
      <c r="H41" s="60" t="str">
        <f t="shared" si="18"/>
        <v>JPYSB6L14Y_Quote</v>
      </c>
      <c r="I41" s="126" t="str">
        <f t="shared" si="19"/>
        <v>JPY3L6L14Y_Quote</v>
      </c>
      <c r="J41" s="182" t="str">
        <f>IF(P37,_xll.qlSwapRateHelper2(,H41,2,B41,JoinCalendar,+D41,E41,F41,G41,I41,C41,Discounting,PillarDate,,,Trigger),"--")</f>
        <v>--</v>
      </c>
      <c r="L41" s="187" t="str">
        <f t="shared" si="14"/>
        <v>BasSW</v>
      </c>
      <c r="M41" s="202" t="str">
        <f t="shared" si="15"/>
        <v>JPYSB6L18Y_Quote</v>
      </c>
      <c r="N41" s="189" t="str">
        <f>IFERROR(_xll.qlQuoteValue(H45,Trigger),"--")</f>
        <v>--</v>
      </c>
      <c r="O41" s="189" t="str">
        <f>IFERROR(_xll.qlQuoteValue(I45,Trigger),"--")</f>
        <v>--</v>
      </c>
      <c r="P41" s="136" t="b">
        <v>0</v>
      </c>
      <c r="Q41" s="136">
        <v>40</v>
      </c>
      <c r="R41" s="136">
        <v>1</v>
      </c>
      <c r="S41" s="136" t="str">
        <f t="shared" si="16"/>
        <v>--</v>
      </c>
      <c r="T41" s="137" t="str">
        <f>IFERROR(_xll.qlRateHelperEarliestDate(S41,Trigger),"--")</f>
        <v>--</v>
      </c>
      <c r="U41" s="137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3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139</v>
      </c>
      <c r="B42" s="61" t="s">
        <v>82</v>
      </c>
      <c r="C42" s="62" t="s">
        <v>6</v>
      </c>
      <c r="D42" s="62" t="s">
        <v>141</v>
      </c>
      <c r="E42" s="62" t="s">
        <v>7</v>
      </c>
      <c r="F42" s="62" t="s">
        <v>142</v>
      </c>
      <c r="G42" s="62" t="str">
        <f t="shared" si="17"/>
        <v>JpyLibor3M</v>
      </c>
      <c r="H42" s="60" t="str">
        <f t="shared" si="18"/>
        <v>JPYSB6L15Y_Quote</v>
      </c>
      <c r="I42" s="126" t="str">
        <f t="shared" si="19"/>
        <v>JPY3L6L15Y_Quote</v>
      </c>
      <c r="J42" s="182" t="str">
        <f>IF(P38,_xll.qlSwapRateHelper2(,H42,2,B42,JoinCalendar,+D42,E42,F42,G42,I42,C42,Discounting,PillarDate,,,Trigger),"--")</f>
        <v>obj_001b7#0001</v>
      </c>
      <c r="L42" s="187" t="str">
        <f t="shared" si="14"/>
        <v>BasSW</v>
      </c>
      <c r="M42" s="202" t="str">
        <f t="shared" si="15"/>
        <v>JPYSB6L19Y_Quote</v>
      </c>
      <c r="N42" s="189" t="str">
        <f>IFERROR(_xll.qlQuoteValue(H46,Trigger),"--")</f>
        <v>--</v>
      </c>
      <c r="O42" s="189" t="str">
        <f>IFERROR(_xll.qlQuoteValue(I46,Trigger),"--")</f>
        <v>--</v>
      </c>
      <c r="P42" s="136" t="b">
        <v>0</v>
      </c>
      <c r="Q42" s="136">
        <v>40</v>
      </c>
      <c r="R42" s="136">
        <v>1</v>
      </c>
      <c r="S42" s="136" t="str">
        <f t="shared" si="16"/>
        <v>--</v>
      </c>
      <c r="T42" s="137" t="str">
        <f>IFERROR(_xll.qlRateHelperEarliestDate(S42,Trigger),"--")</f>
        <v>--</v>
      </c>
      <c r="U42" s="137" t="str">
        <f>IFERROR(_xll.qlRateHelperPillarDate(S42,Trigger),"--")</f>
        <v>--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3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139</v>
      </c>
      <c r="B43" s="61" t="s">
        <v>117</v>
      </c>
      <c r="C43" s="62" t="s">
        <v>6</v>
      </c>
      <c r="D43" s="62" t="s">
        <v>141</v>
      </c>
      <c r="E43" s="62" t="s">
        <v>7</v>
      </c>
      <c r="F43" s="62" t="s">
        <v>142</v>
      </c>
      <c r="G43" s="62" t="str">
        <f t="shared" si="17"/>
        <v>JpyLibor3M</v>
      </c>
      <c r="H43" s="60" t="str">
        <f t="shared" si="18"/>
        <v>JPYSB6L16Y_Quote</v>
      </c>
      <c r="I43" s="126" t="str">
        <f t="shared" si="19"/>
        <v>JPY3L6L16Y_Quote</v>
      </c>
      <c r="J43" s="182" t="str">
        <f>IF(P39,_xll.qlSwapRateHelper2(,H43,2,B43,JoinCalendar,+D43,E43,F43,G43,I43,C43,Discounting,PillarDate,,,Trigger),"--")</f>
        <v>--</v>
      </c>
      <c r="L43" s="187" t="str">
        <f t="shared" si="14"/>
        <v>BasSW</v>
      </c>
      <c r="M43" s="202" t="str">
        <f t="shared" si="15"/>
        <v>JPYSB6L20Y_Quote</v>
      </c>
      <c r="N43" s="189">
        <f>IFERROR(_xll.qlQuoteValue(H47,Trigger),"--")</f>
        <v>1.325E-3</v>
      </c>
      <c r="O43" s="189">
        <f>IFERROR(_xll.qlQuoteValue(I47,Trigger),"--")</f>
        <v>1.25E-4</v>
      </c>
      <c r="P43" s="136" t="b">
        <v>1</v>
      </c>
      <c r="Q43" s="136">
        <v>40</v>
      </c>
      <c r="R43" s="136">
        <v>1</v>
      </c>
      <c r="S43" s="136" t="str">
        <f t="shared" si="16"/>
        <v>obj_001ca#0001</v>
      </c>
      <c r="T43" s="137">
        <f>IFERROR(_xll.qlRateHelperEarliestDate(S43,Trigger),"--")</f>
        <v>42563</v>
      </c>
      <c r="U43" s="137">
        <f>IFERROR(_xll.qlRateHelperPillarDate(S43,Trigger),"--")</f>
        <v>49870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3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139</v>
      </c>
      <c r="B44" s="61" t="s">
        <v>118</v>
      </c>
      <c r="C44" s="62" t="s">
        <v>6</v>
      </c>
      <c r="D44" s="62" t="s">
        <v>141</v>
      </c>
      <c r="E44" s="62" t="s">
        <v>7</v>
      </c>
      <c r="F44" s="62" t="s">
        <v>142</v>
      </c>
      <c r="G44" s="62" t="str">
        <f t="shared" si="17"/>
        <v>JpyLibor3M</v>
      </c>
      <c r="H44" s="60" t="str">
        <f t="shared" si="18"/>
        <v>JPYSB6L17Y_Quote</v>
      </c>
      <c r="I44" s="126" t="str">
        <f t="shared" si="19"/>
        <v>JPY3L6L17Y_Quote</v>
      </c>
      <c r="J44" s="182" t="str">
        <f>IF(P40,_xll.qlSwapRateHelper2(,H44,2,B44,JoinCalendar,+D44,E44,F44,G44,I44,C44,Discounting,PillarDate,,,Trigger),"--")</f>
        <v>--</v>
      </c>
      <c r="L44" s="187" t="str">
        <f t="shared" si="14"/>
        <v>BasSW</v>
      </c>
      <c r="M44" s="202" t="str">
        <f t="shared" si="15"/>
        <v>JPYSB6L21Y_Quote</v>
      </c>
      <c r="N44" s="189" t="str">
        <f>IFERROR(_xll.qlQuoteValue(H48,Trigger),"--")</f>
        <v>--</v>
      </c>
      <c r="O44" s="189" t="str">
        <f>IFERROR(_xll.qlQuoteValue(I48,Trigger),"--")</f>
        <v>--</v>
      </c>
      <c r="P44" s="136" t="b">
        <v>0</v>
      </c>
      <c r="Q44" s="136">
        <v>40</v>
      </c>
      <c r="R44" s="136">
        <v>1</v>
      </c>
      <c r="S44" s="136" t="str">
        <f t="shared" si="16"/>
        <v>--</v>
      </c>
      <c r="T44" s="137" t="str">
        <f>IFERROR(_xll.qlRateHelperEarliestDate(S44,Trigger),"--")</f>
        <v>--</v>
      </c>
      <c r="U44" s="137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3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139</v>
      </c>
      <c r="B45" s="61" t="s">
        <v>119</v>
      </c>
      <c r="C45" s="62" t="s">
        <v>6</v>
      </c>
      <c r="D45" s="62" t="s">
        <v>141</v>
      </c>
      <c r="E45" s="62" t="s">
        <v>7</v>
      </c>
      <c r="F45" s="62" t="s">
        <v>142</v>
      </c>
      <c r="G45" s="62" t="str">
        <f t="shared" si="17"/>
        <v>JpyLibor3M</v>
      </c>
      <c r="H45" s="60" t="str">
        <f t="shared" si="18"/>
        <v>JPYSB6L18Y_Quote</v>
      </c>
      <c r="I45" s="126" t="str">
        <f t="shared" si="19"/>
        <v>JPY3L6L18Y_Quote</v>
      </c>
      <c r="J45" s="182" t="str">
        <f>IF(P41,_xll.qlSwapRateHelper2(,H45,2,B45,JoinCalendar,+D45,E45,F45,G45,I45,C45,Discounting,PillarDate,,,Trigger),"--")</f>
        <v>--</v>
      </c>
      <c r="L45" s="187" t="str">
        <f t="shared" si="14"/>
        <v>BasSW</v>
      </c>
      <c r="M45" s="202" t="str">
        <f t="shared" si="15"/>
        <v>JPYSB6L22Y_Quote</v>
      </c>
      <c r="N45" s="189" t="str">
        <f>IFERROR(_xll.qlQuoteValue(H49,Trigger),"--")</f>
        <v>--</v>
      </c>
      <c r="O45" s="189" t="str">
        <f>IFERROR(_xll.qlQuoteValue(I49,Trigger),"--")</f>
        <v>--</v>
      </c>
      <c r="P45" s="136" t="b">
        <v>0</v>
      </c>
      <c r="Q45" s="136">
        <v>40</v>
      </c>
      <c r="R45" s="136">
        <v>1</v>
      </c>
      <c r="S45" s="136" t="str">
        <f t="shared" si="16"/>
        <v>--</v>
      </c>
      <c r="T45" s="137" t="str">
        <f>IFERROR(_xll.qlRateHelperEarliestDate(S45,Trigger),"--")</f>
        <v>--</v>
      </c>
      <c r="U45" s="137" t="str">
        <f>IFERROR(_xll.qlRateHelperPillarDate(S45,Trigger),"--")</f>
        <v>--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3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139</v>
      </c>
      <c r="B46" s="61" t="s">
        <v>120</v>
      </c>
      <c r="C46" s="62" t="s">
        <v>6</v>
      </c>
      <c r="D46" s="62" t="s">
        <v>141</v>
      </c>
      <c r="E46" s="62" t="s">
        <v>7</v>
      </c>
      <c r="F46" s="62" t="s">
        <v>142</v>
      </c>
      <c r="G46" s="62" t="str">
        <f t="shared" si="17"/>
        <v>JpyLibor3M</v>
      </c>
      <c r="H46" s="60" t="str">
        <f t="shared" si="18"/>
        <v>JPYSB6L19Y_Quote</v>
      </c>
      <c r="I46" s="126" t="str">
        <f t="shared" si="19"/>
        <v>JPY3L6L19Y_Quote</v>
      </c>
      <c r="J46" s="182" t="str">
        <f>IF(P42,_xll.qlSwapRateHelper2(,H46,2,B46,JoinCalendar,+D46,E46,F46,G46,I46,C46,Discounting,PillarDate,,,Trigger),"--")</f>
        <v>--</v>
      </c>
      <c r="L46" s="187" t="str">
        <f t="shared" si="14"/>
        <v>BasSW</v>
      </c>
      <c r="M46" s="202" t="str">
        <f t="shared" si="15"/>
        <v>JPYSB6L23Y_Quote</v>
      </c>
      <c r="N46" s="189" t="str">
        <f>IFERROR(_xll.qlQuoteValue(H50,Trigger),"--")</f>
        <v>--</v>
      </c>
      <c r="O46" s="189" t="str">
        <f>IFERROR(_xll.qlQuoteValue(I50,Trigger),"--")</f>
        <v>--</v>
      </c>
      <c r="P46" s="136" t="b">
        <v>0</v>
      </c>
      <c r="Q46" s="136">
        <v>40</v>
      </c>
      <c r="R46" s="136">
        <v>1</v>
      </c>
      <c r="S46" s="136" t="str">
        <f t="shared" si="16"/>
        <v>--</v>
      </c>
      <c r="T46" s="137" t="str">
        <f>IFERROR(_xll.qlRateHelperEarliestDate(S46,Trigger),"--")</f>
        <v>--</v>
      </c>
      <c r="U46" s="137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3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139</v>
      </c>
      <c r="B47" s="61" t="s">
        <v>83</v>
      </c>
      <c r="C47" s="62" t="s">
        <v>6</v>
      </c>
      <c r="D47" s="62" t="s">
        <v>141</v>
      </c>
      <c r="E47" s="62" t="s">
        <v>7</v>
      </c>
      <c r="F47" s="62" t="s">
        <v>142</v>
      </c>
      <c r="G47" s="62" t="str">
        <f t="shared" si="17"/>
        <v>JpyLibor3M</v>
      </c>
      <c r="H47" s="60" t="str">
        <f t="shared" si="18"/>
        <v>JPYSB6L20Y_Quote</v>
      </c>
      <c r="I47" s="126" t="str">
        <f t="shared" si="19"/>
        <v>JPY3L6L20Y_Quote</v>
      </c>
      <c r="J47" s="182" t="str">
        <f>IF(P43,_xll.qlSwapRateHelper2(,H47,2,B47,JoinCalendar,+D47,E47,F47,G47,I47,C47,Discounting,PillarDate,,,Trigger),"--")</f>
        <v>obj_001ca#0001</v>
      </c>
      <c r="L47" s="187" t="str">
        <f t="shared" si="14"/>
        <v>BasSW</v>
      </c>
      <c r="M47" s="202" t="str">
        <f t="shared" si="15"/>
        <v>JPYSB6L24Y_Quote</v>
      </c>
      <c r="N47" s="189" t="str">
        <f>IFERROR(_xll.qlQuoteValue(H51,Trigger),"--")</f>
        <v>--</v>
      </c>
      <c r="O47" s="189" t="str">
        <f>IFERROR(_xll.qlQuoteValue(I51,Trigger),"--")</f>
        <v>--</v>
      </c>
      <c r="P47" s="136" t="b">
        <v>0</v>
      </c>
      <c r="Q47" s="136">
        <v>40</v>
      </c>
      <c r="R47" s="136">
        <v>1</v>
      </c>
      <c r="S47" s="136" t="str">
        <f t="shared" si="16"/>
        <v>--</v>
      </c>
      <c r="T47" s="137" t="str">
        <f>IFERROR(_xll.qlRateHelperEarliestDate(S47,Trigger),"--")</f>
        <v>--</v>
      </c>
      <c r="U47" s="137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3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139</v>
      </c>
      <c r="B48" s="61" t="s">
        <v>121</v>
      </c>
      <c r="C48" s="62" t="s">
        <v>6</v>
      </c>
      <c r="D48" s="62" t="s">
        <v>141</v>
      </c>
      <c r="E48" s="62" t="s">
        <v>7</v>
      </c>
      <c r="F48" s="62" t="s">
        <v>142</v>
      </c>
      <c r="G48" s="62" t="str">
        <f t="shared" si="17"/>
        <v>JpyLibor3M</v>
      </c>
      <c r="H48" s="60" t="str">
        <f t="shared" si="18"/>
        <v>JPYSB6L21Y_Quote</v>
      </c>
      <c r="I48" s="126" t="str">
        <f t="shared" si="19"/>
        <v>JPY3L6L21Y_Quote</v>
      </c>
      <c r="J48" s="182" t="str">
        <f>IF(P44,_xll.qlSwapRateHelper2(,H48,2,B48,JoinCalendar,+D48,E48,F48,G48,I48,C48,Discounting,PillarDate,,,Trigger),"--")</f>
        <v>--</v>
      </c>
      <c r="L48" s="187" t="str">
        <f t="shared" si="14"/>
        <v>BasSW</v>
      </c>
      <c r="M48" s="202" t="str">
        <f t="shared" si="15"/>
        <v>JPYSB6L25Y_Quote</v>
      </c>
      <c r="N48" s="189">
        <f>IFERROR(_xll.qlQuoteValue(H52,Trigger),"--")</f>
        <v>1.6250000000000001E-3</v>
      </c>
      <c r="O48" s="189" t="str">
        <f>IFERROR(_xll.qlQuoteValue(I52,Trigger),"--")</f>
        <v>--</v>
      </c>
      <c r="P48" s="136" t="b">
        <v>0</v>
      </c>
      <c r="Q48" s="136">
        <v>40</v>
      </c>
      <c r="R48" s="136">
        <v>1</v>
      </c>
      <c r="S48" s="136" t="str">
        <f t="shared" si="16"/>
        <v>--</v>
      </c>
      <c r="T48" s="137" t="str">
        <f>IFERROR(_xll.qlRateHelperEarliestDate(S48,Trigger),"--")</f>
        <v>--</v>
      </c>
      <c r="U48" s="137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3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139</v>
      </c>
      <c r="B49" s="61" t="s">
        <v>122</v>
      </c>
      <c r="C49" s="62" t="s">
        <v>6</v>
      </c>
      <c r="D49" s="62" t="s">
        <v>141</v>
      </c>
      <c r="E49" s="62" t="s">
        <v>7</v>
      </c>
      <c r="F49" s="62" t="s">
        <v>142</v>
      </c>
      <c r="G49" s="62" t="str">
        <f t="shared" si="17"/>
        <v>JpyLibor3M</v>
      </c>
      <c r="H49" s="60" t="str">
        <f t="shared" si="18"/>
        <v>JPYSB6L22Y_Quote</v>
      </c>
      <c r="I49" s="126" t="str">
        <f t="shared" si="19"/>
        <v>JPY3L6L22Y_Quote</v>
      </c>
      <c r="J49" s="182" t="str">
        <f>IF(P45,_xll.qlSwapRateHelper2(,H49,2,B49,JoinCalendar,+D49,E49,F49,G49,I49,C49,Discounting,PillarDate,,,Trigger),"--")</f>
        <v>--</v>
      </c>
      <c r="L49" s="187" t="str">
        <f t="shared" si="14"/>
        <v>BasSW</v>
      </c>
      <c r="M49" s="202" t="str">
        <f t="shared" si="15"/>
        <v>JPYSB6L26Y_Quote</v>
      </c>
      <c r="N49" s="189" t="str">
        <f>IFERROR(_xll.qlQuoteValue(H53,Trigger),"--")</f>
        <v>--</v>
      </c>
      <c r="O49" s="189" t="str">
        <f>IFERROR(_xll.qlQuoteValue(I53,Trigger),"--")</f>
        <v>--</v>
      </c>
      <c r="P49" s="136" t="b">
        <v>0</v>
      </c>
      <c r="Q49" s="136">
        <v>40</v>
      </c>
      <c r="R49" s="136">
        <v>1</v>
      </c>
      <c r="S49" s="136" t="str">
        <f t="shared" si="16"/>
        <v>--</v>
      </c>
      <c r="T49" s="137" t="str">
        <f>IFERROR(_xll.qlRateHelperEarliestDate(S49,Trigger),"--")</f>
        <v>--</v>
      </c>
      <c r="U49" s="137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3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139</v>
      </c>
      <c r="B50" s="61" t="s">
        <v>123</v>
      </c>
      <c r="C50" s="62" t="s">
        <v>6</v>
      </c>
      <c r="D50" s="62" t="s">
        <v>141</v>
      </c>
      <c r="E50" s="62" t="s">
        <v>7</v>
      </c>
      <c r="F50" s="62" t="s">
        <v>142</v>
      </c>
      <c r="G50" s="62" t="str">
        <f t="shared" si="17"/>
        <v>JpyLibor3M</v>
      </c>
      <c r="H50" s="60" t="str">
        <f t="shared" si="18"/>
        <v>JPYSB6L23Y_Quote</v>
      </c>
      <c r="I50" s="126" t="str">
        <f t="shared" si="19"/>
        <v>JPY3L6L23Y_Quote</v>
      </c>
      <c r="J50" s="182" t="str">
        <f>IF(P46,_xll.qlSwapRateHelper2(,H50,2,B50,JoinCalendar,+D50,E50,F50,G50,I50,C50,Discounting,PillarDate,,,Trigger),"--")</f>
        <v>--</v>
      </c>
      <c r="L50" s="187" t="str">
        <f t="shared" si="14"/>
        <v>BasSW</v>
      </c>
      <c r="M50" s="202" t="str">
        <f t="shared" si="15"/>
        <v>JPYSB6L27Y_Quote</v>
      </c>
      <c r="N50" s="189" t="str">
        <f>IFERROR(_xll.qlQuoteValue(H54,Trigger),"--")</f>
        <v>--</v>
      </c>
      <c r="O50" s="189" t="str">
        <f>IFERROR(_xll.qlQuoteValue(I54,Trigger),"--")</f>
        <v>--</v>
      </c>
      <c r="P50" s="136" t="b">
        <v>0</v>
      </c>
      <c r="Q50" s="136">
        <v>40</v>
      </c>
      <c r="R50" s="136">
        <v>1</v>
      </c>
      <c r="S50" s="136" t="str">
        <f t="shared" si="16"/>
        <v>--</v>
      </c>
      <c r="T50" s="137" t="str">
        <f>IFERROR(_xll.qlRateHelperEarliestDate(S50,Trigger),"--")</f>
        <v>--</v>
      </c>
      <c r="U50" s="137" t="str">
        <f>IFERROR(_xll.qlRateHelperPillarDate(S50,Trigger),"--")</f>
        <v>--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3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139</v>
      </c>
      <c r="B51" s="61" t="s">
        <v>124</v>
      </c>
      <c r="C51" s="62" t="s">
        <v>6</v>
      </c>
      <c r="D51" s="62" t="s">
        <v>141</v>
      </c>
      <c r="E51" s="62" t="s">
        <v>7</v>
      </c>
      <c r="F51" s="62" t="s">
        <v>142</v>
      </c>
      <c r="G51" s="62" t="str">
        <f t="shared" si="17"/>
        <v>JpyLibor3M</v>
      </c>
      <c r="H51" s="60" t="str">
        <f t="shared" si="18"/>
        <v>JPYSB6L24Y_Quote</v>
      </c>
      <c r="I51" s="126" t="str">
        <f t="shared" si="19"/>
        <v>JPY3L6L24Y_Quote</v>
      </c>
      <c r="J51" s="182" t="str">
        <f>IF(P47,_xll.qlSwapRateHelper2(,H51,2,B51,JoinCalendar,+D51,E51,F51,G51,I51,C51,Discounting,PillarDate,,,Trigger),"--")</f>
        <v>--</v>
      </c>
      <c r="L51" s="187" t="str">
        <f t="shared" si="14"/>
        <v>BasSW</v>
      </c>
      <c r="M51" s="202" t="str">
        <f t="shared" si="15"/>
        <v>JPYSB6L28Y_Quote</v>
      </c>
      <c r="N51" s="189" t="str">
        <f>IFERROR(_xll.qlQuoteValue(H55,Trigger),"--")</f>
        <v>--</v>
      </c>
      <c r="O51" s="189" t="str">
        <f>IFERROR(_xll.qlQuoteValue(I55,Trigger),"--")</f>
        <v>--</v>
      </c>
      <c r="P51" s="136" t="b">
        <v>0</v>
      </c>
      <c r="Q51" s="136">
        <v>40</v>
      </c>
      <c r="R51" s="136">
        <v>1</v>
      </c>
      <c r="S51" s="136" t="str">
        <f t="shared" si="16"/>
        <v>--</v>
      </c>
      <c r="T51" s="137" t="str">
        <f>IFERROR(_xll.qlRateHelperEarliestDate(S51,Trigger),"--")</f>
        <v>--</v>
      </c>
      <c r="U51" s="137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3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139</v>
      </c>
      <c r="B52" s="61" t="s">
        <v>84</v>
      </c>
      <c r="C52" s="62" t="s">
        <v>6</v>
      </c>
      <c r="D52" s="62" t="s">
        <v>141</v>
      </c>
      <c r="E52" s="62" t="s">
        <v>7</v>
      </c>
      <c r="F52" s="62" t="s">
        <v>142</v>
      </c>
      <c r="G52" s="62" t="str">
        <f t="shared" si="17"/>
        <v>JpyLibor3M</v>
      </c>
      <c r="H52" s="60" t="str">
        <f t="shared" si="18"/>
        <v>JPYSB6L25Y_Quote</v>
      </c>
      <c r="I52" s="126" t="str">
        <f t="shared" si="19"/>
        <v>JPY3L6L25Y_Quote</v>
      </c>
      <c r="J52" s="182" t="str">
        <f>IF(P48,_xll.qlSwapRateHelper2(,H52,2,B52,JoinCalendar,+D52,E52,F52,G52,I52,C52,Discounting,PillarDate,,,Trigger),"--")</f>
        <v>--</v>
      </c>
      <c r="L52" s="187" t="str">
        <f t="shared" si="14"/>
        <v>BasSW</v>
      </c>
      <c r="M52" s="202" t="str">
        <f t="shared" si="15"/>
        <v>JPYSB6L29Y_Quote</v>
      </c>
      <c r="N52" s="189" t="str">
        <f>IFERROR(_xll.qlQuoteValue(H56,Trigger),"--")</f>
        <v>--</v>
      </c>
      <c r="O52" s="189" t="str">
        <f>IFERROR(_xll.qlQuoteValue(I56,Trigger),"--")</f>
        <v>--</v>
      </c>
      <c r="P52" s="136" t="b">
        <v>0</v>
      </c>
      <c r="Q52" s="136">
        <v>40</v>
      </c>
      <c r="R52" s="136">
        <v>1</v>
      </c>
      <c r="S52" s="136" t="str">
        <f t="shared" si="16"/>
        <v>--</v>
      </c>
      <c r="T52" s="137" t="str">
        <f>IFERROR(_xll.qlRateHelperEarliestDate(S52,Trigger),"--")</f>
        <v>--</v>
      </c>
      <c r="U52" s="137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3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139</v>
      </c>
      <c r="B53" s="61" t="s">
        <v>125</v>
      </c>
      <c r="C53" s="62" t="s">
        <v>6</v>
      </c>
      <c r="D53" s="62" t="s">
        <v>141</v>
      </c>
      <c r="E53" s="62" t="s">
        <v>7</v>
      </c>
      <c r="F53" s="62" t="s">
        <v>142</v>
      </c>
      <c r="G53" s="62" t="str">
        <f t="shared" si="17"/>
        <v>JpyLibor3M</v>
      </c>
      <c r="H53" s="60" t="str">
        <f t="shared" si="18"/>
        <v>JPYSB6L26Y_Quote</v>
      </c>
      <c r="I53" s="126" t="str">
        <f t="shared" si="19"/>
        <v>JPY3L6L26Y_Quote</v>
      </c>
      <c r="J53" s="182" t="str">
        <f>IF(P49,_xll.qlSwapRateHelper2(,H53,2,B53,JoinCalendar,+D53,E53,F53,G53,I53,C53,Discounting,PillarDate,,,Trigger),"--")</f>
        <v>--</v>
      </c>
      <c r="L53" s="187" t="str">
        <f t="shared" si="14"/>
        <v>BasSW</v>
      </c>
      <c r="M53" s="202" t="str">
        <f t="shared" si="15"/>
        <v>JPYSB6L30Y_Quote</v>
      </c>
      <c r="N53" s="189">
        <f>IFERROR(_xll.qlQuoteValue(H57,Trigger),"--")</f>
        <v>1.7749999999999999E-3</v>
      </c>
      <c r="O53" s="189">
        <f>IFERROR(_xll.qlQuoteValue(I57,Trigger),"--")</f>
        <v>1.25E-4</v>
      </c>
      <c r="P53" s="136" t="b">
        <v>1</v>
      </c>
      <c r="Q53" s="136">
        <v>40</v>
      </c>
      <c r="R53" s="136">
        <v>1</v>
      </c>
      <c r="S53" s="136" t="str">
        <f t="shared" si="16"/>
        <v>obj_001ba#0001</v>
      </c>
      <c r="T53" s="137">
        <f>IFERROR(_xll.qlRateHelperEarliestDate(S53,Trigger),"--")</f>
        <v>42563</v>
      </c>
      <c r="U53" s="137">
        <f>IFERROR(_xll.qlRateHelperPillarDate(S53,Trigger),"--")</f>
        <v>53520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3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139</v>
      </c>
      <c r="B54" s="61" t="s">
        <v>85</v>
      </c>
      <c r="C54" s="62" t="s">
        <v>6</v>
      </c>
      <c r="D54" s="62" t="s">
        <v>141</v>
      </c>
      <c r="E54" s="62" t="s">
        <v>7</v>
      </c>
      <c r="F54" s="62" t="s">
        <v>142</v>
      </c>
      <c r="G54" s="62" t="str">
        <f t="shared" si="17"/>
        <v>JpyLibor3M</v>
      </c>
      <c r="H54" s="60" t="str">
        <f t="shared" si="18"/>
        <v>JPYSB6L27Y_Quote</v>
      </c>
      <c r="I54" s="126" t="str">
        <f t="shared" si="19"/>
        <v>JPY3L6L27Y_Quote</v>
      </c>
      <c r="J54" s="182" t="str">
        <f>IF(P50,_xll.qlSwapRateHelper2(,H54,2,B54,JoinCalendar,+D54,E54,F54,G54,I54,C54,Discounting,PillarDate,,,Trigger),"--")</f>
        <v>--</v>
      </c>
      <c r="L54" s="187" t="str">
        <f t="shared" si="14"/>
        <v>BasSW</v>
      </c>
      <c r="M54" s="202" t="str">
        <f t="shared" si="15"/>
        <v>JPYSB6L35Y_Quote</v>
      </c>
      <c r="N54" s="189" t="str">
        <f>IFERROR(_xll.qlQuoteValue(H58,Trigger),"--")</f>
        <v>--</v>
      </c>
      <c r="O54" s="189" t="str">
        <f>IFERROR(_xll.qlQuoteValue(I58,Trigger),"--")</f>
        <v>--</v>
      </c>
      <c r="P54" s="136" t="b">
        <v>0</v>
      </c>
      <c r="Q54" s="136">
        <v>40</v>
      </c>
      <c r="R54" s="136">
        <v>1</v>
      </c>
      <c r="S54" s="136" t="str">
        <f t="shared" si="16"/>
        <v>--</v>
      </c>
      <c r="T54" s="137" t="str">
        <f>IFERROR(_xll.qlRateHelperEarliestDate(S54,Trigger),"--")</f>
        <v>--</v>
      </c>
      <c r="U54" s="137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3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139</v>
      </c>
      <c r="B55" s="61" t="s">
        <v>126</v>
      </c>
      <c r="C55" s="62" t="s">
        <v>6</v>
      </c>
      <c r="D55" s="62" t="s">
        <v>141</v>
      </c>
      <c r="E55" s="62" t="s">
        <v>7</v>
      </c>
      <c r="F55" s="62" t="s">
        <v>142</v>
      </c>
      <c r="G55" s="62" t="str">
        <f t="shared" si="17"/>
        <v>JpyLibor3M</v>
      </c>
      <c r="H55" s="60" t="str">
        <f t="shared" si="18"/>
        <v>JPYSB6L28Y_Quote</v>
      </c>
      <c r="I55" s="126" t="str">
        <f t="shared" si="19"/>
        <v>JPY3L6L28Y_Quote</v>
      </c>
      <c r="J55" s="182" t="str">
        <f>IF(P51,_xll.qlSwapRateHelper2(,H55,2,B55,JoinCalendar,+D55,E55,F55,G55,I55,C55,Discounting,PillarDate,,,Trigger),"--")</f>
        <v>--</v>
      </c>
      <c r="L55" s="187" t="str">
        <f t="shared" si="14"/>
        <v>BasSW</v>
      </c>
      <c r="M55" s="202" t="str">
        <f t="shared" si="15"/>
        <v>JPYSB6L40Y_Quote</v>
      </c>
      <c r="N55" s="189" t="str">
        <f>IFERROR(_xll.qlQuoteValue(H59,Trigger),"--")</f>
        <v>--</v>
      </c>
      <c r="O55" s="189" t="str">
        <f>IFERROR(_xll.qlQuoteValue(I59,Trigger),"--")</f>
        <v>--</v>
      </c>
      <c r="P55" s="136" t="b">
        <v>0</v>
      </c>
      <c r="Q55" s="136">
        <v>40</v>
      </c>
      <c r="R55" s="136">
        <v>1</v>
      </c>
      <c r="S55" s="136" t="str">
        <f t="shared" si="16"/>
        <v>--</v>
      </c>
      <c r="T55" s="137" t="str">
        <f>IFERROR(_xll.qlRateHelperEarliestDate(S55,Trigger),"--")</f>
        <v>--</v>
      </c>
      <c r="U55" s="137" t="str">
        <f>IFERROR(_xll.qlRateHelperPillarDate(S55,Trigger),"--")</f>
        <v>--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3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139</v>
      </c>
      <c r="B56" s="61" t="s">
        <v>127</v>
      </c>
      <c r="C56" s="62" t="s">
        <v>6</v>
      </c>
      <c r="D56" s="62" t="s">
        <v>141</v>
      </c>
      <c r="E56" s="62" t="s">
        <v>7</v>
      </c>
      <c r="F56" s="62" t="s">
        <v>142</v>
      </c>
      <c r="G56" s="62" t="str">
        <f t="shared" si="17"/>
        <v>JpyLibor3M</v>
      </c>
      <c r="H56" s="60" t="str">
        <f t="shared" si="18"/>
        <v>JPYSB6L29Y_Quote</v>
      </c>
      <c r="I56" s="126" t="str">
        <f t="shared" si="19"/>
        <v>JPY3L6L29Y_Quote</v>
      </c>
      <c r="J56" s="182" t="str">
        <f>IF(P52,_xll.qlSwapRateHelper2(,H56,2,B56,JoinCalendar,+D56,E56,F56,G56,I56,C56,Discounting,PillarDate,,,Trigger),"--")</f>
        <v>--</v>
      </c>
      <c r="L56" s="187" t="str">
        <f t="shared" si="14"/>
        <v>BasSW</v>
      </c>
      <c r="M56" s="202" t="str">
        <f t="shared" si="15"/>
        <v>JPYSB6L50Y_Quote</v>
      </c>
      <c r="N56" s="189" t="str">
        <f>IFERROR(_xll.qlQuoteValue(H60,Trigger),"--")</f>
        <v>--</v>
      </c>
      <c r="O56" s="189" t="str">
        <f>IFERROR(_xll.qlQuoteValue(I60,Trigger),"--")</f>
        <v>--</v>
      </c>
      <c r="P56" s="136" t="b">
        <v>0</v>
      </c>
      <c r="Q56" s="136">
        <v>40</v>
      </c>
      <c r="R56" s="136">
        <v>1</v>
      </c>
      <c r="S56" s="136" t="str">
        <f t="shared" si="16"/>
        <v>--</v>
      </c>
      <c r="T56" s="137" t="str">
        <f>IFERROR(_xll.qlRateHelperEarliestDate(S56,Trigger),"--")</f>
        <v>--</v>
      </c>
      <c r="U56" s="137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3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139</v>
      </c>
      <c r="B57" s="61" t="s">
        <v>86</v>
      </c>
      <c r="C57" s="62" t="s">
        <v>6</v>
      </c>
      <c r="D57" s="62" t="s">
        <v>141</v>
      </c>
      <c r="E57" s="62" t="s">
        <v>7</v>
      </c>
      <c r="F57" s="62" t="s">
        <v>142</v>
      </c>
      <c r="G57" s="62" t="str">
        <f t="shared" si="17"/>
        <v>JpyLibor3M</v>
      </c>
      <c r="H57" s="60" t="str">
        <f t="shared" si="18"/>
        <v>JPYSB6L30Y_Quote</v>
      </c>
      <c r="I57" s="126" t="str">
        <f t="shared" si="19"/>
        <v>JPY3L6L30Y_Quote</v>
      </c>
      <c r="J57" s="182" t="str">
        <f>IF(P53,_xll.qlSwapRateHelper2(,H57,2,B57,JoinCalendar,+D57,E57,F57,G57,I57,C57,Discounting,PillarDate,,,Trigger),"--")</f>
        <v>obj_001ba#0001</v>
      </c>
      <c r="L57" s="183" t="str">
        <f t="shared" si="14"/>
        <v>BasSW</v>
      </c>
      <c r="M57" s="203" t="str">
        <f t="shared" si="15"/>
        <v>JPYSB6L60Y_Quote</v>
      </c>
      <c r="N57" s="185" t="str">
        <f>IFERROR(_xll.qlQuoteValue(H61,Trigger),"--")</f>
        <v>--</v>
      </c>
      <c r="O57" s="185" t="str">
        <f>IFERROR(_xll.qlQuoteValue(I61,Trigger),"--")</f>
        <v>--</v>
      </c>
      <c r="P57" s="138" t="b">
        <v>0</v>
      </c>
      <c r="Q57" s="138">
        <v>40</v>
      </c>
      <c r="R57" s="138">
        <v>1</v>
      </c>
      <c r="S57" s="138" t="str">
        <f t="shared" si="16"/>
        <v>--</v>
      </c>
      <c r="T57" s="139" t="str">
        <f>IFERROR(_xll.qlRateHelperEarliestDate(S57,Trigger),"--")</f>
        <v>--</v>
      </c>
      <c r="U57" s="139" t="str">
        <f>IFERROR(_xll.qlRateHelperPillarDate(S57,Trigger),"--")</f>
        <v>--</v>
      </c>
      <c r="W57" s="5" t="str">
        <f t="shared" si="20"/>
        <v/>
      </c>
      <c r="X57" s="5" t="e">
        <v>#N/A</v>
      </c>
      <c r="Y57" s="5" t="str">
        <f>IFERROR(_xll.qlRateHelperQuoteName(X57,Trigger),"")</f>
        <v/>
      </c>
      <c r="Z57" s="78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10" t="str">
        <f>IFERROR(_xll.qlRateHelperEarliestDate(X57,Trigger),"")</f>
        <v/>
      </c>
      <c r="AC57" s="10" t="str">
        <f>IFERROR(_xll.qlRateHelperPillarDate(X57,Trigger),"")</f>
        <v/>
      </c>
      <c r="AD57" s="77" t="e">
        <v>#N/A</v>
      </c>
    </row>
    <row r="58" spans="1:30" ht="11.25" customHeight="1" x14ac:dyDescent="0.2">
      <c r="A58" s="60" t="s">
        <v>139</v>
      </c>
      <c r="B58" s="61" t="s">
        <v>87</v>
      </c>
      <c r="C58" s="62" t="s">
        <v>6</v>
      </c>
      <c r="D58" s="62" t="s">
        <v>141</v>
      </c>
      <c r="E58" s="62" t="s">
        <v>7</v>
      </c>
      <c r="F58" s="62" t="s">
        <v>142</v>
      </c>
      <c r="G58" s="62" t="str">
        <f t="shared" si="17"/>
        <v>JpyLibor3M</v>
      </c>
      <c r="H58" s="60" t="str">
        <f t="shared" si="18"/>
        <v>JPYSB6L35Y_Quote</v>
      </c>
      <c r="I58" s="126" t="str">
        <f t="shared" si="19"/>
        <v>JPY3L6L35Y_Quote</v>
      </c>
      <c r="J58" s="182" t="str">
        <f>IF(P54,_xll.qlSwapRateHelper2(,H58,2,B58,JoinCalendar,+D58,E58,F58,G58,I58,C58,Discounting,PillarDate,,,Trigger),"--")</f>
        <v>--</v>
      </c>
      <c r="Y58" s="193" t="str">
        <f>_xll.ohGroup("JPY3M_instruments",Y3:Y57,Permanent,Trigger,ObjectOverwrite)</f>
        <v>JPY3M_instruments#0006</v>
      </c>
    </row>
    <row r="59" spans="1:30" ht="11.25" customHeight="1" x14ac:dyDescent="0.2">
      <c r="A59" s="60" t="s">
        <v>139</v>
      </c>
      <c r="B59" s="61" t="s">
        <v>88</v>
      </c>
      <c r="C59" s="62" t="s">
        <v>6</v>
      </c>
      <c r="D59" s="62" t="s">
        <v>141</v>
      </c>
      <c r="E59" s="62" t="s">
        <v>7</v>
      </c>
      <c r="F59" s="62" t="s">
        <v>142</v>
      </c>
      <c r="G59" s="62" t="str">
        <f t="shared" si="17"/>
        <v>JpyLibor3M</v>
      </c>
      <c r="H59" s="60" t="str">
        <f t="shared" si="18"/>
        <v>JPYSB6L40Y_Quote</v>
      </c>
      <c r="I59" s="124" t="str">
        <f t="shared" si="19"/>
        <v>JPY3L6L40Y_Quote</v>
      </c>
      <c r="J59" s="182" t="str">
        <f>IF(P55,_xll.qlSwapRateHelper2(,H59,2,B59,JoinCalendar,+D59,E59,F59,G59,I59,C59,Discounting,PillarDate,,,Trigger),"--")</f>
        <v>--</v>
      </c>
    </row>
    <row r="60" spans="1:30" ht="11.25" customHeight="1" x14ac:dyDescent="0.2">
      <c r="A60" s="60" t="s">
        <v>139</v>
      </c>
      <c r="B60" s="61" t="s">
        <v>90</v>
      </c>
      <c r="C60" s="62" t="s">
        <v>6</v>
      </c>
      <c r="D60" s="62" t="s">
        <v>141</v>
      </c>
      <c r="E60" s="62" t="s">
        <v>7</v>
      </c>
      <c r="F60" s="62" t="s">
        <v>142</v>
      </c>
      <c r="G60" s="62" t="str">
        <f t="shared" si="17"/>
        <v>JpyLibor3M</v>
      </c>
      <c r="H60" s="60" t="str">
        <f t="shared" si="18"/>
        <v>JPYSB6L50Y_Quote</v>
      </c>
      <c r="I60" s="124" t="str">
        <f t="shared" si="19"/>
        <v>JPY3L6L50Y_Quote</v>
      </c>
      <c r="J60" s="182" t="str">
        <f>IF(P56,_xll.qlSwapRateHelper2(,H60,2,B60,JoinCalendar,+D60,E60,F60,G60,I60,C60,Discounting,PillarDate,,,Trigger),"--")</f>
        <v>--</v>
      </c>
    </row>
    <row r="61" spans="1:30" ht="11.25" customHeight="1" x14ac:dyDescent="0.2">
      <c r="A61" s="1" t="s">
        <v>139</v>
      </c>
      <c r="B61" s="8" t="s">
        <v>128</v>
      </c>
      <c r="C61" s="6" t="s">
        <v>6</v>
      </c>
      <c r="D61" s="6" t="s">
        <v>141</v>
      </c>
      <c r="E61" s="6" t="s">
        <v>7</v>
      </c>
      <c r="F61" s="6" t="s">
        <v>142</v>
      </c>
      <c r="G61" s="6" t="str">
        <f t="shared" si="17"/>
        <v>JpyLibor3M</v>
      </c>
      <c r="H61" s="1" t="str">
        <f t="shared" si="18"/>
        <v>JPYSB6L60Y_Quote</v>
      </c>
      <c r="I61" s="127" t="str">
        <f t="shared" si="19"/>
        <v>JPY3L6L60Y_Quote</v>
      </c>
      <c r="J61" s="180" t="str">
        <f>IF(P57,_xll.qlSwapRateHelper2(,H61,2,B61,JoinCalendar,+D61,E61,F61,G61,I61,C61,Discounting,PillarDate,,,Trigger),"--")</f>
        <v>--</v>
      </c>
    </row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39</v>
      </c>
    </row>
  </sheetData>
  <mergeCells count="1">
    <mergeCell ref="AG2:AK2"/>
  </mergeCells>
  <dataValidations count="5">
    <dataValidation type="list" allowBlank="1" showInputMessage="1" showErrorMessage="1" sqref="D25:D61">
      <formula1>"Annual,Semiannual,EveryFourthMonth,Quarterly,Bimonthly,Monthly,Biweekly,Weekly,Daily,Once,NoFrequency"</formula1>
    </dataValidation>
    <dataValidation type="list" allowBlank="1" showInputMessage="1" showErrorMessage="1" sqref="E25:E61">
      <formula1>"Following,Modified Following,Preceding,Modified Preceding,Unadjusted,Half-Month Modified Following"</formula1>
    </dataValidation>
    <dataValidation type="list" allowBlank="1" showInputMessage="1" showErrorMessage="1" sqref="F25:F61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5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10.7109375" style="48" hidden="1" customWidth="1" outlineLevel="1"/>
    <col min="10" max="10" width="15.7109375" style="102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2" hidden="1" customWidth="1" outlineLevel="1"/>
    <col min="14" max="18" width="8.7109375" style="102" hidden="1" customWidth="1" outlineLevel="1"/>
    <col min="19" max="19" width="15.7109375" style="102" hidden="1" customWidth="1" outlineLevel="1"/>
    <col min="20" max="21" width="10.7109375" style="102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2" width="2.7109375" style="152" customWidth="1"/>
    <col min="33" max="33" width="24.42578125" style="48" bestFit="1" customWidth="1"/>
    <col min="34" max="34" width="24.42578125" style="48" hidden="1" customWidth="1" outlineLevel="1"/>
    <col min="35" max="35" width="7" style="48" hidden="1" customWidth="1" outlineLevel="1"/>
    <col min="36" max="36" width="8.85546875" style="48" hidden="1" customWidth="1" outlineLevel="1"/>
    <col min="37" max="37" width="9" style="48" bestFit="1" customWidth="1" collapsed="1"/>
    <col min="38" max="38" width="10" style="48" bestFit="1" customWidth="1"/>
    <col min="39" max="39" width="24.42578125" style="48" bestFit="1" customWidth="1"/>
    <col min="40" max="16384" width="9.140625" style="48"/>
  </cols>
  <sheetData>
    <row r="1" spans="1:39" ht="18" customHeight="1" x14ac:dyDescent="0.2">
      <c r="G1" s="52" t="s">
        <v>3</v>
      </c>
      <c r="H1" s="52" t="str">
        <f>"_SYNTH"&amp;Tenor</f>
        <v>_SYNTH6M</v>
      </c>
      <c r="L1" s="68" t="s">
        <v>159</v>
      </c>
      <c r="M1" s="105"/>
      <c r="N1" s="105"/>
      <c r="O1" s="97"/>
      <c r="P1" s="105" t="s">
        <v>23</v>
      </c>
      <c r="Q1" s="105"/>
      <c r="R1" s="105"/>
      <c r="S1" s="105"/>
      <c r="T1" s="105"/>
      <c r="U1" s="97"/>
      <c r="V1" s="94"/>
      <c r="W1" s="73" t="str">
        <f>Currency&amp;Tenor</f>
        <v>JPY6M</v>
      </c>
      <c r="X1" s="67"/>
      <c r="Y1" s="67"/>
      <c r="Z1" s="69"/>
      <c r="AA1" s="69"/>
      <c r="AB1" s="67"/>
      <c r="AC1" s="67"/>
      <c r="AD1" s="71" t="s">
        <v>30</v>
      </c>
    </row>
    <row r="2" spans="1:39" ht="21.75" customHeight="1" x14ac:dyDescent="0.2">
      <c r="A2" s="66" t="s">
        <v>8</v>
      </c>
      <c r="B2" s="66" t="s">
        <v>27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23</v>
      </c>
      <c r="L2" s="72" t="s">
        <v>8</v>
      </c>
      <c r="M2" s="72" t="s">
        <v>98</v>
      </c>
      <c r="N2" s="72" t="s">
        <v>101</v>
      </c>
      <c r="O2" s="72" t="s">
        <v>103</v>
      </c>
      <c r="P2" s="72" t="s">
        <v>99</v>
      </c>
      <c r="Q2" s="72" t="s">
        <v>100</v>
      </c>
      <c r="R2" s="72" t="s">
        <v>102</v>
      </c>
      <c r="S2" s="72" t="s">
        <v>23</v>
      </c>
      <c r="T2" s="72" t="s">
        <v>21</v>
      </c>
      <c r="U2" s="72" t="s">
        <v>95</v>
      </c>
      <c r="V2" s="94"/>
      <c r="W2" s="72" t="s">
        <v>8</v>
      </c>
      <c r="X2" s="72" t="s">
        <v>23</v>
      </c>
      <c r="Y2" s="72" t="s">
        <v>98</v>
      </c>
      <c r="Z2" s="74" t="s">
        <v>22</v>
      </c>
      <c r="AA2" s="74" t="s">
        <v>103</v>
      </c>
      <c r="AB2" s="72" t="s">
        <v>21</v>
      </c>
      <c r="AC2" s="72" t="s">
        <v>95</v>
      </c>
      <c r="AD2" s="75">
        <f t="array" ref="AD2:AD58">_xll.qlPiecewiseYieldCurveData(YieldCurve_6M,Trigger)</f>
        <v>1</v>
      </c>
      <c r="AG2" s="207" t="s">
        <v>104</v>
      </c>
      <c r="AH2" s="208"/>
      <c r="AI2" s="208"/>
      <c r="AJ2" s="208"/>
      <c r="AK2" s="209"/>
    </row>
    <row r="3" spans="1:39" ht="11.25" customHeight="1" x14ac:dyDescent="0.2">
      <c r="A3" s="109" t="s">
        <v>25</v>
      </c>
      <c r="B3" s="110" t="s">
        <v>94</v>
      </c>
      <c r="C3" s="216"/>
      <c r="D3" s="121"/>
      <c r="E3" s="121"/>
      <c r="F3" s="121"/>
      <c r="G3" s="111" t="str">
        <f>_xll.qlLibor(,Currency,B3,,Permanent,Trigger,ObjectOverwrite)</f>
        <v>obj_00224#0004</v>
      </c>
      <c r="H3" s="118" t="str">
        <f t="shared" ref="H3:H12" si="0">Currency&amp;$B3&amp;"D"&amp;$H$1&amp;QuoteSuffix</f>
        <v>JPYSND_SYNTH6M_Quote</v>
      </c>
      <c r="I3" s="121"/>
      <c r="J3" s="194" t="str">
        <f>IF(P3,_xll.qlDepositRateHelper(,H3,G3,Permanent,Trigger,ObjectOverwrite),"--")</f>
        <v>--</v>
      </c>
      <c r="K3" s="51"/>
      <c r="L3" s="198" t="str">
        <f t="shared" ref="L3:L12" si="1">A3</f>
        <v>Dp</v>
      </c>
      <c r="M3" s="199" t="str">
        <f>H3</f>
        <v>JPYSND_SYNTH6M_Quote</v>
      </c>
      <c r="N3" s="200">
        <f>IFERROR(_xll.qlQuoteValue(H3,Trigger),"--")</f>
        <v>1.866E-3</v>
      </c>
      <c r="O3" s="201"/>
      <c r="P3" s="130" t="b">
        <v>0</v>
      </c>
      <c r="Q3" s="129">
        <v>10</v>
      </c>
      <c r="R3" s="129">
        <v>1</v>
      </c>
      <c r="S3" s="129" t="str">
        <f>J3</f>
        <v>--</v>
      </c>
      <c r="T3" s="131" t="str">
        <f>IFERROR(_xll.qlRateHelperEarliestDate(S3,Trigger),"--")</f>
        <v>--</v>
      </c>
      <c r="U3" s="131" t="str">
        <f>IFERROR(_xll.qlRateHelperPillarDate(S3,Trigger),"--")</f>
        <v>--</v>
      </c>
      <c r="W3" s="3" t="str">
        <f t="shared" ref="W3:W34" si="2">IFERROR(INDEX($L$3:$L$80,MATCH(Y3,$M$3:$M$80,0),1),"")</f>
        <v>Dp</v>
      </c>
      <c r="X3" s="3" t="str">
        <f t="array" ref="X3:X58">_xll.qlRateHelperSelection(_xll.ohFilter(RateHelpers,IncludeFlag),_xll.ohFilter(Priority,IncludeFlag),$AK$3,$AK$4,$AK$5,$AK$6,_xll.ohFilter(MinDistance,IncludeFlag),Trigger)</f>
        <v>obj_001bd</v>
      </c>
      <c r="Y3" s="3" t="str">
        <f>IFERROR(_xll.qlRateHelperQuoteName(X3,Trigger),"")</f>
        <v>JPY1MD_SYNTH6M_Quote</v>
      </c>
      <c r="Z3" s="70">
        <f>IFERROR(_xll.qlRateHelperRate(X3,Trigger),"")</f>
        <v>1.395E-3</v>
      </c>
      <c r="AA3" s="103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6">
        <v>0.99987988942828232</v>
      </c>
      <c r="AG3" s="171" t="s">
        <v>105</v>
      </c>
      <c r="AK3" s="172">
        <v>0</v>
      </c>
    </row>
    <row r="4" spans="1:39" ht="11.25" customHeight="1" x14ac:dyDescent="0.2">
      <c r="A4" s="55" t="s">
        <v>25</v>
      </c>
      <c r="B4" s="56" t="s">
        <v>110</v>
      </c>
      <c r="C4" s="128"/>
      <c r="D4" s="128"/>
      <c r="E4" s="128"/>
      <c r="F4" s="128"/>
      <c r="G4" s="57" t="str">
        <f>PROPER(Currency)&amp;FamilyName&amp;B4</f>
        <v>JpyLiborSW</v>
      </c>
      <c r="H4" s="140" t="str">
        <f t="shared" si="0"/>
        <v>JPYSWD_SYNTH6M_Quote</v>
      </c>
      <c r="I4" s="128"/>
      <c r="J4" s="181" t="str">
        <f>IF(P4,_xll.qlDepositRateHelper(,H4,G4,Permanent,Trigger,ObjectOverwrite),"--")</f>
        <v>--</v>
      </c>
      <c r="K4" s="50"/>
      <c r="L4" s="187" t="str">
        <f t="shared" si="1"/>
        <v>Dp</v>
      </c>
      <c r="M4" s="202" t="str">
        <f t="shared" ref="M4:M12" si="3">H4</f>
        <v>JPYSWD_SYNTH6M_Quote</v>
      </c>
      <c r="N4" s="189">
        <f>IFERROR(_xll.qlQuoteValue(H4,Trigger),"--")</f>
        <v>1.7830000000000001E-3</v>
      </c>
      <c r="O4" s="190"/>
      <c r="P4" s="98" t="b">
        <v>0</v>
      </c>
      <c r="Q4" s="95">
        <v>10</v>
      </c>
      <c r="R4" s="95">
        <v>1</v>
      </c>
      <c r="S4" s="95" t="str">
        <f t="shared" ref="S4:S12" si="4">J4</f>
        <v>--</v>
      </c>
      <c r="T4" s="99" t="str">
        <f>IFERROR(_xll.qlRateHelperEarliestDate(S4,Trigger),"--")</f>
        <v>--</v>
      </c>
      <c r="U4" s="99" t="str">
        <f>IFERROR(_xll.qlRateHelperPillarDate(S4,Trigger),"--")</f>
        <v>--</v>
      </c>
      <c r="W4" s="3" t="str">
        <f t="shared" si="2"/>
        <v>Dp</v>
      </c>
      <c r="X4" s="3" t="str">
        <v>obj_001b6</v>
      </c>
      <c r="Y4" s="3" t="str">
        <f>IFERROR(_xll.qlRateHelperQuoteName(X4,Trigger),"")</f>
        <v>JPY2MD_SYNTH6M_Quote</v>
      </c>
      <c r="Z4" s="70">
        <f>IFERROR(_xll.qlRateHelperRate(X4,Trigger),"")</f>
        <v>8.3100000000000003E-4</v>
      </c>
      <c r="AA4" s="103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6">
        <v>0.99985690381278258</v>
      </c>
      <c r="AG4" s="106" t="s">
        <v>106</v>
      </c>
      <c r="AK4" s="107">
        <v>0</v>
      </c>
    </row>
    <row r="5" spans="1:39" ht="11.25" customHeight="1" x14ac:dyDescent="0.2">
      <c r="A5" s="142" t="s">
        <v>25</v>
      </c>
      <c r="B5" s="143" t="s">
        <v>42</v>
      </c>
      <c r="C5" s="144"/>
      <c r="D5" s="144"/>
      <c r="E5" s="144"/>
      <c r="F5" s="144"/>
      <c r="G5" s="145" t="str">
        <f>_xll.qlLibor(,Currency,B5,,Permanent,Trigger,ObjectOverwrite)</f>
        <v>obj_001bb#0001</v>
      </c>
      <c r="H5" s="146" t="str">
        <f t="shared" si="0"/>
        <v>JPY2WD_SYNTH6M_Quote</v>
      </c>
      <c r="I5" s="144"/>
      <c r="J5" s="195" t="str">
        <f>IF(P5,_xll.qlDepositRateHelper(,H5,G5,Permanent,Trigger,ObjectOverwrite),"--")</f>
        <v>--</v>
      </c>
      <c r="K5" s="50"/>
      <c r="L5" s="187" t="str">
        <f t="shared" si="1"/>
        <v>Dp</v>
      </c>
      <c r="M5" s="202" t="str">
        <f t="shared" si="3"/>
        <v>JPY2WD_SYNTH6M_Quote</v>
      </c>
      <c r="N5" s="189">
        <f>IFERROR(_xll.qlQuoteValue(H5,Trigger),"--")</f>
        <v>1.6789999999999999E-3</v>
      </c>
      <c r="O5" s="190"/>
      <c r="P5" s="98" t="b">
        <v>0</v>
      </c>
      <c r="Q5" s="95">
        <v>10</v>
      </c>
      <c r="R5" s="95">
        <v>1</v>
      </c>
      <c r="S5" s="95" t="str">
        <f t="shared" si="4"/>
        <v>--</v>
      </c>
      <c r="T5" s="99" t="str">
        <f>IFERROR(_xll.qlRateHelperEarliestDate(S5,Trigger),"--")</f>
        <v>--</v>
      </c>
      <c r="U5" s="99" t="str">
        <f>IFERROR(_xll.qlRateHelperPillarDate(S5,Trigger),"--")</f>
        <v>--</v>
      </c>
      <c r="W5" s="3" t="str">
        <f t="shared" si="2"/>
        <v>Dp</v>
      </c>
      <c r="X5" s="3" t="str">
        <v>obj_001da</v>
      </c>
      <c r="Y5" s="3" t="str">
        <f>IFERROR(_xll.qlRateHelperQuoteName(X5,Trigger),"")</f>
        <v>JPY3MD_SYNTH6M_Quote</v>
      </c>
      <c r="Z5" s="70">
        <f>IFERROR(_xll.qlRateHelperRate(X5,Trigger),"")</f>
        <v>3.88E-4</v>
      </c>
      <c r="AA5" s="103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6">
        <v>0.99990085427529385</v>
      </c>
      <c r="AG5" s="106" t="s">
        <v>107</v>
      </c>
      <c r="AK5" s="107">
        <v>0</v>
      </c>
    </row>
    <row r="6" spans="1:39" ht="11.25" customHeight="1" x14ac:dyDescent="0.2">
      <c r="A6" s="147" t="s">
        <v>25</v>
      </c>
      <c r="B6" s="148" t="s">
        <v>43</v>
      </c>
      <c r="C6" s="149"/>
      <c r="D6" s="149"/>
      <c r="E6" s="149"/>
      <c r="F6" s="149"/>
      <c r="G6" s="150" t="str">
        <f>_xll.qlLibor(,Currency,B6,,Permanent,Trigger,ObjectOverwrite)</f>
        <v>obj_001cf#0001</v>
      </c>
      <c r="H6" s="151" t="str">
        <f t="shared" si="0"/>
        <v>JPY3WD_SYNTH6M_Quote</v>
      </c>
      <c r="I6" s="149"/>
      <c r="J6" s="196" t="str">
        <f>IF(P6,_xll.qlDepositRateHelper(,H6,G6,Permanent,Trigger,ObjectOverwrite),"--")</f>
        <v>--</v>
      </c>
      <c r="K6" s="50"/>
      <c r="L6" s="187" t="str">
        <f t="shared" si="1"/>
        <v>Dp</v>
      </c>
      <c r="M6" s="202" t="str">
        <f t="shared" si="3"/>
        <v>JPY3WD_SYNTH6M_Quote</v>
      </c>
      <c r="N6" s="189">
        <f>IFERROR(_xll.qlQuoteValue(H6,Trigger),"--")</f>
        <v>1.5679999999999999E-3</v>
      </c>
      <c r="O6" s="190"/>
      <c r="P6" s="98" t="b">
        <v>0</v>
      </c>
      <c r="Q6" s="95">
        <v>10</v>
      </c>
      <c r="R6" s="95">
        <v>1</v>
      </c>
      <c r="S6" s="95" t="str">
        <f t="shared" si="4"/>
        <v>--</v>
      </c>
      <c r="T6" s="99" t="str">
        <f>IFERROR(_xll.qlRateHelperEarliestDate(S6,Trigger),"--")</f>
        <v>--</v>
      </c>
      <c r="U6" s="99" t="str">
        <f>IFERROR(_xll.qlRateHelperPillarDate(S6,Trigger),"--")</f>
        <v>--</v>
      </c>
      <c r="W6" s="3" t="str">
        <f t="shared" si="2"/>
        <v>Dp</v>
      </c>
      <c r="X6" s="3" t="str">
        <v>obj_001d5</v>
      </c>
      <c r="Y6" s="3" t="str">
        <f>IFERROR(_xll.qlRateHelperQuoteName(X6,Trigger),"")</f>
        <v>JPY4MD_SYNTH6M_Quote</v>
      </c>
      <c r="Z6" s="70">
        <f>IFERROR(_xll.qlRateHelperRate(X6,Trigger),"")</f>
        <v>4.3999999999999999E-5</v>
      </c>
      <c r="AA6" s="103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42688</v>
      </c>
      <c r="AD6" s="76">
        <v>0.99998472245562908</v>
      </c>
      <c r="AG6" s="106" t="s">
        <v>108</v>
      </c>
      <c r="AK6" s="108" t="s">
        <v>109</v>
      </c>
    </row>
    <row r="7" spans="1:39" ht="11.25" customHeight="1" x14ac:dyDescent="0.2">
      <c r="A7" s="60" t="s">
        <v>25</v>
      </c>
      <c r="B7" s="61" t="s">
        <v>2</v>
      </c>
      <c r="C7" s="122"/>
      <c r="D7" s="122"/>
      <c r="E7" s="122"/>
      <c r="F7" s="122"/>
      <c r="G7" s="62" t="str">
        <f>PROPER(Currency)&amp;FamilyName&amp;B7</f>
        <v>JpyLibor1M</v>
      </c>
      <c r="H7" s="119" t="str">
        <f t="shared" si="0"/>
        <v>JPY1MD_SYNTH6M_Quote</v>
      </c>
      <c r="I7" s="122"/>
      <c r="J7" s="182" t="str">
        <f>IF(P7,_xll.qlDepositRateHelper(,H7,G7,Permanent,Trigger,ObjectOverwrite),"--")</f>
        <v>obj_001bd#0001</v>
      </c>
      <c r="K7" s="50"/>
      <c r="L7" s="187" t="str">
        <f t="shared" si="1"/>
        <v>Dp</v>
      </c>
      <c r="M7" s="202" t="str">
        <f t="shared" si="3"/>
        <v>JPY1MD_SYNTH6M_Quote</v>
      </c>
      <c r="N7" s="189">
        <f>IFERROR(_xll.qlQuoteValue(H7,Trigger),"--")</f>
        <v>1.395E-3</v>
      </c>
      <c r="O7" s="190"/>
      <c r="P7" s="98" t="b">
        <v>1</v>
      </c>
      <c r="Q7" s="95">
        <v>10</v>
      </c>
      <c r="R7" s="95">
        <v>1</v>
      </c>
      <c r="S7" s="95" t="str">
        <f t="shared" si="4"/>
        <v>obj_001bd#0001</v>
      </c>
      <c r="T7" s="99">
        <f>IFERROR(_xll.qlRateHelperEarliestDate(S7,Trigger),"--")</f>
        <v>42563</v>
      </c>
      <c r="U7" s="99">
        <f>IFERROR(_xll.qlRateHelperPillarDate(S7,Trigger),"--")</f>
        <v>42594</v>
      </c>
      <c r="W7" s="3" t="str">
        <f t="shared" si="2"/>
        <v>Dp</v>
      </c>
      <c r="X7" s="3" t="str">
        <v>obj_001c4</v>
      </c>
      <c r="Y7" s="3" t="str">
        <f>IFERROR(_xll.qlRateHelperQuoteName(X7,Trigger),"")</f>
        <v>JPY5MD_SYNTH6M_Quote</v>
      </c>
      <c r="Z7" s="70">
        <f>IFERROR(_xll.qlRateHelperRate(X7,Trigger),"")</f>
        <v>-1.95E-4</v>
      </c>
      <c r="AA7" s="103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42563</v>
      </c>
      <c r="AC7" s="4">
        <f>IFERROR(_xll.qlRateHelperPillarDate(X7,Trigger),"")</f>
        <v>42716</v>
      </c>
      <c r="AD7" s="76">
        <v>1.000082881868835</v>
      </c>
    </row>
    <row r="8" spans="1:39" ht="11.25" customHeight="1" x14ac:dyDescent="0.2">
      <c r="A8" s="60" t="s">
        <v>25</v>
      </c>
      <c r="B8" s="61" t="s">
        <v>44</v>
      </c>
      <c r="C8" s="122"/>
      <c r="D8" s="122"/>
      <c r="E8" s="122"/>
      <c r="F8" s="122"/>
      <c r="G8" s="62" t="str">
        <f>PROPER(Currency)&amp;FamilyName&amp;B8</f>
        <v>JpyLibor2M</v>
      </c>
      <c r="H8" s="119" t="str">
        <f t="shared" si="0"/>
        <v>JPY2MD_SYNTH6M_Quote</v>
      </c>
      <c r="I8" s="122"/>
      <c r="J8" s="182" t="str">
        <f>IF(P8,_xll.qlDepositRateHelper(,H8,G8,Permanent,Trigger,ObjectOverwrite),"--")</f>
        <v>obj_001b6#0001</v>
      </c>
      <c r="K8" s="50"/>
      <c r="L8" s="187" t="str">
        <f t="shared" si="1"/>
        <v>Dp</v>
      </c>
      <c r="M8" s="202" t="str">
        <f t="shared" si="3"/>
        <v>JPY2MD_SYNTH6M_Quote</v>
      </c>
      <c r="N8" s="189">
        <f>IFERROR(_xll.qlQuoteValue(H8,Trigger),"--")</f>
        <v>8.3100000000000003E-4</v>
      </c>
      <c r="O8" s="190"/>
      <c r="P8" s="98" t="b">
        <v>1</v>
      </c>
      <c r="Q8" s="95">
        <v>10</v>
      </c>
      <c r="R8" s="95">
        <v>1</v>
      </c>
      <c r="S8" s="95" t="str">
        <f t="shared" si="4"/>
        <v>obj_001b6#0001</v>
      </c>
      <c r="T8" s="99">
        <f>IFERROR(_xll.qlRateHelperEarliestDate(S8,Trigger),"--")</f>
        <v>42563</v>
      </c>
      <c r="U8" s="99">
        <f>IFERROR(_xll.qlRateHelperPillarDate(S8,Trigger),"--")</f>
        <v>42625</v>
      </c>
      <c r="W8" s="3" t="str">
        <f t="shared" si="2"/>
        <v>Dp</v>
      </c>
      <c r="X8" s="3" t="str">
        <v>obj_001ce</v>
      </c>
      <c r="Y8" s="3" t="str">
        <f>IFERROR(_xll.qlRateHelperQuoteName(X8,Trigger),"")</f>
        <v>JPY6MD_SYNTH6M_Quote</v>
      </c>
      <c r="Z8" s="70">
        <f>IFERROR(_xll.qlRateHelperRate(X8,Trigger),"")</f>
        <v>-3.5399999999999999E-4</v>
      </c>
      <c r="AA8" s="103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42563</v>
      </c>
      <c r="AC8" s="4">
        <f>IFERROR(_xll.qlRateHelperPillarDate(X8,Trigger),"")</f>
        <v>42747</v>
      </c>
      <c r="AD8" s="76">
        <v>1.0001809660761287</v>
      </c>
    </row>
    <row r="9" spans="1:39" ht="11.25" customHeight="1" x14ac:dyDescent="0.2">
      <c r="A9" s="60" t="s">
        <v>25</v>
      </c>
      <c r="B9" s="61" t="s">
        <v>0</v>
      </c>
      <c r="C9" s="122"/>
      <c r="D9" s="122"/>
      <c r="E9" s="122"/>
      <c r="F9" s="122"/>
      <c r="G9" s="62" t="str">
        <f>PROPER(Currency)&amp;FamilyName&amp;B9</f>
        <v>JpyLibor3M</v>
      </c>
      <c r="H9" s="119" t="str">
        <f t="shared" si="0"/>
        <v>JPY3MD_SYNTH6M_Quote</v>
      </c>
      <c r="I9" s="122"/>
      <c r="J9" s="182" t="str">
        <f>IF(P9,_xll.qlDepositRateHelper(,H9,G9,Permanent,Trigger,ObjectOverwrite),"--")</f>
        <v>obj_001da#0001</v>
      </c>
      <c r="K9" s="50"/>
      <c r="L9" s="187" t="str">
        <f t="shared" si="1"/>
        <v>Dp</v>
      </c>
      <c r="M9" s="202" t="str">
        <f t="shared" si="3"/>
        <v>JPY3MD_SYNTH6M_Quote</v>
      </c>
      <c r="N9" s="189">
        <f>IFERROR(_xll.qlQuoteValue(H9,Trigger),"--")</f>
        <v>3.88E-4</v>
      </c>
      <c r="O9" s="190"/>
      <c r="P9" s="98" t="b">
        <v>1</v>
      </c>
      <c r="Q9" s="95">
        <v>10</v>
      </c>
      <c r="R9" s="95">
        <v>1</v>
      </c>
      <c r="S9" s="95" t="str">
        <f t="shared" si="4"/>
        <v>obj_001da#0001</v>
      </c>
      <c r="T9" s="99">
        <f>IFERROR(_xll.qlRateHelperEarliestDate(S9,Trigger),"--")</f>
        <v>42563</v>
      </c>
      <c r="U9" s="99">
        <f>IFERROR(_xll.qlRateHelperPillarDate(S9,Trigger),"--")</f>
        <v>42655</v>
      </c>
      <c r="W9" s="3" t="str">
        <f t="shared" si="2"/>
        <v>FRA</v>
      </c>
      <c r="X9" s="3" t="str">
        <v>obj_001c7</v>
      </c>
      <c r="Y9" s="3" t="str">
        <f>IFERROR(_xll.qlRateHelperQuoteName(X9,Trigger),"")</f>
        <v>JPY1x7F_Quote</v>
      </c>
      <c r="Z9" s="70">
        <f>IFERROR(_xll.qlRateHelperRate(X9,Trigger),"")</f>
        <v>-7.5000000000000012E-4</v>
      </c>
      <c r="AA9" s="103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42594</v>
      </c>
      <c r="AC9" s="4">
        <f>IFERROR(_xll.qlRateHelperPillarDate(X9,Trigger),"")</f>
        <v>42779</v>
      </c>
      <c r="AD9" s="76">
        <v>1.0002654083877651</v>
      </c>
      <c r="AH9" s="48" t="s">
        <v>143</v>
      </c>
    </row>
    <row r="10" spans="1:39" ht="11.25" customHeight="1" x14ac:dyDescent="0.2">
      <c r="A10" s="142" t="s">
        <v>25</v>
      </c>
      <c r="B10" s="143" t="s">
        <v>45</v>
      </c>
      <c r="C10" s="144"/>
      <c r="D10" s="144"/>
      <c r="E10" s="144"/>
      <c r="F10" s="144"/>
      <c r="G10" s="145" t="str">
        <f>_xll.qlLibor(,Currency,B10,,Permanent,Trigger,ObjectOverwrite)</f>
        <v>obj_001c8#0001</v>
      </c>
      <c r="H10" s="146" t="str">
        <f t="shared" si="0"/>
        <v>JPY4MD_SYNTH6M_Quote</v>
      </c>
      <c r="I10" s="144"/>
      <c r="J10" s="195" t="str">
        <f>IF(P10,_xll.qlDepositRateHelper(,H10,G10,Permanent,Trigger,ObjectOverwrite),"--")</f>
        <v>obj_001d5#0001</v>
      </c>
      <c r="K10" s="50"/>
      <c r="L10" s="187" t="str">
        <f t="shared" si="1"/>
        <v>Dp</v>
      </c>
      <c r="M10" s="202" t="str">
        <f t="shared" si="3"/>
        <v>JPY4MD_SYNTH6M_Quote</v>
      </c>
      <c r="N10" s="189">
        <f>IFERROR(_xll.qlQuoteValue(H10,Trigger),"--")</f>
        <v>4.3999999999999999E-5</v>
      </c>
      <c r="O10" s="190"/>
      <c r="P10" s="98" t="b">
        <v>1</v>
      </c>
      <c r="Q10" s="95">
        <v>10</v>
      </c>
      <c r="R10" s="95">
        <v>1</v>
      </c>
      <c r="S10" s="95" t="str">
        <f t="shared" si="4"/>
        <v>obj_001d5#0001</v>
      </c>
      <c r="T10" s="99">
        <f>IFERROR(_xll.qlRateHelperEarliestDate(S10,Trigger),"--")</f>
        <v>42563</v>
      </c>
      <c r="U10" s="99">
        <f>IFERROR(_xll.qlRateHelperPillarDate(S10,Trigger),"--")</f>
        <v>42688</v>
      </c>
      <c r="W10" s="3" t="str">
        <f t="shared" si="2"/>
        <v>FRA</v>
      </c>
      <c r="X10" s="3" t="str">
        <v>obj_001d9</v>
      </c>
      <c r="Y10" s="3" t="str">
        <f>IFERROR(_xll.qlRateHelperQuoteName(X10,Trigger),"")</f>
        <v>JPY2x8F_Quote</v>
      </c>
      <c r="Z10" s="70">
        <f>IFERROR(_xll.qlRateHelperRate(X10,Trigger),"")</f>
        <v>-8.9999999999999998E-4</v>
      </c>
      <c r="AA10" s="103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42625</v>
      </c>
      <c r="AC10" s="4">
        <f>IFERROR(_xll.qlRateHelperPillarDate(X10,Trigger),"")</f>
        <v>42807</v>
      </c>
      <c r="AD10" s="76">
        <v>1.0003120457936185</v>
      </c>
      <c r="AF10" s="72" t="s">
        <v>144</v>
      </c>
      <c r="AG10" s="72" t="s">
        <v>145</v>
      </c>
      <c r="AH10" s="72" t="s">
        <v>146</v>
      </c>
      <c r="AI10" s="72" t="s">
        <v>147</v>
      </c>
      <c r="AJ10" s="72" t="s">
        <v>148</v>
      </c>
      <c r="AK10" s="72" t="s">
        <v>149</v>
      </c>
      <c r="AL10" s="72" t="s">
        <v>150</v>
      </c>
      <c r="AM10" s="72" t="s">
        <v>151</v>
      </c>
    </row>
    <row r="11" spans="1:39" ht="11.25" customHeight="1" x14ac:dyDescent="0.2">
      <c r="A11" s="147" t="s">
        <v>25</v>
      </c>
      <c r="B11" s="148" t="s">
        <v>46</v>
      </c>
      <c r="C11" s="149"/>
      <c r="D11" s="149"/>
      <c r="E11" s="149"/>
      <c r="F11" s="149"/>
      <c r="G11" s="150" t="str">
        <f>_xll.qlLibor(,Currency,B11,,Permanent,Trigger,ObjectOverwrite)</f>
        <v>obj_001c2#0001</v>
      </c>
      <c r="H11" s="151" t="str">
        <f t="shared" si="0"/>
        <v>JPY5MD_SYNTH6M_Quote</v>
      </c>
      <c r="I11" s="149"/>
      <c r="J11" s="196" t="str">
        <f>IF(P11,_xll.qlDepositRateHelper(,H11,G11,Permanent,Trigger,ObjectOverwrite),"--")</f>
        <v>obj_001c4#0001</v>
      </c>
      <c r="K11" s="50"/>
      <c r="L11" s="187" t="str">
        <f t="shared" si="1"/>
        <v>Dp</v>
      </c>
      <c r="M11" s="202" t="str">
        <f t="shared" si="3"/>
        <v>JPY5MD_SYNTH6M_Quote</v>
      </c>
      <c r="N11" s="189">
        <f>IFERROR(_xll.qlQuoteValue(H11,Trigger),"--")</f>
        <v>-1.95E-4</v>
      </c>
      <c r="O11" s="190"/>
      <c r="P11" s="98" t="b">
        <v>1</v>
      </c>
      <c r="Q11" s="95">
        <v>10</v>
      </c>
      <c r="R11" s="95">
        <v>1</v>
      </c>
      <c r="S11" s="95" t="str">
        <f t="shared" si="4"/>
        <v>obj_001c4#0001</v>
      </c>
      <c r="T11" s="99">
        <f>IFERROR(_xll.qlRateHelperEarliestDate(S11,Trigger),"--")</f>
        <v>42563</v>
      </c>
      <c r="U11" s="99">
        <f>IFERROR(_xll.qlRateHelperPillarDate(S11,Trigger),"--")</f>
        <v>42716</v>
      </c>
      <c r="W11" s="3" t="str">
        <f t="shared" si="2"/>
        <v>FRA</v>
      </c>
      <c r="X11" s="3" t="str">
        <v>obj_001b5</v>
      </c>
      <c r="Y11" s="3" t="str">
        <f>IFERROR(_xll.qlRateHelperQuoteName(X11,Trigger),"")</f>
        <v>JPY3x9F_Quote</v>
      </c>
      <c r="Z11" s="70">
        <f>IFERROR(_xll.qlRateHelperRate(X11,Trigger),"")</f>
        <v>-1.15E-3</v>
      </c>
      <c r="AA11" s="103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42655</v>
      </c>
      <c r="AC11" s="4">
        <f>IFERROR(_xll.qlRateHelperPillarDate(X11,Trigger),"")</f>
        <v>42837</v>
      </c>
      <c r="AD11" s="76">
        <v>1.0004825236980994</v>
      </c>
      <c r="AF11" s="153">
        <v>1</v>
      </c>
      <c r="AG11" s="154" t="e">
        <f>_xll.qlCalendarEndOfMonth(Calendar,Settlementdate,Trigger)</f>
        <v>#VALUE!</v>
      </c>
      <c r="AH11" s="154" t="str">
        <f t="shared" ref="AH11:AH23" si="5">Currency&amp;$AH$9&amp;AF11&amp;JumpSuffix&amp;QuoteSuffix</f>
        <v>JPYJump1_SYNTHON_Quote</v>
      </c>
      <c r="AI11" s="155" t="e">
        <f>_xll.qlDayCounterYearFraction("actual/360",AG11,_xll.qlCalendarAdvance(Calendar,AG11,"1D",,,Trigger))</f>
        <v>#NUM!</v>
      </c>
      <c r="AJ11" s="154" t="e">
        <f>IF(_xll.qlQuoteIsValid(AH11,Trigger),_xll.qlQuoteValue(AH11,Trigger),1)</f>
        <v>#NUM!</v>
      </c>
      <c r="AK11" s="157" t="e">
        <f>-LN(AJ11)/AI11</f>
        <v>#NUM!</v>
      </c>
      <c r="AL11" s="158"/>
      <c r="AM11" s="156" t="str">
        <f>IF(ISBLANK(AL11),AH11,EXP(-AL11*AI11))</f>
        <v>JPYJump1_SYNTHON_Quote</v>
      </c>
    </row>
    <row r="12" spans="1:39" ht="11.25" customHeight="1" x14ac:dyDescent="0.2">
      <c r="A12" s="1" t="s">
        <v>25</v>
      </c>
      <c r="B12" s="8" t="s">
        <v>3</v>
      </c>
      <c r="C12" s="123"/>
      <c r="D12" s="123"/>
      <c r="E12" s="123"/>
      <c r="F12" s="123"/>
      <c r="G12" s="6" t="str">
        <f>PROPER(Currency)&amp;FamilyName&amp;B12</f>
        <v>JpyLibor6M</v>
      </c>
      <c r="H12" s="120" t="str">
        <f t="shared" si="0"/>
        <v>JPY6MD_SYNTH6M_Quote</v>
      </c>
      <c r="I12" s="123"/>
      <c r="J12" s="180" t="str">
        <f>IF(P12,_xll.qlDepositRateHelper(,H12,G12,Permanent,Trigger,ObjectOverwrite),"--")</f>
        <v>obj_001ce#0001</v>
      </c>
      <c r="K12" s="50" t="s">
        <v>39</v>
      </c>
      <c r="L12" s="183" t="str">
        <f t="shared" si="1"/>
        <v>Dp</v>
      </c>
      <c r="M12" s="203" t="str">
        <f t="shared" si="3"/>
        <v>JPY6MD_SYNTH6M_Quote</v>
      </c>
      <c r="N12" s="185">
        <f>IFERROR(_xll.qlQuoteValue(H12,Trigger),"--")</f>
        <v>-3.5399999999999999E-4</v>
      </c>
      <c r="O12" s="186"/>
      <c r="P12" s="100" t="b">
        <v>1</v>
      </c>
      <c r="Q12" s="96">
        <v>10</v>
      </c>
      <c r="R12" s="96">
        <v>1</v>
      </c>
      <c r="S12" s="96" t="str">
        <f t="shared" si="4"/>
        <v>obj_001ce#0001</v>
      </c>
      <c r="T12" s="101">
        <f>IFERROR(_xll.qlRateHelperEarliestDate(S12,Trigger),"--")</f>
        <v>42563</v>
      </c>
      <c r="U12" s="101">
        <f>IFERROR(_xll.qlRateHelperPillarDate(S12,Trigger),"--")</f>
        <v>42747</v>
      </c>
      <c r="W12" s="3" t="str">
        <f t="shared" si="2"/>
        <v>FRA</v>
      </c>
      <c r="X12" s="3" t="str">
        <v>obj_001d4</v>
      </c>
      <c r="Y12" s="3" t="str">
        <f>IFERROR(_xll.qlRateHelperQuoteName(X12,Trigger),"")</f>
        <v>JPY4x10F_Quote</v>
      </c>
      <c r="Z12" s="70">
        <f>IFERROR(_xll.qlRateHelperRate(X12,Trigger),"")</f>
        <v>-1.4000000000000002E-3</v>
      </c>
      <c r="AA12" s="103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42688</v>
      </c>
      <c r="AC12" s="4">
        <f>IFERROR(_xll.qlRateHelperPillarDate(X12,Trigger),"")</f>
        <v>42867</v>
      </c>
      <c r="AD12" s="76">
        <v>1.0006747969003424</v>
      </c>
      <c r="AF12" s="159">
        <v>2</v>
      </c>
      <c r="AG12" s="160" t="e">
        <f>_xll.qlCalendarEndOfMonth(Calendar,_xll.qlCalendarAdvance(Calendar,AG11,"1m","mf",TRUE),Trigger)</f>
        <v>#VALUE!</v>
      </c>
      <c r="AH12" s="160" t="str">
        <f t="shared" si="5"/>
        <v>JPYJump2_SYNTHON_Quote</v>
      </c>
      <c r="AI12" s="161" t="e">
        <f>_xll.qlDayCounterYearFraction("actual/360",AG12,_xll.qlCalendarAdvance(Calendar,AG12,"1D",,,Trigger))</f>
        <v>#NUM!</v>
      </c>
      <c r="AJ12" s="160" t="e">
        <f>IF(_xll.qlQuoteIsValid(AH12,Trigger),_xll.qlQuoteValue(AH12,Trigger),1)</f>
        <v>#NUM!</v>
      </c>
      <c r="AK12" s="163" t="e">
        <f t="shared" ref="AK12:AK23" si="6">-LN(AJ12)/AI12</f>
        <v>#NUM!</v>
      </c>
      <c r="AL12" s="164"/>
      <c r="AM12" s="162" t="str">
        <f t="shared" ref="AM12:AM23" si="7">IF(ISBLANK(AL12),AH12,EXP(-AL12*AI12))</f>
        <v>JPYJump2_SYNTHON_Quote</v>
      </c>
    </row>
    <row r="13" spans="1:39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98" t="str">
        <f t="shared" ref="L13:L21" si="8">A15</f>
        <v>FRA</v>
      </c>
      <c r="M13" s="199" t="str">
        <f>H15</f>
        <v>JPY1x7F_Quote</v>
      </c>
      <c r="N13" s="200">
        <f>IFERROR(_xll.qlQuoteValue(H15,Trigger),"--")</f>
        <v>-7.5000000000000012E-4</v>
      </c>
      <c r="O13" s="201"/>
      <c r="P13" s="130" t="b">
        <v>1</v>
      </c>
      <c r="Q13" s="129">
        <v>20</v>
      </c>
      <c r="R13" s="129">
        <v>1</v>
      </c>
      <c r="S13" s="129" t="str">
        <f>J15</f>
        <v>obj_001c7#0001</v>
      </c>
      <c r="T13" s="131">
        <f>IFERROR(_xll.qlRateHelperEarliestDate(S13,Trigger),"--")</f>
        <v>42594</v>
      </c>
      <c r="U13" s="131">
        <f>IFERROR(_xll.qlRateHelperPillarDate(S13,Trigger),"--")</f>
        <v>42779</v>
      </c>
      <c r="W13" s="3" t="str">
        <f t="shared" si="2"/>
        <v>FRA</v>
      </c>
      <c r="X13" s="3" t="str">
        <v>obj_001c1</v>
      </c>
      <c r="Y13" s="3" t="str">
        <f>IFERROR(_xll.qlRateHelperQuoteName(X13,Trigger),"")</f>
        <v>JPY5x11F_Quote</v>
      </c>
      <c r="Z13" s="70">
        <f>IFERROR(_xll.qlRateHelperRate(X13,Trigger),"")</f>
        <v>-1.5499999999999999E-3</v>
      </c>
      <c r="AA13" s="103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42716</v>
      </c>
      <c r="AC13" s="4">
        <f>IFERROR(_xll.qlRateHelperPillarDate(X13,Trigger),"")</f>
        <v>42898</v>
      </c>
      <c r="AD13" s="76">
        <v>1.000867172505957</v>
      </c>
      <c r="AF13" s="159">
        <v>3</v>
      </c>
      <c r="AG13" s="160" t="e">
        <f>_xll.qlCalendarEndOfMonth(Calendar,_xll.qlCalendarAdvance(Calendar,AG12,"1m","mf",TRUE),Trigger)</f>
        <v>#VALUE!</v>
      </c>
      <c r="AH13" s="160" t="str">
        <f t="shared" si="5"/>
        <v>JPYJump3_SYNTHON_Quote</v>
      </c>
      <c r="AI13" s="161" t="e">
        <f>_xll.qlDayCounterYearFraction("actual/360",AG13,_xll.qlCalendarAdvance(Calendar,AG13,"1D",,,Trigger))</f>
        <v>#NUM!</v>
      </c>
      <c r="AJ13" s="160" t="e">
        <f>IF(_xll.qlQuoteIsValid(AH13,Trigger),_xll.qlQuoteValue(AH13,Trigger),1)</f>
        <v>#NUM!</v>
      </c>
      <c r="AK13" s="163" t="e">
        <f t="shared" si="6"/>
        <v>#NUM!</v>
      </c>
      <c r="AL13" s="164"/>
      <c r="AM13" s="162" t="str">
        <f t="shared" si="7"/>
        <v>JPYJump3_SYNTHON_Quote</v>
      </c>
    </row>
    <row r="14" spans="1:39" ht="11.25" customHeight="1" x14ac:dyDescent="0.2">
      <c r="A14" s="66" t="s">
        <v>8</v>
      </c>
      <c r="B14" s="66" t="s">
        <v>111</v>
      </c>
      <c r="C14" s="66" t="s">
        <v>112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23</v>
      </c>
      <c r="K14" s="50"/>
      <c r="L14" s="187" t="str">
        <f t="shared" si="8"/>
        <v>FRA</v>
      </c>
      <c r="M14" s="202" t="str">
        <f t="shared" ref="M14:M21" si="9">H16</f>
        <v>JPY2x8F_Quote</v>
      </c>
      <c r="N14" s="189">
        <f>IFERROR(_xll.qlQuoteValue(H16,Trigger),"--")</f>
        <v>-8.9999999999999998E-4</v>
      </c>
      <c r="O14" s="190"/>
      <c r="P14" s="98" t="b">
        <v>1</v>
      </c>
      <c r="Q14" s="95">
        <v>20</v>
      </c>
      <c r="R14" s="95">
        <v>1</v>
      </c>
      <c r="S14" s="95" t="str">
        <f t="shared" ref="S14:S21" si="10">J16</f>
        <v>obj_001d9#0001</v>
      </c>
      <c r="T14" s="99">
        <f>IFERROR(_xll.qlRateHelperEarliestDate(S14,Trigger),"--")</f>
        <v>42625</v>
      </c>
      <c r="U14" s="99">
        <f>IFERROR(_xll.qlRateHelperPillarDate(S14,Trigger),"--")</f>
        <v>42807</v>
      </c>
      <c r="W14" s="3" t="str">
        <f t="shared" si="2"/>
        <v>FRA</v>
      </c>
      <c r="X14" s="3" t="str">
        <v>obj_001b9</v>
      </c>
      <c r="Y14" s="3" t="str">
        <f>IFERROR(_xll.qlRateHelperQuoteName(X14,Trigger),"")</f>
        <v>JPY6x12F_Quote</v>
      </c>
      <c r="Z14" s="70">
        <f>IFERROR(_xll.qlRateHelperRate(X14,Trigger),"")</f>
        <v>-1.8E-3</v>
      </c>
      <c r="AA14" s="103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42747</v>
      </c>
      <c r="AC14" s="4">
        <f>IFERROR(_xll.qlRateHelperPillarDate(X14,Trigger),"")</f>
        <v>42928</v>
      </c>
      <c r="AD14" s="76">
        <v>1.0010869497656667</v>
      </c>
      <c r="AF14" s="159">
        <v>4</v>
      </c>
      <c r="AG14" s="160" t="e">
        <f>_xll.qlCalendarEndOfMonth(Calendar,_xll.qlCalendarAdvance(Calendar,AG13,"1m","mf",TRUE),Trigger)</f>
        <v>#VALUE!</v>
      </c>
      <c r="AH14" s="160" t="str">
        <f t="shared" si="5"/>
        <v>JPYJump4_SYNTHON_Quote</v>
      </c>
      <c r="AI14" s="161" t="e">
        <f>_xll.qlDayCounterYearFraction("actual/360",AG14,_xll.qlCalendarAdvance(Calendar,AG14,"1D",,,Trigger))</f>
        <v>#NUM!</v>
      </c>
      <c r="AJ14" s="160" t="e">
        <f>IF(_xll.qlQuoteIsValid(AH14,Trigger),_xll.qlQuoteValue(AH14,Trigger),1)</f>
        <v>#NUM!</v>
      </c>
      <c r="AK14" s="163" t="e">
        <f t="shared" si="6"/>
        <v>#NUM!</v>
      </c>
      <c r="AL14" s="164"/>
      <c r="AM14" s="162" t="str">
        <f t="shared" si="7"/>
        <v>JPYJump4_SYNTHON_Quote</v>
      </c>
    </row>
    <row r="15" spans="1:39" ht="11.25" customHeight="1" x14ac:dyDescent="0.2">
      <c r="A15" s="55" t="s">
        <v>113</v>
      </c>
      <c r="B15" s="112">
        <v>1</v>
      </c>
      <c r="C15" s="58" t="str">
        <f t="shared" ref="C15:C23" si="11">"x"&amp;B15+SUBSTITUTE(Tenor,"M","")&amp;"F"</f>
        <v>x7F</v>
      </c>
      <c r="D15" s="128"/>
      <c r="E15" s="128"/>
      <c r="F15" s="128"/>
      <c r="G15" s="57" t="str">
        <f t="shared" ref="G15:G23" si="12">PROPER(Currency)&amp;FamilyName&amp;Tenor</f>
        <v>JpyLibor6M</v>
      </c>
      <c r="H15" s="115" t="str">
        <f t="shared" ref="H15:H21" si="13">Currency&amp;B15&amp;C15&amp;QuoteSuffix</f>
        <v>JPY1x7F_Quote</v>
      </c>
      <c r="I15" s="128"/>
      <c r="J15" s="181" t="str">
        <f>IF(P13,_xll.qlFraRateHelper(,H15,B15&amp;"M",G15,PillarDate,,Permanent,Trigger,ObjectOverwrite),"--")</f>
        <v>obj_001c7#0001</v>
      </c>
      <c r="K15" s="50"/>
      <c r="L15" s="187" t="str">
        <f t="shared" si="8"/>
        <v>FRA</v>
      </c>
      <c r="M15" s="202" t="str">
        <f t="shared" si="9"/>
        <v>JPY3x9F_Quote</v>
      </c>
      <c r="N15" s="189">
        <f>IFERROR(_xll.qlQuoteValue(H17,Trigger),"--")</f>
        <v>-1.15E-3</v>
      </c>
      <c r="O15" s="190"/>
      <c r="P15" s="98" t="b">
        <v>1</v>
      </c>
      <c r="Q15" s="95">
        <v>20</v>
      </c>
      <c r="R15" s="95">
        <v>1</v>
      </c>
      <c r="S15" s="95" t="str">
        <f t="shared" si="10"/>
        <v>obj_001b5#0001</v>
      </c>
      <c r="T15" s="99">
        <f>IFERROR(_xll.qlRateHelperEarliestDate(S15,Trigger),"--")</f>
        <v>42655</v>
      </c>
      <c r="U15" s="99">
        <f>IFERROR(_xll.qlRateHelperPillarDate(S15,Trigger),"--")</f>
        <v>42837</v>
      </c>
      <c r="W15" s="3" t="str">
        <f t="shared" si="2"/>
        <v>Sw</v>
      </c>
      <c r="X15" s="3" t="str">
        <v>obj_001d2</v>
      </c>
      <c r="Y15" s="3" t="str">
        <f>IFERROR(_xll.qlRateHelperQuoteName(X15,Trigger),"")</f>
        <v>JPYSB6L18M_Quote</v>
      </c>
      <c r="Z15" s="70">
        <f>IFERROR(_xll.qlRateHelperRate(X15,Trigger),"")</f>
        <v>-1.5000000000000002E-3</v>
      </c>
      <c r="AA15" s="103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42563</v>
      </c>
      <c r="AC15" s="4">
        <f>IFERROR(_xll.qlRateHelperPillarDate(X15,Trigger),"")</f>
        <v>43112</v>
      </c>
      <c r="AD15" s="76">
        <v>1.0022578615142381</v>
      </c>
      <c r="AF15" s="159">
        <v>5</v>
      </c>
      <c r="AG15" s="160" t="e">
        <f>_xll.qlCalendarEndOfMonth(Calendar,_xll.qlCalendarAdvance(Calendar,AG14,"1m","mf",TRUE),Trigger)</f>
        <v>#VALUE!</v>
      </c>
      <c r="AH15" s="160" t="str">
        <f t="shared" si="5"/>
        <v>JPYJump5_SYNTHON_Quote</v>
      </c>
      <c r="AI15" s="161" t="e">
        <f>_xll.qlDayCounterYearFraction("actual/360",AG15,_xll.qlCalendarAdvance(Calendar,AG15,"1D",,,Trigger))</f>
        <v>#NUM!</v>
      </c>
      <c r="AJ15" s="160" t="e">
        <f>IF(_xll.qlQuoteIsValid(AH15,Trigger),_xll.qlQuoteValue(AH15,Trigger),1)</f>
        <v>#NUM!</v>
      </c>
      <c r="AK15" s="163" t="e">
        <f t="shared" si="6"/>
        <v>#NUM!</v>
      </c>
      <c r="AL15" s="164"/>
      <c r="AM15" s="162" t="str">
        <f t="shared" si="7"/>
        <v>JPYJump5_SYNTHON_Quote</v>
      </c>
    </row>
    <row r="16" spans="1:39" ht="11.25" customHeight="1" x14ac:dyDescent="0.2">
      <c r="A16" s="60" t="s">
        <v>113</v>
      </c>
      <c r="B16" s="113">
        <v>2</v>
      </c>
      <c r="C16" s="64" t="str">
        <f t="shared" si="11"/>
        <v>x8F</v>
      </c>
      <c r="D16" s="122"/>
      <c r="E16" s="122"/>
      <c r="F16" s="122"/>
      <c r="G16" s="62" t="str">
        <f t="shared" si="12"/>
        <v>JpyLibor6M</v>
      </c>
      <c r="H16" s="116" t="str">
        <f t="shared" si="13"/>
        <v>JPY2x8F_Quote</v>
      </c>
      <c r="I16" s="122"/>
      <c r="J16" s="182" t="str">
        <f>IF(P14,_xll.qlFraRateHelper(,H16,B16&amp;"M",G16,PillarDate,,Permanent,Trigger,ObjectOverwrite),"--")</f>
        <v>obj_001d9#0001</v>
      </c>
      <c r="K16" s="50"/>
      <c r="L16" s="187" t="str">
        <f t="shared" si="8"/>
        <v>FRA</v>
      </c>
      <c r="M16" s="202" t="str">
        <f t="shared" si="9"/>
        <v>JPY4x10F_Quote</v>
      </c>
      <c r="N16" s="189">
        <f>IFERROR(_xll.qlQuoteValue(H18,Trigger),"--")</f>
        <v>-1.4000000000000002E-3</v>
      </c>
      <c r="O16" s="190"/>
      <c r="P16" s="98" t="b">
        <v>1</v>
      </c>
      <c r="Q16" s="95">
        <v>20</v>
      </c>
      <c r="R16" s="95">
        <v>1</v>
      </c>
      <c r="S16" s="95" t="str">
        <f t="shared" si="10"/>
        <v>obj_001d4#0001</v>
      </c>
      <c r="T16" s="99">
        <f>IFERROR(_xll.qlRateHelperEarliestDate(S16,Trigger),"--")</f>
        <v>42688</v>
      </c>
      <c r="U16" s="99">
        <f>IFERROR(_xll.qlRateHelperPillarDate(S16,Trigger),"--")</f>
        <v>42867</v>
      </c>
      <c r="W16" s="3" t="str">
        <f t="shared" si="2"/>
        <v>Sw</v>
      </c>
      <c r="X16" s="3" t="str">
        <v>obj_001b3</v>
      </c>
      <c r="Y16" s="3" t="str">
        <f>IFERROR(_xll.qlRateHelperQuoteName(X16,Trigger),"")</f>
        <v>JPYSB6L2Y_Quote</v>
      </c>
      <c r="Z16" s="70">
        <f>IFERROR(_xll.qlRateHelperRate(X16,Trigger),"")</f>
        <v>-1.8E-3</v>
      </c>
      <c r="AA16" s="103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42563</v>
      </c>
      <c r="AC16" s="4">
        <f>IFERROR(_xll.qlRateHelperPillarDate(X16,Trigger),"")</f>
        <v>43293</v>
      </c>
      <c r="AD16" s="76">
        <v>1.003604736494291</v>
      </c>
      <c r="AF16" s="159">
        <v>6</v>
      </c>
      <c r="AG16" s="160" t="e">
        <f>_xll.qlCalendarEndOfMonth(Calendar,_xll.qlCalendarAdvance(Calendar,AG15,"1m","mf",TRUE),Trigger)</f>
        <v>#VALUE!</v>
      </c>
      <c r="AH16" s="160" t="str">
        <f t="shared" si="5"/>
        <v>JPYJump6_SYNTHON_Quote</v>
      </c>
      <c r="AI16" s="161" t="e">
        <f>_xll.qlDayCounterYearFraction("actual/360",AG16,_xll.qlCalendarAdvance(Calendar,AG16,"1D",,,Trigger))</f>
        <v>#NUM!</v>
      </c>
      <c r="AJ16" s="160" t="e">
        <f>IF(_xll.qlQuoteIsValid(AH16,Trigger),_xll.qlQuoteValue(AH16,Trigger),1)</f>
        <v>#NUM!</v>
      </c>
      <c r="AK16" s="163" t="e">
        <f t="shared" si="6"/>
        <v>#NUM!</v>
      </c>
      <c r="AL16" s="164"/>
      <c r="AM16" s="162" t="str">
        <f t="shared" si="7"/>
        <v>JPYJump6_SYNTHON_Quote</v>
      </c>
    </row>
    <row r="17" spans="1:39" ht="11.25" customHeight="1" x14ac:dyDescent="0.2">
      <c r="A17" s="60" t="s">
        <v>113</v>
      </c>
      <c r="B17" s="113">
        <v>3</v>
      </c>
      <c r="C17" s="64" t="str">
        <f t="shared" si="11"/>
        <v>x9F</v>
      </c>
      <c r="D17" s="122"/>
      <c r="E17" s="122"/>
      <c r="F17" s="122"/>
      <c r="G17" s="62" t="str">
        <f t="shared" si="12"/>
        <v>JpyLibor6M</v>
      </c>
      <c r="H17" s="116" t="str">
        <f t="shared" si="13"/>
        <v>JPY3x9F_Quote</v>
      </c>
      <c r="I17" s="122"/>
      <c r="J17" s="182" t="str">
        <f>IF(P15,_xll.qlFraRateHelper(,H17,B17&amp;"M",G17,PillarDate,,Permanent,Trigger,ObjectOverwrite),"--")</f>
        <v>obj_001b5#0001</v>
      </c>
      <c r="K17" s="50"/>
      <c r="L17" s="187" t="str">
        <f t="shared" si="8"/>
        <v>FRA</v>
      </c>
      <c r="M17" s="202" t="str">
        <f t="shared" si="9"/>
        <v>JPY5x11F_Quote</v>
      </c>
      <c r="N17" s="189">
        <f>IFERROR(_xll.qlQuoteValue(H19,Trigger),"--")</f>
        <v>-1.5499999999999999E-3</v>
      </c>
      <c r="O17" s="190"/>
      <c r="P17" s="98" t="b">
        <v>1</v>
      </c>
      <c r="Q17" s="95">
        <v>20</v>
      </c>
      <c r="R17" s="95">
        <v>1</v>
      </c>
      <c r="S17" s="95" t="str">
        <f t="shared" si="10"/>
        <v>obj_001c1#0001</v>
      </c>
      <c r="T17" s="99">
        <f>IFERROR(_xll.qlRateHelperEarliestDate(S17,Trigger),"--")</f>
        <v>42716</v>
      </c>
      <c r="U17" s="99">
        <f>IFERROR(_xll.qlRateHelperPillarDate(S17,Trigger),"--")</f>
        <v>42898</v>
      </c>
      <c r="W17" s="3" t="str">
        <f t="shared" si="2"/>
        <v>Sw</v>
      </c>
      <c r="X17" s="3" t="str">
        <v>obj_001b4</v>
      </c>
      <c r="Y17" s="3" t="str">
        <f>IFERROR(_xll.qlRateHelperQuoteName(X17,Trigger),"")</f>
        <v>JPYSB6L3Y_Quote</v>
      </c>
      <c r="Z17" s="70">
        <f>IFERROR(_xll.qlRateHelperRate(X17,Trigger),"")</f>
        <v>-2.1000000000000003E-3</v>
      </c>
      <c r="AA17" s="103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42563</v>
      </c>
      <c r="AC17" s="4">
        <f>IFERROR(_xll.qlRateHelperPillarDate(X17,Trigger),"")</f>
        <v>43658</v>
      </c>
      <c r="AD17" s="76">
        <v>1.006316335884923</v>
      </c>
      <c r="AF17" s="159">
        <v>7</v>
      </c>
      <c r="AG17" s="160" t="e">
        <f>_xll.qlCalendarEndOfMonth(Calendar,_xll.qlCalendarAdvance(Calendar,AG16,"1m","mf",TRUE),Trigger)</f>
        <v>#VALUE!</v>
      </c>
      <c r="AH17" s="160" t="str">
        <f t="shared" si="5"/>
        <v>JPYJump7_SYNTHON_Quote</v>
      </c>
      <c r="AI17" s="161" t="e">
        <f>_xll.qlDayCounterYearFraction("actual/360",AG17,_xll.qlCalendarAdvance(Calendar,AG17,"1D",,,Trigger))</f>
        <v>#NUM!</v>
      </c>
      <c r="AJ17" s="160" t="e">
        <f>IF(_xll.qlQuoteIsValid(AH17,Trigger),_xll.qlQuoteValue(AH17,Trigger),1)</f>
        <v>#NUM!</v>
      </c>
      <c r="AK17" s="163" t="e">
        <f t="shared" si="6"/>
        <v>#NUM!</v>
      </c>
      <c r="AL17" s="164"/>
      <c r="AM17" s="162" t="str">
        <f t="shared" si="7"/>
        <v>JPYJump7_SYNTHON_Quote</v>
      </c>
    </row>
    <row r="18" spans="1:39" ht="11.25" customHeight="1" x14ac:dyDescent="0.2">
      <c r="A18" s="60" t="s">
        <v>113</v>
      </c>
      <c r="B18" s="113">
        <v>4</v>
      </c>
      <c r="C18" s="64" t="str">
        <f t="shared" si="11"/>
        <v>x10F</v>
      </c>
      <c r="D18" s="122"/>
      <c r="E18" s="122"/>
      <c r="F18" s="122"/>
      <c r="G18" s="62" t="str">
        <f t="shared" si="12"/>
        <v>JpyLibor6M</v>
      </c>
      <c r="H18" s="116" t="str">
        <f t="shared" si="13"/>
        <v>JPY4x10F_Quote</v>
      </c>
      <c r="I18" s="122"/>
      <c r="J18" s="182" t="str">
        <f>IF(P16,_xll.qlFraRateHelper(,H18,B18&amp;"M",G18,PillarDate,,Permanent,Trigger,ObjectOverwrite),"--")</f>
        <v>obj_001d4#0001</v>
      </c>
      <c r="K18" s="50"/>
      <c r="L18" s="187" t="str">
        <f t="shared" si="8"/>
        <v>FRA</v>
      </c>
      <c r="M18" s="202" t="str">
        <f t="shared" si="9"/>
        <v>JPY6x12F_Quote</v>
      </c>
      <c r="N18" s="189">
        <f>IFERROR(_xll.qlQuoteValue(H20,Trigger),"--")</f>
        <v>-1.8E-3</v>
      </c>
      <c r="O18" s="190"/>
      <c r="P18" s="98" t="b">
        <v>1</v>
      </c>
      <c r="Q18" s="95">
        <v>20</v>
      </c>
      <c r="R18" s="95">
        <v>1</v>
      </c>
      <c r="S18" s="95" t="str">
        <f t="shared" si="10"/>
        <v>obj_001b9#0001</v>
      </c>
      <c r="T18" s="99">
        <f>IFERROR(_xll.qlRateHelperEarliestDate(S18,Trigger),"--")</f>
        <v>42747</v>
      </c>
      <c r="U18" s="99">
        <f>IFERROR(_xll.qlRateHelperPillarDate(S18,Trigger),"--")</f>
        <v>42928</v>
      </c>
      <c r="W18" s="3" t="str">
        <f t="shared" si="2"/>
        <v>Sw</v>
      </c>
      <c r="X18" s="3" t="str">
        <v>obj_001c6</v>
      </c>
      <c r="Y18" s="3" t="str">
        <f>IFERROR(_xll.qlRateHelperQuoteName(X18,Trigger),"")</f>
        <v>JPYSB6L4Y_Quote</v>
      </c>
      <c r="Z18" s="70">
        <f>IFERROR(_xll.qlRateHelperRate(X18,Trigger),"")</f>
        <v>-2.1750000000000003E-3</v>
      </c>
      <c r="AA18" s="103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42563</v>
      </c>
      <c r="AC18" s="4">
        <f>IFERROR(_xll.qlRateHelperPillarDate(X18,Trigger),"")</f>
        <v>44025</v>
      </c>
      <c r="AD18" s="76">
        <v>1.0087461685568235</v>
      </c>
      <c r="AF18" s="159">
        <v>8</v>
      </c>
      <c r="AG18" s="160" t="e">
        <f>_xll.qlCalendarEndOfMonth(Calendar,_xll.qlCalendarAdvance(Calendar,AG17,"1m","mf",TRUE),Trigger)</f>
        <v>#VALUE!</v>
      </c>
      <c r="AH18" s="160" t="str">
        <f t="shared" si="5"/>
        <v>JPYJump8_SYNTHON_Quote</v>
      </c>
      <c r="AI18" s="161" t="e">
        <f>_xll.qlDayCounterYearFraction("actual/360",AG18,_xll.qlCalendarAdvance(Calendar,AG18,"1D",,,Trigger))</f>
        <v>#NUM!</v>
      </c>
      <c r="AJ18" s="160" t="e">
        <f>IF(_xll.qlQuoteIsValid(AH18,Trigger),_xll.qlQuoteValue(AH18,Trigger),1)</f>
        <v>#NUM!</v>
      </c>
      <c r="AK18" s="163" t="e">
        <f t="shared" si="6"/>
        <v>#NUM!</v>
      </c>
      <c r="AL18" s="164"/>
      <c r="AM18" s="162" t="str">
        <f t="shared" si="7"/>
        <v>JPYJump8_SYNTHON_Quote</v>
      </c>
    </row>
    <row r="19" spans="1:39" ht="11.25" customHeight="1" x14ac:dyDescent="0.2">
      <c r="A19" s="60" t="s">
        <v>113</v>
      </c>
      <c r="B19" s="113">
        <v>5</v>
      </c>
      <c r="C19" s="64" t="str">
        <f t="shared" si="11"/>
        <v>x11F</v>
      </c>
      <c r="D19" s="122"/>
      <c r="E19" s="122"/>
      <c r="F19" s="122"/>
      <c r="G19" s="62" t="str">
        <f t="shared" si="12"/>
        <v>JpyLibor6M</v>
      </c>
      <c r="H19" s="116" t="str">
        <f t="shared" si="13"/>
        <v>JPY5x11F_Quote</v>
      </c>
      <c r="I19" s="122"/>
      <c r="J19" s="182" t="str">
        <f>IF(P17,_xll.qlFraRateHelper(,H19,B19&amp;"M",G19,PillarDate,,Permanent,Trigger,ObjectOverwrite),"--")</f>
        <v>obj_001c1#0001</v>
      </c>
      <c r="K19" s="50"/>
      <c r="L19" s="187" t="str">
        <f t="shared" si="8"/>
        <v>FRA</v>
      </c>
      <c r="M19" s="202" t="str">
        <f t="shared" si="9"/>
        <v>JPY9x15F_Quote</v>
      </c>
      <c r="N19" s="189" t="str">
        <f>IFERROR(_xll.qlQuoteValue(H21,Trigger),"--")</f>
        <v>--</v>
      </c>
      <c r="O19" s="190"/>
      <c r="P19" s="98" t="b">
        <v>0</v>
      </c>
      <c r="Q19" s="95">
        <v>20</v>
      </c>
      <c r="R19" s="95">
        <v>1</v>
      </c>
      <c r="S19" s="95" t="str">
        <f t="shared" si="10"/>
        <v>--</v>
      </c>
      <c r="T19" s="99" t="str">
        <f>IFERROR(_xll.qlRateHelperEarliestDate(S19,Trigger),"--")</f>
        <v>--</v>
      </c>
      <c r="U19" s="99" t="str">
        <f>IFERROR(_xll.qlRateHelperPillarDate(S19,Trigger),"--")</f>
        <v>--</v>
      </c>
      <c r="W19" s="3" t="str">
        <f t="shared" si="2"/>
        <v>Sw</v>
      </c>
      <c r="X19" s="3" t="str">
        <v>obj_001bf</v>
      </c>
      <c r="Y19" s="3" t="str">
        <f>IFERROR(_xll.qlRateHelperQuoteName(X19,Trigger),"")</f>
        <v>JPYSB6L5Y_Quote</v>
      </c>
      <c r="Z19" s="70">
        <f>IFERROR(_xll.qlRateHelperRate(X19,Trigger),"")</f>
        <v>-2.1000000000000003E-3</v>
      </c>
      <c r="AA19" s="103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42563</v>
      </c>
      <c r="AC19" s="4">
        <f>IFERROR(_xll.qlRateHelperPillarDate(X19,Trigger),"")</f>
        <v>44389</v>
      </c>
      <c r="AD19" s="76">
        <v>1.0105611896421847</v>
      </c>
      <c r="AF19" s="159">
        <v>9</v>
      </c>
      <c r="AG19" s="160" t="e">
        <f>_xll.qlCalendarEndOfMonth(Calendar,_xll.qlCalendarAdvance(Calendar,AG18,"1m","mf",TRUE),Trigger)</f>
        <v>#VALUE!</v>
      </c>
      <c r="AH19" s="160" t="str">
        <f t="shared" si="5"/>
        <v>JPYJump9_SYNTHON_Quote</v>
      </c>
      <c r="AI19" s="161" t="e">
        <f>_xll.qlDayCounterYearFraction("actual/360",AG19,_xll.qlCalendarAdvance(Calendar,AG19,"1D",,,Trigger))</f>
        <v>#NUM!</v>
      </c>
      <c r="AJ19" s="160" t="e">
        <f>IF(_xll.qlQuoteIsValid(AH19,Trigger),_xll.qlQuoteValue(AH19,Trigger),1)</f>
        <v>#NUM!</v>
      </c>
      <c r="AK19" s="163" t="e">
        <f t="shared" si="6"/>
        <v>#NUM!</v>
      </c>
      <c r="AL19" s="164"/>
      <c r="AM19" s="162" t="str">
        <f t="shared" si="7"/>
        <v>JPYJump9_SYNTHON_Quote</v>
      </c>
    </row>
    <row r="20" spans="1:39" ht="11.25" customHeight="1" x14ac:dyDescent="0.2">
      <c r="A20" s="60" t="s">
        <v>113</v>
      </c>
      <c r="B20" s="113">
        <v>6</v>
      </c>
      <c r="C20" s="64" t="str">
        <f t="shared" si="11"/>
        <v>x12F</v>
      </c>
      <c r="D20" s="122"/>
      <c r="E20" s="122"/>
      <c r="F20" s="122"/>
      <c r="G20" s="62" t="str">
        <f t="shared" si="12"/>
        <v>JpyLibor6M</v>
      </c>
      <c r="H20" s="116" t="str">
        <f t="shared" si="13"/>
        <v>JPY6x12F_Quote</v>
      </c>
      <c r="I20" s="122"/>
      <c r="J20" s="182" t="str">
        <f>IF(P18,_xll.qlFraRateHelper(,H20,B20&amp;"M",G20,PillarDate,,Permanent,Trigger,ObjectOverwrite),"--")</f>
        <v>obj_001b9#0001</v>
      </c>
      <c r="K20" s="50"/>
      <c r="L20" s="187" t="str">
        <f t="shared" si="8"/>
        <v>FRA</v>
      </c>
      <c r="M20" s="202" t="str">
        <f t="shared" si="9"/>
        <v>JPY12x18F_Quote</v>
      </c>
      <c r="N20" s="189">
        <f>IFERROR(_xll.qlQuoteValue(H22,Trigger),"--")</f>
        <v>-2.3499999999999997E-3</v>
      </c>
      <c r="O20" s="190"/>
      <c r="P20" s="98" t="b">
        <v>0</v>
      </c>
      <c r="Q20" s="95">
        <v>20</v>
      </c>
      <c r="R20" s="95">
        <v>1</v>
      </c>
      <c r="S20" s="95" t="str">
        <f t="shared" si="10"/>
        <v>--</v>
      </c>
      <c r="T20" s="99" t="str">
        <f>IFERROR(_xll.qlRateHelperEarliestDate(S20,Trigger),"--")</f>
        <v>--</v>
      </c>
      <c r="U20" s="99" t="str">
        <f>IFERROR(_xll.qlRateHelperPillarDate(S20,Trigger),"--")</f>
        <v>--</v>
      </c>
      <c r="W20" s="3" t="str">
        <f t="shared" si="2"/>
        <v>Sw</v>
      </c>
      <c r="X20" s="3" t="str">
        <v>obj_001d3</v>
      </c>
      <c r="Y20" s="3" t="str">
        <f>IFERROR(_xll.qlRateHelperQuoteName(X20,Trigger),"")</f>
        <v>JPYSB6L6Y_Quote</v>
      </c>
      <c r="Z20" s="70">
        <f>IFERROR(_xll.qlRateHelperRate(X20,Trigger),"")</f>
        <v>-1.9500000000000001E-3</v>
      </c>
      <c r="AA20" s="103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42563</v>
      </c>
      <c r="AC20" s="4">
        <f>IFERROR(_xll.qlRateHelperPillarDate(X20,Trigger),"")</f>
        <v>44754</v>
      </c>
      <c r="AD20" s="76">
        <v>1.0117827655989711</v>
      </c>
      <c r="AF20" s="159">
        <v>10</v>
      </c>
      <c r="AG20" s="160" t="e">
        <f>_xll.qlCalendarEndOfMonth(Calendar,_xll.qlCalendarAdvance(Calendar,AG19,"1m","mf",TRUE),Trigger)</f>
        <v>#VALUE!</v>
      </c>
      <c r="AH20" s="160" t="str">
        <f t="shared" si="5"/>
        <v>JPYJump10_SYNTHON_Quote</v>
      </c>
      <c r="AI20" s="161" t="e">
        <f>_xll.qlDayCounterYearFraction("actual/360",AG20,_xll.qlCalendarAdvance(Calendar,AG20,"1D",,,Trigger))</f>
        <v>#NUM!</v>
      </c>
      <c r="AJ20" s="160" t="e">
        <f>IF(_xll.qlQuoteIsValid(AH20,Trigger),_xll.qlQuoteValue(AH20,Trigger),1)</f>
        <v>#NUM!</v>
      </c>
      <c r="AK20" s="163" t="e">
        <f t="shared" si="6"/>
        <v>#NUM!</v>
      </c>
      <c r="AL20" s="164"/>
      <c r="AM20" s="162" t="str">
        <f t="shared" si="7"/>
        <v>JPYJump10_SYNTHON_Quote</v>
      </c>
    </row>
    <row r="21" spans="1:39" ht="11.25" customHeight="1" x14ac:dyDescent="0.2">
      <c r="A21" s="60" t="s">
        <v>113</v>
      </c>
      <c r="B21" s="113">
        <v>9</v>
      </c>
      <c r="C21" s="64" t="str">
        <f t="shared" si="11"/>
        <v>x15F</v>
      </c>
      <c r="D21" s="122"/>
      <c r="E21" s="122"/>
      <c r="F21" s="122"/>
      <c r="G21" s="62" t="str">
        <f t="shared" si="12"/>
        <v>JpyLibor6M</v>
      </c>
      <c r="H21" s="116" t="str">
        <f t="shared" si="13"/>
        <v>JPY9x15F_Quote</v>
      </c>
      <c r="I21" s="122"/>
      <c r="J21" s="182" t="str">
        <f>IF(P19,_xll.qlFraRateHelper(,H21,B21&amp;"M",G21,PillarDate,,Permanent,Trigger,ObjectOverwrite),"--")</f>
        <v>--</v>
      </c>
      <c r="K21" s="50"/>
      <c r="L21" s="183" t="str">
        <f t="shared" si="8"/>
        <v>FRA</v>
      </c>
      <c r="M21" s="203" t="str">
        <f t="shared" si="9"/>
        <v>JPY18x24F_Quote</v>
      </c>
      <c r="N21" s="185">
        <f>IFERROR(_xll.qlQuoteValue(H23,Trigger),"--")</f>
        <v>-2.8500000000000001E-3</v>
      </c>
      <c r="O21" s="186"/>
      <c r="P21" s="100" t="b">
        <v>0</v>
      </c>
      <c r="Q21" s="96">
        <v>20</v>
      </c>
      <c r="R21" s="96">
        <v>1</v>
      </c>
      <c r="S21" s="96" t="str">
        <f t="shared" si="10"/>
        <v>--</v>
      </c>
      <c r="T21" s="101" t="str">
        <f>IFERROR(_xll.qlRateHelperEarliestDate(S21,Trigger),"--")</f>
        <v>--</v>
      </c>
      <c r="U21" s="101" t="str">
        <f>IFERROR(_xll.qlRateHelperPillarDate(S21,Trigger),"--")</f>
        <v>--</v>
      </c>
      <c r="W21" s="3" t="str">
        <f t="shared" si="2"/>
        <v>Sw</v>
      </c>
      <c r="X21" s="3" t="str">
        <v>obj_001c0</v>
      </c>
      <c r="Y21" s="3" t="str">
        <f>IFERROR(_xll.qlRateHelperQuoteName(X21,Trigger),"")</f>
        <v>JPYSB6L7Y_Quote</v>
      </c>
      <c r="Z21" s="70">
        <f>IFERROR(_xll.qlRateHelperRate(X21,Trigger),"")</f>
        <v>-1.7250000000000002E-3</v>
      </c>
      <c r="AA21" s="103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42563</v>
      </c>
      <c r="AC21" s="4">
        <f>IFERROR(_xll.qlRateHelperPillarDate(X21,Trigger),"")</f>
        <v>45119</v>
      </c>
      <c r="AD21" s="76">
        <v>1.0121768364998596</v>
      </c>
      <c r="AF21" s="159">
        <v>11</v>
      </c>
      <c r="AG21" s="160" t="e">
        <f>_xll.qlCalendarEndOfMonth(Calendar,_xll.qlCalendarAdvance(Calendar,AG20,"1m","mf",TRUE),Trigger)</f>
        <v>#VALUE!</v>
      </c>
      <c r="AH21" s="160" t="str">
        <f t="shared" si="5"/>
        <v>JPYJump11_SYNTHON_Quote</v>
      </c>
      <c r="AI21" s="161" t="e">
        <f>_xll.qlDayCounterYearFraction("actual/360",AG21,_xll.qlCalendarAdvance(Calendar,AG21,"1D",,,Trigger))</f>
        <v>#NUM!</v>
      </c>
      <c r="AJ21" s="160" t="e">
        <f>IF(_xll.qlQuoteIsValid(AH21,Trigger),_xll.qlQuoteValue(AH21,Trigger),1)</f>
        <v>#NUM!</v>
      </c>
      <c r="AK21" s="163" t="e">
        <f t="shared" si="6"/>
        <v>#NUM!</v>
      </c>
      <c r="AL21" s="164"/>
      <c r="AM21" s="162" t="str">
        <f t="shared" si="7"/>
        <v>JPYJump11_SYNTHON_Quote</v>
      </c>
    </row>
    <row r="22" spans="1:39" ht="11.25" customHeight="1" x14ac:dyDescent="0.2">
      <c r="A22" s="60" t="s">
        <v>113</v>
      </c>
      <c r="B22" s="113">
        <v>12</v>
      </c>
      <c r="C22" s="64" t="str">
        <f t="shared" si="11"/>
        <v>x18F</v>
      </c>
      <c r="D22" s="122"/>
      <c r="E22" s="122"/>
      <c r="F22" s="122"/>
      <c r="G22" s="62" t="str">
        <f t="shared" si="12"/>
        <v>JpyLibor6M</v>
      </c>
      <c r="H22" s="116" t="str">
        <f t="shared" ref="H22:H23" si="14">Currency&amp;B22&amp;C22&amp;QuoteSuffix</f>
        <v>JPY12x18F_Quote</v>
      </c>
      <c r="I22" s="122"/>
      <c r="J22" s="182" t="str">
        <f>IF(P20,_xll.qlFraRateHelper(,H22,B22&amp;"M",G22,PillarDate,,Permanent,Trigger,ObjectOverwrite),"--")</f>
        <v>--</v>
      </c>
      <c r="K22" s="50"/>
      <c r="L22" s="187" t="str">
        <f t="shared" ref="L22:L55" si="15">A26</f>
        <v>Sw</v>
      </c>
      <c r="M22" s="206" t="str">
        <f>H26</f>
        <v>JPYSB6L1Y_Quote</v>
      </c>
      <c r="N22" s="189">
        <f>IFERROR(_xll.qlQuoteValue(H26,Trigger),"--")</f>
        <v>-1.0500000000000002E-3</v>
      </c>
      <c r="O22" s="189">
        <f>I26</f>
        <v>0</v>
      </c>
      <c r="P22" s="98" t="b">
        <v>0</v>
      </c>
      <c r="Q22" s="95">
        <v>50</v>
      </c>
      <c r="R22" s="95">
        <v>1</v>
      </c>
      <c r="S22" s="95" t="str">
        <f>J26</f>
        <v>--</v>
      </c>
      <c r="T22" s="99" t="str">
        <f>IFERROR(_xll.qlRateHelperEarliestDate(S22,Trigger),"--")</f>
        <v>--</v>
      </c>
      <c r="U22" s="99" t="str">
        <f>IFERROR(_xll.qlRateHelperPillarDate(S22,Trigger),"--")</f>
        <v>--</v>
      </c>
      <c r="W22" s="3" t="str">
        <f t="shared" si="2"/>
        <v>Sw</v>
      </c>
      <c r="X22" s="3" t="str">
        <v>obj_001bc</v>
      </c>
      <c r="Y22" s="3" t="str">
        <f>IFERROR(_xll.qlRateHelperQuoteName(X22,Trigger),"")</f>
        <v>JPYSB6L8Y_Quote</v>
      </c>
      <c r="Z22" s="70">
        <f>IFERROR(_xll.qlRateHelperRate(X22,Trigger),"")</f>
        <v>-1.4750000000000002E-3</v>
      </c>
      <c r="AA22" s="103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42563</v>
      </c>
      <c r="AC22" s="4">
        <f>IFERROR(_xll.qlRateHelperPillarDate(X22,Trigger),"")</f>
        <v>45485</v>
      </c>
      <c r="AD22" s="76">
        <v>1.0119215679986129</v>
      </c>
      <c r="AF22" s="159">
        <v>12</v>
      </c>
      <c r="AG22" s="160" t="e">
        <f>_xll.qlCalendarEndOfMonth(Calendar,_xll.qlCalendarAdvance(Calendar,AG21,"1m","mf",TRUE),Trigger)</f>
        <v>#VALUE!</v>
      </c>
      <c r="AH22" s="160" t="str">
        <f t="shared" si="5"/>
        <v>JPYJump12_SYNTHON_Quote</v>
      </c>
      <c r="AI22" s="161" t="e">
        <f>_xll.qlDayCounterYearFraction("actual/360",AG22,_xll.qlCalendarAdvance(Calendar,AG22,"1D",,,Trigger))</f>
        <v>#NUM!</v>
      </c>
      <c r="AJ22" s="160" t="e">
        <f>IF(_xll.qlQuoteIsValid(AH22,Trigger),_xll.qlQuoteValue(AH22,Trigger),1)</f>
        <v>#NUM!</v>
      </c>
      <c r="AK22" s="163" t="e">
        <f t="shared" si="6"/>
        <v>#NUM!</v>
      </c>
      <c r="AL22" s="164"/>
      <c r="AM22" s="162" t="str">
        <f t="shared" si="7"/>
        <v>JPYJump12_SYNTHON_Quote</v>
      </c>
    </row>
    <row r="23" spans="1:39" ht="11.25" customHeight="1" x14ac:dyDescent="0.2">
      <c r="A23" s="1" t="s">
        <v>113</v>
      </c>
      <c r="B23" s="114">
        <v>18</v>
      </c>
      <c r="C23" s="9" t="str">
        <f t="shared" si="11"/>
        <v>x24F</v>
      </c>
      <c r="D23" s="123"/>
      <c r="E23" s="123"/>
      <c r="F23" s="123"/>
      <c r="G23" s="6" t="str">
        <f t="shared" si="12"/>
        <v>JpyLibor6M</v>
      </c>
      <c r="H23" s="117" t="str">
        <f t="shared" si="14"/>
        <v>JPY18x24F_Quote</v>
      </c>
      <c r="I23" s="123"/>
      <c r="J23" s="180" t="str">
        <f>IF(P21,_xll.qlFraRateHelper(,H23,B23&amp;"M",G23,PillarDate,,Permanent,Trigger,ObjectOverwrite),"--")</f>
        <v>--</v>
      </c>
      <c r="K23" s="50"/>
      <c r="L23" s="187" t="str">
        <f t="shared" si="15"/>
        <v>Sw</v>
      </c>
      <c r="M23" s="202" t="str">
        <f t="shared" ref="M23:M58" si="16">H27</f>
        <v>JPYSB6L15M_Quote</v>
      </c>
      <c r="N23" s="189" t="str">
        <f>IFERROR(_xll.qlQuoteValue(H27,Trigger),"--")</f>
        <v>--</v>
      </c>
      <c r="O23" s="189">
        <f t="shared" ref="O23:O58" si="17">I27</f>
        <v>0</v>
      </c>
      <c r="P23" s="98" t="b">
        <v>0</v>
      </c>
      <c r="Q23" s="95">
        <v>50</v>
      </c>
      <c r="R23" s="95">
        <v>1</v>
      </c>
      <c r="S23" s="95" t="str">
        <f t="shared" ref="S23:S58" si="18">J27</f>
        <v>--</v>
      </c>
      <c r="T23" s="99" t="str">
        <f>IFERROR(_xll.qlRateHelperEarliestDate(S23,Trigger),"--")</f>
        <v>--</v>
      </c>
      <c r="U23" s="99" t="str">
        <f>IFERROR(_xll.qlRateHelperPillarDate(S23,Trigger),"--")</f>
        <v>--</v>
      </c>
      <c r="W23" s="3" t="str">
        <f t="shared" si="2"/>
        <v>Sw</v>
      </c>
      <c r="X23" s="3" t="str">
        <v>obj_001dc</v>
      </c>
      <c r="Y23" s="3" t="str">
        <f>IFERROR(_xll.qlRateHelperQuoteName(X23,Trigger),"")</f>
        <v>JPYSB6L9Y_Quote</v>
      </c>
      <c r="Z23" s="70">
        <f>IFERROR(_xll.qlRateHelperRate(X23,Trigger),"")</f>
        <v>-1.1999999999999999E-3</v>
      </c>
      <c r="AA23" s="103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42563</v>
      </c>
      <c r="AC23" s="4">
        <f>IFERROR(_xll.qlRateHelperPillarDate(X23,Trigger),"")</f>
        <v>45852</v>
      </c>
      <c r="AD23" s="76">
        <v>1.0109400907644801</v>
      </c>
      <c r="AF23" s="165">
        <v>13</v>
      </c>
      <c r="AG23" s="166" t="e">
        <f>_xll.qlCalendarAdjust(Calendar,DATE(YEAR(AG11)+1,12,31),"preceding",Trigger)</f>
        <v>#VALUE!</v>
      </c>
      <c r="AH23" s="166" t="str">
        <f t="shared" si="5"/>
        <v>JPYJump13_SYNTHON_Quote</v>
      </c>
      <c r="AI23" s="167" t="e">
        <f>_xll.qlDayCounterYearFraction("actual/360",AG23,_xll.qlCalendarAdvance(Calendar,AG23,"1D",,,Trigger))</f>
        <v>#NUM!</v>
      </c>
      <c r="AJ23" s="166" t="e">
        <f>IF(_xll.qlQuoteIsValid(AH23,Trigger),_xll.qlQuoteValue(AH23,Trigger),1)</f>
        <v>#NUM!</v>
      </c>
      <c r="AK23" s="169" t="e">
        <f t="shared" si="6"/>
        <v>#NUM!</v>
      </c>
      <c r="AL23" s="170"/>
      <c r="AM23" s="168" t="str">
        <f t="shared" si="7"/>
        <v>JPYJump13_SYNTHON_Quote</v>
      </c>
    </row>
    <row r="24" spans="1:39" ht="11.25" customHeight="1" x14ac:dyDescent="0.2">
      <c r="B24" s="48"/>
      <c r="C24" s="48"/>
      <c r="D24" s="48"/>
      <c r="E24" s="48"/>
      <c r="F24" s="48"/>
      <c r="G24" s="102" t="s">
        <v>140</v>
      </c>
      <c r="H24" s="102" t="s">
        <v>133</v>
      </c>
      <c r="K24" s="50"/>
      <c r="L24" s="187" t="str">
        <f t="shared" si="15"/>
        <v>Sw</v>
      </c>
      <c r="M24" s="202" t="str">
        <f t="shared" si="16"/>
        <v>JPYSB6L18M_Quote</v>
      </c>
      <c r="N24" s="189">
        <f>IFERROR(_xll.qlQuoteValue(H28,Trigger),"--")</f>
        <v>-1.5000000000000002E-3</v>
      </c>
      <c r="O24" s="189">
        <f t="shared" si="17"/>
        <v>0</v>
      </c>
      <c r="P24" s="98" t="b">
        <v>1</v>
      </c>
      <c r="Q24" s="95">
        <v>50</v>
      </c>
      <c r="R24" s="95">
        <v>1</v>
      </c>
      <c r="S24" s="95" t="str">
        <f t="shared" si="18"/>
        <v>obj_001d2#0001</v>
      </c>
      <c r="T24" s="99">
        <f>IFERROR(_xll.qlRateHelperEarliestDate(S24,Trigger),"--")</f>
        <v>42563</v>
      </c>
      <c r="U24" s="99">
        <f>IFERROR(_xll.qlRateHelperPillarDate(S24,Trigger),"--")</f>
        <v>43112</v>
      </c>
      <c r="W24" s="3" t="str">
        <f t="shared" si="2"/>
        <v>Sw</v>
      </c>
      <c r="X24" s="3" t="str">
        <v>obj_001d7</v>
      </c>
      <c r="Y24" s="3" t="str">
        <f>IFERROR(_xll.qlRateHelperQuoteName(X24,Trigger),"")</f>
        <v>JPYSB6L10Y_Quote</v>
      </c>
      <c r="Z24" s="70">
        <f>IFERROR(_xll.qlRateHelperRate(X24,Trigger),"")</f>
        <v>-9.2500000000000004E-4</v>
      </c>
      <c r="AA24" s="103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42563</v>
      </c>
      <c r="AC24" s="4">
        <f>IFERROR(_xll.qlRateHelperPillarDate(X24,Trigger),"")</f>
        <v>46216</v>
      </c>
      <c r="AD24" s="76">
        <v>1.0093958960102063</v>
      </c>
    </row>
    <row r="25" spans="1:39" ht="11.25" customHeight="1" x14ac:dyDescent="0.2">
      <c r="A25" s="66" t="s">
        <v>8</v>
      </c>
      <c r="B25" s="66" t="s">
        <v>27</v>
      </c>
      <c r="C25" s="66" t="s">
        <v>131</v>
      </c>
      <c r="D25" s="66" t="s">
        <v>5</v>
      </c>
      <c r="E25" s="66" t="s">
        <v>31</v>
      </c>
      <c r="F25" s="66" t="s">
        <v>132</v>
      </c>
      <c r="G25" s="66" t="s">
        <v>4</v>
      </c>
      <c r="H25" s="66" t="s">
        <v>1</v>
      </c>
      <c r="I25" s="66" t="s">
        <v>129</v>
      </c>
      <c r="J25" s="66" t="s">
        <v>23</v>
      </c>
      <c r="K25" s="50"/>
      <c r="L25" s="187" t="str">
        <f t="shared" si="15"/>
        <v>Sw</v>
      </c>
      <c r="M25" s="202" t="str">
        <f t="shared" si="16"/>
        <v>JPYSB6L21M_Quote</v>
      </c>
      <c r="N25" s="189" t="str">
        <f>IFERROR(_xll.qlQuoteValue(H29,Trigger),"--")</f>
        <v>--</v>
      </c>
      <c r="O25" s="189">
        <f t="shared" si="17"/>
        <v>0</v>
      </c>
      <c r="P25" s="98" t="b">
        <v>0</v>
      </c>
      <c r="Q25" s="95">
        <v>50</v>
      </c>
      <c r="R25" s="95">
        <v>1</v>
      </c>
      <c r="S25" s="95" t="str">
        <f t="shared" si="18"/>
        <v>--</v>
      </c>
      <c r="T25" s="99" t="str">
        <f>IFERROR(_xll.qlRateHelperEarliestDate(S25,Trigger),"--")</f>
        <v>--</v>
      </c>
      <c r="U25" s="99" t="str">
        <f>IFERROR(_xll.qlRateHelperPillarDate(S25,Trigger),"--")</f>
        <v>--</v>
      </c>
      <c r="W25" s="3" t="str">
        <f t="shared" si="2"/>
        <v>Sw</v>
      </c>
      <c r="X25" s="3" t="str">
        <v>obj_001c5</v>
      </c>
      <c r="Y25" s="3" t="str">
        <f>IFERROR(_xll.qlRateHelperQuoteName(X25,Trigger),"")</f>
        <v>JPYSB6L12Y_Quote</v>
      </c>
      <c r="Z25" s="70">
        <f>IFERROR(_xll.qlRateHelperRate(X25,Trigger),"")</f>
        <v>-3.7500000000000001E-4</v>
      </c>
      <c r="AA25" s="103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42563</v>
      </c>
      <c r="AC25" s="4">
        <f>IFERROR(_xll.qlRateHelperPillarDate(X25,Trigger),"")</f>
        <v>46946</v>
      </c>
      <c r="AD25" s="76">
        <v>1.004661748868362</v>
      </c>
    </row>
    <row r="26" spans="1:39" ht="11.25" customHeight="1" x14ac:dyDescent="0.2">
      <c r="A26" s="55" t="s">
        <v>24</v>
      </c>
      <c r="B26" s="56" t="s">
        <v>26</v>
      </c>
      <c r="C26" s="57" t="s">
        <v>6</v>
      </c>
      <c r="D26" s="57" t="s">
        <v>141</v>
      </c>
      <c r="E26" s="57" t="s">
        <v>7</v>
      </c>
      <c r="F26" s="57" t="s">
        <v>142</v>
      </c>
      <c r="G26" s="57" t="str">
        <f t="shared" ref="G26:G62" si="19">PROPER(Currency)&amp;FamilyName&amp;Tenor</f>
        <v>JpyLibor6M</v>
      </c>
      <c r="H26" s="55" t="str">
        <f t="shared" ref="H26:H62" si="20">Currency&amp;$G$24&amp;$H$24&amp;B26&amp;QuoteSuffix</f>
        <v>JPYSB6L1Y_Quote</v>
      </c>
      <c r="I26" s="125">
        <v>0</v>
      </c>
      <c r="J26" s="182" t="str">
        <f>IF(P22,_xll.qlSwapRateHelper2(,H26,2,B26,JoinCalendar,D26,E26,F26,G26,I26,C26,Discounting,PillarDate,,,Trigger),"--")</f>
        <v>--</v>
      </c>
      <c r="K26" s="50"/>
      <c r="L26" s="187" t="str">
        <f t="shared" si="15"/>
        <v>Sw</v>
      </c>
      <c r="M26" s="202" t="str">
        <f t="shared" si="16"/>
        <v>JPYSB6L2Y_Quote</v>
      </c>
      <c r="N26" s="189">
        <f>IFERROR(_xll.qlQuoteValue(H30,Trigger),"--")</f>
        <v>-1.8E-3</v>
      </c>
      <c r="O26" s="189">
        <f t="shared" si="17"/>
        <v>0</v>
      </c>
      <c r="P26" s="98" t="b">
        <v>1</v>
      </c>
      <c r="Q26" s="95">
        <v>50</v>
      </c>
      <c r="R26" s="95">
        <v>1</v>
      </c>
      <c r="S26" s="95" t="str">
        <f t="shared" si="18"/>
        <v>obj_001b3#0001</v>
      </c>
      <c r="T26" s="99">
        <f>IFERROR(_xll.qlRateHelperEarliestDate(S26,Trigger),"--")</f>
        <v>42563</v>
      </c>
      <c r="U26" s="99">
        <f>IFERROR(_xll.qlRateHelperPillarDate(S26,Trigger),"--")</f>
        <v>43293</v>
      </c>
      <c r="W26" s="3" t="str">
        <f t="shared" si="2"/>
        <v>Sw</v>
      </c>
      <c r="X26" s="3" t="str">
        <v>obj_001cd</v>
      </c>
      <c r="Y26" s="3" t="str">
        <f>IFERROR(_xll.qlRateHelperQuoteName(X26,Trigger),"")</f>
        <v>JPYSB6L15Y_Quote</v>
      </c>
      <c r="Z26" s="70">
        <f>IFERROR(_xll.qlRateHelperRate(X26,Trigger),"")</f>
        <v>4.2500000000000003E-4</v>
      </c>
      <c r="AA26" s="103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42563</v>
      </c>
      <c r="AC26" s="4">
        <f>IFERROR(_xll.qlRateHelperPillarDate(X26,Trigger),"")</f>
        <v>48043</v>
      </c>
      <c r="AD26" s="76">
        <v>0.99384630117128026</v>
      </c>
    </row>
    <row r="27" spans="1:39" ht="11.25" customHeight="1" x14ac:dyDescent="0.2">
      <c r="A27" s="60" t="s">
        <v>24</v>
      </c>
      <c r="B27" s="61" t="s">
        <v>54</v>
      </c>
      <c r="C27" s="62" t="s">
        <v>6</v>
      </c>
      <c r="D27" s="62" t="s">
        <v>141</v>
      </c>
      <c r="E27" s="62" t="s">
        <v>7</v>
      </c>
      <c r="F27" s="62" t="s">
        <v>142</v>
      </c>
      <c r="G27" s="62" t="str">
        <f t="shared" si="19"/>
        <v>JpyLibor6M</v>
      </c>
      <c r="H27" s="60" t="str">
        <f t="shared" si="20"/>
        <v>JPYSB6L15M_Quote</v>
      </c>
      <c r="I27" s="126">
        <v>0</v>
      </c>
      <c r="J27" s="182" t="str">
        <f>IF(P23,_xll.qlSwapRateHelper2(,H27,2,B27,JoinCalendar,D27,E27,F27,G27,I27,C27,Discounting,PillarDate,,,Trigger),"--")</f>
        <v>--</v>
      </c>
      <c r="K27" s="50"/>
      <c r="L27" s="187" t="str">
        <f t="shared" si="15"/>
        <v>Sw</v>
      </c>
      <c r="M27" s="202" t="str">
        <f t="shared" si="16"/>
        <v>JPYSB6L3Y_Quote</v>
      </c>
      <c r="N27" s="189">
        <f>IFERROR(_xll.qlQuoteValue(H31,Trigger),"--")</f>
        <v>-2.1000000000000003E-3</v>
      </c>
      <c r="O27" s="189">
        <f t="shared" si="17"/>
        <v>0</v>
      </c>
      <c r="P27" s="98" t="b">
        <v>1</v>
      </c>
      <c r="Q27" s="95">
        <v>50</v>
      </c>
      <c r="R27" s="95">
        <v>1</v>
      </c>
      <c r="S27" s="95" t="str">
        <f t="shared" si="18"/>
        <v>obj_001b4#0001</v>
      </c>
      <c r="T27" s="99">
        <f>IFERROR(_xll.qlRateHelperEarliestDate(S27,Trigger),"--")</f>
        <v>42563</v>
      </c>
      <c r="U27" s="99">
        <f>IFERROR(_xll.qlRateHelperPillarDate(S27,Trigger),"--")</f>
        <v>43658</v>
      </c>
      <c r="W27" s="3" t="str">
        <f t="shared" si="2"/>
        <v>Sw</v>
      </c>
      <c r="X27" s="3" t="str">
        <v>obj_001d8</v>
      </c>
      <c r="Y27" s="3" t="str">
        <f>IFERROR(_xll.qlRateHelperQuoteName(X27,Trigger),"")</f>
        <v>JPYSB6L20Y_Quote</v>
      </c>
      <c r="Z27" s="70">
        <f>IFERROR(_xll.qlRateHelperRate(X27,Trigger),"")</f>
        <v>1.325E-3</v>
      </c>
      <c r="AA27" s="103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42563</v>
      </c>
      <c r="AC27" s="4">
        <f>IFERROR(_xll.qlRateHelperPillarDate(X27,Trigger),"")</f>
        <v>49870</v>
      </c>
      <c r="AD27" s="76">
        <v>0.97403121035211504</v>
      </c>
    </row>
    <row r="28" spans="1:39" ht="11.25" customHeight="1" x14ac:dyDescent="0.2">
      <c r="A28" s="60" t="s">
        <v>24</v>
      </c>
      <c r="B28" s="61" t="s">
        <v>57</v>
      </c>
      <c r="C28" s="62" t="s">
        <v>6</v>
      </c>
      <c r="D28" s="62" t="s">
        <v>141</v>
      </c>
      <c r="E28" s="62" t="s">
        <v>7</v>
      </c>
      <c r="F28" s="62" t="s">
        <v>142</v>
      </c>
      <c r="G28" s="62" t="str">
        <f t="shared" si="19"/>
        <v>JpyLibor6M</v>
      </c>
      <c r="H28" s="60" t="str">
        <f t="shared" si="20"/>
        <v>JPYSB6L18M_Quote</v>
      </c>
      <c r="I28" s="126">
        <v>0</v>
      </c>
      <c r="J28" s="182" t="str">
        <f>IF(P24,_xll.qlSwapRateHelper2(,H28,2,B28,JoinCalendar,D28,E28,F28,G28,I28,C28,Discounting,PillarDate,,,Trigger),"--")</f>
        <v>obj_001d2#0001</v>
      </c>
      <c r="K28" s="50"/>
      <c r="L28" s="187" t="str">
        <f t="shared" si="15"/>
        <v>Sw</v>
      </c>
      <c r="M28" s="202" t="str">
        <f t="shared" si="16"/>
        <v>JPYSB6L4Y_Quote</v>
      </c>
      <c r="N28" s="189">
        <f>IFERROR(_xll.qlQuoteValue(H32,Trigger),"--")</f>
        <v>-2.1750000000000003E-3</v>
      </c>
      <c r="O28" s="189">
        <f t="shared" si="17"/>
        <v>0</v>
      </c>
      <c r="P28" s="98" t="b">
        <v>1</v>
      </c>
      <c r="Q28" s="95">
        <v>50</v>
      </c>
      <c r="R28" s="95">
        <v>1</v>
      </c>
      <c r="S28" s="95" t="str">
        <f t="shared" si="18"/>
        <v>obj_001c6#0001</v>
      </c>
      <c r="T28" s="99">
        <f>IFERROR(_xll.qlRateHelperEarliestDate(S28,Trigger),"--")</f>
        <v>42563</v>
      </c>
      <c r="U28" s="99">
        <f>IFERROR(_xll.qlRateHelperPillarDate(S28,Trigger),"--")</f>
        <v>44025</v>
      </c>
      <c r="W28" s="3" t="str">
        <f t="shared" si="2"/>
        <v>Sw</v>
      </c>
      <c r="X28" s="3" t="str">
        <v>obj_001cc</v>
      </c>
      <c r="Y28" s="3" t="str">
        <f>IFERROR(_xll.qlRateHelperQuoteName(X28,Trigger),"")</f>
        <v>JPYSB6L25Y_Quote</v>
      </c>
      <c r="Z28" s="70">
        <f>IFERROR(_xll.qlRateHelperRate(X28,Trigger),"")</f>
        <v>1.6250000000000001E-3</v>
      </c>
      <c r="AA28" s="103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42563</v>
      </c>
      <c r="AC28" s="4">
        <f>IFERROR(_xll.qlRateHelperPillarDate(X28,Trigger),"")</f>
        <v>51694</v>
      </c>
      <c r="AD28" s="76">
        <v>0.96034489448644511</v>
      </c>
    </row>
    <row r="29" spans="1:39" ht="11.25" customHeight="1" x14ac:dyDescent="0.2">
      <c r="A29" s="60" t="s">
        <v>24</v>
      </c>
      <c r="B29" s="61" t="s">
        <v>60</v>
      </c>
      <c r="C29" s="62" t="s">
        <v>6</v>
      </c>
      <c r="D29" s="62" t="s">
        <v>141</v>
      </c>
      <c r="E29" s="62" t="s">
        <v>7</v>
      </c>
      <c r="F29" s="62" t="s">
        <v>142</v>
      </c>
      <c r="G29" s="62" t="str">
        <f t="shared" si="19"/>
        <v>JpyLibor6M</v>
      </c>
      <c r="H29" s="60" t="str">
        <f t="shared" si="20"/>
        <v>JPYSB6L21M_Quote</v>
      </c>
      <c r="I29" s="126">
        <v>0</v>
      </c>
      <c r="J29" s="182" t="str">
        <f>IF(P25,_xll.qlSwapRateHelper2(,H29,2,B29,JoinCalendar,D29,E29,F29,G29,I29,C29,Discounting,PillarDate,,,Trigger),"--")</f>
        <v>--</v>
      </c>
      <c r="K29" s="50"/>
      <c r="L29" s="187" t="str">
        <f t="shared" si="15"/>
        <v>Sw</v>
      </c>
      <c r="M29" s="202" t="str">
        <f t="shared" si="16"/>
        <v>JPYSB6L5Y_Quote</v>
      </c>
      <c r="N29" s="189">
        <f>IFERROR(_xll.qlQuoteValue(H33,Trigger),"--")</f>
        <v>-2.1000000000000003E-3</v>
      </c>
      <c r="O29" s="189">
        <f t="shared" si="17"/>
        <v>0</v>
      </c>
      <c r="P29" s="98" t="b">
        <v>1</v>
      </c>
      <c r="Q29" s="95">
        <v>50</v>
      </c>
      <c r="R29" s="95">
        <v>1</v>
      </c>
      <c r="S29" s="95" t="str">
        <f t="shared" si="18"/>
        <v>obj_001bf#0001</v>
      </c>
      <c r="T29" s="99">
        <f>IFERROR(_xll.qlRateHelperEarliestDate(S29,Trigger),"--")</f>
        <v>42563</v>
      </c>
      <c r="U29" s="99">
        <f>IFERROR(_xll.qlRateHelperPillarDate(S29,Trigger),"--")</f>
        <v>44389</v>
      </c>
      <c r="W29" s="3" t="str">
        <f t="shared" si="2"/>
        <v>Sw</v>
      </c>
      <c r="X29" s="3" t="str">
        <v>obj_001b8</v>
      </c>
      <c r="Y29" s="3" t="str">
        <f>IFERROR(_xll.qlRateHelperQuoteName(X29,Trigger),"")</f>
        <v>JPYSB6L30Y_Quote</v>
      </c>
      <c r="Z29" s="70">
        <f>IFERROR(_xll.qlRateHelperRate(X29,Trigger),"")</f>
        <v>1.7749999999999999E-3</v>
      </c>
      <c r="AA29" s="103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42563</v>
      </c>
      <c r="AC29" s="4">
        <f>IFERROR(_xll.qlRateHelperPillarDate(X29,Trigger),"")</f>
        <v>53520</v>
      </c>
      <c r="AD29" s="76">
        <v>0.94828199350172926</v>
      </c>
    </row>
    <row r="30" spans="1:39" ht="11.25" customHeight="1" x14ac:dyDescent="0.2">
      <c r="A30" s="60" t="s">
        <v>24</v>
      </c>
      <c r="B30" s="61" t="s">
        <v>63</v>
      </c>
      <c r="C30" s="62" t="s">
        <v>6</v>
      </c>
      <c r="D30" s="62" t="s">
        <v>141</v>
      </c>
      <c r="E30" s="62" t="s">
        <v>7</v>
      </c>
      <c r="F30" s="62" t="s">
        <v>142</v>
      </c>
      <c r="G30" s="62" t="str">
        <f t="shared" si="19"/>
        <v>JpyLibor6M</v>
      </c>
      <c r="H30" s="60" t="str">
        <f t="shared" si="20"/>
        <v>JPYSB6L2Y_Quote</v>
      </c>
      <c r="I30" s="126">
        <v>0</v>
      </c>
      <c r="J30" s="182" t="str">
        <f>IF(P26,_xll.qlSwapRateHelper2(,H30,2,B30,JoinCalendar,D30,E30,F30,G30,I30,C30,Discounting,PillarDate,,,Trigger),"--")</f>
        <v>obj_001b3#0001</v>
      </c>
      <c r="K30" s="50"/>
      <c r="L30" s="187" t="str">
        <f t="shared" si="15"/>
        <v>Sw</v>
      </c>
      <c r="M30" s="202" t="str">
        <f t="shared" si="16"/>
        <v>JPYSB6L6Y_Quote</v>
      </c>
      <c r="N30" s="189">
        <f>IFERROR(_xll.qlQuoteValue(H34,Trigger),"--")</f>
        <v>-1.9500000000000001E-3</v>
      </c>
      <c r="O30" s="189">
        <f t="shared" si="17"/>
        <v>0</v>
      </c>
      <c r="P30" s="98" t="b">
        <v>1</v>
      </c>
      <c r="Q30" s="95">
        <v>50</v>
      </c>
      <c r="R30" s="95">
        <v>1</v>
      </c>
      <c r="S30" s="95" t="str">
        <f t="shared" si="18"/>
        <v>obj_001d3#0001</v>
      </c>
      <c r="T30" s="99">
        <f>IFERROR(_xll.qlRateHelperEarliestDate(S30,Trigger),"--")</f>
        <v>42563</v>
      </c>
      <c r="U30" s="99">
        <f>IFERROR(_xll.qlRateHelperPillarDate(S30,Trigger),"--")</f>
        <v>44754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3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9" ht="11.25" customHeight="1" x14ac:dyDescent="0.2">
      <c r="A31" s="60" t="s">
        <v>24</v>
      </c>
      <c r="B31" s="61" t="s">
        <v>67</v>
      </c>
      <c r="C31" s="62" t="s">
        <v>6</v>
      </c>
      <c r="D31" s="62" t="s">
        <v>141</v>
      </c>
      <c r="E31" s="62" t="s">
        <v>7</v>
      </c>
      <c r="F31" s="62" t="s">
        <v>142</v>
      </c>
      <c r="G31" s="62" t="str">
        <f t="shared" si="19"/>
        <v>JpyLibor6M</v>
      </c>
      <c r="H31" s="60" t="str">
        <f t="shared" si="20"/>
        <v>JPYSB6L3Y_Quote</v>
      </c>
      <c r="I31" s="126">
        <v>0</v>
      </c>
      <c r="J31" s="182" t="str">
        <f>IF(P27,_xll.qlSwapRateHelper2(,H31,2,B31,JoinCalendar,D31,E31,F31,G31,I31,C31,Discounting,PillarDate,,,Trigger),"--")</f>
        <v>obj_001b4#0001</v>
      </c>
      <c r="K31" s="50"/>
      <c r="L31" s="187" t="str">
        <f t="shared" si="15"/>
        <v>Sw</v>
      </c>
      <c r="M31" s="202" t="str">
        <f t="shared" si="16"/>
        <v>JPYSB6L7Y_Quote</v>
      </c>
      <c r="N31" s="189">
        <f>IFERROR(_xll.qlQuoteValue(H35,Trigger),"--")</f>
        <v>-1.7250000000000002E-3</v>
      </c>
      <c r="O31" s="189">
        <f t="shared" si="17"/>
        <v>0</v>
      </c>
      <c r="P31" s="98" t="b">
        <v>1</v>
      </c>
      <c r="Q31" s="95">
        <v>50</v>
      </c>
      <c r="R31" s="95">
        <v>1</v>
      </c>
      <c r="S31" s="95" t="str">
        <f t="shared" si="18"/>
        <v>obj_001c0#0001</v>
      </c>
      <c r="T31" s="99">
        <f>IFERROR(_xll.qlRateHelperEarliestDate(S31,Trigger),"--")</f>
        <v>42563</v>
      </c>
      <c r="U31" s="99">
        <f>IFERROR(_xll.qlRateHelperPillarDate(S31,Trigger),"--")</f>
        <v>45119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3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9" ht="11.25" customHeight="1" x14ac:dyDescent="0.2">
      <c r="A32" s="60" t="s">
        <v>24</v>
      </c>
      <c r="B32" s="61" t="s">
        <v>71</v>
      </c>
      <c r="C32" s="62" t="s">
        <v>6</v>
      </c>
      <c r="D32" s="62" t="s">
        <v>141</v>
      </c>
      <c r="E32" s="62" t="s">
        <v>7</v>
      </c>
      <c r="F32" s="62" t="s">
        <v>142</v>
      </c>
      <c r="G32" s="62" t="str">
        <f t="shared" si="19"/>
        <v>JpyLibor6M</v>
      </c>
      <c r="H32" s="60" t="str">
        <f t="shared" si="20"/>
        <v>JPYSB6L4Y_Quote</v>
      </c>
      <c r="I32" s="126">
        <v>0</v>
      </c>
      <c r="J32" s="182" t="str">
        <f>IF(P28,_xll.qlSwapRateHelper2(,H32,2,B32,JoinCalendar,D32,E32,F32,G32,I32,C32,Discounting,PillarDate,,,Trigger),"--")</f>
        <v>obj_001c6#0001</v>
      </c>
      <c r="K32" s="50"/>
      <c r="L32" s="187" t="str">
        <f t="shared" si="15"/>
        <v>Sw</v>
      </c>
      <c r="M32" s="202" t="str">
        <f t="shared" si="16"/>
        <v>JPYSB6L8Y_Quote</v>
      </c>
      <c r="N32" s="189">
        <f>IFERROR(_xll.qlQuoteValue(H36,Trigger),"--")</f>
        <v>-1.4750000000000002E-3</v>
      </c>
      <c r="O32" s="189">
        <f t="shared" si="17"/>
        <v>0</v>
      </c>
      <c r="P32" s="98" t="b">
        <v>1</v>
      </c>
      <c r="Q32" s="95">
        <v>50</v>
      </c>
      <c r="R32" s="95">
        <v>1</v>
      </c>
      <c r="S32" s="95" t="str">
        <f t="shared" si="18"/>
        <v>obj_001bc#0001</v>
      </c>
      <c r="T32" s="99">
        <f>IFERROR(_xll.qlRateHelperEarliestDate(S32,Trigger),"--")</f>
        <v>42563</v>
      </c>
      <c r="U32" s="99">
        <f>IFERROR(_xll.qlRateHelperPillarDate(S32,Trigger),"--")</f>
        <v>45485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3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24</v>
      </c>
      <c r="B33" s="61" t="s">
        <v>75</v>
      </c>
      <c r="C33" s="62" t="s">
        <v>6</v>
      </c>
      <c r="D33" s="62" t="s">
        <v>141</v>
      </c>
      <c r="E33" s="62" t="s">
        <v>7</v>
      </c>
      <c r="F33" s="62" t="s">
        <v>142</v>
      </c>
      <c r="G33" s="62" t="str">
        <f t="shared" si="19"/>
        <v>JpyLibor6M</v>
      </c>
      <c r="H33" s="60" t="str">
        <f t="shared" si="20"/>
        <v>JPYSB6L5Y_Quote</v>
      </c>
      <c r="I33" s="126">
        <v>0</v>
      </c>
      <c r="J33" s="182" t="str">
        <f>IF(P29,_xll.qlSwapRateHelper2(,H33,2,B33,JoinCalendar,D33,E33,F33,G33,I33,C33,Discounting,PillarDate,,,Trigger),"--")</f>
        <v>obj_001bf#0001</v>
      </c>
      <c r="K33" s="50"/>
      <c r="L33" s="187" t="str">
        <f t="shared" si="15"/>
        <v>Sw</v>
      </c>
      <c r="M33" s="202" t="str">
        <f t="shared" si="16"/>
        <v>JPYSB6L9Y_Quote</v>
      </c>
      <c r="N33" s="189">
        <f>IFERROR(_xll.qlQuoteValue(H37,Trigger),"--")</f>
        <v>-1.1999999999999999E-3</v>
      </c>
      <c r="O33" s="189">
        <f t="shared" si="17"/>
        <v>0</v>
      </c>
      <c r="P33" s="98" t="b">
        <v>1</v>
      </c>
      <c r="Q33" s="95">
        <v>50</v>
      </c>
      <c r="R33" s="95">
        <v>1</v>
      </c>
      <c r="S33" s="95" t="str">
        <f t="shared" si="18"/>
        <v>obj_001dc#0001</v>
      </c>
      <c r="T33" s="99">
        <f>IFERROR(_xll.qlRateHelperEarliestDate(S33,Trigger),"--")</f>
        <v>42563</v>
      </c>
      <c r="U33" s="99">
        <f>IFERROR(_xll.qlRateHelperPillarDate(S33,Trigger),"--")</f>
        <v>45852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3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24</v>
      </c>
      <c r="B34" s="61" t="s">
        <v>76</v>
      </c>
      <c r="C34" s="62" t="s">
        <v>6</v>
      </c>
      <c r="D34" s="62" t="s">
        <v>141</v>
      </c>
      <c r="E34" s="62" t="s">
        <v>7</v>
      </c>
      <c r="F34" s="62" t="s">
        <v>142</v>
      </c>
      <c r="G34" s="62" t="str">
        <f t="shared" si="19"/>
        <v>JpyLibor6M</v>
      </c>
      <c r="H34" s="60" t="str">
        <f t="shared" si="20"/>
        <v>JPYSB6L6Y_Quote</v>
      </c>
      <c r="I34" s="126">
        <v>0</v>
      </c>
      <c r="J34" s="182" t="str">
        <f>IF(P30,_xll.qlSwapRateHelper2(,H34,2,B34,JoinCalendar,D34,E34,F34,G34,I34,C34,Discounting,PillarDate,,,Trigger),"--")</f>
        <v>obj_001d3#0001</v>
      </c>
      <c r="K34" s="50"/>
      <c r="L34" s="187" t="str">
        <f t="shared" si="15"/>
        <v>Sw</v>
      </c>
      <c r="M34" s="202" t="str">
        <f t="shared" si="16"/>
        <v>JPYSB6L10Y_Quote</v>
      </c>
      <c r="N34" s="189">
        <f>IFERROR(_xll.qlQuoteValue(H38,Trigger),"--")</f>
        <v>-9.2500000000000004E-4</v>
      </c>
      <c r="O34" s="189">
        <f t="shared" si="17"/>
        <v>0</v>
      </c>
      <c r="P34" s="98" t="b">
        <v>1</v>
      </c>
      <c r="Q34" s="95">
        <v>50</v>
      </c>
      <c r="R34" s="95">
        <v>1</v>
      </c>
      <c r="S34" s="95" t="str">
        <f t="shared" si="18"/>
        <v>obj_001d7#0001</v>
      </c>
      <c r="T34" s="99">
        <f>IFERROR(_xll.qlRateHelperEarliestDate(S34,Trigger),"--")</f>
        <v>42563</v>
      </c>
      <c r="U34" s="99">
        <f>IFERROR(_xll.qlRateHelperPillarDate(S34,Trigger),"--")</f>
        <v>46216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3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24</v>
      </c>
      <c r="B35" s="61" t="s">
        <v>77</v>
      </c>
      <c r="C35" s="62" t="s">
        <v>6</v>
      </c>
      <c r="D35" s="62" t="s">
        <v>141</v>
      </c>
      <c r="E35" s="62" t="s">
        <v>7</v>
      </c>
      <c r="F35" s="62" t="s">
        <v>142</v>
      </c>
      <c r="G35" s="62" t="str">
        <f t="shared" si="19"/>
        <v>JpyLibor6M</v>
      </c>
      <c r="H35" s="60" t="str">
        <f t="shared" si="20"/>
        <v>JPYSB6L7Y_Quote</v>
      </c>
      <c r="I35" s="126">
        <v>0</v>
      </c>
      <c r="J35" s="182" t="str">
        <f>IF(P31,_xll.qlSwapRateHelper2(,H35,2,B35,JoinCalendar,D35,E35,F35,G35,I35,C35,Discounting,PillarDate,,,Trigger),"--")</f>
        <v>obj_001c0#0001</v>
      </c>
      <c r="K35" s="50"/>
      <c r="L35" s="187" t="str">
        <f t="shared" si="15"/>
        <v>Sw</v>
      </c>
      <c r="M35" s="202" t="str">
        <f t="shared" si="16"/>
        <v>JPYSB6L11Y_Quote</v>
      </c>
      <c r="N35" s="189" t="str">
        <f>IFERROR(_xll.qlQuoteValue(H39,Trigger),"--")</f>
        <v>--</v>
      </c>
      <c r="O35" s="189">
        <f t="shared" si="17"/>
        <v>0</v>
      </c>
      <c r="P35" s="98" t="b">
        <v>0</v>
      </c>
      <c r="Q35" s="95">
        <v>50</v>
      </c>
      <c r="R35" s="95">
        <v>1</v>
      </c>
      <c r="S35" s="95" t="str">
        <f t="shared" si="18"/>
        <v>--</v>
      </c>
      <c r="T35" s="99" t="str">
        <f>IFERROR(_xll.qlRateHelperEarliestDate(S35,Trigger),"--")</f>
        <v>--</v>
      </c>
      <c r="U35" s="99" t="str">
        <f>IFERROR(_xll.qlRateHelperPillarDate(S35,Trigger),"--")</f>
        <v>--</v>
      </c>
      <c r="W35" s="3" t="str">
        <f t="shared" ref="W35:W58" si="21">IFERROR(INDEX($L$3:$L$80,MATCH(Y35,$M$3:$M$80,0),1),"")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3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24</v>
      </c>
      <c r="B36" s="61" t="s">
        <v>78</v>
      </c>
      <c r="C36" s="62" t="s">
        <v>6</v>
      </c>
      <c r="D36" s="62" t="s">
        <v>141</v>
      </c>
      <c r="E36" s="62" t="s">
        <v>7</v>
      </c>
      <c r="F36" s="62" t="s">
        <v>142</v>
      </c>
      <c r="G36" s="62" t="str">
        <f t="shared" si="19"/>
        <v>JpyLibor6M</v>
      </c>
      <c r="H36" s="60" t="str">
        <f t="shared" si="20"/>
        <v>JPYSB6L8Y_Quote</v>
      </c>
      <c r="I36" s="126">
        <v>0</v>
      </c>
      <c r="J36" s="182" t="str">
        <f>IF(P32,_xll.qlSwapRateHelper2(,H36,2,B36,JoinCalendar,D36,E36,F36,G36,I36,C36,Discounting,PillarDate,,,Trigger),"--")</f>
        <v>obj_001bc#0001</v>
      </c>
      <c r="K36" s="50"/>
      <c r="L36" s="187" t="str">
        <f t="shared" si="15"/>
        <v>Sw</v>
      </c>
      <c r="M36" s="202" t="str">
        <f t="shared" si="16"/>
        <v>JPYSB6L12Y_Quote</v>
      </c>
      <c r="N36" s="189">
        <f>IFERROR(_xll.qlQuoteValue(H40,Trigger),"--")</f>
        <v>-3.7500000000000001E-4</v>
      </c>
      <c r="O36" s="189">
        <f t="shared" si="17"/>
        <v>0</v>
      </c>
      <c r="P36" s="98" t="b">
        <v>1</v>
      </c>
      <c r="Q36" s="95">
        <v>50</v>
      </c>
      <c r="R36" s="95">
        <v>1</v>
      </c>
      <c r="S36" s="95" t="str">
        <f t="shared" si="18"/>
        <v>obj_001c5#0001</v>
      </c>
      <c r="T36" s="99">
        <f>IFERROR(_xll.qlRateHelperEarliestDate(S36,Trigger),"--")</f>
        <v>42563</v>
      </c>
      <c r="U36" s="99">
        <f>IFERROR(_xll.qlRateHelperPillarDate(S36,Trigger),"--")</f>
        <v>46946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3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24</v>
      </c>
      <c r="B37" s="61" t="s">
        <v>79</v>
      </c>
      <c r="C37" s="62" t="s">
        <v>6</v>
      </c>
      <c r="D37" s="62" t="s">
        <v>141</v>
      </c>
      <c r="E37" s="62" t="s">
        <v>7</v>
      </c>
      <c r="F37" s="62" t="s">
        <v>142</v>
      </c>
      <c r="G37" s="62" t="str">
        <f t="shared" si="19"/>
        <v>JpyLibor6M</v>
      </c>
      <c r="H37" s="60" t="str">
        <f t="shared" si="20"/>
        <v>JPYSB6L9Y_Quote</v>
      </c>
      <c r="I37" s="126">
        <v>0</v>
      </c>
      <c r="J37" s="182" t="str">
        <f>IF(P33,_xll.qlSwapRateHelper2(,H37,2,B37,JoinCalendar,D37,E37,F37,G37,I37,C37,Discounting,PillarDate,,,Trigger),"--")</f>
        <v>obj_001dc#0001</v>
      </c>
      <c r="K37" s="50"/>
      <c r="L37" s="187" t="str">
        <f t="shared" si="15"/>
        <v>Sw</v>
      </c>
      <c r="M37" s="202" t="str">
        <f t="shared" si="16"/>
        <v>JPYSB6L13Y_Quote</v>
      </c>
      <c r="N37" s="189" t="str">
        <f>IFERROR(_xll.qlQuoteValue(H41,Trigger),"--")</f>
        <v>--</v>
      </c>
      <c r="O37" s="189">
        <f t="shared" si="17"/>
        <v>0</v>
      </c>
      <c r="P37" s="98" t="b">
        <v>0</v>
      </c>
      <c r="Q37" s="95">
        <v>50</v>
      </c>
      <c r="R37" s="95">
        <v>1</v>
      </c>
      <c r="S37" s="95" t="str">
        <f t="shared" si="18"/>
        <v>--</v>
      </c>
      <c r="T37" s="99" t="str">
        <f>IFERROR(_xll.qlRateHelperEarliestDate(S37,Trigger),"--")</f>
        <v>--</v>
      </c>
      <c r="U37" s="99" t="str">
        <f>IFERROR(_xll.qlRateHelperPillarDate(S37,Trigger),"--")</f>
        <v>--</v>
      </c>
      <c r="W37" s="3" t="str">
        <f t="shared" si="21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3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24</v>
      </c>
      <c r="B38" s="61" t="s">
        <v>80</v>
      </c>
      <c r="C38" s="62" t="s">
        <v>6</v>
      </c>
      <c r="D38" s="62" t="s">
        <v>141</v>
      </c>
      <c r="E38" s="62" t="s">
        <v>7</v>
      </c>
      <c r="F38" s="62" t="s">
        <v>142</v>
      </c>
      <c r="G38" s="62" t="str">
        <f t="shared" si="19"/>
        <v>JpyLibor6M</v>
      </c>
      <c r="H38" s="60" t="str">
        <f t="shared" si="20"/>
        <v>JPYSB6L10Y_Quote</v>
      </c>
      <c r="I38" s="126">
        <v>0</v>
      </c>
      <c r="J38" s="182" t="str">
        <f>IF(P34,_xll.qlSwapRateHelper2(,H38,2,B38,JoinCalendar,D38,E38,F38,G38,I38,C38,Discounting,PillarDate,,,Trigger),"--")</f>
        <v>obj_001d7#0001</v>
      </c>
      <c r="K38" s="50"/>
      <c r="L38" s="187" t="str">
        <f t="shared" si="15"/>
        <v>Sw</v>
      </c>
      <c r="M38" s="202" t="str">
        <f t="shared" si="16"/>
        <v>JPYSB6L14Y_Quote</v>
      </c>
      <c r="N38" s="189" t="str">
        <f>IFERROR(_xll.qlQuoteValue(H42,Trigger),"--")</f>
        <v>--</v>
      </c>
      <c r="O38" s="189">
        <f t="shared" si="17"/>
        <v>0</v>
      </c>
      <c r="P38" s="98" t="b">
        <v>0</v>
      </c>
      <c r="Q38" s="95">
        <v>50</v>
      </c>
      <c r="R38" s="95">
        <v>1</v>
      </c>
      <c r="S38" s="95" t="str">
        <f t="shared" si="18"/>
        <v>--</v>
      </c>
      <c r="T38" s="99" t="str">
        <f>IFERROR(_xll.qlRateHelperEarliestDate(S38,Trigger),"--")</f>
        <v>--</v>
      </c>
      <c r="U38" s="99" t="str">
        <f>IFERROR(_xll.qlRateHelperPillarDate(S38,Trigger),"--")</f>
        <v>--</v>
      </c>
      <c r="W38" s="3" t="str">
        <f t="shared" si="21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3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24</v>
      </c>
      <c r="B39" s="61" t="s">
        <v>114</v>
      </c>
      <c r="C39" s="62" t="s">
        <v>6</v>
      </c>
      <c r="D39" s="62" t="s">
        <v>141</v>
      </c>
      <c r="E39" s="62" t="s">
        <v>7</v>
      </c>
      <c r="F39" s="62" t="s">
        <v>142</v>
      </c>
      <c r="G39" s="62" t="str">
        <f t="shared" si="19"/>
        <v>JpyLibor6M</v>
      </c>
      <c r="H39" s="60" t="str">
        <f t="shared" si="20"/>
        <v>JPYSB6L11Y_Quote</v>
      </c>
      <c r="I39" s="126">
        <v>0</v>
      </c>
      <c r="J39" s="182" t="str">
        <f>IF(P35,_xll.qlSwapRateHelper2(,H39,2,B39,JoinCalendar,D39,E39,F39,G39,I39,C39,Discounting,PillarDate,,,Trigger),"--")</f>
        <v>--</v>
      </c>
      <c r="K39" s="50"/>
      <c r="L39" s="187" t="str">
        <f t="shared" si="15"/>
        <v>Sw</v>
      </c>
      <c r="M39" s="202" t="str">
        <f t="shared" si="16"/>
        <v>JPYSB6L15Y_Quote</v>
      </c>
      <c r="N39" s="189">
        <f>IFERROR(_xll.qlQuoteValue(H43,Trigger),"--")</f>
        <v>4.2500000000000003E-4</v>
      </c>
      <c r="O39" s="189">
        <f t="shared" si="17"/>
        <v>0</v>
      </c>
      <c r="P39" s="98" t="b">
        <v>1</v>
      </c>
      <c r="Q39" s="95">
        <v>50</v>
      </c>
      <c r="R39" s="95">
        <v>1</v>
      </c>
      <c r="S39" s="95" t="str">
        <f t="shared" si="18"/>
        <v>obj_001cd#0001</v>
      </c>
      <c r="T39" s="99">
        <f>IFERROR(_xll.qlRateHelperEarliestDate(S39,Trigger),"--")</f>
        <v>42563</v>
      </c>
      <c r="U39" s="99">
        <f>IFERROR(_xll.qlRateHelperPillarDate(S39,Trigger),"--")</f>
        <v>48043</v>
      </c>
      <c r="W39" s="3" t="str">
        <f t="shared" si="21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3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24</v>
      </c>
      <c r="B40" s="61" t="s">
        <v>81</v>
      </c>
      <c r="C40" s="62" t="s">
        <v>6</v>
      </c>
      <c r="D40" s="62" t="s">
        <v>141</v>
      </c>
      <c r="E40" s="62" t="s">
        <v>7</v>
      </c>
      <c r="F40" s="62" t="s">
        <v>142</v>
      </c>
      <c r="G40" s="62" t="str">
        <f t="shared" si="19"/>
        <v>JpyLibor6M</v>
      </c>
      <c r="H40" s="60" t="str">
        <f t="shared" si="20"/>
        <v>JPYSB6L12Y_Quote</v>
      </c>
      <c r="I40" s="126">
        <v>0</v>
      </c>
      <c r="J40" s="182" t="str">
        <f>IF(P36,_xll.qlSwapRateHelper2(,H40,2,B40,JoinCalendar,D40,E40,F40,G40,I40,C40,Discounting,PillarDate,,,Trigger),"--")</f>
        <v>obj_001c5#0001</v>
      </c>
      <c r="K40" s="50"/>
      <c r="L40" s="187" t="str">
        <f t="shared" si="15"/>
        <v>Sw</v>
      </c>
      <c r="M40" s="202" t="str">
        <f t="shared" si="16"/>
        <v>JPYSB6L16Y_Quote</v>
      </c>
      <c r="N40" s="189" t="str">
        <f>IFERROR(_xll.qlQuoteValue(H44,Trigger),"--")</f>
        <v>--</v>
      </c>
      <c r="O40" s="189">
        <f t="shared" si="17"/>
        <v>0</v>
      </c>
      <c r="P40" s="98" t="b">
        <v>0</v>
      </c>
      <c r="Q40" s="95">
        <v>50</v>
      </c>
      <c r="R40" s="95">
        <v>1</v>
      </c>
      <c r="S40" s="95" t="str">
        <f t="shared" si="18"/>
        <v>--</v>
      </c>
      <c r="T40" s="99" t="str">
        <f>IFERROR(_xll.qlRateHelperEarliestDate(S40,Trigger),"--")</f>
        <v>--</v>
      </c>
      <c r="U40" s="99" t="str">
        <f>IFERROR(_xll.qlRateHelperPillarDate(S40,Trigger),"--")</f>
        <v>--</v>
      </c>
      <c r="W40" s="3" t="str">
        <f t="shared" si="21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3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24</v>
      </c>
      <c r="B41" s="61" t="s">
        <v>115</v>
      </c>
      <c r="C41" s="62" t="s">
        <v>6</v>
      </c>
      <c r="D41" s="62" t="s">
        <v>141</v>
      </c>
      <c r="E41" s="62" t="s">
        <v>7</v>
      </c>
      <c r="F41" s="62" t="s">
        <v>142</v>
      </c>
      <c r="G41" s="62" t="str">
        <f t="shared" si="19"/>
        <v>JpyLibor6M</v>
      </c>
      <c r="H41" s="60" t="str">
        <f t="shared" si="20"/>
        <v>JPYSB6L13Y_Quote</v>
      </c>
      <c r="I41" s="126">
        <v>0</v>
      </c>
      <c r="J41" s="182" t="str">
        <f>IF(P37,_xll.qlSwapRateHelper2(,H41,2,B41,JoinCalendar,D41,E41,F41,G41,I41,C41,Discounting,PillarDate,,,Trigger),"--")</f>
        <v>--</v>
      </c>
      <c r="L41" s="187" t="str">
        <f t="shared" si="15"/>
        <v>Sw</v>
      </c>
      <c r="M41" s="202" t="str">
        <f t="shared" si="16"/>
        <v>JPYSB6L17Y_Quote</v>
      </c>
      <c r="N41" s="189" t="str">
        <f>IFERROR(_xll.qlQuoteValue(H45,Trigger),"--")</f>
        <v>--</v>
      </c>
      <c r="O41" s="189">
        <f t="shared" si="17"/>
        <v>0</v>
      </c>
      <c r="P41" s="98" t="b">
        <v>0</v>
      </c>
      <c r="Q41" s="95">
        <v>50</v>
      </c>
      <c r="R41" s="95">
        <v>1</v>
      </c>
      <c r="S41" s="95" t="str">
        <f t="shared" si="18"/>
        <v>--</v>
      </c>
      <c r="T41" s="99" t="str">
        <f>IFERROR(_xll.qlRateHelperEarliestDate(S41,Trigger),"--")</f>
        <v>--</v>
      </c>
      <c r="U41" s="99" t="str">
        <f>IFERROR(_xll.qlRateHelperPillarDate(S41,Trigger),"--")</f>
        <v>--</v>
      </c>
      <c r="W41" s="3" t="str">
        <f t="shared" si="21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3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24</v>
      </c>
      <c r="B42" s="61" t="s">
        <v>116</v>
      </c>
      <c r="C42" s="62" t="s">
        <v>6</v>
      </c>
      <c r="D42" s="62" t="s">
        <v>141</v>
      </c>
      <c r="E42" s="62" t="s">
        <v>7</v>
      </c>
      <c r="F42" s="62" t="s">
        <v>142</v>
      </c>
      <c r="G42" s="62" t="str">
        <f t="shared" si="19"/>
        <v>JpyLibor6M</v>
      </c>
      <c r="H42" s="60" t="str">
        <f t="shared" si="20"/>
        <v>JPYSB6L14Y_Quote</v>
      </c>
      <c r="I42" s="126">
        <v>0</v>
      </c>
      <c r="J42" s="182" t="str">
        <f>IF(P38,_xll.qlSwapRateHelper2(,H42,2,B42,JoinCalendar,D42,E42,F42,G42,I42,C42,Discounting,PillarDate,,,Trigger),"--")</f>
        <v>--</v>
      </c>
      <c r="L42" s="187" t="str">
        <f t="shared" si="15"/>
        <v>Sw</v>
      </c>
      <c r="M42" s="202" t="str">
        <f t="shared" si="16"/>
        <v>JPYSB6L18Y_Quote</v>
      </c>
      <c r="N42" s="189" t="str">
        <f>IFERROR(_xll.qlQuoteValue(H46,Trigger),"--")</f>
        <v>--</v>
      </c>
      <c r="O42" s="189">
        <f t="shared" si="17"/>
        <v>0</v>
      </c>
      <c r="P42" s="98" t="b">
        <v>0</v>
      </c>
      <c r="Q42" s="95">
        <v>50</v>
      </c>
      <c r="R42" s="95">
        <v>1</v>
      </c>
      <c r="S42" s="95" t="str">
        <f t="shared" si="18"/>
        <v>--</v>
      </c>
      <c r="T42" s="99" t="str">
        <f>IFERROR(_xll.qlRateHelperEarliestDate(S42,Trigger),"--")</f>
        <v>--</v>
      </c>
      <c r="U42" s="99" t="str">
        <f>IFERROR(_xll.qlRateHelperPillarDate(S42,Trigger),"--")</f>
        <v>--</v>
      </c>
      <c r="W42" s="3" t="str">
        <f t="shared" si="21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3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24</v>
      </c>
      <c r="B43" s="61" t="s">
        <v>82</v>
      </c>
      <c r="C43" s="62" t="s">
        <v>6</v>
      </c>
      <c r="D43" s="62" t="s">
        <v>141</v>
      </c>
      <c r="E43" s="62" t="s">
        <v>7</v>
      </c>
      <c r="F43" s="62" t="s">
        <v>142</v>
      </c>
      <c r="G43" s="62" t="str">
        <f t="shared" si="19"/>
        <v>JpyLibor6M</v>
      </c>
      <c r="H43" s="60" t="str">
        <f t="shared" si="20"/>
        <v>JPYSB6L15Y_Quote</v>
      </c>
      <c r="I43" s="126">
        <v>0</v>
      </c>
      <c r="J43" s="182" t="str">
        <f>IF(P39,_xll.qlSwapRateHelper2(,H43,2,B43,JoinCalendar,D43,E43,F43,G43,I43,C43,Discounting,PillarDate,,,Trigger),"--")</f>
        <v>obj_001cd#0001</v>
      </c>
      <c r="L43" s="187" t="str">
        <f t="shared" si="15"/>
        <v>Sw</v>
      </c>
      <c r="M43" s="202" t="str">
        <f t="shared" si="16"/>
        <v>JPYSB6L19Y_Quote</v>
      </c>
      <c r="N43" s="189" t="str">
        <f>IFERROR(_xll.qlQuoteValue(H47,Trigger),"--")</f>
        <v>--</v>
      </c>
      <c r="O43" s="189">
        <f t="shared" si="17"/>
        <v>0</v>
      </c>
      <c r="P43" s="98" t="b">
        <v>0</v>
      </c>
      <c r="Q43" s="95">
        <v>50</v>
      </c>
      <c r="R43" s="95">
        <v>1</v>
      </c>
      <c r="S43" s="95" t="str">
        <f t="shared" si="18"/>
        <v>--</v>
      </c>
      <c r="T43" s="99" t="str">
        <f>IFERROR(_xll.qlRateHelperEarliestDate(S43,Trigger),"--")</f>
        <v>--</v>
      </c>
      <c r="U43" s="99" t="str">
        <f>IFERROR(_xll.qlRateHelperPillarDate(S43,Trigger),"--")</f>
        <v>--</v>
      </c>
      <c r="W43" s="3" t="str">
        <f t="shared" si="21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3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24</v>
      </c>
      <c r="B44" s="61" t="s">
        <v>117</v>
      </c>
      <c r="C44" s="62" t="s">
        <v>6</v>
      </c>
      <c r="D44" s="62" t="s">
        <v>141</v>
      </c>
      <c r="E44" s="62" t="s">
        <v>7</v>
      </c>
      <c r="F44" s="62" t="s">
        <v>142</v>
      </c>
      <c r="G44" s="62" t="str">
        <f t="shared" si="19"/>
        <v>JpyLibor6M</v>
      </c>
      <c r="H44" s="60" t="str">
        <f t="shared" si="20"/>
        <v>JPYSB6L16Y_Quote</v>
      </c>
      <c r="I44" s="126">
        <v>0</v>
      </c>
      <c r="J44" s="182" t="str">
        <f>IF(P40,_xll.qlSwapRateHelper2(,H44,2,B44,JoinCalendar,D44,E44,F44,G44,I44,C44,Discounting,PillarDate,,,Trigger),"--")</f>
        <v>--</v>
      </c>
      <c r="L44" s="187" t="str">
        <f t="shared" si="15"/>
        <v>Sw</v>
      </c>
      <c r="M44" s="202" t="str">
        <f t="shared" si="16"/>
        <v>JPYSB6L20Y_Quote</v>
      </c>
      <c r="N44" s="189">
        <f>IFERROR(_xll.qlQuoteValue(H48,Trigger),"--")</f>
        <v>1.325E-3</v>
      </c>
      <c r="O44" s="189">
        <f t="shared" si="17"/>
        <v>0</v>
      </c>
      <c r="P44" s="98" t="b">
        <v>1</v>
      </c>
      <c r="Q44" s="95">
        <v>50</v>
      </c>
      <c r="R44" s="95">
        <v>1</v>
      </c>
      <c r="S44" s="95" t="str">
        <f t="shared" si="18"/>
        <v>obj_001d8#0001</v>
      </c>
      <c r="T44" s="99">
        <f>IFERROR(_xll.qlRateHelperEarliestDate(S44,Trigger),"--")</f>
        <v>42563</v>
      </c>
      <c r="U44" s="99">
        <f>IFERROR(_xll.qlRateHelperPillarDate(S44,Trigger),"--")</f>
        <v>49870</v>
      </c>
      <c r="W44" s="3" t="str">
        <f t="shared" si="21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3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24</v>
      </c>
      <c r="B45" s="61" t="s">
        <v>118</v>
      </c>
      <c r="C45" s="62" t="s">
        <v>6</v>
      </c>
      <c r="D45" s="62" t="s">
        <v>141</v>
      </c>
      <c r="E45" s="62" t="s">
        <v>7</v>
      </c>
      <c r="F45" s="62" t="s">
        <v>142</v>
      </c>
      <c r="G45" s="62" t="str">
        <f t="shared" si="19"/>
        <v>JpyLibor6M</v>
      </c>
      <c r="H45" s="60" t="str">
        <f t="shared" si="20"/>
        <v>JPYSB6L17Y_Quote</v>
      </c>
      <c r="I45" s="126">
        <v>0</v>
      </c>
      <c r="J45" s="182" t="str">
        <f>IF(P41,_xll.qlSwapRateHelper2(,H45,2,B45,JoinCalendar,D45,E45,F45,G45,I45,C45,Discounting,PillarDate,,,Trigger),"--")</f>
        <v>--</v>
      </c>
      <c r="L45" s="187" t="str">
        <f t="shared" si="15"/>
        <v>Sw</v>
      </c>
      <c r="M45" s="202" t="str">
        <f t="shared" si="16"/>
        <v>JPYSB6L21Y_Quote</v>
      </c>
      <c r="N45" s="189" t="str">
        <f>IFERROR(_xll.qlQuoteValue(H49,Trigger),"--")</f>
        <v>--</v>
      </c>
      <c r="O45" s="189">
        <f t="shared" si="17"/>
        <v>0</v>
      </c>
      <c r="P45" s="98" t="b">
        <v>0</v>
      </c>
      <c r="Q45" s="95">
        <v>50</v>
      </c>
      <c r="R45" s="95">
        <v>1</v>
      </c>
      <c r="S45" s="95" t="str">
        <f t="shared" si="18"/>
        <v>--</v>
      </c>
      <c r="T45" s="99" t="str">
        <f>IFERROR(_xll.qlRateHelperEarliestDate(S45,Trigger),"--")</f>
        <v>--</v>
      </c>
      <c r="U45" s="99" t="str">
        <f>IFERROR(_xll.qlRateHelperPillarDate(S45,Trigger),"--")</f>
        <v>--</v>
      </c>
      <c r="W45" s="3" t="str">
        <f t="shared" si="21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3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24</v>
      </c>
      <c r="B46" s="61" t="s">
        <v>119</v>
      </c>
      <c r="C46" s="62" t="s">
        <v>6</v>
      </c>
      <c r="D46" s="62" t="s">
        <v>141</v>
      </c>
      <c r="E46" s="62" t="s">
        <v>7</v>
      </c>
      <c r="F46" s="62" t="s">
        <v>142</v>
      </c>
      <c r="G46" s="62" t="str">
        <f t="shared" si="19"/>
        <v>JpyLibor6M</v>
      </c>
      <c r="H46" s="60" t="str">
        <f t="shared" si="20"/>
        <v>JPYSB6L18Y_Quote</v>
      </c>
      <c r="I46" s="126">
        <v>0</v>
      </c>
      <c r="J46" s="182" t="str">
        <f>IF(P42,_xll.qlSwapRateHelper2(,H46,2,B46,JoinCalendar,D46,E46,F46,G46,I46,C46,Discounting,PillarDate,,,Trigger),"--")</f>
        <v>--</v>
      </c>
      <c r="L46" s="187" t="str">
        <f t="shared" si="15"/>
        <v>Sw</v>
      </c>
      <c r="M46" s="202" t="str">
        <f t="shared" si="16"/>
        <v>JPYSB6L22Y_Quote</v>
      </c>
      <c r="N46" s="189" t="str">
        <f>IFERROR(_xll.qlQuoteValue(H50,Trigger),"--")</f>
        <v>--</v>
      </c>
      <c r="O46" s="189">
        <f t="shared" si="17"/>
        <v>0</v>
      </c>
      <c r="P46" s="98" t="b">
        <v>0</v>
      </c>
      <c r="Q46" s="95">
        <v>50</v>
      </c>
      <c r="R46" s="95">
        <v>1</v>
      </c>
      <c r="S46" s="95" t="str">
        <f t="shared" si="18"/>
        <v>--</v>
      </c>
      <c r="T46" s="99" t="str">
        <f>IFERROR(_xll.qlRateHelperEarliestDate(S46,Trigger),"--")</f>
        <v>--</v>
      </c>
      <c r="U46" s="99" t="str">
        <f>IFERROR(_xll.qlRateHelperPillarDate(S46,Trigger),"--")</f>
        <v>--</v>
      </c>
      <c r="W46" s="3" t="str">
        <f t="shared" si="21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3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24</v>
      </c>
      <c r="B47" s="61" t="s">
        <v>120</v>
      </c>
      <c r="C47" s="62" t="s">
        <v>6</v>
      </c>
      <c r="D47" s="62" t="s">
        <v>141</v>
      </c>
      <c r="E47" s="62" t="s">
        <v>7</v>
      </c>
      <c r="F47" s="62" t="s">
        <v>142</v>
      </c>
      <c r="G47" s="62" t="str">
        <f t="shared" si="19"/>
        <v>JpyLibor6M</v>
      </c>
      <c r="H47" s="60" t="str">
        <f t="shared" si="20"/>
        <v>JPYSB6L19Y_Quote</v>
      </c>
      <c r="I47" s="126">
        <v>0</v>
      </c>
      <c r="J47" s="182" t="str">
        <f>IF(P43,_xll.qlSwapRateHelper2(,H47,2,B47,JoinCalendar,D47,E47,F47,G47,I47,C47,Discounting,PillarDate,,,Trigger),"--")</f>
        <v>--</v>
      </c>
      <c r="L47" s="187" t="str">
        <f t="shared" si="15"/>
        <v>Sw</v>
      </c>
      <c r="M47" s="202" t="str">
        <f t="shared" si="16"/>
        <v>JPYSB6L23Y_Quote</v>
      </c>
      <c r="N47" s="189" t="str">
        <f>IFERROR(_xll.qlQuoteValue(H51,Trigger),"--")</f>
        <v>--</v>
      </c>
      <c r="O47" s="189">
        <f t="shared" si="17"/>
        <v>0</v>
      </c>
      <c r="P47" s="98" t="b">
        <v>0</v>
      </c>
      <c r="Q47" s="95">
        <v>50</v>
      </c>
      <c r="R47" s="95">
        <v>1</v>
      </c>
      <c r="S47" s="95" t="str">
        <f t="shared" si="18"/>
        <v>--</v>
      </c>
      <c r="T47" s="99" t="str">
        <f>IFERROR(_xll.qlRateHelperEarliestDate(S47,Trigger),"--")</f>
        <v>--</v>
      </c>
      <c r="U47" s="99" t="str">
        <f>IFERROR(_xll.qlRateHelperPillarDate(S47,Trigger),"--")</f>
        <v>--</v>
      </c>
      <c r="W47" s="3" t="str">
        <f t="shared" si="21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3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24</v>
      </c>
      <c r="B48" s="61" t="s">
        <v>83</v>
      </c>
      <c r="C48" s="62" t="s">
        <v>6</v>
      </c>
      <c r="D48" s="62" t="s">
        <v>141</v>
      </c>
      <c r="E48" s="62" t="s">
        <v>7</v>
      </c>
      <c r="F48" s="62" t="s">
        <v>142</v>
      </c>
      <c r="G48" s="62" t="str">
        <f t="shared" si="19"/>
        <v>JpyLibor6M</v>
      </c>
      <c r="H48" s="60" t="str">
        <f t="shared" si="20"/>
        <v>JPYSB6L20Y_Quote</v>
      </c>
      <c r="I48" s="126">
        <v>0</v>
      </c>
      <c r="J48" s="182" t="str">
        <f>IF(P44,_xll.qlSwapRateHelper2(,H48,2,B48,JoinCalendar,D48,E48,F48,G48,I48,C48,Discounting,PillarDate,,,Trigger),"--")</f>
        <v>obj_001d8#0001</v>
      </c>
      <c r="L48" s="187" t="str">
        <f t="shared" si="15"/>
        <v>Sw</v>
      </c>
      <c r="M48" s="202" t="str">
        <f t="shared" si="16"/>
        <v>JPYSB6L24Y_Quote</v>
      </c>
      <c r="N48" s="189" t="str">
        <f>IFERROR(_xll.qlQuoteValue(H52,Trigger),"--")</f>
        <v>--</v>
      </c>
      <c r="O48" s="189">
        <f t="shared" si="17"/>
        <v>0</v>
      </c>
      <c r="P48" s="98" t="b">
        <v>0</v>
      </c>
      <c r="Q48" s="95">
        <v>50</v>
      </c>
      <c r="R48" s="95">
        <v>1</v>
      </c>
      <c r="S48" s="95" t="str">
        <f t="shared" si="18"/>
        <v>--</v>
      </c>
      <c r="T48" s="99" t="str">
        <f>IFERROR(_xll.qlRateHelperEarliestDate(S48,Trigger),"--")</f>
        <v>--</v>
      </c>
      <c r="U48" s="99" t="str">
        <f>IFERROR(_xll.qlRateHelperPillarDate(S48,Trigger),"--")</f>
        <v>--</v>
      </c>
      <c r="W48" s="3" t="str">
        <f t="shared" si="21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3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24</v>
      </c>
      <c r="B49" s="61" t="s">
        <v>121</v>
      </c>
      <c r="C49" s="62" t="s">
        <v>6</v>
      </c>
      <c r="D49" s="62" t="s">
        <v>141</v>
      </c>
      <c r="E49" s="62" t="s">
        <v>7</v>
      </c>
      <c r="F49" s="62" t="s">
        <v>142</v>
      </c>
      <c r="G49" s="62" t="str">
        <f t="shared" si="19"/>
        <v>JpyLibor6M</v>
      </c>
      <c r="H49" s="60" t="str">
        <f t="shared" si="20"/>
        <v>JPYSB6L21Y_Quote</v>
      </c>
      <c r="I49" s="126">
        <v>0</v>
      </c>
      <c r="J49" s="182" t="str">
        <f>IF(P45,_xll.qlSwapRateHelper2(,H49,2,B49,JoinCalendar,D49,E49,F49,G49,I49,C49,Discounting,PillarDate,,,Trigger),"--")</f>
        <v>--</v>
      </c>
      <c r="L49" s="187" t="str">
        <f t="shared" si="15"/>
        <v>Sw</v>
      </c>
      <c r="M49" s="202" t="str">
        <f t="shared" si="16"/>
        <v>JPYSB6L25Y_Quote</v>
      </c>
      <c r="N49" s="189">
        <f>IFERROR(_xll.qlQuoteValue(H53,Trigger),"--")</f>
        <v>1.6250000000000001E-3</v>
      </c>
      <c r="O49" s="189">
        <f t="shared" si="17"/>
        <v>0</v>
      </c>
      <c r="P49" s="98" t="b">
        <v>1</v>
      </c>
      <c r="Q49" s="95">
        <v>50</v>
      </c>
      <c r="R49" s="95">
        <v>1</v>
      </c>
      <c r="S49" s="95" t="str">
        <f t="shared" si="18"/>
        <v>obj_001cc#0001</v>
      </c>
      <c r="T49" s="99">
        <f>IFERROR(_xll.qlRateHelperEarliestDate(S49,Trigger),"--")</f>
        <v>42563</v>
      </c>
      <c r="U49" s="99">
        <f>IFERROR(_xll.qlRateHelperPillarDate(S49,Trigger),"--")</f>
        <v>51694</v>
      </c>
      <c r="W49" s="3" t="str">
        <f t="shared" si="21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3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24</v>
      </c>
      <c r="B50" s="61" t="s">
        <v>122</v>
      </c>
      <c r="C50" s="62" t="s">
        <v>6</v>
      </c>
      <c r="D50" s="62" t="s">
        <v>141</v>
      </c>
      <c r="E50" s="62" t="s">
        <v>7</v>
      </c>
      <c r="F50" s="62" t="s">
        <v>142</v>
      </c>
      <c r="G50" s="62" t="str">
        <f t="shared" si="19"/>
        <v>JpyLibor6M</v>
      </c>
      <c r="H50" s="60" t="str">
        <f t="shared" si="20"/>
        <v>JPYSB6L22Y_Quote</v>
      </c>
      <c r="I50" s="126">
        <v>0</v>
      </c>
      <c r="J50" s="182" t="str">
        <f>IF(P46,_xll.qlSwapRateHelper2(,H50,2,B50,JoinCalendar,D50,E50,F50,G50,I50,C50,Discounting,PillarDate,,,Trigger),"--")</f>
        <v>--</v>
      </c>
      <c r="L50" s="187" t="str">
        <f t="shared" si="15"/>
        <v>Sw</v>
      </c>
      <c r="M50" s="202" t="str">
        <f t="shared" si="16"/>
        <v>JPYSB6L26Y_Quote</v>
      </c>
      <c r="N50" s="189" t="str">
        <f>IFERROR(_xll.qlQuoteValue(H54,Trigger),"--")</f>
        <v>--</v>
      </c>
      <c r="O50" s="189">
        <f t="shared" si="17"/>
        <v>0</v>
      </c>
      <c r="P50" s="98" t="b">
        <v>0</v>
      </c>
      <c r="Q50" s="95">
        <v>50</v>
      </c>
      <c r="R50" s="95">
        <v>1</v>
      </c>
      <c r="S50" s="95" t="str">
        <f t="shared" si="18"/>
        <v>--</v>
      </c>
      <c r="T50" s="99" t="str">
        <f>IFERROR(_xll.qlRateHelperEarliestDate(S50,Trigger),"--")</f>
        <v>--</v>
      </c>
      <c r="U50" s="99" t="str">
        <f>IFERROR(_xll.qlRateHelperPillarDate(S50,Trigger),"--")</f>
        <v>--</v>
      </c>
      <c r="W50" s="3" t="str">
        <f t="shared" si="21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3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24</v>
      </c>
      <c r="B51" s="61" t="s">
        <v>123</v>
      </c>
      <c r="C51" s="62" t="s">
        <v>6</v>
      </c>
      <c r="D51" s="62" t="s">
        <v>141</v>
      </c>
      <c r="E51" s="62" t="s">
        <v>7</v>
      </c>
      <c r="F51" s="62" t="s">
        <v>142</v>
      </c>
      <c r="G51" s="62" t="str">
        <f t="shared" si="19"/>
        <v>JpyLibor6M</v>
      </c>
      <c r="H51" s="60" t="str">
        <f t="shared" si="20"/>
        <v>JPYSB6L23Y_Quote</v>
      </c>
      <c r="I51" s="126">
        <v>0</v>
      </c>
      <c r="J51" s="182" t="str">
        <f>IF(P47,_xll.qlSwapRateHelper2(,H51,2,B51,JoinCalendar,D51,E51,F51,G51,I51,C51,Discounting,PillarDate,,,Trigger),"--")</f>
        <v>--</v>
      </c>
      <c r="L51" s="187" t="str">
        <f t="shared" si="15"/>
        <v>Sw</v>
      </c>
      <c r="M51" s="202" t="str">
        <f t="shared" si="16"/>
        <v>JPYSB6L27Y_Quote</v>
      </c>
      <c r="N51" s="189" t="str">
        <f>IFERROR(_xll.qlQuoteValue(H55,Trigger),"--")</f>
        <v>--</v>
      </c>
      <c r="O51" s="189">
        <f t="shared" si="17"/>
        <v>0</v>
      </c>
      <c r="P51" s="98" t="b">
        <v>0</v>
      </c>
      <c r="Q51" s="95">
        <v>50</v>
      </c>
      <c r="R51" s="95">
        <v>1</v>
      </c>
      <c r="S51" s="95" t="str">
        <f t="shared" si="18"/>
        <v>--</v>
      </c>
      <c r="T51" s="99" t="str">
        <f>IFERROR(_xll.qlRateHelperEarliestDate(S51,Trigger),"--")</f>
        <v>--</v>
      </c>
      <c r="U51" s="99" t="str">
        <f>IFERROR(_xll.qlRateHelperPillarDate(S51,Trigger),"--")</f>
        <v>--</v>
      </c>
      <c r="W51" s="3" t="str">
        <f t="shared" si="21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3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24</v>
      </c>
      <c r="B52" s="61" t="s">
        <v>124</v>
      </c>
      <c r="C52" s="62" t="s">
        <v>6</v>
      </c>
      <c r="D52" s="62" t="s">
        <v>141</v>
      </c>
      <c r="E52" s="62" t="s">
        <v>7</v>
      </c>
      <c r="F52" s="62" t="s">
        <v>142</v>
      </c>
      <c r="G52" s="62" t="str">
        <f t="shared" si="19"/>
        <v>JpyLibor6M</v>
      </c>
      <c r="H52" s="60" t="str">
        <f t="shared" si="20"/>
        <v>JPYSB6L24Y_Quote</v>
      </c>
      <c r="I52" s="126">
        <v>0</v>
      </c>
      <c r="J52" s="182" t="str">
        <f>IF(P48,_xll.qlSwapRateHelper2(,H52,2,B52,JoinCalendar,D52,E52,F52,G52,I52,C52,Discounting,PillarDate,,,Trigger),"--")</f>
        <v>--</v>
      </c>
      <c r="L52" s="187" t="str">
        <f t="shared" si="15"/>
        <v>Sw</v>
      </c>
      <c r="M52" s="202" t="str">
        <f t="shared" si="16"/>
        <v>JPYSB6L28Y_Quote</v>
      </c>
      <c r="N52" s="189" t="str">
        <f>IFERROR(_xll.qlQuoteValue(H56,Trigger),"--")</f>
        <v>--</v>
      </c>
      <c r="O52" s="189">
        <f t="shared" si="17"/>
        <v>0</v>
      </c>
      <c r="P52" s="98" t="b">
        <v>0</v>
      </c>
      <c r="Q52" s="95">
        <v>50</v>
      </c>
      <c r="R52" s="95">
        <v>1</v>
      </c>
      <c r="S52" s="95" t="str">
        <f t="shared" si="18"/>
        <v>--</v>
      </c>
      <c r="T52" s="99" t="str">
        <f>IFERROR(_xll.qlRateHelperEarliestDate(S52,Trigger),"--")</f>
        <v>--</v>
      </c>
      <c r="U52" s="99" t="str">
        <f>IFERROR(_xll.qlRateHelperPillarDate(S52,Trigger),"--")</f>
        <v>--</v>
      </c>
      <c r="W52" s="3" t="str">
        <f t="shared" si="21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3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24</v>
      </c>
      <c r="B53" s="61" t="s">
        <v>84</v>
      </c>
      <c r="C53" s="62" t="s">
        <v>6</v>
      </c>
      <c r="D53" s="62" t="s">
        <v>141</v>
      </c>
      <c r="E53" s="62" t="s">
        <v>7</v>
      </c>
      <c r="F53" s="62" t="s">
        <v>142</v>
      </c>
      <c r="G53" s="62" t="str">
        <f t="shared" si="19"/>
        <v>JpyLibor6M</v>
      </c>
      <c r="H53" s="60" t="str">
        <f t="shared" si="20"/>
        <v>JPYSB6L25Y_Quote</v>
      </c>
      <c r="I53" s="126">
        <v>0</v>
      </c>
      <c r="J53" s="182" t="str">
        <f>IF(P49,_xll.qlSwapRateHelper2(,H53,2,B53,JoinCalendar,D53,E53,F53,G53,I53,C53,Discounting,PillarDate,,,Trigger),"--")</f>
        <v>obj_001cc#0001</v>
      </c>
      <c r="L53" s="187" t="str">
        <f t="shared" si="15"/>
        <v>Sw</v>
      </c>
      <c r="M53" s="202" t="str">
        <f t="shared" si="16"/>
        <v>JPYSB6L29Y_Quote</v>
      </c>
      <c r="N53" s="189" t="str">
        <f>IFERROR(_xll.qlQuoteValue(H57,Trigger),"--")</f>
        <v>--</v>
      </c>
      <c r="O53" s="189">
        <f t="shared" si="17"/>
        <v>0</v>
      </c>
      <c r="P53" s="98" t="b">
        <v>0</v>
      </c>
      <c r="Q53" s="95">
        <v>50</v>
      </c>
      <c r="R53" s="95">
        <v>1</v>
      </c>
      <c r="S53" s="95" t="str">
        <f t="shared" si="18"/>
        <v>--</v>
      </c>
      <c r="T53" s="99" t="str">
        <f>IFERROR(_xll.qlRateHelperEarliestDate(S53,Trigger),"--")</f>
        <v>--</v>
      </c>
      <c r="U53" s="99" t="str">
        <f>IFERROR(_xll.qlRateHelperPillarDate(S53,Trigger),"--")</f>
        <v>--</v>
      </c>
      <c r="W53" s="3" t="str">
        <f t="shared" si="21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3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24</v>
      </c>
      <c r="B54" s="61" t="s">
        <v>125</v>
      </c>
      <c r="C54" s="62" t="s">
        <v>6</v>
      </c>
      <c r="D54" s="62" t="s">
        <v>141</v>
      </c>
      <c r="E54" s="62" t="s">
        <v>7</v>
      </c>
      <c r="F54" s="62" t="s">
        <v>142</v>
      </c>
      <c r="G54" s="62" t="str">
        <f t="shared" si="19"/>
        <v>JpyLibor6M</v>
      </c>
      <c r="H54" s="60" t="str">
        <f t="shared" si="20"/>
        <v>JPYSB6L26Y_Quote</v>
      </c>
      <c r="I54" s="126">
        <v>0</v>
      </c>
      <c r="J54" s="182" t="str">
        <f>IF(P50,_xll.qlSwapRateHelper2(,H54,2,B54,JoinCalendar,D54,E54,F54,G54,I54,C54,Discounting,PillarDate,,,Trigger),"--")</f>
        <v>--</v>
      </c>
      <c r="L54" s="187" t="str">
        <f t="shared" si="15"/>
        <v>Sw</v>
      </c>
      <c r="M54" s="202" t="str">
        <f t="shared" si="16"/>
        <v>JPYSB6L30Y_Quote</v>
      </c>
      <c r="N54" s="189">
        <f>IFERROR(_xll.qlQuoteValue(H58,Trigger),"--")</f>
        <v>1.7749999999999999E-3</v>
      </c>
      <c r="O54" s="189">
        <f t="shared" si="17"/>
        <v>0</v>
      </c>
      <c r="P54" s="98" t="b">
        <v>1</v>
      </c>
      <c r="Q54" s="95">
        <v>50</v>
      </c>
      <c r="R54" s="95">
        <v>1</v>
      </c>
      <c r="S54" s="95" t="str">
        <f t="shared" si="18"/>
        <v>obj_001b8#0001</v>
      </c>
      <c r="T54" s="99">
        <f>IFERROR(_xll.qlRateHelperEarliestDate(S54,Trigger),"--")</f>
        <v>42563</v>
      </c>
      <c r="U54" s="99">
        <f>IFERROR(_xll.qlRateHelperPillarDate(S54,Trigger),"--")</f>
        <v>53520</v>
      </c>
      <c r="W54" s="3" t="str">
        <f t="shared" si="21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3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24</v>
      </c>
      <c r="B55" s="61" t="s">
        <v>85</v>
      </c>
      <c r="C55" s="62" t="s">
        <v>6</v>
      </c>
      <c r="D55" s="62" t="s">
        <v>141</v>
      </c>
      <c r="E55" s="62" t="s">
        <v>7</v>
      </c>
      <c r="F55" s="62" t="s">
        <v>142</v>
      </c>
      <c r="G55" s="62" t="str">
        <f t="shared" si="19"/>
        <v>JpyLibor6M</v>
      </c>
      <c r="H55" s="60" t="str">
        <f t="shared" si="20"/>
        <v>JPYSB6L27Y_Quote</v>
      </c>
      <c r="I55" s="126">
        <v>0</v>
      </c>
      <c r="J55" s="182" t="str">
        <f>IF(P51,_xll.qlSwapRateHelper2(,H55,2,B55,JoinCalendar,D55,E55,F55,G55,I55,C55,Discounting,PillarDate,,,Trigger),"--")</f>
        <v>--</v>
      </c>
      <c r="L55" s="187" t="str">
        <f t="shared" si="15"/>
        <v>Sw</v>
      </c>
      <c r="M55" s="202" t="str">
        <f t="shared" si="16"/>
        <v>JPYSB6L35Y_Quote</v>
      </c>
      <c r="N55" s="189" t="str">
        <f>IFERROR(_xll.qlQuoteValue(H59,Trigger),"--")</f>
        <v>--</v>
      </c>
      <c r="O55" s="189">
        <f t="shared" si="17"/>
        <v>0</v>
      </c>
      <c r="P55" s="98" t="b">
        <v>0</v>
      </c>
      <c r="Q55" s="95">
        <v>50</v>
      </c>
      <c r="R55" s="95">
        <v>1</v>
      </c>
      <c r="S55" s="95" t="str">
        <f t="shared" si="18"/>
        <v>--</v>
      </c>
      <c r="T55" s="99" t="str">
        <f>IFERROR(_xll.qlRateHelperEarliestDate(S55,Trigger),"--")</f>
        <v>--</v>
      </c>
      <c r="U55" s="99" t="str">
        <f>IFERROR(_xll.qlRateHelperPillarDate(S55,Trigger),"--")</f>
        <v>--</v>
      </c>
      <c r="W55" s="3" t="str">
        <f t="shared" si="21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3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24</v>
      </c>
      <c r="B56" s="61" t="s">
        <v>126</v>
      </c>
      <c r="C56" s="62" t="s">
        <v>6</v>
      </c>
      <c r="D56" s="62" t="s">
        <v>141</v>
      </c>
      <c r="E56" s="62" t="s">
        <v>7</v>
      </c>
      <c r="F56" s="62" t="s">
        <v>142</v>
      </c>
      <c r="G56" s="62" t="str">
        <f t="shared" si="19"/>
        <v>JpyLibor6M</v>
      </c>
      <c r="H56" s="60" t="str">
        <f t="shared" si="20"/>
        <v>JPYSB6L28Y_Quote</v>
      </c>
      <c r="I56" s="126">
        <v>0</v>
      </c>
      <c r="J56" s="182" t="str">
        <f>IF(P52,_xll.qlSwapRateHelper2(,H56,2,B56,JoinCalendar,D56,E56,F56,G56,I56,C56,Discounting,PillarDate,,,Trigger),"--")</f>
        <v>--</v>
      </c>
      <c r="L56" s="187" t="str">
        <f t="shared" ref="L56:L58" si="22">A60</f>
        <v>Sw</v>
      </c>
      <c r="M56" s="202" t="str">
        <f t="shared" si="16"/>
        <v>JPYSB6L40Y_Quote</v>
      </c>
      <c r="N56" s="189" t="str">
        <f>IFERROR(_xll.qlQuoteValue(H60,Trigger),"--")</f>
        <v>--</v>
      </c>
      <c r="O56" s="189">
        <f t="shared" si="17"/>
        <v>0</v>
      </c>
      <c r="P56" s="98" t="b">
        <v>0</v>
      </c>
      <c r="Q56" s="95">
        <v>50</v>
      </c>
      <c r="R56" s="95">
        <v>1</v>
      </c>
      <c r="S56" s="95" t="str">
        <f t="shared" si="18"/>
        <v>--</v>
      </c>
      <c r="T56" s="99" t="str">
        <f>IFERROR(_xll.qlRateHelperEarliestDate(S56,Trigger),"--")</f>
        <v>--</v>
      </c>
      <c r="U56" s="99" t="str">
        <f>IFERROR(_xll.qlRateHelperPillarDate(S56,Trigger),"--")</f>
        <v>--</v>
      </c>
      <c r="W56" s="3" t="str">
        <f t="shared" si="21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3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24</v>
      </c>
      <c r="B57" s="61" t="s">
        <v>127</v>
      </c>
      <c r="C57" s="62" t="s">
        <v>6</v>
      </c>
      <c r="D57" s="62" t="s">
        <v>141</v>
      </c>
      <c r="E57" s="62" t="s">
        <v>7</v>
      </c>
      <c r="F57" s="62" t="s">
        <v>142</v>
      </c>
      <c r="G57" s="62" t="str">
        <f t="shared" si="19"/>
        <v>JpyLibor6M</v>
      </c>
      <c r="H57" s="60" t="str">
        <f t="shared" si="20"/>
        <v>JPYSB6L29Y_Quote</v>
      </c>
      <c r="I57" s="126">
        <v>0</v>
      </c>
      <c r="J57" s="182" t="str">
        <f>IF(P53,_xll.qlSwapRateHelper2(,H57,2,B57,JoinCalendar,D57,E57,F57,G57,I57,C57,Discounting,PillarDate,,,Trigger),"--")</f>
        <v>--</v>
      </c>
      <c r="L57" s="187" t="str">
        <f t="shared" si="22"/>
        <v>Sw</v>
      </c>
      <c r="M57" s="202" t="str">
        <f t="shared" si="16"/>
        <v>JPYSB6L50Y_Quote</v>
      </c>
      <c r="N57" s="189" t="str">
        <f>IFERROR(_xll.qlQuoteValue(H61,Trigger),"--")</f>
        <v>--</v>
      </c>
      <c r="O57" s="189">
        <f t="shared" si="17"/>
        <v>0</v>
      </c>
      <c r="P57" s="98" t="b">
        <v>0</v>
      </c>
      <c r="Q57" s="95">
        <v>50</v>
      </c>
      <c r="R57" s="95">
        <v>1</v>
      </c>
      <c r="S57" s="95" t="str">
        <f t="shared" si="18"/>
        <v>--</v>
      </c>
      <c r="T57" s="99" t="str">
        <f>IFERROR(_xll.qlRateHelperEarliestDate(S57,Trigger),"--")</f>
        <v>--</v>
      </c>
      <c r="U57" s="99" t="str">
        <f>IFERROR(_xll.qlRateHelperPillarDate(S57,Trigger),"--")</f>
        <v>--</v>
      </c>
      <c r="W57" s="3" t="str">
        <f t="shared" si="21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3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24</v>
      </c>
      <c r="B58" s="61" t="s">
        <v>86</v>
      </c>
      <c r="C58" s="62" t="s">
        <v>6</v>
      </c>
      <c r="D58" s="62" t="s">
        <v>141</v>
      </c>
      <c r="E58" s="62" t="s">
        <v>7</v>
      </c>
      <c r="F58" s="62" t="s">
        <v>142</v>
      </c>
      <c r="G58" s="62" t="str">
        <f t="shared" si="19"/>
        <v>JpyLibor6M</v>
      </c>
      <c r="H58" s="60" t="str">
        <f t="shared" si="20"/>
        <v>JPYSB6L30Y_Quote</v>
      </c>
      <c r="I58" s="126">
        <v>0</v>
      </c>
      <c r="J58" s="182" t="str">
        <f>IF(P54,_xll.qlSwapRateHelper2(,H58,2,B58,JoinCalendar,D58,E58,F58,G58,I58,C58,Discounting,PillarDate,,,Trigger),"--")</f>
        <v>obj_001b8#0001</v>
      </c>
      <c r="L58" s="183" t="str">
        <f t="shared" si="22"/>
        <v>Sw</v>
      </c>
      <c r="M58" s="203" t="str">
        <f t="shared" si="16"/>
        <v>JPYSB6L60Y_Quote</v>
      </c>
      <c r="N58" s="185" t="str">
        <f>IFERROR(_xll.qlQuoteValue(H62,Trigger),"--")</f>
        <v>--</v>
      </c>
      <c r="O58" s="185">
        <f t="shared" si="17"/>
        <v>0</v>
      </c>
      <c r="P58" s="100" t="b">
        <v>0</v>
      </c>
      <c r="Q58" s="96">
        <v>50</v>
      </c>
      <c r="R58" s="96">
        <v>1</v>
      </c>
      <c r="S58" s="96" t="str">
        <f t="shared" si="18"/>
        <v>--</v>
      </c>
      <c r="T58" s="101" t="str">
        <f>IFERROR(_xll.qlRateHelperEarliestDate(S58,Trigger),"--")</f>
        <v>--</v>
      </c>
      <c r="U58" s="101" t="str">
        <f>IFERROR(_xll.qlRateHelperPillarDate(S58,Trigger),"--")</f>
        <v>--</v>
      </c>
      <c r="W58" s="5" t="str">
        <f t="shared" si="21"/>
        <v/>
      </c>
      <c r="X58" s="5" t="e">
        <v>#N/A</v>
      </c>
      <c r="Y58" s="5" t="str">
        <f>IFERROR(_xll.qlRateHelperQuoteName(X58,Trigger),"")</f>
        <v/>
      </c>
      <c r="Z58" s="78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10" t="str">
        <f>IFERROR(_xll.qlRateHelperEarliestDate(X58,Trigger),"")</f>
        <v/>
      </c>
      <c r="AC58" s="10" t="str">
        <f>IFERROR(_xll.qlRateHelperPillarDate(X58,Trigger),"")</f>
        <v/>
      </c>
      <c r="AD58" s="77" t="e">
        <v>#N/A</v>
      </c>
    </row>
    <row r="59" spans="1:30" ht="11.25" customHeight="1" x14ac:dyDescent="0.2">
      <c r="A59" s="60" t="s">
        <v>24</v>
      </c>
      <c r="B59" s="61" t="s">
        <v>87</v>
      </c>
      <c r="C59" s="62" t="s">
        <v>6</v>
      </c>
      <c r="D59" s="62" t="s">
        <v>141</v>
      </c>
      <c r="E59" s="62" t="s">
        <v>7</v>
      </c>
      <c r="F59" s="62" t="s">
        <v>142</v>
      </c>
      <c r="G59" s="62" t="str">
        <f t="shared" si="19"/>
        <v>JpyLibor6M</v>
      </c>
      <c r="H59" s="60" t="str">
        <f t="shared" si="20"/>
        <v>JPYSB6L35Y_Quote</v>
      </c>
      <c r="I59" s="126">
        <v>0</v>
      </c>
      <c r="J59" s="182" t="str">
        <f>IF(P55,_xll.qlSwapRateHelper2(,H59,2,B59,JoinCalendar,D59,E59,F59,G59,I59,C59,Discounting,PillarDate,,,Trigger),"--")</f>
        <v>--</v>
      </c>
      <c r="Y59" s="193" t="str">
        <f>_xll.ohGroup("JPY6M_instruments",Y3:Y58,Permanent,Trigger,ObjectOverwrite)</f>
        <v>JPY6M_instruments#0014</v>
      </c>
    </row>
    <row r="60" spans="1:30" ht="11.25" customHeight="1" x14ac:dyDescent="0.2">
      <c r="A60" s="60" t="s">
        <v>24</v>
      </c>
      <c r="B60" s="61" t="s">
        <v>88</v>
      </c>
      <c r="C60" s="62" t="s">
        <v>6</v>
      </c>
      <c r="D60" s="62" t="s">
        <v>141</v>
      </c>
      <c r="E60" s="62" t="s">
        <v>7</v>
      </c>
      <c r="F60" s="62" t="s">
        <v>142</v>
      </c>
      <c r="G60" s="62" t="str">
        <f t="shared" si="19"/>
        <v>JpyLibor6M</v>
      </c>
      <c r="H60" s="60" t="str">
        <f t="shared" si="20"/>
        <v>JPYSB6L40Y_Quote</v>
      </c>
      <c r="I60" s="126">
        <v>0</v>
      </c>
      <c r="J60" s="182" t="str">
        <f>IF(P56,_xll.qlSwapRateHelper2(,H60,2,B60,JoinCalendar,D60,E60,F60,G60,I60,C60,Discounting,PillarDate,,,Trigger),"--")</f>
        <v>--</v>
      </c>
    </row>
    <row r="61" spans="1:30" ht="11.25" customHeight="1" x14ac:dyDescent="0.2">
      <c r="A61" s="60" t="s">
        <v>24</v>
      </c>
      <c r="B61" s="61" t="s">
        <v>90</v>
      </c>
      <c r="C61" s="62" t="s">
        <v>6</v>
      </c>
      <c r="D61" s="62" t="s">
        <v>141</v>
      </c>
      <c r="E61" s="62" t="s">
        <v>7</v>
      </c>
      <c r="F61" s="62" t="s">
        <v>142</v>
      </c>
      <c r="G61" s="62" t="str">
        <f t="shared" si="19"/>
        <v>JpyLibor6M</v>
      </c>
      <c r="H61" s="60" t="str">
        <f t="shared" si="20"/>
        <v>JPYSB6L50Y_Quote</v>
      </c>
      <c r="I61" s="124">
        <v>0</v>
      </c>
      <c r="J61" s="182" t="str">
        <f>IF(P57,_xll.qlSwapRateHelper2(,H61,2,B61,JoinCalendar,D61,E61,F61,G61,I61,C61,Discounting,PillarDate,,,Trigger),"--")</f>
        <v>--</v>
      </c>
    </row>
    <row r="62" spans="1:30" ht="11.25" customHeight="1" x14ac:dyDescent="0.2">
      <c r="A62" s="1" t="s">
        <v>24</v>
      </c>
      <c r="B62" s="8" t="s">
        <v>128</v>
      </c>
      <c r="C62" s="6" t="s">
        <v>6</v>
      </c>
      <c r="D62" s="6" t="s">
        <v>141</v>
      </c>
      <c r="E62" s="6" t="s">
        <v>7</v>
      </c>
      <c r="F62" s="6" t="s">
        <v>142</v>
      </c>
      <c r="G62" s="6" t="str">
        <f t="shared" si="19"/>
        <v>JpyLibor6M</v>
      </c>
      <c r="H62" s="1" t="str">
        <f t="shared" si="20"/>
        <v>JPYSB6L60Y_Quote</v>
      </c>
      <c r="I62" s="127">
        <v>0</v>
      </c>
      <c r="J62" s="180" t="str">
        <f>IF(P58,_xll.qlSwapRateHelper2(,H62,2,B62,JoinCalendar,D62,E62,F62,G62,I62,C62,Discounting,PillarDate,,,Trigger),"--")</f>
        <v>--</v>
      </c>
    </row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39</v>
      </c>
    </row>
  </sheetData>
  <mergeCells count="1">
    <mergeCell ref="AG2:AK2"/>
  </mergeCells>
  <dataValidations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F26:F62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2">
      <formula1>"Following,Modified Following,Preceding,Modified Preceding,Unadjusted,Half-Month Modified Following"</formula1>
    </dataValidation>
    <dataValidation type="list" allowBlank="1" showInputMessage="1" showErrorMessage="1" sqref="D26:D62">
      <formula1>"Annual,Semiannual,EveryFourthMonth,Quarterly,Bimonthly,Monthly,Biweekly,Weekly,Daily,Once,NoFrequency"</formula1>
    </dataValidation>
    <dataValidation type="list" allowBlank="1" showInputMessage="1" showErrorMessage="1" sqref="P3:P5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44</vt:i4>
      </vt:variant>
    </vt:vector>
  </HeadingPairs>
  <TitlesOfParts>
    <vt:vector size="48" baseType="lpstr">
      <vt:lpstr>GeneralSettings</vt:lpstr>
      <vt:lpstr>JPYON</vt:lpstr>
      <vt:lpstr>JPY3M</vt:lpstr>
      <vt:lpstr>JPY6M</vt:lpstr>
      <vt:lpstr>Currency</vt:lpstr>
      <vt:lpstr>CurveCalendar</vt:lpstr>
      <vt:lpstr>Discounting</vt:lpstr>
      <vt:lpstr>Evaluationdate</vt:lpstr>
      <vt:lpstr>FamilyName</vt:lpstr>
      <vt:lpstr>FirstLiborFixingDate</vt:lpstr>
      <vt:lpstr>HolidayCheck</vt:lpstr>
      <vt:lpstr>JPY3M!IncludeFlag</vt:lpstr>
      <vt:lpstr>JPY6M!IncludeFlag</vt:lpstr>
      <vt:lpstr>JPYON!IncludeFlag</vt:lpstr>
      <vt:lpstr>JoinCalendar</vt:lpstr>
      <vt:lpstr>JumpDates_3M</vt:lpstr>
      <vt:lpstr>JumpDates_6M</vt:lpstr>
      <vt:lpstr>JumpDates_ON</vt:lpstr>
      <vt:lpstr>JumpQuotes_3M</vt:lpstr>
      <vt:lpstr>JumpQuotes_6M</vt:lpstr>
      <vt:lpstr>JumpQuotes_ON</vt:lpstr>
      <vt:lpstr>JumpSuffix</vt:lpstr>
      <vt:lpstr>LiborCalendar</vt:lpstr>
      <vt:lpstr>LiborFixingDate</vt:lpstr>
      <vt:lpstr>LiborSettlementDate</vt:lpstr>
      <vt:lpstr>LocalCalendar</vt:lpstr>
      <vt:lpstr>JPY3M!MinDistance</vt:lpstr>
      <vt:lpstr>JPY6M!MinDistance</vt:lpstr>
      <vt:lpstr>JPYON!MinDistance</vt:lpstr>
      <vt:lpstr>ObjectOverwrite</vt:lpstr>
      <vt:lpstr>Permanent</vt:lpstr>
      <vt:lpstr>PillarDate</vt:lpstr>
      <vt:lpstr>JPY3M!Priority</vt:lpstr>
      <vt:lpstr>JPY6M!Priority</vt:lpstr>
      <vt:lpstr>JPYON!Priority</vt:lpstr>
      <vt:lpstr>QuoteSuffix</vt:lpstr>
      <vt:lpstr>JPY3M!RateHelpers</vt:lpstr>
      <vt:lpstr>JPY6M!RateHelpers</vt:lpstr>
      <vt:lpstr>JPYON!RateHelpers</vt:lpstr>
      <vt:lpstr>Settlementdate</vt:lpstr>
      <vt:lpstr>SwapForwardStart</vt:lpstr>
      <vt:lpstr>JPY3M!Tenor</vt:lpstr>
      <vt:lpstr>JPY6M!Tenor</vt:lpstr>
      <vt:lpstr>JPYON!Tenor</vt:lpstr>
      <vt:lpstr>Trigger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2016-07-08T16:02:45Z</dcterms:modified>
</cp:coreProperties>
</file>