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1070"/>
  </bookViews>
  <sheets>
    <sheet name="GeneralSettings" sheetId="1" r:id="rId1"/>
    <sheet name="SEKON" sheetId="14" r:id="rId2"/>
    <sheet name="SEK3M" sheetId="15" r:id="rId3"/>
    <sheet name="SEK6M" sheetId="16" r:id="rId4"/>
    <sheet name="SEK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SEK1M!$P$3:$P$32</definedName>
    <definedName name="IncludeFlag" localSheetId="2">SEK3M!$P$3:$P$51</definedName>
    <definedName name="IncludeFlag" localSheetId="3">SEK6M!$P$3:$P$39</definedName>
    <definedName name="IncludeFlag" localSheetId="1">SEKON!$P$3:$P$58</definedName>
    <definedName name="JumpDates_1M">SEK1M!$AG$11:$AG$23</definedName>
    <definedName name="JumpDates_3M">SEK3M!$AG$11:$AG$23</definedName>
    <definedName name="JumpDates_6M">SEK6M!$AG$11:$AG$23</definedName>
    <definedName name="JumpDates_ON">SEKON!$AG$11:$AG$23</definedName>
    <definedName name="JumpQuotes_1M">SEK1M!$AM$11:$AM$23</definedName>
    <definedName name="JumpQuotes_3M">SEK3M!$AM$11:$AM$23</definedName>
    <definedName name="JumpQuotes_6M">SEK6M!$AM$11:$AM$23</definedName>
    <definedName name="JumpQuotes_ON">SEKON!$AM$11:$AM$23</definedName>
    <definedName name="JumpSuffix">GeneralSettings!$I$9</definedName>
    <definedName name="MinDistance" localSheetId="4">SEK1M!$R$3:$R$32</definedName>
    <definedName name="MinDistance" localSheetId="2">SEK3M!$R$3:$R$51</definedName>
    <definedName name="MinDistance" localSheetId="3">SEK6M!$R$3:$R$39</definedName>
    <definedName name="MinDistance" localSheetId="1">SEKON!$R$3:$R$58</definedName>
    <definedName name="ObjectOverwrite">GeneralSettings!$D$6</definedName>
    <definedName name="Permanent">GeneralSettings!$D$4</definedName>
    <definedName name="PillarDate">GeneralSettings!$D$8</definedName>
    <definedName name="Priority" localSheetId="4">SEK1M!$Q$3:$Q$32</definedName>
    <definedName name="Priority" localSheetId="2">SEK3M!$Q$3:$Q$51</definedName>
    <definedName name="Priority" localSheetId="3">SEK6M!$Q$3:$Q$39</definedName>
    <definedName name="Priority" localSheetId="1">SEKON!$Q$3:$Q$58</definedName>
    <definedName name="QuoteSuffix">GeneralSettings!$I$8</definedName>
    <definedName name="RateHelpers" localSheetId="4">SEK1M!$S$3:$S$32</definedName>
    <definedName name="RateHelpers" localSheetId="2">SEK3M!$S$3:$S$51</definedName>
    <definedName name="RateHelpers" localSheetId="3">SEK6M!$S$3:$S$39</definedName>
    <definedName name="RateHelpers" localSheetId="1">SEKON!$S$3:$S$58</definedName>
    <definedName name="RateHelpers1M">SEK1M!$X$3:$X$32</definedName>
    <definedName name="RateHelpers3M">SEK3M!$X$3:$X$51</definedName>
    <definedName name="RateHelpers6M">SEK6M!$X$3:$X$39</definedName>
    <definedName name="RateHelpersON">SEKON!$X$3:$X$58</definedName>
    <definedName name="Settlementdate">GeneralSettings!$I$4</definedName>
    <definedName name="Tenor" localSheetId="4">SEK1M!$G$1</definedName>
    <definedName name="Tenor" localSheetId="2">SEK3M!$G$1</definedName>
    <definedName name="Tenor" localSheetId="3">SEK6M!$G$1</definedName>
    <definedName name="Trigger">GeneralSettings!$D$5</definedName>
    <definedName name="YieldCurve_1M">GeneralSettings!$I$29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J3" i="16" l="1"/>
  <c r="J3" i="17"/>
  <c r="J3" i="14"/>
  <c r="J3" i="15"/>
  <c r="G3" i="14"/>
  <c r="S16" i="17" l="1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J34" i="17"/>
  <c r="S32" i="17" s="1"/>
  <c r="J33" i="17"/>
  <c r="S31" i="17" s="1"/>
  <c r="J32" i="17"/>
  <c r="S30" i="17" s="1"/>
  <c r="J31" i="17"/>
  <c r="S29" i="17" s="1"/>
  <c r="J29" i="17"/>
  <c r="S27" i="17" s="1"/>
  <c r="J18" i="17"/>
  <c r="J16" i="17"/>
  <c r="S14" i="17" s="1"/>
  <c r="J14" i="17"/>
  <c r="S12" i="17" s="1"/>
  <c r="J10" i="17"/>
  <c r="S8" i="17" s="1"/>
  <c r="S3" i="17"/>
  <c r="J5" i="16"/>
  <c r="J4" i="16"/>
  <c r="S4" i="16" s="1"/>
  <c r="S39" i="16"/>
  <c r="S34" i="16"/>
  <c r="S21" i="16"/>
  <c r="S2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J41" i="16"/>
  <c r="J40" i="16"/>
  <c r="S38" i="16" s="1"/>
  <c r="J39" i="16"/>
  <c r="S37" i="16" s="1"/>
  <c r="J38" i="16"/>
  <c r="S36" i="16" s="1"/>
  <c r="J36" i="16"/>
  <c r="J23" i="16"/>
  <c r="J22" i="16"/>
  <c r="J21" i="16"/>
  <c r="S19" i="16" s="1"/>
  <c r="J19" i="16"/>
  <c r="S17" i="16" s="1"/>
  <c r="J18" i="16"/>
  <c r="S16" i="16" s="1"/>
  <c r="J17" i="16"/>
  <c r="S15" i="16" s="1"/>
  <c r="S46" i="15"/>
  <c r="S32" i="15"/>
  <c r="S31" i="15"/>
  <c r="S24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M37" i="15"/>
  <c r="M36" i="15"/>
  <c r="M35" i="15"/>
  <c r="M34" i="15"/>
  <c r="M33" i="15"/>
  <c r="M32" i="15"/>
  <c r="M31" i="15"/>
  <c r="M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J55" i="15"/>
  <c r="S51" i="15" s="1"/>
  <c r="J54" i="15"/>
  <c r="S50" i="15" s="1"/>
  <c r="J53" i="15"/>
  <c r="S49" i="15" s="1"/>
  <c r="J52" i="15"/>
  <c r="S48" i="15" s="1"/>
  <c r="J50" i="15"/>
  <c r="J37" i="15"/>
  <c r="S33" i="15" s="1"/>
  <c r="J36" i="15"/>
  <c r="J35" i="15"/>
  <c r="J33" i="15"/>
  <c r="S29" i="15" s="1"/>
  <c r="J32" i="15"/>
  <c r="S28" i="15" s="1"/>
  <c r="J31" i="15"/>
  <c r="S27" i="15" s="1"/>
  <c r="J29" i="15"/>
  <c r="S25" i="15" s="1"/>
  <c r="J26" i="15"/>
  <c r="J25" i="15"/>
  <c r="S23" i="15" s="1"/>
  <c r="J24" i="15"/>
  <c r="S22" i="15" s="1"/>
  <c r="J6" i="15"/>
  <c r="S6" i="15" s="1"/>
  <c r="J5" i="15"/>
  <c r="S5" i="15" s="1"/>
  <c r="S3" i="15"/>
  <c r="J60" i="14"/>
  <c r="S58" i="14" s="1"/>
  <c r="J59" i="14"/>
  <c r="S57" i="14" s="1"/>
  <c r="J58" i="14"/>
  <c r="S56" i="14" s="1"/>
  <c r="J57" i="14"/>
  <c r="S55" i="14" s="1"/>
  <c r="J55" i="14"/>
  <c r="S53" i="14" s="1"/>
  <c r="J44" i="14"/>
  <c r="S42" i="14" s="1"/>
  <c r="J43" i="14"/>
  <c r="S41" i="14" s="1"/>
  <c r="J42" i="14"/>
  <c r="S40" i="14" s="1"/>
  <c r="J40" i="14"/>
  <c r="S38" i="14" s="1"/>
  <c r="J39" i="14"/>
  <c r="S37" i="14" s="1"/>
  <c r="J38" i="14"/>
  <c r="S36" i="14" s="1"/>
  <c r="J36" i="14"/>
  <c r="S34" i="14" s="1"/>
  <c r="J35" i="14"/>
  <c r="S33" i="14" s="1"/>
  <c r="J34" i="14"/>
  <c r="S32" i="14" s="1"/>
  <c r="J32" i="14"/>
  <c r="S30" i="14" s="1"/>
  <c r="J31" i="14"/>
  <c r="S29" i="14" s="1"/>
  <c r="J30" i="14"/>
  <c r="S28" i="14" s="1"/>
  <c r="J29" i="14"/>
  <c r="S27" i="14" s="1"/>
  <c r="J28" i="14"/>
  <c r="S26" i="14" s="1"/>
  <c r="J27" i="14"/>
  <c r="S25" i="14" s="1"/>
  <c r="J26" i="14"/>
  <c r="S24" i="14" s="1"/>
  <c r="J25" i="14"/>
  <c r="S23" i="14" s="1"/>
  <c r="J24" i="14"/>
  <c r="S22" i="14" s="1"/>
  <c r="J23" i="14"/>
  <c r="S21" i="14" s="1"/>
  <c r="J22" i="14"/>
  <c r="S20" i="14" s="1"/>
  <c r="J20" i="14"/>
  <c r="S18" i="14" s="1"/>
  <c r="J19" i="14"/>
  <c r="S17" i="14" s="1"/>
  <c r="J18" i="14"/>
  <c r="S16" i="14" s="1"/>
  <c r="J16" i="14"/>
  <c r="S14" i="14" s="1"/>
  <c r="J15" i="14"/>
  <c r="S13" i="14" s="1"/>
  <c r="J13" i="14"/>
  <c r="S11" i="14" s="1"/>
  <c r="J12" i="14"/>
  <c r="S10" i="14" s="1"/>
  <c r="J8" i="14"/>
  <c r="S6" i="14" s="1"/>
  <c r="J7" i="14"/>
  <c r="S5" i="14" s="1"/>
  <c r="J6" i="14"/>
  <c r="S4" i="14" s="1"/>
  <c r="S3" i="14"/>
  <c r="J12" i="17"/>
  <c r="J15" i="16"/>
  <c r="J6" i="16"/>
  <c r="J30" i="15"/>
  <c r="S26" i="15" s="1"/>
  <c r="J4" i="15"/>
  <c r="O28" i="17"/>
  <c r="O23" i="17"/>
  <c r="O25" i="17"/>
  <c r="N30" i="17"/>
  <c r="N12" i="17"/>
  <c r="N17" i="17"/>
  <c r="J26" i="17"/>
  <c r="J17" i="17"/>
  <c r="N39" i="16"/>
  <c r="N37" i="16"/>
  <c r="N19" i="16"/>
  <c r="N24" i="16"/>
  <c r="N11" i="16"/>
  <c r="J24" i="16"/>
  <c r="J37" i="16"/>
  <c r="G4" i="16"/>
  <c r="N50" i="15"/>
  <c r="N40" i="15"/>
  <c r="N45" i="15"/>
  <c r="N11" i="15"/>
  <c r="N16" i="15"/>
  <c r="N4" i="15"/>
  <c r="J39" i="15"/>
  <c r="J38" i="15"/>
  <c r="J8" i="15"/>
  <c r="N34" i="16"/>
  <c r="J31" i="16"/>
  <c r="G3" i="16"/>
  <c r="N24" i="15"/>
  <c r="N9" i="15"/>
  <c r="J51" i="15"/>
  <c r="O24" i="17"/>
  <c r="N32" i="17"/>
  <c r="N19" i="17"/>
  <c r="J23" i="17"/>
  <c r="N23" i="16"/>
  <c r="N26" i="16"/>
  <c r="N9" i="16"/>
  <c r="J30" i="16"/>
  <c r="N34" i="15"/>
  <c r="N29" i="15"/>
  <c r="N14" i="15"/>
  <c r="J44" i="15"/>
  <c r="G6" i="15"/>
  <c r="O16" i="17"/>
  <c r="O14" i="17"/>
  <c r="N7" i="17"/>
  <c r="J13" i="17"/>
  <c r="N15" i="16"/>
  <c r="N36" i="16"/>
  <c r="N7" i="16"/>
  <c r="J29" i="16"/>
  <c r="O32" i="17"/>
  <c r="O12" i="17"/>
  <c r="O15" i="17"/>
  <c r="O9" i="17"/>
  <c r="N22" i="17"/>
  <c r="N27" i="17"/>
  <c r="N9" i="17"/>
  <c r="J24" i="17"/>
  <c r="J15" i="17"/>
  <c r="N31" i="16"/>
  <c r="N29" i="16"/>
  <c r="N16" i="16"/>
  <c r="N10" i="16"/>
  <c r="J20" i="16"/>
  <c r="N42" i="15"/>
  <c r="N32" i="15"/>
  <c r="N37" i="15"/>
  <c r="N15" i="15"/>
  <c r="J45" i="15"/>
  <c r="J9" i="15"/>
  <c r="O27" i="17"/>
  <c r="N14" i="17"/>
  <c r="N8" i="17"/>
  <c r="J30" i="17"/>
  <c r="J12" i="16"/>
  <c r="N13" i="16"/>
  <c r="J26" i="16"/>
  <c r="N47" i="15"/>
  <c r="N8" i="15"/>
  <c r="O11" i="17"/>
  <c r="N11" i="17"/>
  <c r="J22" i="17"/>
  <c r="J9" i="16"/>
  <c r="N18" i="16"/>
  <c r="N8" i="16"/>
  <c r="J16" i="16"/>
  <c r="O30" i="17"/>
  <c r="N21" i="16"/>
  <c r="N23" i="15"/>
  <c r="J49" i="15"/>
  <c r="N24" i="17"/>
  <c r="G6" i="17"/>
  <c r="J6" i="17" s="1"/>
  <c r="O31" i="17"/>
  <c r="N15" i="17"/>
  <c r="N10" i="17"/>
  <c r="J19" i="17"/>
  <c r="G3" i="17"/>
  <c r="N38" i="16"/>
  <c r="N33" i="16"/>
  <c r="N3" i="16"/>
  <c r="G10" i="16"/>
  <c r="N27" i="15"/>
  <c r="N46" i="15"/>
  <c r="N22" i="15"/>
  <c r="N6" i="15"/>
  <c r="J42" i="15"/>
  <c r="G3" i="15"/>
  <c r="O8" i="17"/>
  <c r="N29" i="17"/>
  <c r="N25" i="17"/>
  <c r="J25" i="17"/>
  <c r="N30" i="16"/>
  <c r="N25" i="16"/>
  <c r="J33" i="16"/>
  <c r="G11" i="16"/>
  <c r="N38" i="15"/>
  <c r="N13" i="15"/>
  <c r="N5" i="15"/>
  <c r="O22" i="17"/>
  <c r="N21" i="17"/>
  <c r="N6" i="17"/>
  <c r="J20" i="17"/>
  <c r="N22" i="16"/>
  <c r="J25" i="16"/>
  <c r="N49" i="15"/>
  <c r="N30" i="15"/>
  <c r="N20" i="15"/>
  <c r="N7" i="15"/>
  <c r="J48" i="15"/>
  <c r="J27" i="17"/>
  <c r="N41" i="15"/>
  <c r="N44" i="15"/>
  <c r="N3" i="15"/>
  <c r="J46" i="15"/>
  <c r="O18" i="17"/>
  <c r="J11" i="17"/>
  <c r="J28" i="16"/>
  <c r="J40" i="15"/>
  <c r="N16" i="17"/>
  <c r="J7" i="17"/>
  <c r="J35" i="16"/>
  <c r="O10" i="17"/>
  <c r="N26" i="17"/>
  <c r="J8" i="16"/>
  <c r="J27" i="16"/>
  <c r="N25" i="15"/>
  <c r="O17" i="17"/>
  <c r="N18" i="17"/>
  <c r="J7" i="16"/>
  <c r="N4" i="16"/>
  <c r="J34" i="16"/>
  <c r="N19" i="15"/>
  <c r="G4" i="15"/>
  <c r="O21" i="17"/>
  <c r="N26" i="15"/>
  <c r="J41" i="15"/>
  <c r="O20" i="17"/>
  <c r="N17" i="16"/>
  <c r="G6" i="16"/>
  <c r="N32" i="16"/>
  <c r="G5" i="16"/>
  <c r="N28" i="17"/>
  <c r="J11" i="16"/>
  <c r="N17" i="15"/>
  <c r="N20" i="17"/>
  <c r="J10" i="16"/>
  <c r="N48" i="15"/>
  <c r="N21" i="15"/>
  <c r="J7" i="15"/>
  <c r="G5" i="17"/>
  <c r="J5" i="17" s="1"/>
  <c r="N12" i="15"/>
  <c r="N23" i="17"/>
  <c r="J28" i="17"/>
  <c r="N35" i="15"/>
  <c r="J43" i="15"/>
  <c r="N5" i="16"/>
  <c r="N35" i="16"/>
  <c r="G5" i="15"/>
  <c r="O29" i="17"/>
  <c r="O19" i="17"/>
  <c r="N13" i="17"/>
  <c r="N5" i="17"/>
  <c r="N14" i="16"/>
  <c r="J32" i="16"/>
  <c r="N18" i="15"/>
  <c r="O13" i="17"/>
  <c r="N4" i="17"/>
  <c r="N28" i="16"/>
  <c r="N6" i="16"/>
  <c r="N33" i="15"/>
  <c r="N36" i="15"/>
  <c r="J34" i="15"/>
  <c r="O26" i="17"/>
  <c r="N3" i="17"/>
  <c r="N20" i="16"/>
  <c r="N51" i="15"/>
  <c r="N28" i="15"/>
  <c r="N31" i="17"/>
  <c r="J21" i="17"/>
  <c r="N12" i="16"/>
  <c r="N43" i="15"/>
  <c r="N39" i="15"/>
  <c r="J47" i="15"/>
  <c r="G4" i="17"/>
  <c r="J4" i="17" s="1"/>
  <c r="N10" i="15"/>
  <c r="N31" i="15"/>
  <c r="N27" i="16"/>
  <c r="S4" i="15" l="1"/>
  <c r="S4" i="17"/>
  <c r="S43" i="15"/>
  <c r="S19" i="17"/>
  <c r="S30" i="15"/>
  <c r="S30" i="16"/>
  <c r="S39" i="15"/>
  <c r="S26" i="17"/>
  <c r="S5" i="17"/>
  <c r="S7" i="15"/>
  <c r="S37" i="15"/>
  <c r="S32" i="16"/>
  <c r="S25" i="16"/>
  <c r="S33" i="16"/>
  <c r="S7" i="17"/>
  <c r="S36" i="15"/>
  <c r="S42" i="15"/>
  <c r="S25" i="17"/>
  <c r="S44" i="15"/>
  <c r="S23" i="16"/>
  <c r="S18" i="17"/>
  <c r="S31" i="16"/>
  <c r="S23" i="17"/>
  <c r="S38" i="15"/>
  <c r="S17" i="17"/>
  <c r="S6" i="17"/>
  <c r="S45" i="15"/>
  <c r="S14" i="16"/>
  <c r="S20" i="17"/>
  <c r="S24" i="16"/>
  <c r="S28" i="17"/>
  <c r="S9" i="15"/>
  <c r="S41" i="15"/>
  <c r="S13" i="17"/>
  <c r="S27" i="16"/>
  <c r="S11" i="17"/>
  <c r="S40" i="15"/>
  <c r="S28" i="16"/>
  <c r="S21" i="17"/>
  <c r="S47" i="15"/>
  <c r="S29" i="16"/>
  <c r="S8" i="15"/>
  <c r="S34" i="15"/>
  <c r="S35" i="15"/>
  <c r="S35" i="16"/>
  <c r="S15" i="17"/>
  <c r="S24" i="17"/>
  <c r="S22" i="17"/>
  <c r="S10" i="17"/>
  <c r="S9" i="17"/>
  <c r="S13" i="16"/>
  <c r="S3" i="16"/>
  <c r="S6" i="16"/>
  <c r="S7" i="16"/>
  <c r="S8" i="16"/>
  <c r="S10" i="16"/>
  <c r="S11" i="16"/>
  <c r="S9" i="16"/>
  <c r="S12" i="16"/>
  <c r="S5" i="16"/>
  <c r="S26" i="16"/>
  <c r="S22" i="16"/>
  <c r="S18" i="16"/>
  <c r="L14" i="16" l="1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I34" i="17" l="1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L46" i="15" l="1"/>
  <c r="L47" i="15"/>
  <c r="L48" i="15"/>
  <c r="L49" i="15"/>
  <c r="L50" i="15"/>
  <c r="L51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C42" i="14"/>
  <c r="H42" i="14"/>
  <c r="C43" i="14"/>
  <c r="H43" i="14"/>
  <c r="C44" i="14"/>
  <c r="H44" i="14"/>
  <c r="C45" i="14"/>
  <c r="H45" i="14"/>
  <c r="C46" i="14"/>
  <c r="H46" i="14"/>
  <c r="C47" i="14"/>
  <c r="H47" i="14"/>
  <c r="C48" i="14"/>
  <c r="H48" i="14"/>
  <c r="C49" i="14"/>
  <c r="H49" i="14"/>
  <c r="C50" i="14"/>
  <c r="H50" i="14"/>
  <c r="C51" i="14"/>
  <c r="H51" i="14"/>
  <c r="C52" i="14"/>
  <c r="H52" i="14"/>
  <c r="C53" i="14"/>
  <c r="H53" i="14"/>
  <c r="C54" i="14"/>
  <c r="H54" i="14"/>
  <c r="C55" i="14"/>
  <c r="H55" i="14"/>
  <c r="C56" i="14"/>
  <c r="H56" i="14"/>
  <c r="C57" i="14"/>
  <c r="H57" i="14"/>
  <c r="C58" i="14"/>
  <c r="H58" i="14"/>
  <c r="C59" i="14"/>
  <c r="H59" i="14"/>
  <c r="C60" i="14"/>
  <c r="H60" i="14"/>
  <c r="G1" i="14"/>
  <c r="G47" i="14" s="1"/>
  <c r="N54" i="14"/>
  <c r="N47" i="14"/>
  <c r="N44" i="14"/>
  <c r="N56" i="14"/>
  <c r="N42" i="14"/>
  <c r="N46" i="14"/>
  <c r="N50" i="14"/>
  <c r="N58" i="14"/>
  <c r="N55" i="14"/>
  <c r="N40" i="14"/>
  <c r="N45" i="14"/>
  <c r="N43" i="14"/>
  <c r="N48" i="14"/>
  <c r="N41" i="14"/>
  <c r="N51" i="14"/>
  <c r="N52" i="14"/>
  <c r="N49" i="14"/>
  <c r="N53" i="14"/>
  <c r="N57" i="14"/>
  <c r="J47" i="14"/>
  <c r="M57" i="14" l="1"/>
  <c r="M53" i="14"/>
  <c r="M49" i="14"/>
  <c r="M52" i="14"/>
  <c r="M51" i="14"/>
  <c r="M41" i="14"/>
  <c r="M48" i="14"/>
  <c r="M43" i="14"/>
  <c r="M45" i="14"/>
  <c r="M40" i="14"/>
  <c r="M55" i="14"/>
  <c r="M58" i="14"/>
  <c r="M50" i="14"/>
  <c r="M46" i="14"/>
  <c r="M42" i="14"/>
  <c r="M56" i="14"/>
  <c r="M44" i="14"/>
  <c r="M47" i="14"/>
  <c r="M54" i="14"/>
  <c r="S45" i="14"/>
  <c r="G44" i="14"/>
  <c r="G59" i="14"/>
  <c r="G56" i="14"/>
  <c r="G53" i="14"/>
  <c r="G52" i="14"/>
  <c r="G49" i="14"/>
  <c r="G46" i="14"/>
  <c r="G43" i="14"/>
  <c r="G60" i="14"/>
  <c r="G57" i="14"/>
  <c r="G54" i="14"/>
  <c r="G51" i="14"/>
  <c r="G48" i="14"/>
  <c r="G45" i="14"/>
  <c r="G58" i="14"/>
  <c r="G50" i="14"/>
  <c r="G42" i="14"/>
  <c r="G55" i="14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H23" i="16"/>
  <c r="AH22" i="16"/>
  <c r="AH21" i="16"/>
  <c r="AH20" i="16"/>
  <c r="AH19" i="16"/>
  <c r="AH18" i="16"/>
  <c r="AH17" i="16"/>
  <c r="AH16" i="16"/>
  <c r="AH15" i="16"/>
  <c r="AH14" i="16"/>
  <c r="AH13" i="16"/>
  <c r="AH12" i="16"/>
  <c r="AH11" i="16"/>
  <c r="G16" i="16"/>
  <c r="G7" i="16"/>
  <c r="G8" i="16"/>
  <c r="G9" i="16"/>
  <c r="G12" i="16"/>
  <c r="AH23" i="15"/>
  <c r="AH22" i="15"/>
  <c r="AH21" i="15"/>
  <c r="AH20" i="15"/>
  <c r="AH19" i="15"/>
  <c r="AH18" i="15"/>
  <c r="AH17" i="15"/>
  <c r="AH16" i="15"/>
  <c r="AH15" i="15"/>
  <c r="AH14" i="15"/>
  <c r="AH13" i="15"/>
  <c r="AH12" i="15"/>
  <c r="AH11" i="15"/>
  <c r="H29" i="15"/>
  <c r="G29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52" i="14"/>
  <c r="J48" i="14"/>
  <c r="J49" i="14"/>
  <c r="J45" i="14"/>
  <c r="J56" i="14"/>
  <c r="J46" i="14"/>
  <c r="J54" i="14"/>
  <c r="J50" i="14"/>
  <c r="J53" i="14"/>
  <c r="J51" i="14"/>
  <c r="S49" i="14" l="1"/>
  <c r="S51" i="14"/>
  <c r="S48" i="14"/>
  <c r="S52" i="14"/>
  <c r="S44" i="14"/>
  <c r="S54" i="14"/>
  <c r="S43" i="14"/>
  <c r="S47" i="14"/>
  <c r="S46" i="14"/>
  <c r="S50" i="14"/>
  <c r="G7" i="15"/>
  <c r="G8" i="15"/>
  <c r="G9" i="15"/>
  <c r="U45" i="14"/>
  <c r="T31" i="17"/>
  <c r="AJ19" i="16"/>
  <c r="U8" i="17"/>
  <c r="AJ20" i="17"/>
  <c r="T56" i="14"/>
  <c r="AJ12" i="15"/>
  <c r="AJ16" i="16"/>
  <c r="AJ22" i="16"/>
  <c r="AJ15" i="16"/>
  <c r="AJ19" i="15"/>
  <c r="U41" i="14"/>
  <c r="U10" i="17"/>
  <c r="AJ23" i="15"/>
  <c r="AJ19" i="17"/>
  <c r="U57" i="14"/>
  <c r="U32" i="17"/>
  <c r="T32" i="17"/>
  <c r="AJ21" i="15"/>
  <c r="AJ18" i="16"/>
  <c r="AJ18" i="17"/>
  <c r="U53" i="14"/>
  <c r="AJ11" i="17"/>
  <c r="U55" i="14"/>
  <c r="T27" i="17"/>
  <c r="AJ21" i="16"/>
  <c r="T57" i="14"/>
  <c r="U40" i="14"/>
  <c r="AJ13" i="16"/>
  <c r="AJ17" i="16"/>
  <c r="AJ22" i="17"/>
  <c r="AJ13" i="17"/>
  <c r="AJ12" i="16"/>
  <c r="AJ15" i="17"/>
  <c r="AJ18" i="15"/>
  <c r="AJ12" i="17"/>
  <c r="AJ21" i="17"/>
  <c r="T29" i="17"/>
  <c r="AJ11" i="16"/>
  <c r="AJ17" i="17"/>
  <c r="AJ11" i="15"/>
  <c r="T10" i="17"/>
  <c r="U42" i="14"/>
  <c r="AJ14" i="17"/>
  <c r="U31" i="17"/>
  <c r="AJ23" i="17"/>
  <c r="U58" i="14"/>
  <c r="U29" i="17"/>
  <c r="AJ20" i="15"/>
  <c r="T55" i="14"/>
  <c r="AJ23" i="16"/>
  <c r="T53" i="14"/>
  <c r="T8" i="17"/>
  <c r="T42" i="14"/>
  <c r="AJ20" i="16"/>
  <c r="T41" i="14"/>
  <c r="U56" i="14"/>
  <c r="AJ17" i="15"/>
  <c r="U27" i="17"/>
  <c r="AJ13" i="15"/>
  <c r="AJ15" i="15"/>
  <c r="AJ14" i="15"/>
  <c r="T45" i="14"/>
  <c r="AJ14" i="16"/>
  <c r="T58" i="14"/>
  <c r="AJ16" i="15"/>
  <c r="T40" i="14"/>
  <c r="AJ22" i="15"/>
  <c r="AJ16" i="17"/>
  <c r="I31" i="1" l="1"/>
  <c r="D31" i="1"/>
  <c r="I15" i="1"/>
  <c r="U44" i="14"/>
  <c r="T48" i="14"/>
  <c r="T51" i="14"/>
  <c r="U54" i="14"/>
  <c r="U48" i="14"/>
  <c r="U52" i="14"/>
  <c r="U47" i="14"/>
  <c r="U49" i="14"/>
  <c r="U51" i="14"/>
  <c r="U43" i="14"/>
  <c r="T43" i="14"/>
  <c r="T46" i="14"/>
  <c r="T54" i="14"/>
  <c r="T49" i="14"/>
  <c r="T52" i="14"/>
  <c r="T50" i="14"/>
  <c r="U46" i="14"/>
  <c r="U50" i="14"/>
  <c r="T44" i="14"/>
  <c r="T47" i="14"/>
  <c r="AH23" i="14" l="1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W1" i="14"/>
  <c r="L5" i="14"/>
  <c r="L6" i="14"/>
  <c r="L7" i="14"/>
  <c r="L4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6" i="14"/>
  <c r="D15" i="1"/>
  <c r="N7" i="14"/>
  <c r="N15" i="14"/>
  <c r="N23" i="14"/>
  <c r="N31" i="14"/>
  <c r="N39" i="14"/>
  <c r="N8" i="14"/>
  <c r="N16" i="14"/>
  <c r="N24" i="14"/>
  <c r="N32" i="14"/>
  <c r="N4" i="14"/>
  <c r="N9" i="14"/>
  <c r="N25" i="14"/>
  <c r="N33" i="14"/>
  <c r="N18" i="14"/>
  <c r="N34" i="14"/>
  <c r="N11" i="14"/>
  <c r="N27" i="14"/>
  <c r="N20" i="14"/>
  <c r="N36" i="14"/>
  <c r="N5" i="14"/>
  <c r="N21" i="14"/>
  <c r="N37" i="14"/>
  <c r="N14" i="14"/>
  <c r="N30" i="14"/>
  <c r="N38" i="14"/>
  <c r="N17" i="14"/>
  <c r="N10" i="14"/>
  <c r="N26" i="14"/>
  <c r="N19" i="14"/>
  <c r="N35" i="14"/>
  <c r="N12" i="14"/>
  <c r="N28" i="14"/>
  <c r="N13" i="14"/>
  <c r="N29" i="14"/>
  <c r="N6" i="14"/>
  <c r="N22" i="14"/>
  <c r="AJ16" i="14"/>
  <c r="AJ17" i="14"/>
  <c r="AJ13" i="14"/>
  <c r="AJ18" i="14"/>
  <c r="AJ15" i="14"/>
  <c r="AJ14" i="14"/>
  <c r="AJ22" i="14"/>
  <c r="AJ12" i="14"/>
  <c r="AJ23" i="14"/>
  <c r="AJ21" i="14"/>
  <c r="AJ19" i="14"/>
  <c r="AJ11" i="14"/>
  <c r="AJ20" i="14"/>
  <c r="M22" i="14" l="1"/>
  <c r="M6" i="14"/>
  <c r="M29" i="14"/>
  <c r="M13" i="14"/>
  <c r="M28" i="14"/>
  <c r="M12" i="14"/>
  <c r="M35" i="14"/>
  <c r="M19" i="14"/>
  <c r="M26" i="14"/>
  <c r="M10" i="14"/>
  <c r="M17" i="14"/>
  <c r="M38" i="14"/>
  <c r="M30" i="14"/>
  <c r="M14" i="14"/>
  <c r="M37" i="14"/>
  <c r="M21" i="14"/>
  <c r="M5" i="14"/>
  <c r="M36" i="14"/>
  <c r="M20" i="14"/>
  <c r="M27" i="14"/>
  <c r="M11" i="14"/>
  <c r="M34" i="14"/>
  <c r="M18" i="14"/>
  <c r="M33" i="14"/>
  <c r="M25" i="14"/>
  <c r="M9" i="14"/>
  <c r="M4" i="14"/>
  <c r="M32" i="14"/>
  <c r="M24" i="14"/>
  <c r="M16" i="14"/>
  <c r="M8" i="14"/>
  <c r="M39" i="14"/>
  <c r="M31" i="14"/>
  <c r="M23" i="14"/>
  <c r="M15" i="14"/>
  <c r="M7" i="14"/>
  <c r="L7" i="17"/>
  <c r="L6" i="17"/>
  <c r="L5" i="17"/>
  <c r="L4" i="17"/>
  <c r="L3" i="17"/>
  <c r="W1" i="17"/>
  <c r="H1" i="17"/>
  <c r="H7" i="17" s="1"/>
  <c r="L13" i="16"/>
  <c r="L10" i="16"/>
  <c r="L11" i="16"/>
  <c r="L1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5" i="16"/>
  <c r="L9" i="16"/>
  <c r="L8" i="16"/>
  <c r="L7" i="16"/>
  <c r="L6" i="16"/>
  <c r="L5" i="16"/>
  <c r="L4" i="16"/>
  <c r="L3" i="16"/>
  <c r="W1" i="16"/>
  <c r="H1" i="16"/>
  <c r="H8" i="16" s="1"/>
  <c r="H6" i="17" l="1"/>
  <c r="H3" i="17"/>
  <c r="H4" i="17"/>
  <c r="H5" i="17"/>
  <c r="H11" i="16"/>
  <c r="H12" i="16"/>
  <c r="H10" i="16"/>
  <c r="H4" i="16"/>
  <c r="H9" i="16"/>
  <c r="H3" i="16"/>
  <c r="H7" i="16"/>
  <c r="H6" i="16"/>
  <c r="H5" i="16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10" i="15"/>
  <c r="L4" i="15"/>
  <c r="L5" i="15"/>
  <c r="L6" i="15"/>
  <c r="L7" i="15"/>
  <c r="L8" i="15"/>
  <c r="L9" i="15"/>
  <c r="H1" i="15"/>
  <c r="H4" i="15" s="1"/>
  <c r="W1" i="15"/>
  <c r="L3" i="15"/>
  <c r="L3" i="14"/>
  <c r="H3" i="14"/>
  <c r="U39" i="16"/>
  <c r="T13" i="16"/>
  <c r="U17" i="16"/>
  <c r="U16" i="16"/>
  <c r="U13" i="16"/>
  <c r="T15" i="16"/>
  <c r="T34" i="16"/>
  <c r="U38" i="16"/>
  <c r="U37" i="16"/>
  <c r="U36" i="16"/>
  <c r="U15" i="16"/>
  <c r="U34" i="16"/>
  <c r="T39" i="16"/>
  <c r="T17" i="16"/>
  <c r="T36" i="16"/>
  <c r="T38" i="16"/>
  <c r="T37" i="16"/>
  <c r="T16" i="16"/>
  <c r="N3" i="14"/>
  <c r="M3" i="14" l="1"/>
  <c r="H9" i="15"/>
  <c r="H8" i="15"/>
  <c r="H7" i="15"/>
  <c r="H5" i="15"/>
  <c r="H3" i="15"/>
  <c r="H6" i="15"/>
  <c r="T6" i="17"/>
  <c r="U31" i="15"/>
  <c r="T5" i="16"/>
  <c r="U6" i="16"/>
  <c r="T4" i="16"/>
  <c r="T3" i="17"/>
  <c r="T26" i="15"/>
  <c r="U50" i="15"/>
  <c r="U3" i="16"/>
  <c r="U49" i="15"/>
  <c r="T51" i="15"/>
  <c r="T29" i="15"/>
  <c r="U29" i="15"/>
  <c r="U5" i="17"/>
  <c r="U3" i="17"/>
  <c r="T50" i="15"/>
  <c r="U6" i="17"/>
  <c r="T3" i="16"/>
  <c r="U4" i="16"/>
  <c r="T49" i="15"/>
  <c r="T6" i="16"/>
  <c r="U5" i="16"/>
  <c r="U4" i="15"/>
  <c r="T4" i="15"/>
  <c r="T31" i="15"/>
  <c r="U26" i="15"/>
  <c r="T5" i="17"/>
  <c r="U51" i="15"/>
  <c r="D7" i="1" l="1"/>
  <c r="U10" i="16"/>
  <c r="T9" i="15"/>
  <c r="T5" i="15"/>
  <c r="U26" i="17"/>
  <c r="T21" i="17"/>
  <c r="U23" i="17"/>
  <c r="T28" i="17"/>
  <c r="U35" i="16"/>
  <c r="T32" i="16"/>
  <c r="U36" i="15"/>
  <c r="T18" i="17"/>
  <c r="T45" i="15"/>
  <c r="T30" i="17"/>
  <c r="T22" i="16"/>
  <c r="U30" i="17"/>
  <c r="U20" i="17"/>
  <c r="U4" i="17"/>
  <c r="T7" i="16"/>
  <c r="U9" i="15"/>
  <c r="U3" i="15"/>
  <c r="T26" i="16"/>
  <c r="U23" i="16"/>
  <c r="T25" i="16"/>
  <c r="U28" i="16"/>
  <c r="U30" i="15"/>
  <c r="U35" i="15"/>
  <c r="T36" i="15"/>
  <c r="U45" i="15"/>
  <c r="T14" i="17"/>
  <c r="U22" i="17"/>
  <c r="U25" i="15"/>
  <c r="T19" i="17"/>
  <c r="T25" i="17"/>
  <c r="U12" i="16"/>
  <c r="T3" i="15"/>
  <c r="U5" i="15"/>
  <c r="T8" i="16"/>
  <c r="U26" i="16"/>
  <c r="T23" i="16"/>
  <c r="U25" i="16"/>
  <c r="T28" i="16"/>
  <c r="T30" i="15"/>
  <c r="T35" i="15"/>
  <c r="U9" i="17"/>
  <c r="U33" i="15"/>
  <c r="T22" i="17"/>
  <c r="T20" i="16"/>
  <c r="U21" i="16"/>
  <c r="U17" i="17"/>
  <c r="T8" i="15"/>
  <c r="T12" i="16"/>
  <c r="T9" i="16"/>
  <c r="T6" i="15"/>
  <c r="T33" i="16"/>
  <c r="T24" i="16"/>
  <c r="U30" i="16"/>
  <c r="U31" i="16"/>
  <c r="T24" i="17"/>
  <c r="X3" i="16" a="1"/>
  <c r="T9" i="17"/>
  <c r="U43" i="15"/>
  <c r="T20" i="17"/>
  <c r="T12" i="17"/>
  <c r="U20" i="16"/>
  <c r="T13" i="17"/>
  <c r="T7" i="17"/>
  <c r="U9" i="16"/>
  <c r="T10" i="16"/>
  <c r="T4" i="17"/>
  <c r="U33" i="16"/>
  <c r="U24" i="16"/>
  <c r="T30" i="16"/>
  <c r="T31" i="16"/>
  <c r="U24" i="17"/>
  <c r="U14" i="16"/>
  <c r="T15" i="17"/>
  <c r="U22" i="16"/>
  <c r="U13" i="17"/>
  <c r="T25" i="15"/>
  <c r="U18" i="17"/>
  <c r="T33" i="15"/>
  <c r="U8" i="15"/>
  <c r="T11" i="16"/>
  <c r="T7" i="15"/>
  <c r="T40" i="15"/>
  <c r="T34" i="15"/>
  <c r="U39" i="15"/>
  <c r="U41" i="15"/>
  <c r="T11" i="17"/>
  <c r="U29" i="16"/>
  <c r="T14" i="16"/>
  <c r="T43" i="15"/>
  <c r="U19" i="17"/>
  <c r="U12" i="17"/>
  <c r="U18" i="16"/>
  <c r="U16" i="17"/>
  <c r="U8" i="16"/>
  <c r="U6" i="15"/>
  <c r="U7" i="16"/>
  <c r="U34" i="15"/>
  <c r="T39" i="15"/>
  <c r="T41" i="15"/>
  <c r="T29" i="16"/>
  <c r="T28" i="15"/>
  <c r="T19" i="16"/>
  <c r="U14" i="17"/>
  <c r="U11" i="16"/>
  <c r="U7" i="17"/>
  <c r="T26" i="17"/>
  <c r="T23" i="17"/>
  <c r="T35" i="16"/>
  <c r="U27" i="16"/>
  <c r="U28" i="15"/>
  <c r="T17" i="17"/>
  <c r="T18" i="16"/>
  <c r="T21" i="16"/>
  <c r="U40" i="15"/>
  <c r="U11" i="17"/>
  <c r="T27" i="16"/>
  <c r="T38" i="15"/>
  <c r="U19" i="16"/>
  <c r="T16" i="17"/>
  <c r="U7" i="15"/>
  <c r="U21" i="17"/>
  <c r="U28" i="17"/>
  <c r="U32" i="16"/>
  <c r="U25" i="17"/>
  <c r="U38" i="15"/>
  <c r="U15" i="17"/>
  <c r="X37" i="16" l="1"/>
  <c r="X3" i="16"/>
  <c r="X8" i="16"/>
  <c r="X24" i="16"/>
  <c r="X29" i="16"/>
  <c r="X23" i="16"/>
  <c r="X28" i="16"/>
  <c r="X19" i="16"/>
  <c r="X10" i="16"/>
  <c r="X15" i="16"/>
  <c r="X17" i="16"/>
  <c r="X14" i="16"/>
  <c r="X5" i="16"/>
  <c r="X35" i="16"/>
  <c r="X9" i="16"/>
  <c r="X34" i="16"/>
  <c r="X39" i="16"/>
  <c r="X30" i="16"/>
  <c r="X21" i="16"/>
  <c r="X20" i="16"/>
  <c r="X33" i="16"/>
  <c r="X16" i="16"/>
  <c r="X7" i="16"/>
  <c r="X6" i="16"/>
  <c r="X11" i="16"/>
  <c r="X27" i="16"/>
  <c r="X32" i="16"/>
  <c r="X26" i="16"/>
  <c r="X31" i="16"/>
  <c r="X36" i="16"/>
  <c r="X13" i="16"/>
  <c r="X18" i="16"/>
  <c r="X12" i="16"/>
  <c r="X25" i="16"/>
  <c r="X22" i="16"/>
  <c r="X38" i="16"/>
  <c r="X4" i="16"/>
  <c r="C27" i="14"/>
  <c r="C24" i="14"/>
  <c r="C25" i="14"/>
  <c r="C28" i="14"/>
  <c r="C31" i="14"/>
  <c r="C36" i="14"/>
  <c r="C39" i="14"/>
  <c r="C33" i="14"/>
  <c r="C38" i="14"/>
  <c r="C40" i="14"/>
  <c r="C23" i="14"/>
  <c r="C30" i="14"/>
  <c r="C37" i="14"/>
  <c r="C26" i="14"/>
  <c r="C34" i="14"/>
  <c r="C22" i="14"/>
  <c r="C29" i="14"/>
  <c r="C32" i="14"/>
  <c r="C21" i="14"/>
  <c r="C41" i="14"/>
  <c r="C35" i="14"/>
  <c r="J41" i="14"/>
  <c r="J37" i="14"/>
  <c r="J33" i="14"/>
  <c r="J21" i="14"/>
  <c r="S19" i="14" l="1"/>
  <c r="S31" i="14"/>
  <c r="S35" i="14"/>
  <c r="S39" i="14"/>
  <c r="C9" i="14"/>
  <c r="C12" i="14"/>
  <c r="C14" i="14"/>
  <c r="C11" i="14"/>
  <c r="C19" i="14"/>
  <c r="C10" i="14"/>
  <c r="C15" i="14"/>
  <c r="C13" i="14"/>
  <c r="C16" i="14"/>
  <c r="C18" i="14"/>
  <c r="C8" i="14"/>
  <c r="C6" i="14"/>
  <c r="C20" i="14"/>
  <c r="C17" i="14"/>
  <c r="C7" i="14"/>
  <c r="U23" i="14"/>
  <c r="T37" i="15"/>
  <c r="U32" i="14"/>
  <c r="U29" i="14"/>
  <c r="U33" i="14"/>
  <c r="U13" i="14"/>
  <c r="U32" i="15"/>
  <c r="U46" i="15"/>
  <c r="U42" i="15"/>
  <c r="U10" i="14"/>
  <c r="U36" i="14"/>
  <c r="T30" i="14"/>
  <c r="T11" i="14"/>
  <c r="U28" i="14"/>
  <c r="T25" i="14"/>
  <c r="U19" i="14"/>
  <c r="T46" i="15"/>
  <c r="T34" i="14"/>
  <c r="T47" i="15"/>
  <c r="T24" i="14"/>
  <c r="U39" i="14"/>
  <c r="T4" i="14"/>
  <c r="U34" i="14"/>
  <c r="T3" i="14"/>
  <c r="U20" i="14"/>
  <c r="T6" i="14"/>
  <c r="U47" i="15"/>
  <c r="U6" i="14"/>
  <c r="U11" i="14"/>
  <c r="U24" i="14"/>
  <c r="U18" i="14"/>
  <c r="U35" i="14"/>
  <c r="J9" i="14"/>
  <c r="U16" i="14"/>
  <c r="T14" i="14"/>
  <c r="T5" i="14"/>
  <c r="U5" i="14"/>
  <c r="T44" i="15"/>
  <c r="U14" i="14"/>
  <c r="U48" i="15"/>
  <c r="U37" i="15"/>
  <c r="T21" i="14"/>
  <c r="T37" i="14"/>
  <c r="U4" i="14"/>
  <c r="T35" i="14"/>
  <c r="J14" i="14"/>
  <c r="T10" i="14"/>
  <c r="T20" i="14"/>
  <c r="T23" i="14"/>
  <c r="T17" i="14"/>
  <c r="U38" i="14"/>
  <c r="T13" i="14"/>
  <c r="U27" i="14"/>
  <c r="U25" i="14"/>
  <c r="T16" i="14"/>
  <c r="T39" i="14"/>
  <c r="T19" i="14"/>
  <c r="T27" i="14"/>
  <c r="U26" i="14"/>
  <c r="U37" i="14"/>
  <c r="U31" i="14"/>
  <c r="J10" i="14"/>
  <c r="I3" i="1"/>
  <c r="T29" i="14"/>
  <c r="T22" i="14"/>
  <c r="T18" i="14"/>
  <c r="J17" i="14"/>
  <c r="U21" i="14"/>
  <c r="U3" i="14"/>
  <c r="T32" i="15"/>
  <c r="U17" i="14"/>
  <c r="T38" i="14"/>
  <c r="J11" i="14"/>
  <c r="T32" i="14"/>
  <c r="T33" i="14"/>
  <c r="U22" i="14"/>
  <c r="U27" i="15"/>
  <c r="T48" i="15"/>
  <c r="T26" i="14"/>
  <c r="U30" i="14"/>
  <c r="T36" i="14"/>
  <c r="T27" i="15"/>
  <c r="U44" i="15"/>
  <c r="T28" i="14"/>
  <c r="T42" i="15"/>
  <c r="T31" i="14"/>
  <c r="I4" i="1"/>
  <c r="AG11" i="16"/>
  <c r="AG11" i="15"/>
  <c r="AG11" i="14"/>
  <c r="AG11" i="17"/>
  <c r="S9" i="14" l="1"/>
  <c r="S15" i="14"/>
  <c r="S8" i="14"/>
  <c r="S12" i="14"/>
  <c r="S7" i="14"/>
  <c r="AI11" i="15"/>
  <c r="AG23" i="16"/>
  <c r="AG12" i="15"/>
  <c r="AI12" i="15" s="1"/>
  <c r="U15" i="14"/>
  <c r="T15" i="14"/>
  <c r="AG23" i="14"/>
  <c r="AI11" i="14"/>
  <c r="U22" i="15"/>
  <c r="C12" i="15"/>
  <c r="AG13" i="15"/>
  <c r="AG14" i="15" s="1"/>
  <c r="AG23" i="15"/>
  <c r="AI14" i="15"/>
  <c r="T8" i="14"/>
  <c r="U8" i="14"/>
  <c r="AI13" i="15"/>
  <c r="U12" i="14"/>
  <c r="T12" i="14"/>
  <c r="AG12" i="14"/>
  <c r="AG13" i="14" s="1"/>
  <c r="AI13" i="14" s="1"/>
  <c r="AG23" i="17"/>
  <c r="AI23" i="17" s="1"/>
  <c r="U9" i="14"/>
  <c r="T9" i="14"/>
  <c r="AI11" i="16"/>
  <c r="AG12" i="16"/>
  <c r="AI12" i="16" s="1"/>
  <c r="AG14" i="14"/>
  <c r="AG12" i="17"/>
  <c r="AI12" i="17" s="1"/>
  <c r="AI11" i="17"/>
  <c r="T22" i="15"/>
  <c r="U7" i="14"/>
  <c r="T7" i="14"/>
  <c r="AI23" i="14"/>
  <c r="AI23" i="16"/>
  <c r="AG15" i="15"/>
  <c r="AI12" i="14"/>
  <c r="AG13" i="17"/>
  <c r="C13" i="15"/>
  <c r="J12" i="15"/>
  <c r="AG15" i="14"/>
  <c r="AI14" i="14"/>
  <c r="AG16" i="15"/>
  <c r="AI13" i="17"/>
  <c r="AG14" i="17"/>
  <c r="C14" i="15"/>
  <c r="J13" i="15"/>
  <c r="AI15" i="14"/>
  <c r="AG16" i="14"/>
  <c r="AI16" i="15"/>
  <c r="AG17" i="15"/>
  <c r="AI14" i="17"/>
  <c r="AG15" i="17"/>
  <c r="C15" i="15"/>
  <c r="J14" i="15"/>
  <c r="AG17" i="14"/>
  <c r="AI16" i="14"/>
  <c r="AG18" i="15"/>
  <c r="AI17" i="15"/>
  <c r="AG16" i="17"/>
  <c r="AI16" i="17" s="1"/>
  <c r="AI15" i="17"/>
  <c r="C16" i="15"/>
  <c r="J15" i="15"/>
  <c r="AI17" i="14"/>
  <c r="AG18" i="14"/>
  <c r="AI18" i="15"/>
  <c r="AG19" i="15"/>
  <c r="C17" i="15"/>
  <c r="J16" i="15"/>
  <c r="AI18" i="14"/>
  <c r="AG19" i="14"/>
  <c r="AG20" i="15"/>
  <c r="AI19" i="15"/>
  <c r="C18" i="15"/>
  <c r="J17" i="15"/>
  <c r="AI19" i="14"/>
  <c r="AG20" i="14"/>
  <c r="AI20" i="15"/>
  <c r="AG21" i="15"/>
  <c r="C19" i="15"/>
  <c r="J18" i="15"/>
  <c r="AG21" i="14"/>
  <c r="AI20" i="14"/>
  <c r="AG22" i="15"/>
  <c r="AI21" i="15"/>
  <c r="C20" i="15"/>
  <c r="J19" i="15"/>
  <c r="AI21" i="14"/>
  <c r="AG22" i="14"/>
  <c r="J20" i="15"/>
  <c r="S18" i="15" l="1"/>
  <c r="S17" i="15"/>
  <c r="S16" i="15"/>
  <c r="S15" i="15"/>
  <c r="S14" i="15"/>
  <c r="S13" i="15"/>
  <c r="S12" i="15"/>
  <c r="S11" i="15"/>
  <c r="S10" i="15"/>
  <c r="AM11" i="15"/>
  <c r="AK11" i="15"/>
  <c r="AM20" i="14"/>
  <c r="AK20" i="14"/>
  <c r="AM16" i="17"/>
  <c r="AK16" i="17"/>
  <c r="AM19" i="14"/>
  <c r="AK19" i="14"/>
  <c r="AM15" i="17"/>
  <c r="AK15" i="17"/>
  <c r="AM18" i="14"/>
  <c r="AK18" i="14"/>
  <c r="AM14" i="17"/>
  <c r="AK14" i="17"/>
  <c r="AK17" i="14"/>
  <c r="AM17" i="14"/>
  <c r="AK13" i="17"/>
  <c r="AM13" i="17"/>
  <c r="AM16" i="14"/>
  <c r="AK16" i="14"/>
  <c r="AM12" i="17"/>
  <c r="AK12" i="17"/>
  <c r="AK20" i="15"/>
  <c r="AM20" i="15"/>
  <c r="AK19" i="15"/>
  <c r="AM19" i="15"/>
  <c r="AK18" i="15"/>
  <c r="AM18" i="15"/>
  <c r="AM17" i="15"/>
  <c r="AK17" i="15"/>
  <c r="AK14" i="14"/>
  <c r="AM14" i="14"/>
  <c r="AM15" i="14"/>
  <c r="AK15" i="14"/>
  <c r="AK16" i="15"/>
  <c r="AM16" i="15"/>
  <c r="AK14" i="15"/>
  <c r="AM14" i="15"/>
  <c r="AM13" i="14"/>
  <c r="AK13" i="14"/>
  <c r="AM23" i="16"/>
  <c r="AK23" i="16"/>
  <c r="AM13" i="15"/>
  <c r="AK13" i="15"/>
  <c r="AM12" i="14"/>
  <c r="AK12" i="14"/>
  <c r="AM23" i="17"/>
  <c r="AK23" i="17"/>
  <c r="AM12" i="16"/>
  <c r="AK12" i="16"/>
  <c r="AK23" i="14"/>
  <c r="AM23" i="14"/>
  <c r="AM11" i="17"/>
  <c r="AK11" i="17"/>
  <c r="AK12" i="15"/>
  <c r="AM12" i="15"/>
  <c r="AK11" i="14"/>
  <c r="AM11" i="14"/>
  <c r="AM11" i="16"/>
  <c r="AK11" i="16"/>
  <c r="AM21" i="14"/>
  <c r="AM21" i="15"/>
  <c r="AK21" i="15"/>
  <c r="AK21" i="14"/>
  <c r="T15" i="15"/>
  <c r="T14" i="15"/>
  <c r="U15" i="15"/>
  <c r="U14" i="15"/>
  <c r="C21" i="15"/>
  <c r="AI15" i="15"/>
  <c r="AI22" i="15"/>
  <c r="U10" i="15"/>
  <c r="T10" i="15"/>
  <c r="U11" i="15"/>
  <c r="T12" i="15"/>
  <c r="T16" i="15"/>
  <c r="T18" i="15"/>
  <c r="U23" i="15"/>
  <c r="T13" i="15"/>
  <c r="T23" i="15"/>
  <c r="U13" i="15"/>
  <c r="T17" i="15"/>
  <c r="U17" i="15"/>
  <c r="U12" i="15"/>
  <c r="U16" i="15"/>
  <c r="U18" i="15"/>
  <c r="T11" i="15"/>
  <c r="AG13" i="16"/>
  <c r="AI22" i="14"/>
  <c r="AG17" i="17"/>
  <c r="AI17" i="17" s="1"/>
  <c r="AI23" i="15"/>
  <c r="AG18" i="17"/>
  <c r="C22" i="15"/>
  <c r="J21" i="15"/>
  <c r="AG14" i="16"/>
  <c r="AI13" i="16"/>
  <c r="AG19" i="17"/>
  <c r="AI18" i="17"/>
  <c r="C23" i="15"/>
  <c r="J22" i="15"/>
  <c r="AI14" i="16"/>
  <c r="AG15" i="16"/>
  <c r="AG20" i="17"/>
  <c r="AI19" i="17"/>
  <c r="C24" i="15"/>
  <c r="C25" i="15" s="1"/>
  <c r="J23" i="15"/>
  <c r="AI15" i="16"/>
  <c r="AG16" i="16"/>
  <c r="AI20" i="17"/>
  <c r="AG21" i="17"/>
  <c r="AG17" i="16"/>
  <c r="AI16" i="16"/>
  <c r="AG22" i="17"/>
  <c r="AI21" i="17"/>
  <c r="AI17" i="16"/>
  <c r="AG18" i="16"/>
  <c r="AG19" i="16"/>
  <c r="AI18" i="16"/>
  <c r="AI19" i="16"/>
  <c r="AG20" i="16"/>
  <c r="AI20" i="16"/>
  <c r="AG21" i="16"/>
  <c r="AI21" i="16"/>
  <c r="AG22" i="16"/>
  <c r="S21" i="15" l="1"/>
  <c r="S20" i="15"/>
  <c r="S19" i="15"/>
  <c r="AK15" i="15"/>
  <c r="AM15" i="15"/>
  <c r="AM21" i="16"/>
  <c r="AK21" i="16"/>
  <c r="AK20" i="16"/>
  <c r="AM20" i="16"/>
  <c r="AK19" i="16"/>
  <c r="AM19" i="16"/>
  <c r="AK18" i="16"/>
  <c r="AM18" i="16"/>
  <c r="AK21" i="17"/>
  <c r="AM21" i="17"/>
  <c r="AM17" i="16"/>
  <c r="AK17" i="16"/>
  <c r="AM20" i="17"/>
  <c r="AK20" i="17"/>
  <c r="AK16" i="16"/>
  <c r="AM16" i="16"/>
  <c r="AM19" i="17"/>
  <c r="AK19" i="17"/>
  <c r="AK15" i="16"/>
  <c r="AM15" i="16"/>
  <c r="AM18" i="17"/>
  <c r="AK18" i="17"/>
  <c r="AK14" i="16"/>
  <c r="AM14" i="16"/>
  <c r="AK17" i="17"/>
  <c r="AM17" i="17"/>
  <c r="AK13" i="16"/>
  <c r="AM13" i="16"/>
  <c r="AK23" i="15"/>
  <c r="AM23" i="15"/>
  <c r="AM22" i="15"/>
  <c r="AM22" i="14"/>
  <c r="AK22" i="14"/>
  <c r="AK22" i="15"/>
  <c r="AI22" i="16"/>
  <c r="C26" i="15"/>
  <c r="U21" i="15"/>
  <c r="T21" i="15"/>
  <c r="U24" i="15"/>
  <c r="AI22" i="17"/>
  <c r="T24" i="15"/>
  <c r="T20" i="15"/>
  <c r="U20" i="15"/>
  <c r="U19" i="15"/>
  <c r="T19" i="15"/>
  <c r="AK22" i="17" l="1"/>
  <c r="AM22" i="17"/>
  <c r="AK22" i="16"/>
  <c r="AM22" i="16"/>
  <c r="Z14" i="16"/>
  <c r="Z37" i="16"/>
  <c r="Y22" i="16"/>
  <c r="AB9" i="16"/>
  <c r="AB5" i="16"/>
  <c r="Z6" i="16"/>
  <c r="AC28" i="16"/>
  <c r="Z8" i="16"/>
  <c r="AB17" i="16"/>
  <c r="AB11" i="16"/>
  <c r="AC22" i="16"/>
  <c r="AC27" i="16"/>
  <c r="Z39" i="16"/>
  <c r="Y8" i="16"/>
  <c r="AB8" i="16"/>
  <c r="AA22" i="16"/>
  <c r="Y30" i="16"/>
  <c r="AB27" i="16"/>
  <c r="Y36" i="16"/>
  <c r="AB28" i="16"/>
  <c r="AA16" i="16"/>
  <c r="Y5" i="16"/>
  <c r="Y17" i="16"/>
  <c r="AA11" i="16"/>
  <c r="AC32" i="16"/>
  <c r="AC29" i="16"/>
  <c r="Z15" i="16"/>
  <c r="AB35" i="16"/>
  <c r="Y29" i="16"/>
  <c r="AB12" i="16"/>
  <c r="Z28" i="16"/>
  <c r="Z34" i="16"/>
  <c r="Z9" i="16"/>
  <c r="AB26" i="16"/>
  <c r="AA30" i="16"/>
  <c r="AB34" i="16"/>
  <c r="AB20" i="16"/>
  <c r="AA8" i="16"/>
  <c r="AB30" i="16"/>
  <c r="Z30" i="16"/>
  <c r="Y33" i="16"/>
  <c r="AB21" i="16"/>
  <c r="AA21" i="16"/>
  <c r="AC33" i="16"/>
  <c r="AC39" i="16"/>
  <c r="Z22" i="16"/>
  <c r="AB4" i="16"/>
  <c r="Z20" i="16"/>
  <c r="Z33" i="16"/>
  <c r="AC7" i="16"/>
  <c r="Y10" i="16"/>
  <c r="AC30" i="16"/>
  <c r="AC8" i="16"/>
  <c r="AB33" i="16"/>
  <c r="Y12" i="16"/>
  <c r="AA18" i="16"/>
  <c r="Z5" i="16"/>
  <c r="AC21" i="16"/>
  <c r="AA19" i="16"/>
  <c r="Z19" i="16"/>
  <c r="AA10" i="16"/>
  <c r="Z23" i="16"/>
  <c r="AA35" i="16"/>
  <c r="Y37" i="16"/>
  <c r="AA37" i="16"/>
  <c r="AB13" i="16"/>
  <c r="AB36" i="16"/>
  <c r="Z12" i="16"/>
  <c r="Z18" i="16"/>
  <c r="AA7" i="16"/>
  <c r="Y7" i="16"/>
  <c r="AC35" i="16"/>
  <c r="Z35" i="16"/>
  <c r="AA6" i="16"/>
  <c r="Z13" i="16"/>
  <c r="AB23" i="16"/>
  <c r="Y26" i="16"/>
  <c r="Y39" i="16"/>
  <c r="Y38" i="16"/>
  <c r="Y18" i="16"/>
  <c r="Z10" i="16"/>
  <c r="Z24" i="16"/>
  <c r="AB16" i="16"/>
  <c r="AA39" i="16"/>
  <c r="AB29" i="16"/>
  <c r="AC19" i="16"/>
  <c r="Z25" i="16"/>
  <c r="Z26" i="16"/>
  <c r="Y6" i="16"/>
  <c r="Y11" i="16"/>
  <c r="AA5" i="16"/>
  <c r="Y27" i="16"/>
  <c r="AB6" i="16"/>
  <c r="AA17" i="16"/>
  <c r="Y28" i="16"/>
  <c r="AC34" i="16"/>
  <c r="Z32" i="16"/>
  <c r="AA3" i="16"/>
  <c r="Y16" i="16"/>
  <c r="AB25" i="16"/>
  <c r="AB38" i="16"/>
  <c r="Y19" i="16"/>
  <c r="Z36" i="16"/>
  <c r="AB10" i="16"/>
  <c r="AC37" i="16"/>
  <c r="Z11" i="16"/>
  <c r="AC20" i="16"/>
  <c r="AA27" i="16"/>
  <c r="AA24" i="16"/>
  <c r="AA4" i="16"/>
  <c r="AC15" i="16"/>
  <c r="AC38" i="16"/>
  <c r="AB24" i="16"/>
  <c r="AC18" i="16"/>
  <c r="Y21" i="16"/>
  <c r="Z31" i="16"/>
  <c r="Y32" i="16"/>
  <c r="AA32" i="16"/>
  <c r="AA34" i="16"/>
  <c r="AB18" i="16"/>
  <c r="AB22" i="16"/>
  <c r="AB14" i="16"/>
  <c r="AC36" i="16"/>
  <c r="AA31" i="16"/>
  <c r="Y9" i="16"/>
  <c r="AA33" i="16"/>
  <c r="AC14" i="16"/>
  <c r="AA20" i="16"/>
  <c r="AC31" i="16"/>
  <c r="Y15" i="16"/>
  <c r="AB39" i="16"/>
  <c r="AB19" i="16"/>
  <c r="Z3" i="16"/>
  <c r="AB3" i="16"/>
  <c r="Z7" i="16"/>
  <c r="Y23" i="16"/>
  <c r="AA15" i="16"/>
  <c r="Y35" i="16"/>
  <c r="Z16" i="16"/>
  <c r="Y24" i="16"/>
  <c r="Y13" i="16"/>
  <c r="Y25" i="16"/>
  <c r="AA36" i="16"/>
  <c r="Y14" i="16"/>
  <c r="AB15" i="16"/>
  <c r="AB31" i="16"/>
  <c r="AA25" i="16"/>
  <c r="AC12" i="16"/>
  <c r="AC23" i="16"/>
  <c r="AC25" i="16"/>
  <c r="AA14" i="16"/>
  <c r="Y3" i="16"/>
  <c r="Y20" i="16"/>
  <c r="AB37" i="16"/>
  <c r="AC17" i="16"/>
  <c r="AB7" i="16"/>
  <c r="AA28" i="16"/>
  <c r="AC13" i="16"/>
  <c r="AA38" i="16"/>
  <c r="AC11" i="16"/>
  <c r="AA13" i="16"/>
  <c r="AA9" i="16"/>
  <c r="AC4" i="16"/>
  <c r="AC3" i="16"/>
  <c r="AC24" i="16"/>
  <c r="Z17" i="16"/>
  <c r="Z29" i="16"/>
  <c r="Y4" i="16"/>
  <c r="Y34" i="16"/>
  <c r="AC5" i="16"/>
  <c r="AB32" i="16"/>
  <c r="AA29" i="16"/>
  <c r="Z21" i="16"/>
  <c r="Y31" i="16"/>
  <c r="AC26" i="16"/>
  <c r="AC16" i="16"/>
  <c r="Z4" i="16"/>
  <c r="AA26" i="16"/>
  <c r="AA23" i="16"/>
  <c r="AC9" i="16"/>
  <c r="Z27" i="16"/>
  <c r="Z38" i="16"/>
  <c r="AA12" i="16"/>
  <c r="AC10" i="16"/>
  <c r="AC6" i="16"/>
  <c r="W15" i="16" l="1"/>
  <c r="W31" i="16"/>
  <c r="W10" i="16"/>
  <c r="W33" i="16"/>
  <c r="W3" i="16"/>
  <c r="W16" i="16"/>
  <c r="W23" i="16"/>
  <c r="W6" i="16"/>
  <c r="W8" i="16"/>
  <c r="W38" i="16"/>
  <c r="W29" i="16"/>
  <c r="W34" i="16"/>
  <c r="W7" i="16"/>
  <c r="W36" i="16"/>
  <c r="W13" i="16"/>
  <c r="W4" i="16"/>
  <c r="W5" i="16"/>
  <c r="W21" i="16"/>
  <c r="W25" i="16"/>
  <c r="W19" i="16"/>
  <c r="W28" i="16"/>
  <c r="W17" i="16"/>
  <c r="W9" i="16"/>
  <c r="W30" i="16"/>
  <c r="W39" i="16"/>
  <c r="W26" i="16"/>
  <c r="W22" i="16"/>
  <c r="W14" i="16"/>
  <c r="W20" i="16"/>
  <c r="W24" i="16"/>
  <c r="W37" i="16"/>
  <c r="W35" i="16"/>
  <c r="W32" i="16"/>
  <c r="W11" i="16"/>
  <c r="W12" i="16"/>
  <c r="W27" i="16"/>
  <c r="W18" i="16"/>
  <c r="D29" i="1"/>
  <c r="C38" i="1"/>
  <c r="C37" i="1"/>
  <c r="H39" i="1" l="1"/>
  <c r="D41" i="1"/>
  <c r="D30" i="1"/>
  <c r="AD2" i="16" a="1"/>
  <c r="D37" i="1"/>
  <c r="D38" i="1"/>
  <c r="AD28" i="16" l="1"/>
  <c r="AD33" i="16"/>
  <c r="AD38" i="16"/>
  <c r="AD4" i="16"/>
  <c r="AD9" i="16"/>
  <c r="AD14" i="16"/>
  <c r="AD19" i="16"/>
  <c r="AD24" i="16"/>
  <c r="AD29" i="16"/>
  <c r="AD34" i="16"/>
  <c r="AD39" i="16"/>
  <c r="AD5" i="16"/>
  <c r="AD10" i="16"/>
  <c r="AD15" i="16"/>
  <c r="AD20" i="16"/>
  <c r="AD25" i="16"/>
  <c r="AD30" i="16"/>
  <c r="AD35" i="16"/>
  <c r="AD26" i="16"/>
  <c r="AD6" i="16"/>
  <c r="AD11" i="16"/>
  <c r="AD16" i="16"/>
  <c r="AD21" i="16"/>
  <c r="AD12" i="16"/>
  <c r="AD31" i="16"/>
  <c r="AD36" i="16"/>
  <c r="AD2" i="16"/>
  <c r="AD7" i="16"/>
  <c r="AD37" i="16"/>
  <c r="AD17" i="16"/>
  <c r="AD22" i="16"/>
  <c r="AD27" i="16"/>
  <c r="AD32" i="16"/>
  <c r="AD23" i="16"/>
  <c r="AD3" i="16"/>
  <c r="AD8" i="16"/>
  <c r="AD13" i="16"/>
  <c r="AD18" i="16"/>
  <c r="H23" i="1"/>
  <c r="C39" i="1"/>
  <c r="C23" i="1"/>
  <c r="X3" i="15" a="1"/>
  <c r="X3" i="17" a="1"/>
  <c r="D39" i="1"/>
  <c r="X32" i="17" l="1"/>
  <c r="X25" i="17"/>
  <c r="X19" i="17"/>
  <c r="X20" i="17"/>
  <c r="X22" i="17"/>
  <c r="X12" i="17"/>
  <c r="X11" i="17"/>
  <c r="X17" i="17"/>
  <c r="X30" i="17"/>
  <c r="X8" i="17"/>
  <c r="X31" i="17"/>
  <c r="X7" i="17"/>
  <c r="X27" i="17"/>
  <c r="X26" i="17"/>
  <c r="X23" i="17"/>
  <c r="X9" i="17"/>
  <c r="X3" i="17"/>
  <c r="X18" i="17"/>
  <c r="X14" i="17"/>
  <c r="X4" i="17"/>
  <c r="X5" i="17"/>
  <c r="X13" i="17"/>
  <c r="X21" i="17"/>
  <c r="X29" i="17"/>
  <c r="X16" i="17"/>
  <c r="X24" i="17"/>
  <c r="X28" i="17"/>
  <c r="X6" i="17"/>
  <c r="X15" i="17"/>
  <c r="X10" i="17"/>
  <c r="X46" i="15"/>
  <c r="X18" i="15"/>
  <c r="X3" i="15"/>
  <c r="X39" i="15"/>
  <c r="X26" i="15"/>
  <c r="X25" i="15"/>
  <c r="X8" i="15"/>
  <c r="X14" i="15"/>
  <c r="X41" i="15"/>
  <c r="X38" i="15"/>
  <c r="X35" i="15"/>
  <c r="X16" i="15"/>
  <c r="X33" i="15"/>
  <c r="X6" i="15"/>
  <c r="X32" i="15"/>
  <c r="X34" i="15"/>
  <c r="X29" i="15"/>
  <c r="X45" i="15"/>
  <c r="X48" i="15"/>
  <c r="X24" i="15"/>
  <c r="X28" i="15"/>
  <c r="X11" i="15"/>
  <c r="X21" i="15"/>
  <c r="X30" i="15"/>
  <c r="X7" i="15"/>
  <c r="X47" i="15"/>
  <c r="X15" i="15"/>
  <c r="X50" i="15"/>
  <c r="X17" i="15"/>
  <c r="X13" i="15"/>
  <c r="X23" i="15"/>
  <c r="X49" i="15"/>
  <c r="X51" i="15"/>
  <c r="X20" i="15"/>
  <c r="X36" i="15"/>
  <c r="X40" i="15"/>
  <c r="X31" i="15"/>
  <c r="X43" i="15"/>
  <c r="X44" i="15"/>
  <c r="X42" i="15"/>
  <c r="X5" i="15"/>
  <c r="X10" i="15"/>
  <c r="X22" i="15"/>
  <c r="X12" i="15"/>
  <c r="X4" i="15"/>
  <c r="X19" i="15"/>
  <c r="X27" i="15"/>
  <c r="X37" i="15"/>
  <c r="X9" i="15"/>
  <c r="AB30" i="17"/>
  <c r="Z26" i="15"/>
  <c r="Y23" i="15"/>
  <c r="AA25" i="17"/>
  <c r="Y6" i="17"/>
  <c r="AA34" i="15"/>
  <c r="Y45" i="15"/>
  <c r="AA28" i="17"/>
  <c r="Z27" i="15"/>
  <c r="AC20" i="17"/>
  <c r="AB23" i="17"/>
  <c r="AC33" i="15"/>
  <c r="Y25" i="17"/>
  <c r="AC30" i="15"/>
  <c r="AB14" i="17"/>
  <c r="Y38" i="15"/>
  <c r="AA30" i="15"/>
  <c r="Y31" i="15"/>
  <c r="AA13" i="15"/>
  <c r="AA33" i="15"/>
  <c r="AA25" i="15"/>
  <c r="Z31" i="17"/>
  <c r="Y12" i="15"/>
  <c r="AA3" i="15"/>
  <c r="AC39" i="15"/>
  <c r="AA49" i="15"/>
  <c r="AC34" i="15"/>
  <c r="Y28" i="17"/>
  <c r="AB10" i="15"/>
  <c r="Z14" i="15"/>
  <c r="AB19" i="17"/>
  <c r="Z47" i="15"/>
  <c r="Z10" i="17"/>
  <c r="AC19" i="17"/>
  <c r="AB12" i="15"/>
  <c r="Z48" i="15"/>
  <c r="AA50" i="15"/>
  <c r="Z15" i="15"/>
  <c r="AB24" i="15"/>
  <c r="AC36" i="15"/>
  <c r="Y24" i="15"/>
  <c r="Z22" i="17"/>
  <c r="Y12" i="17"/>
  <c r="Y5" i="17"/>
  <c r="AB12" i="17"/>
  <c r="AC15" i="17"/>
  <c r="AA13" i="17"/>
  <c r="AB5" i="17"/>
  <c r="AB10" i="17"/>
  <c r="AB29" i="15"/>
  <c r="AA10" i="15"/>
  <c r="AA23" i="17"/>
  <c r="Y15" i="17"/>
  <c r="Y26" i="17"/>
  <c r="AA22" i="17"/>
  <c r="Y43" i="15"/>
  <c r="AB33" i="15"/>
  <c r="AB25" i="15"/>
  <c r="AB22" i="15"/>
  <c r="AB40" i="15"/>
  <c r="AC18" i="15"/>
  <c r="AC21" i="17"/>
  <c r="Y28" i="15"/>
  <c r="Z18" i="17"/>
  <c r="AB42" i="15"/>
  <c r="AB28" i="17"/>
  <c r="AB25" i="17"/>
  <c r="AC14" i="15"/>
  <c r="AB17" i="15"/>
  <c r="Z6" i="17"/>
  <c r="Z19" i="17"/>
  <c r="AA4" i="17"/>
  <c r="AC14" i="17"/>
  <c r="AA7" i="17"/>
  <c r="AA14" i="17"/>
  <c r="Z7" i="17"/>
  <c r="AA32" i="15"/>
  <c r="AB14" i="15"/>
  <c r="AC21" i="15"/>
  <c r="AB34" i="15"/>
  <c r="AC44" i="15"/>
  <c r="AB30" i="15"/>
  <c r="AB23" i="15"/>
  <c r="AC25" i="17"/>
  <c r="Z5" i="15"/>
  <c r="AC12" i="17"/>
  <c r="AC13" i="17"/>
  <c r="AB21" i="15"/>
  <c r="Y3" i="17"/>
  <c r="AA18" i="15"/>
  <c r="Z16" i="17"/>
  <c r="AA6" i="15"/>
  <c r="AC6" i="17"/>
  <c r="AA41" i="15"/>
  <c r="AB11" i="17"/>
  <c r="AC49" i="15"/>
  <c r="Y39" i="15"/>
  <c r="Z12" i="15"/>
  <c r="AC12" i="15"/>
  <c r="Y24" i="17"/>
  <c r="AA35" i="15"/>
  <c r="AC15" i="15"/>
  <c r="AC51" i="15"/>
  <c r="Y11" i="15"/>
  <c r="Y3" i="15"/>
  <c r="AB8" i="17"/>
  <c r="AC38" i="15"/>
  <c r="Y14" i="17"/>
  <c r="Y25" i="15"/>
  <c r="AA26" i="15"/>
  <c r="Y18" i="15"/>
  <c r="Z29" i="17"/>
  <c r="AB16" i="17"/>
  <c r="Z6" i="15"/>
  <c r="Y46" i="15"/>
  <c r="Y16" i="17"/>
  <c r="Z28" i="15"/>
  <c r="AA27" i="15"/>
  <c r="Y8" i="17"/>
  <c r="AC25" i="15"/>
  <c r="AC42" i="15"/>
  <c r="AB32" i="17"/>
  <c r="Y26" i="15"/>
  <c r="AB7" i="15"/>
  <c r="AB6" i="17"/>
  <c r="Y41" i="15"/>
  <c r="AB31" i="15"/>
  <c r="AA24" i="17"/>
  <c r="Y23" i="17"/>
  <c r="Z33" i="15"/>
  <c r="AC16" i="15"/>
  <c r="Y48" i="15"/>
  <c r="AC47" i="15"/>
  <c r="Y5" i="15"/>
  <c r="AC8" i="15"/>
  <c r="AA29" i="17"/>
  <c r="Z14" i="17"/>
  <c r="AA24" i="15"/>
  <c r="AC10" i="15"/>
  <c r="AA36" i="15"/>
  <c r="Y11" i="17"/>
  <c r="Y9" i="17"/>
  <c r="AC9" i="17"/>
  <c r="Z22" i="15"/>
  <c r="AC31" i="17"/>
  <c r="AB4" i="17"/>
  <c r="Y19" i="17"/>
  <c r="Z26" i="17"/>
  <c r="AC8" i="17"/>
  <c r="Y33" i="15"/>
  <c r="AB28" i="15"/>
  <c r="AB35" i="15"/>
  <c r="AA17" i="15"/>
  <c r="Z49" i="15"/>
  <c r="AC24" i="17"/>
  <c r="AA11" i="15"/>
  <c r="AA37" i="15"/>
  <c r="AA3" i="17"/>
  <c r="AA28" i="15"/>
  <c r="AB29" i="17"/>
  <c r="Z25" i="15"/>
  <c r="AB5" i="15"/>
  <c r="Z27" i="17"/>
  <c r="Z50" i="15"/>
  <c r="AB41" i="15"/>
  <c r="AC31" i="15"/>
  <c r="AA18" i="17"/>
  <c r="AC41" i="15"/>
  <c r="Y44" i="15"/>
  <c r="Y30" i="15"/>
  <c r="AC32" i="15"/>
  <c r="Y10" i="17"/>
  <c r="AB22" i="17"/>
  <c r="AC19" i="15"/>
  <c r="AB26" i="15"/>
  <c r="Y4" i="17"/>
  <c r="Z25" i="17"/>
  <c r="AC29" i="15"/>
  <c r="Z4" i="15"/>
  <c r="AA16" i="15"/>
  <c r="AB21" i="17"/>
  <c r="AC28" i="15"/>
  <c r="AA39" i="15"/>
  <c r="Y42" i="15"/>
  <c r="AC27" i="17"/>
  <c r="Z43" i="15"/>
  <c r="AC17" i="15"/>
  <c r="AB13" i="15"/>
  <c r="Z17" i="15"/>
  <c r="AB6" i="15"/>
  <c r="Y17" i="15"/>
  <c r="AB11" i="15"/>
  <c r="Y27" i="15"/>
  <c r="AC23" i="17"/>
  <c r="Y49" i="15"/>
  <c r="Z23" i="17"/>
  <c r="AC17" i="17"/>
  <c r="Y29" i="15"/>
  <c r="Y7" i="15"/>
  <c r="Z34" i="15"/>
  <c r="AB9" i="15"/>
  <c r="AC13" i="15"/>
  <c r="AB15" i="17"/>
  <c r="Y40" i="15"/>
  <c r="Y22" i="17"/>
  <c r="AB50" i="15"/>
  <c r="AA46" i="15"/>
  <c r="Y21" i="15"/>
  <c r="AA15" i="17"/>
  <c r="AB26" i="17"/>
  <c r="AA5" i="17"/>
  <c r="AA12" i="17"/>
  <c r="AC22" i="17"/>
  <c r="Z12" i="17"/>
  <c r="Z51" i="15"/>
  <c r="AC29" i="17"/>
  <c r="AB51" i="15"/>
  <c r="Y20" i="15"/>
  <c r="AA45" i="15"/>
  <c r="AB45" i="15"/>
  <c r="Z29" i="15"/>
  <c r="AA40" i="15"/>
  <c r="Z32" i="17"/>
  <c r="AA9" i="17"/>
  <c r="Z15" i="17"/>
  <c r="AA11" i="17"/>
  <c r="Z44" i="15"/>
  <c r="Z30" i="15"/>
  <c r="AB32" i="15"/>
  <c r="AB43" i="15"/>
  <c r="Z10" i="15"/>
  <c r="AC3" i="15"/>
  <c r="AB24" i="17"/>
  <c r="Z42" i="15"/>
  <c r="AA29" i="15"/>
  <c r="Z11" i="17"/>
  <c r="AC4" i="17"/>
  <c r="AA15" i="15"/>
  <c r="Z9" i="15"/>
  <c r="AA44" i="15"/>
  <c r="AC35" i="15"/>
  <c r="AC32" i="17"/>
  <c r="AB44" i="15"/>
  <c r="Y29" i="17"/>
  <c r="AA17" i="17"/>
  <c r="AA21" i="17"/>
  <c r="Z3" i="17"/>
  <c r="AC22" i="15"/>
  <c r="AB37" i="15"/>
  <c r="AB13" i="17"/>
  <c r="Y14" i="15"/>
  <c r="AA19" i="15"/>
  <c r="AB27" i="15"/>
  <c r="AC50" i="15"/>
  <c r="Z30" i="17"/>
  <c r="Z31" i="15"/>
  <c r="AC43" i="15"/>
  <c r="AC11" i="15"/>
  <c r="AB20" i="15"/>
  <c r="Y9" i="15"/>
  <c r="AB20" i="17"/>
  <c r="Z4" i="17"/>
  <c r="Y21" i="17"/>
  <c r="AA12" i="15"/>
  <c r="AC26" i="17"/>
  <c r="Y15" i="15"/>
  <c r="AB39" i="15"/>
  <c r="AA8" i="17"/>
  <c r="Y6" i="15"/>
  <c r="AC48" i="15"/>
  <c r="AC4" i="15"/>
  <c r="Z7" i="15"/>
  <c r="Y16" i="15"/>
  <c r="Z13" i="15"/>
  <c r="Z21" i="17"/>
  <c r="Y35" i="15"/>
  <c r="AA4" i="15"/>
  <c r="Y47" i="15"/>
  <c r="AA43" i="15"/>
  <c r="AB9" i="17"/>
  <c r="Z8" i="15"/>
  <c r="Z20" i="17"/>
  <c r="AA5" i="15"/>
  <c r="AA27" i="17"/>
  <c r="AB16" i="15"/>
  <c r="Z9" i="17"/>
  <c r="AB17" i="17"/>
  <c r="AB46" i="15"/>
  <c r="AC11" i="17"/>
  <c r="AC37" i="15"/>
  <c r="Y32" i="15"/>
  <c r="AA10" i="17"/>
  <c r="AB4" i="15"/>
  <c r="Z16" i="15"/>
  <c r="AC45" i="15"/>
  <c r="Y51" i="15"/>
  <c r="AC10" i="17"/>
  <c r="AA38" i="15"/>
  <c r="AB38" i="15"/>
  <c r="AB8" i="15"/>
  <c r="AA21" i="15"/>
  <c r="AA20" i="17"/>
  <c r="Y37" i="15"/>
  <c r="Y34" i="15"/>
  <c r="Y10" i="15"/>
  <c r="Z24" i="17"/>
  <c r="Y22" i="15"/>
  <c r="AB18" i="15"/>
  <c r="Z36" i="15"/>
  <c r="AC18" i="17"/>
  <c r="Z11" i="15"/>
  <c r="AB18" i="17"/>
  <c r="AC46" i="15"/>
  <c r="AC27" i="15"/>
  <c r="AC5" i="15"/>
  <c r="Z46" i="15"/>
  <c r="AA22" i="15"/>
  <c r="Y8" i="15"/>
  <c r="AA19" i="17"/>
  <c r="AC6" i="15"/>
  <c r="Z17" i="17"/>
  <c r="AA30" i="17"/>
  <c r="Z18" i="15"/>
  <c r="AC30" i="17"/>
  <c r="Y18" i="17"/>
  <c r="Y4" i="15"/>
  <c r="Y36" i="15"/>
  <c r="Y27" i="17"/>
  <c r="Y17" i="17"/>
  <c r="Z24" i="15"/>
  <c r="AB19" i="15"/>
  <c r="Z41" i="15"/>
  <c r="AB48" i="15"/>
  <c r="AB27" i="17"/>
  <c r="Z20" i="15"/>
  <c r="Y19" i="15"/>
  <c r="AC3" i="17"/>
  <c r="Z23" i="15"/>
  <c r="AA6" i="17"/>
  <c r="Z45" i="15"/>
  <c r="AA8" i="15"/>
  <c r="Z40" i="15"/>
  <c r="Z3" i="15"/>
  <c r="AA47" i="15"/>
  <c r="AC9" i="15"/>
  <c r="Z38" i="15"/>
  <c r="AB49" i="15"/>
  <c r="Z37" i="15"/>
  <c r="Y13" i="17"/>
  <c r="Y7" i="17"/>
  <c r="AA51" i="15"/>
  <c r="AC23" i="15"/>
  <c r="AB3" i="15"/>
  <c r="Y32" i="17"/>
  <c r="Z5" i="17"/>
  <c r="AC40" i="15"/>
  <c r="AC5" i="17"/>
  <c r="AC16" i="17"/>
  <c r="AB3" i="17"/>
  <c r="Z8" i="17"/>
  <c r="AB7" i="17"/>
  <c r="Y50" i="15"/>
  <c r="AC26" i="15"/>
  <c r="Z39" i="15"/>
  <c r="Z35" i="15"/>
  <c r="AA31" i="15"/>
  <c r="AA31" i="17"/>
  <c r="AB15" i="15"/>
  <c r="AA7" i="15"/>
  <c r="Y20" i="17"/>
  <c r="Z21" i="15"/>
  <c r="AA16" i="17"/>
  <c r="Z19" i="15"/>
  <c r="AA32" i="17"/>
  <c r="AC28" i="17"/>
  <c r="Z32" i="15"/>
  <c r="AC20" i="15"/>
  <c r="AC7" i="17"/>
  <c r="AA14" i="15"/>
  <c r="AA9" i="15"/>
  <c r="AB31" i="17"/>
  <c r="AA23" i="15"/>
  <c r="AC24" i="15"/>
  <c r="AA42" i="15"/>
  <c r="Y31" i="17"/>
  <c r="AB47" i="15"/>
  <c r="Z13" i="17"/>
  <c r="AB36" i="15"/>
  <c r="AC7" i="15"/>
  <c r="I29" i="1"/>
  <c r="Z28" i="17"/>
  <c r="AA48" i="15"/>
  <c r="AA20" i="15"/>
  <c r="AA26" i="17"/>
  <c r="Y30" i="17"/>
  <c r="Y13" i="15"/>
  <c r="I39" i="1"/>
  <c r="H37" i="1"/>
  <c r="H38" i="1"/>
  <c r="I37" i="1"/>
  <c r="I30" i="1"/>
  <c r="I38" i="1"/>
  <c r="W46" i="15" l="1"/>
  <c r="W21" i="17"/>
  <c r="W25" i="15"/>
  <c r="W7" i="15"/>
  <c r="W48" i="15"/>
  <c r="W32" i="17"/>
  <c r="W29" i="15"/>
  <c r="W13" i="15"/>
  <c r="W50" i="15"/>
  <c r="W20" i="15"/>
  <c r="W4" i="15"/>
  <c r="W6" i="15"/>
  <c r="W20" i="17"/>
  <c r="W39" i="15"/>
  <c r="W49" i="15"/>
  <c r="W5" i="17"/>
  <c r="W14" i="17"/>
  <c r="W12" i="17"/>
  <c r="W10" i="15"/>
  <c r="W27" i="15"/>
  <c r="W33" i="15"/>
  <c r="W24" i="15"/>
  <c r="W17" i="15"/>
  <c r="W9" i="15"/>
  <c r="W34" i="15"/>
  <c r="W18" i="17"/>
  <c r="W30" i="17"/>
  <c r="W9" i="17"/>
  <c r="W37" i="15"/>
  <c r="W29" i="17"/>
  <c r="W21" i="15"/>
  <c r="W42" i="15"/>
  <c r="W11" i="17"/>
  <c r="W22" i="17"/>
  <c r="W15" i="15"/>
  <c r="W3" i="15"/>
  <c r="W51" i="15"/>
  <c r="W7" i="17"/>
  <c r="W40" i="15"/>
  <c r="W18" i="15"/>
  <c r="W28" i="15"/>
  <c r="W28" i="17"/>
  <c r="W19" i="17"/>
  <c r="W11" i="15"/>
  <c r="W13" i="17"/>
  <c r="W4" i="17"/>
  <c r="W12" i="15"/>
  <c r="W32" i="15"/>
  <c r="W10" i="17"/>
  <c r="W43" i="15"/>
  <c r="W3" i="17"/>
  <c r="W30" i="15"/>
  <c r="W26" i="17"/>
  <c r="W44" i="15"/>
  <c r="W15" i="17"/>
  <c r="W31" i="15"/>
  <c r="W38" i="15"/>
  <c r="W23" i="17"/>
  <c r="W25" i="17"/>
  <c r="W31" i="17"/>
  <c r="W41" i="15"/>
  <c r="W14" i="15"/>
  <c r="W19" i="15"/>
  <c r="W24" i="17"/>
  <c r="W47" i="15"/>
  <c r="W26" i="15"/>
  <c r="W35" i="15"/>
  <c r="W45" i="15"/>
  <c r="W5" i="15"/>
  <c r="W6" i="17"/>
  <c r="W16" i="15"/>
  <c r="W8" i="17"/>
  <c r="W17" i="17"/>
  <c r="W23" i="15"/>
  <c r="W8" i="15"/>
  <c r="W27" i="17"/>
  <c r="W22" i="15"/>
  <c r="W36" i="15"/>
  <c r="W16" i="17"/>
  <c r="I41" i="1"/>
  <c r="AD2" i="17" a="1"/>
  <c r="I13" i="1"/>
  <c r="I14" i="1"/>
  <c r="AD2" i="15" a="1"/>
  <c r="AD9" i="17" l="1"/>
  <c r="AD10" i="17"/>
  <c r="AD22" i="17"/>
  <c r="AD24" i="17"/>
  <c r="AD20" i="17"/>
  <c r="AD2" i="17"/>
  <c r="AD13" i="17"/>
  <c r="AD7" i="17"/>
  <c r="AD32" i="17"/>
  <c r="AD31" i="17"/>
  <c r="AD3" i="17"/>
  <c r="AD27" i="17"/>
  <c r="AD30" i="17"/>
  <c r="AD25" i="17"/>
  <c r="AD23" i="17"/>
  <c r="AD8" i="17"/>
  <c r="AD19" i="17"/>
  <c r="AD6" i="17"/>
  <c r="AD17" i="17"/>
  <c r="AD4" i="17"/>
  <c r="AD18" i="17"/>
  <c r="AD29" i="17"/>
  <c r="AD11" i="17"/>
  <c r="AD5" i="17"/>
  <c r="AD16" i="17"/>
  <c r="AD15" i="17"/>
  <c r="AD14" i="17"/>
  <c r="AD21" i="17"/>
  <c r="AD12" i="17"/>
  <c r="AD28" i="17"/>
  <c r="AD26" i="17"/>
  <c r="AD11" i="15"/>
  <c r="AD3" i="15"/>
  <c r="AD10" i="15"/>
  <c r="AD35" i="15"/>
  <c r="AD19" i="15"/>
  <c r="AD48" i="15"/>
  <c r="AD51" i="15"/>
  <c r="AD15" i="15"/>
  <c r="AD26" i="15"/>
  <c r="AD8" i="15"/>
  <c r="AD16" i="15"/>
  <c r="AD6" i="15"/>
  <c r="AD29" i="15"/>
  <c r="AD44" i="15"/>
  <c r="AD42" i="15"/>
  <c r="AD18" i="15"/>
  <c r="AD4" i="15"/>
  <c r="AD49" i="15"/>
  <c r="AD22" i="15"/>
  <c r="AD38" i="15"/>
  <c r="AD14" i="15"/>
  <c r="AD33" i="15"/>
  <c r="AD34" i="15"/>
  <c r="AD41" i="15"/>
  <c r="AD23" i="15"/>
  <c r="AD31" i="15"/>
  <c r="AD37" i="15"/>
  <c r="AD7" i="15"/>
  <c r="AD36" i="15"/>
  <c r="AD45" i="15"/>
  <c r="AD39" i="15"/>
  <c r="AD13" i="15"/>
  <c r="AD12" i="15"/>
  <c r="AD17" i="15"/>
  <c r="AD21" i="15"/>
  <c r="AD46" i="15"/>
  <c r="AD24" i="15"/>
  <c r="AD5" i="15"/>
  <c r="AD40" i="15"/>
  <c r="AD50" i="15"/>
  <c r="AD20" i="15"/>
  <c r="AD25" i="15"/>
  <c r="AD43" i="15"/>
  <c r="AD32" i="15"/>
  <c r="AD9" i="15"/>
  <c r="AD47" i="15"/>
  <c r="AD28" i="15"/>
  <c r="AD27" i="15"/>
  <c r="AD2" i="15"/>
  <c r="AD30" i="15"/>
  <c r="I25" i="1"/>
  <c r="H22" i="1"/>
  <c r="H21" i="1"/>
  <c r="I22" i="1"/>
  <c r="I21" i="1"/>
  <c r="I23" i="1"/>
  <c r="Y52" i="15" l="1"/>
  <c r="Y40" i="16"/>
  <c r="Y33" i="17"/>
  <c r="X3" i="14" l="1" a="1"/>
  <c r="X3" i="14"/>
  <c r="X12" i="14"/>
  <c r="X21" i="14"/>
  <c r="X30" i="14"/>
  <c r="X39" i="14"/>
  <c r="X48" i="14"/>
  <c r="X57" i="14"/>
  <c r="X10" i="14"/>
  <c r="X11" i="14"/>
  <c r="X20" i="14"/>
  <c r="X29" i="14"/>
  <c r="X38" i="14"/>
  <c r="X47" i="14"/>
  <c r="X56" i="14"/>
  <c r="X18" i="14"/>
  <c r="X19" i="14"/>
  <c r="X28" i="14"/>
  <c r="X37" i="14"/>
  <c r="X46" i="14"/>
  <c r="X55" i="14"/>
  <c r="X9" i="14"/>
  <c r="X26" i="14"/>
  <c r="X27" i="14"/>
  <c r="X36" i="14"/>
  <c r="X45" i="14"/>
  <c r="X54" i="14"/>
  <c r="X8" i="14"/>
  <c r="X17" i="14"/>
  <c r="X34" i="14"/>
  <c r="X35" i="14"/>
  <c r="X44" i="14"/>
  <c r="X53" i="14"/>
  <c r="X7" i="14"/>
  <c r="X16" i="14"/>
  <c r="X25" i="14"/>
  <c r="X42" i="14"/>
  <c r="X43" i="14"/>
  <c r="X52" i="14"/>
  <c r="X6" i="14"/>
  <c r="X15" i="14"/>
  <c r="X24" i="14"/>
  <c r="X33" i="14"/>
  <c r="X51" i="14"/>
  <c r="X32" i="14"/>
  <c r="X4" i="14"/>
  <c r="X40" i="14"/>
  <c r="X5" i="14"/>
  <c r="X41" i="14"/>
  <c r="X13" i="14"/>
  <c r="X49" i="14"/>
  <c r="X14" i="14"/>
  <c r="X22" i="14"/>
  <c r="X50" i="14"/>
  <c r="X23" i="14"/>
  <c r="X58" i="14"/>
  <c r="X31" i="14"/>
  <c r="Z3" i="14"/>
  <c r="AC3" i="14"/>
  <c r="Y3" i="14"/>
  <c r="AA3" i="14"/>
  <c r="AB3" i="14"/>
  <c r="Z11" i="14"/>
  <c r="AA11" i="14"/>
  <c r="Y11" i="14"/>
  <c r="AC11" i="14"/>
  <c r="AB11" i="14"/>
  <c r="AA28" i="14"/>
  <c r="Y28" i="14"/>
  <c r="AB28" i="14"/>
  <c r="AC28" i="14"/>
  <c r="Z28" i="14"/>
  <c r="AB45" i="14"/>
  <c r="AA45" i="14"/>
  <c r="Z45" i="14"/>
  <c r="AC45" i="14"/>
  <c r="Y45" i="14"/>
  <c r="Y7" i="14"/>
  <c r="AA7" i="14"/>
  <c r="AB7" i="14"/>
  <c r="Z7" i="14"/>
  <c r="AC7" i="14"/>
  <c r="AB24" i="14"/>
  <c r="Z24" i="14"/>
  <c r="AA24" i="14"/>
  <c r="AC24" i="14"/>
  <c r="Y24" i="14"/>
  <c r="AC13" i="14"/>
  <c r="Y13" i="14"/>
  <c r="AA13" i="14"/>
  <c r="AB13" i="14"/>
  <c r="Z13" i="14"/>
  <c r="AB16" i="14"/>
  <c r="Y16" i="14"/>
  <c r="AA16" i="14"/>
  <c r="Z16" i="14"/>
  <c r="AC16" i="14"/>
  <c r="AA49" i="14"/>
  <c r="AB49" i="14"/>
  <c r="Z49" i="14"/>
  <c r="AC49" i="14"/>
  <c r="Y49" i="14"/>
  <c r="AB46" i="14"/>
  <c r="AC46" i="14"/>
  <c r="Y46" i="14"/>
  <c r="AA46" i="14"/>
  <c r="Z46" i="14"/>
  <c r="AA25" i="14"/>
  <c r="AC25" i="14"/>
  <c r="Z25" i="14"/>
  <c r="AB25" i="14"/>
  <c r="Y25" i="14"/>
  <c r="Z51" i="14"/>
  <c r="AC51" i="14"/>
  <c r="AA51" i="14"/>
  <c r="Y51" i="14"/>
  <c r="AB51" i="14"/>
  <c r="Z30" i="14"/>
  <c r="AA30" i="14"/>
  <c r="AB30" i="14"/>
  <c r="AC30" i="14"/>
  <c r="Y30" i="14"/>
  <c r="AA32" i="14"/>
  <c r="AB32" i="14"/>
  <c r="Z32" i="14"/>
  <c r="AC32" i="14"/>
  <c r="Y32" i="14"/>
  <c r="Z9" i="14"/>
  <c r="AB9" i="14"/>
  <c r="Y9" i="14"/>
  <c r="AC9" i="14"/>
  <c r="AA9" i="14"/>
  <c r="AA43" i="14"/>
  <c r="AC43" i="14"/>
  <c r="AB43" i="14"/>
  <c r="Z43" i="14"/>
  <c r="Y43" i="14"/>
  <c r="AA50" i="14"/>
  <c r="AC50" i="14"/>
  <c r="Y50" i="14"/>
  <c r="AB50" i="14"/>
  <c r="Z50" i="14"/>
  <c r="AC48" i="14"/>
  <c r="AB48" i="14"/>
  <c r="AA48" i="14"/>
  <c r="Y48" i="14"/>
  <c r="Z48" i="14"/>
  <c r="Z35" i="14"/>
  <c r="AA35" i="14"/>
  <c r="Y35" i="14"/>
  <c r="AC35" i="14"/>
  <c r="AB35" i="14"/>
  <c r="AB27" i="14"/>
  <c r="AA27" i="14"/>
  <c r="Z27" i="14"/>
  <c r="AC27" i="14"/>
  <c r="Y27" i="14"/>
  <c r="Y5" i="14"/>
  <c r="Z5" i="14"/>
  <c r="AA5" i="14"/>
  <c r="AB5" i="14"/>
  <c r="AC5" i="14"/>
  <c r="Y53" i="14"/>
  <c r="AB53" i="14"/>
  <c r="Z53" i="14"/>
  <c r="AA53" i="14"/>
  <c r="AC53" i="14"/>
  <c r="Y15" i="14"/>
  <c r="AA15" i="14"/>
  <c r="Z15" i="14"/>
  <c r="AC15" i="14"/>
  <c r="AB15" i="14"/>
  <c r="Z41" i="14"/>
  <c r="AC41" i="14"/>
  <c r="Y41" i="14"/>
  <c r="AA41" i="14"/>
  <c r="AB41" i="14"/>
  <c r="AB31" i="14"/>
  <c r="Z31" i="14"/>
  <c r="AA31" i="14"/>
  <c r="Y31" i="14"/>
  <c r="AC31" i="14"/>
  <c r="Y12" i="14"/>
  <c r="Z12" i="14"/>
  <c r="AA12" i="14"/>
  <c r="AC12" i="14"/>
  <c r="AB12" i="14"/>
  <c r="Z20" i="14"/>
  <c r="AB20" i="14"/>
  <c r="Y20" i="14"/>
  <c r="AC20" i="14"/>
  <c r="AA20" i="14"/>
  <c r="Z37" i="14"/>
  <c r="AA37" i="14"/>
  <c r="Y37" i="14"/>
  <c r="AB37" i="14"/>
  <c r="AC37" i="14"/>
  <c r="Y54" i="14"/>
  <c r="AB54" i="14"/>
  <c r="Z54" i="14"/>
  <c r="AC54" i="14"/>
  <c r="AA54" i="14"/>
  <c r="AA33" i="14"/>
  <c r="AB33" i="14"/>
  <c r="Z33" i="14"/>
  <c r="AC33" i="14"/>
  <c r="Y33" i="14"/>
  <c r="AB29" i="14"/>
  <c r="Y29" i="14"/>
  <c r="AA29" i="14"/>
  <c r="AC29" i="14"/>
  <c r="Z29" i="14"/>
  <c r="Z8" i="14"/>
  <c r="Y8" i="14"/>
  <c r="AA8" i="14"/>
  <c r="AB8" i="14"/>
  <c r="AC8" i="14"/>
  <c r="Z14" i="14"/>
  <c r="AB14" i="14"/>
  <c r="AA14" i="14"/>
  <c r="Y14" i="14"/>
  <c r="AC14" i="14"/>
  <c r="AA38" i="14"/>
  <c r="AB38" i="14"/>
  <c r="Z38" i="14"/>
  <c r="AC38" i="14"/>
  <c r="Y38" i="14"/>
  <c r="AB42" i="14"/>
  <c r="Y42" i="14"/>
  <c r="AC42" i="14"/>
  <c r="AA42" i="14"/>
  <c r="Z42" i="14"/>
  <c r="Z39" i="14"/>
  <c r="AC39" i="14"/>
  <c r="AA39" i="14"/>
  <c r="AB39" i="14"/>
  <c r="Y39" i="14"/>
  <c r="AA57" i="14"/>
  <c r="AB57" i="14"/>
  <c r="AC57" i="14"/>
  <c r="Y57" i="14"/>
  <c r="Z57" i="14"/>
  <c r="AB58" i="14"/>
  <c r="Y58" i="14"/>
  <c r="Z58" i="14"/>
  <c r="AA58" i="14"/>
  <c r="AC58" i="14"/>
  <c r="Z21" i="14"/>
  <c r="AC21" i="14"/>
  <c r="AB21" i="14"/>
  <c r="AA21" i="14"/>
  <c r="Y21" i="14"/>
  <c r="AA55" i="14"/>
  <c r="Y55" i="14"/>
  <c r="AC55" i="14"/>
  <c r="AB55" i="14"/>
  <c r="Z55" i="14"/>
  <c r="Y17" i="14"/>
  <c r="Z17" i="14"/>
  <c r="AA17" i="14"/>
  <c r="AC17" i="14"/>
  <c r="AB17" i="14"/>
  <c r="Y22" i="14"/>
  <c r="AB22" i="14"/>
  <c r="AC22" i="14"/>
  <c r="AA22" i="14"/>
  <c r="Z22" i="14"/>
  <c r="AA47" i="14"/>
  <c r="Y47" i="14"/>
  <c r="AC47" i="14"/>
  <c r="AB47" i="14"/>
  <c r="Z47" i="14"/>
  <c r="AA34" i="14"/>
  <c r="AB34" i="14"/>
  <c r="Y34" i="14"/>
  <c r="Z34" i="14"/>
  <c r="AC34" i="14"/>
  <c r="Y4" i="14"/>
  <c r="AB4" i="14"/>
  <c r="Z4" i="14"/>
  <c r="AA4" i="14"/>
  <c r="AC4" i="14"/>
  <c r="AC26" i="14"/>
  <c r="Y26" i="14"/>
  <c r="Z26" i="14"/>
  <c r="AA26" i="14"/>
  <c r="AB26" i="14"/>
  <c r="AB52" i="14"/>
  <c r="AC52" i="14"/>
  <c r="Y52" i="14"/>
  <c r="AA52" i="14"/>
  <c r="Z52" i="14"/>
  <c r="AB18" i="14"/>
  <c r="Y18" i="14"/>
  <c r="Z18" i="14"/>
  <c r="AA18" i="14"/>
  <c r="AC18" i="14"/>
  <c r="AA44" i="14"/>
  <c r="Z44" i="14"/>
  <c r="Y44" i="14"/>
  <c r="AC44" i="14"/>
  <c r="AB44" i="14"/>
  <c r="Z6" i="14"/>
  <c r="AB6" i="14"/>
  <c r="AA6" i="14"/>
  <c r="AC6" i="14"/>
  <c r="Y6" i="14"/>
  <c r="AC36" i="14"/>
  <c r="AA36" i="14"/>
  <c r="Z36" i="14"/>
  <c r="Y36" i="14"/>
  <c r="AB36" i="14"/>
  <c r="Z40" i="14"/>
  <c r="Y40" i="14"/>
  <c r="AA40" i="14"/>
  <c r="AC40" i="14"/>
  <c r="AB40" i="14"/>
  <c r="Z10" i="14"/>
  <c r="AA10" i="14"/>
  <c r="AC10" i="14"/>
  <c r="AB10" i="14"/>
  <c r="Y10" i="14"/>
  <c r="Z23" i="14"/>
  <c r="Y23" i="14"/>
  <c r="AC23" i="14"/>
  <c r="AA23" i="14"/>
  <c r="AB23" i="14"/>
  <c r="AC19" i="14"/>
  <c r="AA19" i="14"/>
  <c r="AB19" i="14"/>
  <c r="Z19" i="14"/>
  <c r="Y19" i="14"/>
  <c r="AB56" i="14"/>
  <c r="Y56" i="14"/>
  <c r="Z56" i="14"/>
  <c r="AC56" i="14"/>
  <c r="AA56" i="14"/>
  <c r="W56" i="14" l="1"/>
  <c r="W19" i="14"/>
  <c r="W23" i="14"/>
  <c r="W10" i="14"/>
  <c r="W40" i="14"/>
  <c r="W36" i="14"/>
  <c r="W6" i="14"/>
  <c r="W44" i="14"/>
  <c r="W18" i="14"/>
  <c r="W52" i="14"/>
  <c r="W26" i="14"/>
  <c r="W4" i="14"/>
  <c r="W34" i="14"/>
  <c r="W47" i="14"/>
  <c r="W22" i="14"/>
  <c r="W17" i="14"/>
  <c r="W55" i="14"/>
  <c r="W21" i="14"/>
  <c r="W58" i="14"/>
  <c r="W57" i="14"/>
  <c r="W39" i="14"/>
  <c r="W42" i="14"/>
  <c r="W38" i="14"/>
  <c r="W14" i="14"/>
  <c r="W8" i="14"/>
  <c r="W29" i="14"/>
  <c r="W33" i="14"/>
  <c r="W54" i="14"/>
  <c r="W37" i="14"/>
  <c r="W20" i="14"/>
  <c r="W12" i="14"/>
  <c r="W31" i="14"/>
  <c r="W41" i="14"/>
  <c r="W15" i="14"/>
  <c r="W53" i="14"/>
  <c r="W5" i="14"/>
  <c r="W27" i="14"/>
  <c r="W35" i="14"/>
  <c r="W48" i="14"/>
  <c r="W50" i="14"/>
  <c r="W43" i="14"/>
  <c r="W9" i="14"/>
  <c r="W32" i="14"/>
  <c r="W30" i="14"/>
  <c r="W51" i="14"/>
  <c r="W25" i="14"/>
  <c r="W46" i="14"/>
  <c r="W49" i="14"/>
  <c r="W16" i="14"/>
  <c r="W13" i="14"/>
  <c r="W24" i="14"/>
  <c r="W7" i="14"/>
  <c r="W45" i="14"/>
  <c r="W28" i="14"/>
  <c r="W11" i="14"/>
  <c r="W3" i="14"/>
  <c r="D13" i="1"/>
  <c r="D14" i="1" s="1"/>
  <c r="AD2" i="14" a="1"/>
  <c r="C22" i="1"/>
  <c r="C21" i="1"/>
  <c r="D21" i="1"/>
  <c r="D25" i="1"/>
  <c r="D22" i="1"/>
  <c r="AD9" i="14"/>
  <c r="AD17" i="14"/>
  <c r="AD26" i="14"/>
  <c r="AD35" i="14"/>
  <c r="AD52" i="14"/>
  <c r="AD14" i="14"/>
  <c r="AD31" i="14"/>
  <c r="AD21" i="14"/>
  <c r="AD19" i="14"/>
  <c r="AD53" i="14"/>
  <c r="AD15" i="14"/>
  <c r="AD39" i="14"/>
  <c r="AD28" i="14"/>
  <c r="AD45" i="14"/>
  <c r="AD24" i="14"/>
  <c r="AD57" i="14"/>
  <c r="AD37" i="14"/>
  <c r="AD16" i="14"/>
  <c r="AD22" i="14"/>
  <c r="AD38" i="14"/>
  <c r="AD8" i="14"/>
  <c r="AD50" i="14"/>
  <c r="AD12" i="14"/>
  <c r="AD47" i="14"/>
  <c r="AD33" i="14"/>
  <c r="AD51" i="14"/>
  <c r="AD30" i="14"/>
  <c r="AD56" i="14"/>
  <c r="AD34" i="14"/>
  <c r="AD5" i="14"/>
  <c r="AD13" i="14"/>
  <c r="AD10" i="14"/>
  <c r="AD18" i="14"/>
  <c r="AD27" i="14"/>
  <c r="AD44" i="14"/>
  <c r="AD6" i="14"/>
  <c r="AD23" i="14"/>
  <c r="AD3" i="14"/>
  <c r="AD11" i="14"/>
  <c r="AD36" i="14"/>
  <c r="AD32" i="14"/>
  <c r="AD20" i="14"/>
  <c r="AD7" i="14"/>
  <c r="AD4" i="14"/>
  <c r="AD29" i="14"/>
  <c r="AD54" i="14"/>
  <c r="AD49" i="14"/>
  <c r="AD40" i="14"/>
  <c r="AD46" i="14"/>
  <c r="AD41" i="14"/>
  <c r="AD2" i="14"/>
  <c r="AD55" i="14"/>
  <c r="AD42" i="14"/>
  <c r="AD48" i="14"/>
  <c r="AD25" i="14"/>
  <c r="AD43" i="14"/>
  <c r="AD58" i="14"/>
  <c r="D23" i="1"/>
  <c r="Y59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<sst xmlns="http://schemas.openxmlformats.org/spreadsheetml/2006/main" count="968" uniqueCount="145">
  <si>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</si>
  <si>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</si>
  <si>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</si>
  <si>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</si>
  <si>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</si>
  <si>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</si>
  <si>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</si>
  <si>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</si>
  <si>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</si>
  <si>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</si>
  <si>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</si>
  <si>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</si>
  <si>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</si>
  <si>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</si>
  <si>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</si>
  <si>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</si>
  <si>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</si>
  <si>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</si>
  <si>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</si>
  <si>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</si>
  <si>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</si>
  <si>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</si>
  <si>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</si>
  <si>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</si>
  <si>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</si>
  <si>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</si>
  <si>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</si>
  <si>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</si>
  <si>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</si>
  <si>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</si>
  <si>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</si>
  <si>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</si>
  <si>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</si>
  <si>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</si>
  <si>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</si>
  <si>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</si>
  <si>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</si>
  <si>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</si>
  <si>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</si>
  <si>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</si>
  <si>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</si>
  <si>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</si>
  <si>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</si>
  <si>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</si>
  <si>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</si>
  <si>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</si>
  <si>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</si>
  <si>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</si>
  <si>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</si>
  <si>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</si>
  <si>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</si>
  <si>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</si>
  <si>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</si>
  <si>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</si>
  <si>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</si>
  <si>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</si>
  <si>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</si>
  <si>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</si>
  <si>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</si>
  <si>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</si>
  <si>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</si>
  <si>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</si>
  <si>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</si>
  <si>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</si>
  <si>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</si>
  <si>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</si>
  <si>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</si>
  <si>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</si>
  <si>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</si>
  <si>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</si>
  <si>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</si>
  <si>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</si>
  <si>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</si>
  <si>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</si>
  <si>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</si>
  <si>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</si>
  <si>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</si>
  <si>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</si>
  <si>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</si>
  <si>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</si>
  <si>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</si>
  <si>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</si>
  <si>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</si>
  <si>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</si>
  <si>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</si>
  <si>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</si>
  <si>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</si>
  <si>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</si>
  <si>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</si>
  <si>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</si>
  <si>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</si>
  <si>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IMM</t>
  </si>
  <si>
    <t>Conv adj</t>
  </si>
  <si>
    <t>MainCycle</t>
  </si>
  <si>
    <t>Spread</t>
  </si>
  <si>
    <t>fwd</t>
  </si>
  <si>
    <t>Day Count</t>
  </si>
  <si>
    <t>12M</t>
  </si>
  <si>
    <t>Extrapolation</t>
  </si>
  <si>
    <t>ibor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</si>
  <si>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</si>
  <si>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</si>
  <si>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</si>
  <si>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</si>
  <si>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</si>
  <si>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</si>
  <si>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</si>
  <si>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</si>
  <si>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</si>
  <si>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</si>
  <si>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</si>
  <si>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</si>
  <si>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</si>
  <si>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tau</t>
  </si>
  <si>
    <t>Size</t>
  </si>
  <si>
    <t>SEK</t>
  </si>
  <si>
    <t>Sweden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</si>
  <si>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</si>
  <si>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</si>
  <si>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</si>
  <si>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</si>
  <si>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</si>
  <si>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</si>
  <si>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</si>
  <si>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</si>
  <si>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</si>
  <si>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</si>
  <si>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</si>
  <si>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</si>
  <si>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</si>
  <si>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</si>
  <si>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</si>
  <si>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</si>
  <si>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</si>
  <si>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</si>
  <si>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3S</t>
  </si>
  <si>
    <t>SB</t>
  </si>
  <si>
    <t>6S</t>
  </si>
  <si>
    <t>_3S6S</t>
  </si>
  <si>
    <t>1S</t>
  </si>
  <si>
    <t>BasSw</t>
  </si>
  <si>
    <t>IMMFRA</t>
  </si>
  <si>
    <t>OISShort</t>
  </si>
  <si>
    <t>CheckExtrapolation</t>
  </si>
  <si>
    <t>Instruments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</si>
</sst>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21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164" fontId="5" fillId="11" borderId="6" xfId="0" applyNumberFormat="1" applyFont="1" applyFill="1" applyBorder="1"/>
    <xf numFmtId="166" fontId="5" fillId="11" borderId="6" xfId="0" applyNumberFormat="1" applyFont="1" applyFill="1" applyBorder="1" applyAlignment="1"/>
    <xf numFmtId="165" fontId="5" fillId="11" borderId="6" xfId="0" applyNumberFormat="1" applyFont="1" applyFill="1" applyBorder="1" applyAlignment="1">
      <alignment horizontal="center"/>
    </xf>
    <xf numFmtId="165" fontId="5" fillId="12" borderId="6" xfId="0" applyNumberFormat="1" applyFont="1" applyFill="1" applyBorder="1" applyAlignment="1">
      <alignment horizontal="center"/>
    </xf>
    <xf numFmtId="164" fontId="5" fillId="11" borderId="1" xfId="0" applyNumberFormat="1" applyFont="1" applyFill="1" applyBorder="1"/>
    <xf numFmtId="0" fontId="5" fillId="11" borderId="1" xfId="0" applyFont="1" applyFill="1" applyBorder="1" applyAlignment="1"/>
    <xf numFmtId="165" fontId="5" fillId="11" borderId="1" xfId="0" applyNumberFormat="1" applyFont="1" applyFill="1" applyBorder="1" applyAlignment="1">
      <alignment horizontal="center"/>
    </xf>
    <xf numFmtId="165" fontId="5" fillId="12" borderId="1" xfId="0" applyNumberFormat="1" applyFont="1" applyFill="1" applyBorder="1" applyAlignment="1">
      <alignment horizontal="center"/>
    </xf>
    <xf numFmtId="0" fontId="5" fillId="11" borderId="6" xfId="0" applyFont="1" applyFill="1" applyBorder="1" applyAlignment="1"/>
    <xf numFmtId="0" fontId="5" fillId="3" borderId="2" xfId="0" applyFont="1" applyFill="1" applyBorder="1"/>
    <xf numFmtId="0" fontId="3" fillId="2" borderId="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164" fontId="5" fillId="11" borderId="8" xfId="0" applyNumberFormat="1" applyFont="1" applyFill="1" applyBorder="1"/>
    <xf numFmtId="166" fontId="5" fillId="11" borderId="8" xfId="0" applyNumberFormat="1" applyFont="1" applyFill="1" applyBorder="1" applyAlignment="1"/>
    <xf numFmtId="165" fontId="5" fillId="11" borderId="8" xfId="0" applyNumberFormat="1" applyFont="1" applyFill="1" applyBorder="1" applyAlignment="1">
      <alignment horizontal="center"/>
    </xf>
    <xf numFmtId="165" fontId="5" fillId="12" borderId="8" xfId="0" applyNumberFormat="1" applyFont="1" applyFill="1" applyBorder="1" applyAlignment="1">
      <alignment horizontal="center"/>
    </xf>
    <xf numFmtId="179" fontId="5" fillId="11" borderId="8" xfId="0" applyNumberFormat="1" applyFont="1" applyFill="1" applyBorder="1" applyAlignment="1">
      <alignment horizontal="center"/>
    </xf>
    <xf numFmtId="179" fontId="5" fillId="11" borderId="6" xfId="0" applyNumberFormat="1" applyFont="1" applyFill="1" applyBorder="1" applyAlignment="1">
      <alignment horizontal="center"/>
    </xf>
    <xf numFmtId="179" fontId="5" fillId="11" borderId="1" xfId="0" applyNumberFormat="1" applyFont="1" applyFill="1" applyBorder="1" applyAlignment="1">
      <alignment horizontal="center"/>
    </xf>
    <xf numFmtId="164" fontId="5" fillId="11" borderId="8" xfId="0" applyNumberFormat="1" applyFont="1" applyFill="1" applyBorder="1" applyAlignment="1"/>
    <xf numFmtId="164" fontId="3" fillId="13" borderId="8" xfId="1" applyNumberFormat="1" applyFont="1" applyFill="1" applyBorder="1" applyAlignment="1">
      <alignment horizontal="center" vertical="center"/>
    </xf>
    <xf numFmtId="164" fontId="3" fillId="13" borderId="6" xfId="1" applyNumberFormat="1" applyFont="1" applyFill="1" applyBorder="1" applyAlignment="1">
      <alignment horizontal="center" vertical="center"/>
    </xf>
    <xf numFmtId="164" fontId="3" fillId="13" borderId="17" xfId="1" applyNumberFormat="1" applyFont="1" applyFill="1" applyBorder="1" applyAlignment="1">
      <alignment horizontal="center" vertical="center"/>
    </xf>
    <xf numFmtId="164" fontId="3" fillId="13" borderId="16" xfId="1" applyNumberFormat="1" applyFont="1" applyFill="1" applyBorder="1" applyAlignment="1">
      <alignment horizontal="center" vertical="center"/>
    </xf>
    <xf numFmtId="164" fontId="3" fillId="13" borderId="1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/>
    </xf>
    <xf numFmtId="164" fontId="5" fillId="11" borderId="6" xfId="0" applyNumberFormat="1" applyFont="1" applyFill="1" applyBorder="1" applyAlignment="1"/>
    <xf numFmtId="164" fontId="5" fillId="11" borderId="2" xfId="0" applyNumberFormat="1" applyFont="1" applyFill="1" applyBorder="1"/>
    <xf numFmtId="166" fontId="5" fillId="11" borderId="2" xfId="0" applyNumberFormat="1" applyFont="1" applyFill="1" applyBorder="1" applyAlignment="1"/>
    <xf numFmtId="165" fontId="5" fillId="11" borderId="2" xfId="0" applyNumberFormat="1" applyFont="1" applyFill="1" applyBorder="1" applyAlignment="1">
      <alignment horizontal="center"/>
    </xf>
    <xf numFmtId="165" fontId="5" fillId="12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64" fontId="3" fillId="3" borderId="2" xfId="1" applyNumberFormat="1" applyFont="1" applyFill="1" applyBorder="1" applyAlignment="1">
      <alignment horizontal="center" vertical="center"/>
    </xf>
    <xf numFmtId="166" fontId="3" fillId="3" borderId="2" xfId="1" applyNumberFormat="1" applyFont="1" applyFill="1" applyBorder="1" applyAlignment="1">
      <alignment horizontal="right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 Short"/>
      <sheetName val="OIS"/>
      <sheetName val="Swaps3M"/>
      <sheetName val="BasisSwap3M6M"/>
      <sheetName val="BasisSwap1M3M"/>
    </sheetNames>
    <sheetDataSet>
      <sheetData sheetId="0"/>
      <sheetData sheetId="1">
        <row r="5">
          <cell r="J5" t="str">
            <v>SEKON#0000</v>
          </cell>
        </row>
        <row r="7">
          <cell r="J7" t="str">
            <v>SEK1M#0000</v>
          </cell>
        </row>
        <row r="9">
          <cell r="J9" t="str">
            <v>SEK3M#0000</v>
          </cell>
        </row>
        <row r="10">
          <cell r="J10" t="str">
            <v>SEK6M#0000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3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78"/>
      <c r="C2" s="79"/>
      <c r="D2" s="79"/>
      <c r="E2" s="80"/>
      <c r="G2" s="78"/>
      <c r="H2" s="79"/>
      <c r="I2" s="79"/>
      <c r="J2" s="80"/>
    </row>
    <row r="3" spans="1:10" ht="11.25" customHeight="1" x14ac:dyDescent="0.2">
      <c r="B3" s="83"/>
      <c r="C3" s="10" t="s">
        <v>22</v>
      </c>
      <c r="D3" s="77" t="s">
        <v>115</v>
      </c>
      <c r="E3" s="81"/>
      <c r="G3" s="83"/>
      <c r="H3" s="10" t="s">
        <v>31</v>
      </c>
      <c r="I3" s="11">
        <f>_xll.qlSettingsEvaluationDate(Trigger)</f>
        <v>42559</v>
      </c>
      <c r="J3" s="81"/>
    </row>
    <row r="4" spans="1:10" ht="11.25" customHeight="1" x14ac:dyDescent="0.2">
      <c r="B4" s="83"/>
      <c r="C4" s="12" t="s">
        <v>19</v>
      </c>
      <c r="D4" s="14" t="b">
        <v>1</v>
      </c>
      <c r="E4" s="81"/>
      <c r="G4" s="83"/>
      <c r="H4" s="12" t="s">
        <v>32</v>
      </c>
      <c r="I4" s="13">
        <f>_xll.qlCalendarAdvance(Calendar,Evaluationdate,"2D","F",,Trigger)</f>
        <v>42563</v>
      </c>
      <c r="J4" s="81"/>
    </row>
    <row r="5" spans="1:10" ht="11.25" customHeight="1" x14ac:dyDescent="0.2">
      <c r="A5" s="48"/>
      <c r="B5" s="84"/>
      <c r="C5" s="17" t="s">
        <v>18</v>
      </c>
      <c r="D5" s="18"/>
      <c r="E5" s="81"/>
      <c r="G5" s="83"/>
      <c r="H5" s="12" t="s">
        <v>14</v>
      </c>
      <c r="I5" s="13" t="s">
        <v>116</v>
      </c>
      <c r="J5" s="81"/>
    </row>
    <row r="6" spans="1:10" ht="11.25" customHeight="1" x14ac:dyDescent="0.2">
      <c r="A6" s="48"/>
      <c r="B6" s="84"/>
      <c r="C6" s="12" t="s">
        <v>20</v>
      </c>
      <c r="D6" s="14" t="b">
        <v>1</v>
      </c>
      <c r="E6" s="81"/>
      <c r="G6" s="83"/>
      <c r="H6" s="149"/>
      <c r="I6" s="149"/>
      <c r="J6" s="81"/>
    </row>
    <row r="7" spans="1:10" ht="11.25" customHeight="1" x14ac:dyDescent="0.2">
      <c r="A7" s="48"/>
      <c r="B7" s="84"/>
      <c r="C7" s="12" t="s">
        <v>21</v>
      </c>
      <c r="D7" s="15" t="str">
        <f>Currency&amp;"ON"</f>
        <v>SEKON</v>
      </c>
      <c r="E7" s="81"/>
      <c r="G7" s="83"/>
      <c r="H7" s="10" t="s">
        <v>36</v>
      </c>
      <c r="I7" s="145" t="s">
        <v>99</v>
      </c>
      <c r="J7" s="81"/>
    </row>
    <row r="8" spans="1:10" ht="11.25" customHeight="1" x14ac:dyDescent="0.2">
      <c r="A8" s="48"/>
      <c r="B8" s="85"/>
      <c r="C8" s="16" t="s">
        <v>75</v>
      </c>
      <c r="D8" s="178" t="s">
        <v>76</v>
      </c>
      <c r="E8" s="81"/>
      <c r="G8" s="83"/>
      <c r="H8" s="12" t="s">
        <v>71</v>
      </c>
      <c r="I8" s="146" t="s">
        <v>72</v>
      </c>
      <c r="J8" s="81"/>
    </row>
    <row r="9" spans="1:10" ht="11.25" customHeight="1" x14ac:dyDescent="0.2">
      <c r="B9" s="85"/>
      <c r="C9" s="148"/>
      <c r="D9" s="148"/>
      <c r="E9" s="81"/>
      <c r="G9" s="83"/>
      <c r="H9" s="16" t="s">
        <v>108</v>
      </c>
      <c r="I9" s="147" t="s">
        <v>107</v>
      </c>
      <c r="J9" s="81"/>
    </row>
    <row r="10" spans="1:10" ht="11.25" customHeight="1" x14ac:dyDescent="0.2">
      <c r="B10" s="86"/>
      <c r="C10" s="87"/>
      <c r="D10" s="88"/>
      <c r="E10" s="82"/>
      <c r="G10" s="86"/>
      <c r="H10" s="87"/>
      <c r="I10" s="88"/>
      <c r="J10" s="82"/>
    </row>
    <row r="11" spans="1:10" ht="11.25" customHeight="1" x14ac:dyDescent="0.2"/>
    <row r="12" spans="1:10" x14ac:dyDescent="0.2">
      <c r="B12" s="35"/>
      <c r="C12" s="36"/>
      <c r="D12" s="36"/>
      <c r="E12" s="37"/>
      <c r="G12" s="35"/>
      <c r="H12" s="36"/>
      <c r="I12" s="36"/>
      <c r="J12" s="37"/>
    </row>
    <row r="13" spans="1:10" x14ac:dyDescent="0.2">
      <c r="B13" s="20"/>
      <c r="C13" s="19" t="s">
        <v>10</v>
      </c>
      <c r="D13" s="39" t="str">
        <f>_xll.qlPiecewiseYieldCurve($D$15,$D$16,Calendar,_xll.ohPack(RateHelpersON),,JumpQuotes_ON,JumpDates_ON,D17,D18,D19,Permanent,,ObjectOverwrite)</f>
        <v>_SEKON#0025</v>
      </c>
      <c r="E13" s="40"/>
      <c r="G13" s="20"/>
      <c r="H13" s="19" t="s">
        <v>10</v>
      </c>
      <c r="I13" s="39" t="str">
        <f>_xll.qlPiecewiseYieldCurve(I15,I16,Calendar,_xll.ohPack(RateHelpers3M),,JumpQuotes_3M,JumpDates_3M,I17,I18,I19,Permanent,,ObjectOverwrite)</f>
        <v>_SEK3M#0009</v>
      </c>
      <c r="J13" s="40"/>
    </row>
    <row r="14" spans="1:10" x14ac:dyDescent="0.2">
      <c r="B14" s="20"/>
      <c r="C14" s="21" t="s">
        <v>11</v>
      </c>
      <c r="D14" s="41" t="str">
        <f>_xll.ohRangeRetrieveError(YieldCurve_ON)</f>
        <v/>
      </c>
      <c r="E14" s="40"/>
      <c r="G14" s="20"/>
      <c r="H14" s="21" t="s">
        <v>11</v>
      </c>
      <c r="I14" s="41" t="str">
        <f>_xll.ohRangeRetrieveError(YieldCurve_3M)</f>
        <v/>
      </c>
      <c r="J14" s="40"/>
    </row>
    <row r="15" spans="1:10" x14ac:dyDescent="0.2">
      <c r="B15" s="20"/>
      <c r="C15" s="19" t="s">
        <v>12</v>
      </c>
      <c r="D15" s="22" t="str">
        <f>"_"&amp;Currency&amp;"ON"</f>
        <v>_SEKON</v>
      </c>
      <c r="E15" s="40"/>
      <c r="G15" s="20"/>
      <c r="H15" s="19" t="s">
        <v>12</v>
      </c>
      <c r="I15" s="22" t="str">
        <f>"_"&amp;Currency&amp;"3M"</f>
        <v>_SEK3M</v>
      </c>
      <c r="J15" s="40"/>
    </row>
    <row r="16" spans="1:10" x14ac:dyDescent="0.2">
      <c r="B16" s="20"/>
      <c r="C16" s="23" t="s">
        <v>13</v>
      </c>
      <c r="D16" s="24">
        <v>2</v>
      </c>
      <c r="E16" s="40"/>
      <c r="G16" s="20"/>
      <c r="H16" s="23" t="s">
        <v>13</v>
      </c>
      <c r="I16" s="24">
        <v>2</v>
      </c>
      <c r="J16" s="40"/>
    </row>
    <row r="17" spans="1:10" x14ac:dyDescent="0.2">
      <c r="B17" s="20"/>
      <c r="C17" s="23" t="s">
        <v>15</v>
      </c>
      <c r="D17" s="25"/>
      <c r="E17" s="40"/>
      <c r="G17" s="20"/>
      <c r="H17" s="23" t="s">
        <v>15</v>
      </c>
      <c r="I17" s="25"/>
      <c r="J17" s="40"/>
    </row>
    <row r="18" spans="1:10" x14ac:dyDescent="0.2">
      <c r="B18" s="20"/>
      <c r="C18" s="23" t="s">
        <v>16</v>
      </c>
      <c r="D18" s="26" t="s">
        <v>33</v>
      </c>
      <c r="E18" s="40"/>
      <c r="G18" s="20"/>
      <c r="H18" s="23" t="s">
        <v>16</v>
      </c>
      <c r="I18" s="26" t="s">
        <v>33</v>
      </c>
      <c r="J18" s="40"/>
    </row>
    <row r="19" spans="1:10" x14ac:dyDescent="0.2">
      <c r="B19" s="20"/>
      <c r="C19" s="21" t="s">
        <v>17</v>
      </c>
      <c r="D19" s="27" t="s">
        <v>38</v>
      </c>
      <c r="E19" s="40"/>
      <c r="G19" s="20"/>
      <c r="H19" s="21" t="s">
        <v>17</v>
      </c>
      <c r="I19" s="27" t="s">
        <v>38</v>
      </c>
      <c r="J19" s="40"/>
    </row>
    <row r="20" spans="1:10" x14ac:dyDescent="0.2">
      <c r="B20" s="20"/>
      <c r="C20" s="28"/>
      <c r="D20" s="28"/>
      <c r="E20" s="40"/>
      <c r="G20" s="20"/>
      <c r="H20" s="28"/>
      <c r="I20" s="28"/>
      <c r="J20" s="40"/>
    </row>
    <row r="21" spans="1:10" x14ac:dyDescent="0.2">
      <c r="B21" s="20"/>
      <c r="C21" s="29">
        <f>_xll.qlTermStructureReferenceDate(YieldCurve_ON)</f>
        <v>42563</v>
      </c>
      <c r="D21" s="30">
        <f>_xll.qlYieldTSDiscount(YieldCurve_ON,C21,,Trigger)</f>
        <v>1</v>
      </c>
      <c r="E21" s="40"/>
      <c r="G21" s="20"/>
      <c r="H21" s="29">
        <f>_xll.qlTermStructureReferenceDate(YieldCurve_3M)</f>
        <v>42563</v>
      </c>
      <c r="I21" s="30">
        <f>_xll.qlYieldTSDiscount(YieldCurve_3M,H21,,Trigger)</f>
        <v>1</v>
      </c>
      <c r="J21" s="40"/>
    </row>
    <row r="22" spans="1:10" x14ac:dyDescent="0.2">
      <c r="B22" s="20"/>
      <c r="C22" s="31">
        <f>_xll.qlTermStructureMaxDate(YieldCurve_ON,Trigger)</f>
        <v>53520</v>
      </c>
      <c r="D22" s="32">
        <f>_xll.qlYieldTSDiscount(YieldCurve_ON,C22,,Trigger)</f>
        <v>0.6404198802394262</v>
      </c>
      <c r="E22" s="40"/>
      <c r="G22" s="20"/>
      <c r="H22" s="31">
        <f>_xll.qlTermStructureMaxDate(YieldCurve_3M,Trigger)</f>
        <v>53520</v>
      </c>
      <c r="I22" s="32">
        <f>_xll.qlYieldTSDiscount(YieldCurve_3M,H22,,Trigger)</f>
        <v>0.62826033532182379</v>
      </c>
      <c r="J22" s="40"/>
    </row>
    <row r="23" spans="1:10" x14ac:dyDescent="0.2">
      <c r="B23" s="20"/>
      <c r="C23" s="31" t="str">
        <f>[1]Stibor!$J$5</f>
        <v>SEKON#0000</v>
      </c>
      <c r="D23" s="32" t="b">
        <f>_xll.qlRelinkableHandleLinkTo(C23,D13,Trigger)</f>
        <v>1</v>
      </c>
      <c r="E23" s="40"/>
      <c r="G23" s="20"/>
      <c r="H23" s="31" t="str">
        <f>[1]Stibor!$J$9</f>
        <v>SEK3M#0000</v>
      </c>
      <c r="I23" s="32" t="b">
        <f>_xll.qlRelinkableHandleLinkTo(H23,I13,Trigger)</f>
        <v>1</v>
      </c>
      <c r="J23" s="40"/>
    </row>
    <row r="24" spans="1:10" x14ac:dyDescent="0.2">
      <c r="B24" s="20"/>
      <c r="C24" s="33" t="s">
        <v>98</v>
      </c>
      <c r="D24" s="34" t="b">
        <v>0</v>
      </c>
      <c r="E24" s="40"/>
      <c r="G24" s="20"/>
      <c r="H24" s="33" t="s">
        <v>98</v>
      </c>
      <c r="I24" s="34" t="b">
        <v>0</v>
      </c>
      <c r="J24" s="40"/>
    </row>
    <row r="25" spans="1:10" x14ac:dyDescent="0.2">
      <c r="B25" s="20"/>
      <c r="C25" s="180" t="s">
        <v>143</v>
      </c>
      <c r="D25" s="181" t="b">
        <f>_xll.qlExtrapolatorEnableExtrapolation(YieldCurve_ON,D24,Trigger)</f>
        <v>1</v>
      </c>
      <c r="E25" s="40"/>
      <c r="G25" s="20"/>
      <c r="H25" s="180" t="s">
        <v>143</v>
      </c>
      <c r="I25" s="181" t="b">
        <f>_xll.qlExtrapolatorEnableExtrapolation(YieldCurve_3M,I24,Trigger)</f>
        <v>1</v>
      </c>
      <c r="J25" s="40"/>
    </row>
    <row r="26" spans="1:10" x14ac:dyDescent="0.2">
      <c r="B26" s="42"/>
      <c r="C26" s="43"/>
      <c r="D26" s="43"/>
      <c r="E26" s="44"/>
      <c r="G26" s="42"/>
      <c r="H26" s="43"/>
      <c r="I26" s="43"/>
      <c r="J26" s="44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  <row r="28" spans="1:10" x14ac:dyDescent="0.2">
      <c r="B28" s="35"/>
      <c r="C28" s="45"/>
      <c r="D28" s="45"/>
      <c r="E28" s="37"/>
      <c r="F28" s="47"/>
      <c r="G28" s="35"/>
      <c r="H28" s="36"/>
      <c r="I28" s="36"/>
      <c r="J28" s="37"/>
    </row>
    <row r="29" spans="1:10" x14ac:dyDescent="0.2">
      <c r="B29" s="38"/>
      <c r="C29" s="19" t="s">
        <v>10</v>
      </c>
      <c r="D29" s="39" t="str">
        <f>_xll.qlPiecewiseYieldCurve(D31,D32,Calendar,_xll.ohPack(RateHelpers6M),,JumpQuotes_6M,JumpDates_6M,D33,D34,D35,Permanent,,ObjectOverwrite)</f>
        <v>_SEK6M#0003</v>
      </c>
      <c r="E29" s="40"/>
      <c r="F29" s="47"/>
      <c r="G29" s="20"/>
      <c r="H29" s="19" t="s">
        <v>10</v>
      </c>
      <c r="I29" s="39" t="str">
        <f>_xll.qlPiecewiseYieldCurve(I31,I32,Calendar,_xll.ohPack(RateHelpers1M),,JumpQuotes_1M,JumpDates_1M,I33,I34,I35,Permanent,,ObjectOverwrite)</f>
        <v>_SEK1M#0003</v>
      </c>
      <c r="J29" s="40"/>
    </row>
    <row r="30" spans="1:10" x14ac:dyDescent="0.2">
      <c r="B30" s="38"/>
      <c r="C30" s="21" t="s">
        <v>11</v>
      </c>
      <c r="D30" s="41" t="str">
        <f>_xll.ohRangeRetrieveError(YieldCurve_6M)</f>
        <v/>
      </c>
      <c r="E30" s="40"/>
      <c r="F30" s="47"/>
      <c r="G30" s="20"/>
      <c r="H30" s="21" t="s">
        <v>11</v>
      </c>
      <c r="I30" s="41" t="str">
        <f>_xll.ohRangeRetrieveError(YieldCurve_1M)</f>
        <v/>
      </c>
      <c r="J30" s="40"/>
    </row>
    <row r="31" spans="1:10" x14ac:dyDescent="0.2">
      <c r="B31" s="20"/>
      <c r="C31" s="19" t="s">
        <v>12</v>
      </c>
      <c r="D31" s="22" t="str">
        <f>"_"&amp;Currency&amp;"6M"</f>
        <v>_SEK6M</v>
      </c>
      <c r="E31" s="40"/>
      <c r="F31" s="47"/>
      <c r="G31" s="20"/>
      <c r="H31" s="19" t="s">
        <v>12</v>
      </c>
      <c r="I31" s="22" t="str">
        <f>"_"&amp;Currency&amp;"1M"</f>
        <v>_SEK1M</v>
      </c>
      <c r="J31" s="40"/>
    </row>
    <row r="32" spans="1:10" x14ac:dyDescent="0.2">
      <c r="B32" s="20"/>
      <c r="C32" s="23" t="s">
        <v>13</v>
      </c>
      <c r="D32" s="24">
        <v>2</v>
      </c>
      <c r="E32" s="40"/>
      <c r="F32" s="47"/>
      <c r="G32" s="20"/>
      <c r="H32" s="23" t="s">
        <v>13</v>
      </c>
      <c r="I32" s="24">
        <v>2</v>
      </c>
      <c r="J32" s="40"/>
    </row>
    <row r="33" spans="2:10" x14ac:dyDescent="0.2">
      <c r="B33" s="20"/>
      <c r="C33" s="23" t="s">
        <v>15</v>
      </c>
      <c r="D33" s="25"/>
      <c r="E33" s="40"/>
      <c r="F33" s="47"/>
      <c r="G33" s="20"/>
      <c r="H33" s="23" t="s">
        <v>15</v>
      </c>
      <c r="I33" s="25"/>
      <c r="J33" s="40"/>
    </row>
    <row r="34" spans="2:10" x14ac:dyDescent="0.2">
      <c r="B34" s="20"/>
      <c r="C34" s="23" t="s">
        <v>16</v>
      </c>
      <c r="D34" s="26" t="s">
        <v>33</v>
      </c>
      <c r="E34" s="40"/>
      <c r="F34" s="47"/>
      <c r="G34" s="20"/>
      <c r="H34" s="23" t="s">
        <v>16</v>
      </c>
      <c r="I34" s="26" t="s">
        <v>33</v>
      </c>
      <c r="J34" s="40"/>
    </row>
    <row r="35" spans="2:10" x14ac:dyDescent="0.2">
      <c r="B35" s="20"/>
      <c r="C35" s="21" t="s">
        <v>17</v>
      </c>
      <c r="D35" s="27" t="s">
        <v>38</v>
      </c>
      <c r="E35" s="40"/>
      <c r="F35" s="47"/>
      <c r="G35" s="20"/>
      <c r="H35" s="21" t="s">
        <v>17</v>
      </c>
      <c r="I35" s="27" t="s">
        <v>38</v>
      </c>
      <c r="J35" s="40"/>
    </row>
    <row r="36" spans="2:10" x14ac:dyDescent="0.2">
      <c r="B36" s="20"/>
      <c r="C36" s="28"/>
      <c r="D36" s="28"/>
      <c r="E36" s="40"/>
      <c r="F36" s="47"/>
      <c r="G36" s="20"/>
      <c r="H36" s="28"/>
      <c r="I36" s="28"/>
      <c r="J36" s="40"/>
    </row>
    <row r="37" spans="2:10" x14ac:dyDescent="0.2">
      <c r="B37" s="20"/>
      <c r="C37" s="29">
        <f>_xll.qlTermStructureReferenceDate(YieldCurve_6M)</f>
        <v>42563</v>
      </c>
      <c r="D37" s="30">
        <f>_xll.qlYieldTSDiscount(YieldCurve_6M,C37,,Trigger)</f>
        <v>1</v>
      </c>
      <c r="E37" s="40"/>
      <c r="F37" s="47"/>
      <c r="G37" s="20"/>
      <c r="H37" s="29">
        <f>_xll.qlTermStructureReferenceDate(YieldCurve_1M)</f>
        <v>42563</v>
      </c>
      <c r="I37" s="30">
        <f>_xll.qlYieldTSDiscount(YieldCurve_1M,H37,,Trigger)</f>
        <v>1</v>
      </c>
      <c r="J37" s="40"/>
    </row>
    <row r="38" spans="2:10" x14ac:dyDescent="0.2">
      <c r="B38" s="20"/>
      <c r="C38" s="31">
        <f>_xll.qlTermStructureMaxDate(YieldCurve_6M,Trigger)</f>
        <v>53520</v>
      </c>
      <c r="D38" s="32">
        <f>_xll.qlYieldTSDiscount(YieldCurve_6M,C38,,Trigger)</f>
        <v>0.61721785226303594</v>
      </c>
      <c r="E38" s="40"/>
      <c r="F38" s="47"/>
      <c r="G38" s="20"/>
      <c r="H38" s="31">
        <f>_xll.qlTermStructureMaxDate(YieldCurve_1M,Trigger)</f>
        <v>53520</v>
      </c>
      <c r="I38" s="32">
        <f>_xll.qlYieldTSDiscount(YieldCurve_1M,H38,,Trigger)</f>
        <v>0.64471405287632144</v>
      </c>
      <c r="J38" s="40"/>
    </row>
    <row r="39" spans="2:10" x14ac:dyDescent="0.2">
      <c r="B39" s="20"/>
      <c r="C39" s="31" t="str">
        <f>[1]Stibor!$J$10</f>
        <v>SEK6M#0000</v>
      </c>
      <c r="D39" s="32" t="b">
        <f>_xll.qlRelinkableHandleLinkTo(C39,D29,Trigger)</f>
        <v>1</v>
      </c>
      <c r="E39" s="40"/>
      <c r="F39" s="47"/>
      <c r="G39" s="20"/>
      <c r="H39" s="31" t="str">
        <f>[1]Stibor!$J$7</f>
        <v>SEK1M#0000</v>
      </c>
      <c r="I39" s="32" t="b">
        <f>_xll.qlRelinkableHandleLinkTo(H39,I29,Trigger)</f>
        <v>1</v>
      </c>
      <c r="J39" s="40"/>
    </row>
    <row r="40" spans="2:10" x14ac:dyDescent="0.2">
      <c r="B40" s="20"/>
      <c r="C40" s="33" t="s">
        <v>98</v>
      </c>
      <c r="D40" s="34" t="b">
        <v>0</v>
      </c>
      <c r="E40" s="40"/>
      <c r="F40" s="47"/>
      <c r="G40" s="20"/>
      <c r="H40" s="33" t="s">
        <v>98</v>
      </c>
      <c r="I40" s="34" t="b">
        <v>0</v>
      </c>
      <c r="J40" s="40"/>
    </row>
    <row r="41" spans="2:10" x14ac:dyDescent="0.2">
      <c r="B41" s="20"/>
      <c r="C41" s="180" t="s">
        <v>143</v>
      </c>
      <c r="D41" s="181" t="b">
        <f>_xll.qlExtrapolatorEnableExtrapolation(YieldCurve_6M,D40,Trigger)</f>
        <v>1</v>
      </c>
      <c r="E41" s="40"/>
      <c r="F41" s="47"/>
      <c r="G41" s="20"/>
      <c r="H41" s="180" t="s">
        <v>143</v>
      </c>
      <c r="I41" s="181" t="b">
        <f>_xll.qlExtrapolatorEnableExtrapolation(YieldCurve_1M,I40,Trigger)</f>
        <v>1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</sheetData>
  <dataValidations count="6">
    <dataValidation type="list" allowBlank="1" showInputMessage="1" showErrorMessage="1" sqref="D34 D18 I18 I34">
      <formula1>"Discount,ZeroYield,ForwardRate"</formula1>
    </dataValidation>
    <dataValidation type="list" allowBlank="1" showInputMessage="1" showErrorMessage="1" sqref="D35 D19 I19 I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  <dataValidation type="list" allowBlank="1" showInputMessage="1" showErrorMessage="1" sqref="D40 D24 I24 I40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2" hidden="1" customWidth="1" outlineLevel="1"/>
    <col min="8" max="9" width="25.7109375" style="46" hidden="1" customWidth="1" outlineLevel="1"/>
    <col min="10" max="10" width="15.7109375" style="97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7" hidden="1" customWidth="1" outlineLevel="1"/>
    <col min="14" max="18" width="8.7109375" style="97" hidden="1" customWidth="1" outlineLevel="1"/>
    <col min="19" max="19" width="15.7109375" style="97" hidden="1" customWidth="1" outlineLevel="1"/>
    <col min="20" max="21" width="10.7109375" style="97" hidden="1" customWidth="1" outlineLevel="1"/>
    <col min="22" max="22" width="2.7109375" style="48" hidden="1" customWidth="1" outlineLevel="1"/>
    <col min="23" max="23" width="9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3.5703125" style="46" customWidth="1"/>
    <col min="32" max="32" width="2.7109375" style="46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customWidth="1"/>
    <col min="39" max="40" width="24.42578125" style="46" bestFit="1" customWidth="1"/>
    <col min="41" max="16384" width="9.140625" style="46"/>
  </cols>
  <sheetData>
    <row r="1" spans="1:39" ht="18" customHeight="1" x14ac:dyDescent="0.2">
      <c r="G1" s="50" t="str">
        <f>PROPER(Currency)&amp;FamilyName&amp;"ON"</f>
        <v>SekiborON</v>
      </c>
      <c r="L1" s="65" t="s">
        <v>144</v>
      </c>
      <c r="M1" s="100"/>
      <c r="N1" s="100"/>
      <c r="O1" s="92"/>
      <c r="P1" s="100" t="s">
        <v>25</v>
      </c>
      <c r="Q1" s="100"/>
      <c r="R1" s="100"/>
      <c r="S1" s="100"/>
      <c r="T1" s="100"/>
      <c r="U1" s="92"/>
      <c r="V1" s="89"/>
      <c r="W1" s="70" t="str">
        <f>Currency&amp;"OIS"</f>
        <v>SEKOIS</v>
      </c>
      <c r="X1" s="64"/>
      <c r="Y1" s="64"/>
      <c r="Z1" s="66"/>
      <c r="AA1" s="66"/>
      <c r="AB1" s="64"/>
      <c r="AC1" s="64"/>
      <c r="AD1" s="68" t="s">
        <v>33</v>
      </c>
    </row>
    <row r="2" spans="1:39" ht="21.75" customHeight="1" x14ac:dyDescent="0.2">
      <c r="A2" s="63" t="s">
        <v>9</v>
      </c>
      <c r="B2" s="63" t="s">
        <v>30</v>
      </c>
      <c r="C2" s="63" t="s">
        <v>77</v>
      </c>
      <c r="D2" s="63"/>
      <c r="E2" s="63"/>
      <c r="F2" s="63" t="s">
        <v>96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78</v>
      </c>
      <c r="N2" s="69" t="s">
        <v>81</v>
      </c>
      <c r="O2" s="69" t="s">
        <v>83</v>
      </c>
      <c r="P2" s="69" t="s">
        <v>79</v>
      </c>
      <c r="Q2" s="69" t="s">
        <v>80</v>
      </c>
      <c r="R2" s="69" t="s">
        <v>82</v>
      </c>
      <c r="S2" s="69" t="s">
        <v>25</v>
      </c>
      <c r="T2" s="69" t="s">
        <v>23</v>
      </c>
      <c r="U2" s="69" t="s">
        <v>75</v>
      </c>
      <c r="V2" s="89"/>
      <c r="W2" s="69" t="s">
        <v>9</v>
      </c>
      <c r="X2" s="69" t="s">
        <v>25</v>
      </c>
      <c r="Y2" s="69" t="s">
        <v>78</v>
      </c>
      <c r="Z2" s="71" t="s">
        <v>24</v>
      </c>
      <c r="AA2" s="71" t="s">
        <v>83</v>
      </c>
      <c r="AB2" s="69" t="s">
        <v>23</v>
      </c>
      <c r="AC2" s="69" t="s">
        <v>75</v>
      </c>
      <c r="AD2" s="72">
        <f t="array" ref="AD2:AD58">_xll.qlPiecewiseYieldCurveData(YieldCurve_ON,Trigger)</f>
        <v>1</v>
      </c>
      <c r="AG2" s="164" t="s">
        <v>84</v>
      </c>
      <c r="AH2" s="165"/>
      <c r="AI2" s="165"/>
      <c r="AJ2" s="165"/>
      <c r="AK2" s="166"/>
    </row>
    <row r="3" spans="1:39" ht="11.25" customHeight="1" x14ac:dyDescent="0.2">
      <c r="A3" s="104" t="s">
        <v>27</v>
      </c>
      <c r="B3" s="105" t="s">
        <v>73</v>
      </c>
      <c r="C3" s="107">
        <v>1</v>
      </c>
      <c r="D3" s="117"/>
      <c r="E3" s="117"/>
      <c r="F3" s="219" t="s">
        <v>28</v>
      </c>
      <c r="G3" s="107" t="str">
        <f>_xll.qlOvernightIndex(,,C3,Currency,Calendar,F3,,Permanent,Trigger,ObjectOverwrite)</f>
        <v>obj_001a0#0008</v>
      </c>
      <c r="H3" s="220" t="str">
        <f>Currency&amp;$B3&amp;"D"&amp;QuoteSuffix</f>
        <v>SEKTND_Quote</v>
      </c>
      <c r="I3" s="117"/>
      <c r="J3" s="195" t="str">
        <f>IF(P3,_xll.qlDepositRateHelper(,H3,G3,Permanent,Trigger,ObjectOverwrite),"--")</f>
        <v>--</v>
      </c>
      <c r="K3" s="49"/>
      <c r="L3" s="212" t="str">
        <f>A3</f>
        <v>Dp</v>
      </c>
      <c r="M3" s="213" t="str">
        <f>H3</f>
        <v>SEKTND_Quote</v>
      </c>
      <c r="N3" s="214">
        <f>IFERROR(_xll.qlQuoteValue(H3,Trigger),"--")</f>
        <v>-5.5400000000000007E-3</v>
      </c>
      <c r="O3" s="215"/>
      <c r="P3" s="216" t="b">
        <v>0</v>
      </c>
      <c r="Q3" s="217">
        <v>70</v>
      </c>
      <c r="R3" s="217">
        <v>1</v>
      </c>
      <c r="S3" s="217" t="str">
        <f>J3</f>
        <v>--</v>
      </c>
      <c r="T3" s="218" t="str">
        <f>IFERROR(_xll.qlRateHelperEarliestDate(S3,Trigger),"--")</f>
        <v>--</v>
      </c>
      <c r="U3" s="218" t="str">
        <f>IFERROR(_xll.qlRateHelperPillarDate(S3,Trigger),"--")</f>
        <v>--</v>
      </c>
      <c r="W3" s="3" t="str">
        <f>IFERROR(INDEX($L$3:$L$58,MATCH(Y3,$M$3:$M$58,0),1),"")</f>
        <v>OISShort</v>
      </c>
      <c r="X3" s="3" t="str">
        <f t="array" ref="X3:X58">_xll.qlRateHelperSelection(_xll.ohFilter(RateHelpers,IncludeFlag),_xll.ohFilter(Priority,IncludeFlag),AK3,AK4,AK5,AK6,_xll.ohFilter(MinDistance,IncludeFlag),Trigger)</f>
        <v>obj_00161</v>
      </c>
      <c r="Y3" s="3" t="str">
        <f>IFERROR(_xll.qlRateHelperQuoteName(X3,Trigger),"")</f>
        <v>SEKOIS1M_Quote</v>
      </c>
      <c r="Z3" s="67">
        <f>IFERROR(_xll.qlRateHelperRate(X3,Trigger),"")</f>
        <v>-5.5000000000000005E-3</v>
      </c>
      <c r="AA3" s="98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42594</v>
      </c>
      <c r="AD3" s="73">
        <v>1.0004738355248806</v>
      </c>
      <c r="AE3" s="163"/>
      <c r="AG3" s="101" t="s">
        <v>85</v>
      </c>
      <c r="AK3" s="102">
        <v>0</v>
      </c>
    </row>
    <row r="4" spans="1:39" ht="11.25" customHeight="1" x14ac:dyDescent="0.2">
      <c r="G4" s="50" t="s">
        <v>70</v>
      </c>
      <c r="K4" s="48"/>
      <c r="L4" s="185" t="str">
        <f>A6</f>
        <v>OISShort</v>
      </c>
      <c r="M4" s="186" t="str">
        <f>H6</f>
        <v>SEKOISSW_Quote</v>
      </c>
      <c r="N4" s="187" t="str">
        <f>IFERROR(_xll.qlQuoteValue(H6,Trigger),"--")</f>
        <v>--</v>
      </c>
      <c r="O4" s="188"/>
      <c r="P4" s="93" t="b">
        <v>0</v>
      </c>
      <c r="Q4" s="90">
        <v>50</v>
      </c>
      <c r="R4" s="90">
        <v>1</v>
      </c>
      <c r="S4" s="90" t="str">
        <f>J6</f>
        <v>--</v>
      </c>
      <c r="T4" s="94" t="str">
        <f>IFERROR(_xll.qlRateHelperEarliestDate(S4,Trigger),"--")</f>
        <v>--</v>
      </c>
      <c r="U4" s="94" t="str">
        <f>IFERROR(_xll.qlRateHelperPillarDate(S4,Trigger),"--")</f>
        <v>--</v>
      </c>
      <c r="W4" s="3" t="str">
        <f>IFERROR(INDEX($L$3:$L$58,MATCH(Y4,$M$3:$M$58,0),1),"")</f>
        <v>OISShort</v>
      </c>
      <c r="X4" s="3" t="str">
        <v>obj_00163</v>
      </c>
      <c r="Y4" s="3" t="str">
        <f>IFERROR(_xll.qlRateHelperQuoteName(X4,Trigger),"")</f>
        <v>SEKOIS2M_Quote</v>
      </c>
      <c r="Z4" s="67">
        <f>IFERROR(_xll.qlRateHelperRate(X4,Trigger),"")</f>
        <v>-5.5000000000000005E-3</v>
      </c>
      <c r="AA4" s="98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42625</v>
      </c>
      <c r="AD4" s="73">
        <v>1.0009481203028467</v>
      </c>
      <c r="AE4" s="163"/>
      <c r="AG4" s="101" t="s">
        <v>86</v>
      </c>
      <c r="AK4" s="102">
        <v>0</v>
      </c>
    </row>
    <row r="5" spans="1:39" ht="11.25" customHeight="1" x14ac:dyDescent="0.2">
      <c r="A5" s="63" t="s">
        <v>9</v>
      </c>
      <c r="B5" s="63" t="s">
        <v>30</v>
      </c>
      <c r="C5" s="63" t="s">
        <v>77</v>
      </c>
      <c r="D5" s="63"/>
      <c r="E5" s="63"/>
      <c r="F5" s="63"/>
      <c r="G5" s="63" t="s">
        <v>4</v>
      </c>
      <c r="H5" s="63" t="s">
        <v>1</v>
      </c>
      <c r="I5" s="63"/>
      <c r="J5" s="63" t="s">
        <v>25</v>
      </c>
      <c r="K5" s="48"/>
      <c r="L5" s="185" t="str">
        <f>A7</f>
        <v>OISShort</v>
      </c>
      <c r="M5" s="193" t="str">
        <f>H7</f>
        <v>SEKOIS2W_Quote</v>
      </c>
      <c r="N5" s="187" t="str">
        <f>IFERROR(_xll.qlQuoteValue(H7,Trigger),"--")</f>
        <v>--</v>
      </c>
      <c r="O5" s="188"/>
      <c r="P5" s="93" t="b">
        <v>0</v>
      </c>
      <c r="Q5" s="90">
        <v>50</v>
      </c>
      <c r="R5" s="90">
        <v>1</v>
      </c>
      <c r="S5" s="90" t="str">
        <f>J7</f>
        <v>--</v>
      </c>
      <c r="T5" s="94" t="str">
        <f>IFERROR(_xll.qlRateHelperEarliestDate(S5,Trigger),"--")</f>
        <v>--</v>
      </c>
      <c r="U5" s="94" t="str">
        <f>IFERROR(_xll.qlRateHelperPillarDate(S5,Trigger),"--")</f>
        <v>--</v>
      </c>
      <c r="W5" s="3" t="str">
        <f>IFERROR(INDEX($L$3:$L$58,MATCH(Y5,$M$3:$M$58,0),1),"")</f>
        <v>OISShort</v>
      </c>
      <c r="X5" s="3" t="str">
        <v>obj_00165</v>
      </c>
      <c r="Y5" s="3" t="str">
        <f>IFERROR(_xll.qlRateHelperQuoteName(X5,Trigger),"")</f>
        <v>SEKOIS3M_Quote</v>
      </c>
      <c r="Z5" s="67">
        <f>IFERROR(_xll.qlRateHelperRate(X5,Trigger),"")</f>
        <v>-5.5500000000000002E-3</v>
      </c>
      <c r="AA5" s="98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42655</v>
      </c>
      <c r="AD5" s="73">
        <v>1.0014203478600481</v>
      </c>
      <c r="AE5" s="163"/>
      <c r="AF5" s="76"/>
      <c r="AG5" s="101" t="s">
        <v>87</v>
      </c>
      <c r="AK5" s="102">
        <v>0</v>
      </c>
    </row>
    <row r="6" spans="1:39" ht="11.25" customHeight="1" x14ac:dyDescent="0.2">
      <c r="A6" s="53" t="s">
        <v>142</v>
      </c>
      <c r="B6" s="54" t="s">
        <v>90</v>
      </c>
      <c r="C6" s="55">
        <f>IF(B6="O/N",0,IF(B6="T/N",1,2))</f>
        <v>2</v>
      </c>
      <c r="D6" s="118"/>
      <c r="E6" s="118"/>
      <c r="F6" s="118"/>
      <c r="G6" s="61" t="str">
        <f>$G$1</f>
        <v>SekiborON</v>
      </c>
      <c r="H6" s="57" t="str">
        <f>Currency&amp;$G$4&amp;IF($B6="1W","SW",$B6)&amp;QuoteSuffix</f>
        <v>SEKOISSW_Quote</v>
      </c>
      <c r="I6" s="118"/>
      <c r="J6" s="182" t="str">
        <f>IF(P4,_xll.qlOISRateHelper(,C6,B6,H6,$G6,,Permanent,Trigger,ObjectOverwrite),"--")</f>
        <v>--</v>
      </c>
      <c r="K6" s="48"/>
      <c r="L6" s="185" t="str">
        <f>A8</f>
        <v>OISShort</v>
      </c>
      <c r="M6" s="193" t="str">
        <f>H8</f>
        <v>SEKOIS3W_Quote</v>
      </c>
      <c r="N6" s="187" t="str">
        <f>IFERROR(_xll.qlQuoteValue(H8,Trigger),"--")</f>
        <v>--</v>
      </c>
      <c r="O6" s="188"/>
      <c r="P6" s="93" t="b">
        <v>0</v>
      </c>
      <c r="Q6" s="90">
        <v>50</v>
      </c>
      <c r="R6" s="90">
        <v>1</v>
      </c>
      <c r="S6" s="90" t="str">
        <f>J8</f>
        <v>--</v>
      </c>
      <c r="T6" s="94" t="str">
        <f>IFERROR(_xll.qlRateHelperEarliestDate(S6,Trigger),"--")</f>
        <v>--</v>
      </c>
      <c r="U6" s="94" t="str">
        <f>IFERROR(_xll.qlRateHelperPillarDate(S6,Trigger),"--")</f>
        <v>--</v>
      </c>
      <c r="W6" s="3" t="str">
        <f>IFERROR(INDEX($L$3:$L$58,MATCH(Y6,$M$3:$M$58,0),1),"")</f>
        <v>OISShort</v>
      </c>
      <c r="X6" s="3" t="str">
        <v>obj_00162</v>
      </c>
      <c r="Y6" s="3" t="str">
        <f>IFERROR(_xll.qlRateHelperQuoteName(X6,Trigger),"")</f>
        <v>SEKOIS6M_Quote</v>
      </c>
      <c r="Z6" s="67">
        <f>IFERROR(_xll.qlRateHelperRate(X6,Trigger),"")</f>
        <v>-5.8000000000000005E-3</v>
      </c>
      <c r="AA6" s="98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42563</v>
      </c>
      <c r="AC6" s="4">
        <f>IFERROR(_xll.qlRateHelperPillarDate(X6,Trigger),"")</f>
        <v>42747</v>
      </c>
      <c r="AD6" s="73">
        <v>1.0029732585040989</v>
      </c>
      <c r="AE6" s="163"/>
      <c r="AG6" s="101" t="s">
        <v>88</v>
      </c>
      <c r="AK6" s="103" t="s">
        <v>89</v>
      </c>
    </row>
    <row r="7" spans="1:39" ht="11.25" customHeight="1" x14ac:dyDescent="0.2">
      <c r="A7" s="58" t="s">
        <v>142</v>
      </c>
      <c r="B7" s="59" t="s">
        <v>39</v>
      </c>
      <c r="C7" s="60">
        <f t="shared" ref="C7:C20" si="0">IF(B7="O/N",0,IF(B7="T/N",1,2))</f>
        <v>2</v>
      </c>
      <c r="D7" s="118"/>
      <c r="E7" s="118"/>
      <c r="F7" s="118"/>
      <c r="G7" s="61" t="str">
        <f t="shared" ref="G7:G60" si="1">$G$1</f>
        <v>SekiborON</v>
      </c>
      <c r="H7" s="62" t="str">
        <f>Currency&amp;$G$4&amp;IF($B7="1W","SW",$B7)&amp;QuoteSuffix</f>
        <v>SEKOIS2W_Quote</v>
      </c>
      <c r="I7" s="118"/>
      <c r="J7" s="184" t="str">
        <f>IF(P5,_xll.qlOISRateHelper(,C7,B7,H7,$G7,,Permanent,Trigger,ObjectOverwrite),"--")</f>
        <v>--</v>
      </c>
      <c r="K7" s="48"/>
      <c r="L7" s="185" t="str">
        <f>A9</f>
        <v>OISShort</v>
      </c>
      <c r="M7" s="193" t="str">
        <f>H9</f>
        <v>SEKOIS1M_Quote</v>
      </c>
      <c r="N7" s="187">
        <f>IFERROR(_xll.qlQuoteValue(H9,Trigger),"--")</f>
        <v>-5.5000000000000005E-3</v>
      </c>
      <c r="O7" s="188"/>
      <c r="P7" s="93" t="b">
        <v>1</v>
      </c>
      <c r="Q7" s="90">
        <v>50</v>
      </c>
      <c r="R7" s="90">
        <v>1</v>
      </c>
      <c r="S7" s="90" t="str">
        <f>J9</f>
        <v>obj_00161#0006</v>
      </c>
      <c r="T7" s="94">
        <f>IFERROR(_xll.qlRateHelperEarliestDate(S7,Trigger),"--")</f>
        <v>42563</v>
      </c>
      <c r="U7" s="94">
        <f>IFERROR(_xll.qlRateHelperPillarDate(S7,Trigger),"--")</f>
        <v>42594</v>
      </c>
      <c r="W7" s="3" t="str">
        <f>IFERROR(INDEX($L$3:$L$58,MATCH(Y7,$M$3:$M$58,0),1),"")</f>
        <v>OISShort</v>
      </c>
      <c r="X7" s="3" t="str">
        <v>obj_00164</v>
      </c>
      <c r="Y7" s="3" t="str">
        <f>IFERROR(_xll.qlRateHelperQuoteName(X7,Trigger),"")</f>
        <v>SEKOIS9M_Quote</v>
      </c>
      <c r="Z7" s="67">
        <f>IFERROR(_xll.qlRateHelperRate(X7,Trigger),"")</f>
        <v>-5.7500000000000008E-3</v>
      </c>
      <c r="AA7" s="98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42563</v>
      </c>
      <c r="AC7" s="4">
        <f>IFERROR(_xll.qlRateHelperPillarDate(X7,Trigger),"")</f>
        <v>42837</v>
      </c>
      <c r="AD7" s="73">
        <v>1.0043956258570499</v>
      </c>
      <c r="AE7" s="163"/>
    </row>
    <row r="8" spans="1:39" ht="11.25" customHeight="1" x14ac:dyDescent="0.2">
      <c r="A8" s="58" t="s">
        <v>142</v>
      </c>
      <c r="B8" s="59" t="s">
        <v>40</v>
      </c>
      <c r="C8" s="60">
        <f t="shared" si="0"/>
        <v>2</v>
      </c>
      <c r="D8" s="118"/>
      <c r="E8" s="118"/>
      <c r="F8" s="118"/>
      <c r="G8" s="61" t="str">
        <f t="shared" si="1"/>
        <v>SekiborON</v>
      </c>
      <c r="H8" s="62" t="str">
        <f>Currency&amp;$G$4&amp;IF($B8="1W","SW",$B8)&amp;QuoteSuffix</f>
        <v>SEKOIS3W_Quote</v>
      </c>
      <c r="I8" s="118"/>
      <c r="J8" s="184" t="str">
        <f>IF(P6,_xll.qlOISRateHelper(,C8,B8,H8,$G8,,Permanent,Trigger,ObjectOverwrite),"--")</f>
        <v>--</v>
      </c>
      <c r="K8" s="48"/>
      <c r="L8" s="185" t="str">
        <f>A10</f>
        <v>OISShort</v>
      </c>
      <c r="M8" s="193" t="str">
        <f>H10</f>
        <v>SEKOIS2M_Quote</v>
      </c>
      <c r="N8" s="187">
        <f>IFERROR(_xll.qlQuoteValue(H10,Trigger),"--")</f>
        <v>-5.5000000000000005E-3</v>
      </c>
      <c r="O8" s="188"/>
      <c r="P8" s="93" t="b">
        <v>1</v>
      </c>
      <c r="Q8" s="90">
        <v>50</v>
      </c>
      <c r="R8" s="90">
        <v>1</v>
      </c>
      <c r="S8" s="90" t="str">
        <f>J10</f>
        <v>obj_00163#0006</v>
      </c>
      <c r="T8" s="94">
        <f>IFERROR(_xll.qlRateHelperEarliestDate(S8,Trigger),"--")</f>
        <v>42563</v>
      </c>
      <c r="U8" s="94">
        <f>IFERROR(_xll.qlRateHelperPillarDate(S8,Trigger),"--")</f>
        <v>42625</v>
      </c>
      <c r="W8" s="3" t="str">
        <f>IFERROR(INDEX($L$3:$L$58,MATCH(Y8,$M$3:$M$58,0),1),"")</f>
        <v>OIS</v>
      </c>
      <c r="X8" s="3" t="str">
        <v>obj_00160</v>
      </c>
      <c r="Y8" s="3" t="str">
        <f>IFERROR(_xll.qlRateHelperQuoteName(X8,Trigger),"")</f>
        <v>SEKOIS1Y_Quote</v>
      </c>
      <c r="Z8" s="67">
        <f>IFERROR(_xll.qlRateHelperRate(X8,Trigger),"")</f>
        <v>-5.8000000000000005E-3</v>
      </c>
      <c r="AA8" s="98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42563</v>
      </c>
      <c r="AC8" s="4">
        <f>IFERROR(_xll.qlRateHelperPillarDate(X8,Trigger),"")</f>
        <v>42928</v>
      </c>
      <c r="AD8" s="73">
        <v>1.0059153410472137</v>
      </c>
      <c r="AE8" s="163"/>
    </row>
    <row r="9" spans="1:39" ht="11.25" customHeight="1" x14ac:dyDescent="0.2">
      <c r="A9" s="58" t="s">
        <v>142</v>
      </c>
      <c r="B9" s="59" t="s">
        <v>2</v>
      </c>
      <c r="C9" s="60">
        <f t="shared" si="0"/>
        <v>2</v>
      </c>
      <c r="D9" s="118"/>
      <c r="E9" s="118"/>
      <c r="F9" s="118"/>
      <c r="G9" s="61" t="str">
        <f t="shared" si="1"/>
        <v>SekiborON</v>
      </c>
      <c r="H9" s="62" t="str">
        <f>Currency&amp;$G$4&amp;IF($B9="1W","SW",$B9)&amp;QuoteSuffix</f>
        <v>SEKOIS1M_Quote</v>
      </c>
      <c r="I9" s="118"/>
      <c r="J9" s="184" t="str">
        <f>IF(P7,_xll.qlOISRateHelper(,C9,B9,H9,$G9,,Permanent,Trigger,ObjectOverwrite),"--")</f>
        <v>obj_00161#0006</v>
      </c>
      <c r="K9" s="48"/>
      <c r="L9" s="185" t="str">
        <f>A11</f>
        <v>OISShort</v>
      </c>
      <c r="M9" s="193" t="str">
        <f>H11</f>
        <v>SEKOIS3M_Quote</v>
      </c>
      <c r="N9" s="187">
        <f>IFERROR(_xll.qlQuoteValue(H11,Trigger),"--")</f>
        <v>-5.5500000000000002E-3</v>
      </c>
      <c r="O9" s="188"/>
      <c r="P9" s="93" t="b">
        <v>1</v>
      </c>
      <c r="Q9" s="90">
        <v>50</v>
      </c>
      <c r="R9" s="90">
        <v>1</v>
      </c>
      <c r="S9" s="90" t="str">
        <f>J11</f>
        <v>obj_00165#0006</v>
      </c>
      <c r="T9" s="94">
        <f>IFERROR(_xll.qlRateHelperEarliestDate(S9,Trigger),"--")</f>
        <v>42563</v>
      </c>
      <c r="U9" s="94">
        <f>IFERROR(_xll.qlRateHelperPillarDate(S9,Trigger),"--")</f>
        <v>42655</v>
      </c>
      <c r="W9" s="3" t="str">
        <f>IFERROR(INDEX($L$3:$L$58,MATCH(Y9,$M$3:$M$58,0),1),"")</f>
        <v>OIS</v>
      </c>
      <c r="X9" s="3" t="str">
        <v>obj_0015f</v>
      </c>
      <c r="Y9" s="3" t="str">
        <f>IFERROR(_xll.qlRateHelperQuoteName(X9,Trigger),"")</f>
        <v>SEKOIS2Y_Quote</v>
      </c>
      <c r="Z9" s="67">
        <f>IFERROR(_xll.qlRateHelperRate(X9,Trigger),"")</f>
        <v>-5.1999999999999998E-3</v>
      </c>
      <c r="AA9" s="98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42563</v>
      </c>
      <c r="AC9" s="4">
        <f>IFERROR(_xll.qlRateHelperPillarDate(X9,Trigger),"")</f>
        <v>43293</v>
      </c>
      <c r="AD9" s="73">
        <v>1.0106316840378093</v>
      </c>
      <c r="AE9" s="163"/>
      <c r="AH9" s="46" t="s">
        <v>106</v>
      </c>
    </row>
    <row r="10" spans="1:39" ht="11.25" customHeight="1" x14ac:dyDescent="0.2">
      <c r="A10" s="58" t="s">
        <v>142</v>
      </c>
      <c r="B10" s="59" t="s">
        <v>41</v>
      </c>
      <c r="C10" s="60">
        <f t="shared" si="0"/>
        <v>2</v>
      </c>
      <c r="D10" s="118"/>
      <c r="E10" s="118"/>
      <c r="F10" s="118"/>
      <c r="G10" s="61" t="str">
        <f t="shared" si="1"/>
        <v>SekiborON</v>
      </c>
      <c r="H10" s="62" t="str">
        <f>Currency&amp;$G$4&amp;IF($B10="1W","SW",$B10)&amp;QuoteSuffix</f>
        <v>SEKOIS2M_Quote</v>
      </c>
      <c r="I10" s="118"/>
      <c r="J10" s="184" t="str">
        <f>IF(P8,_xll.qlOISRateHelper(,C10,B10,H10,$G10,,Permanent,Trigger,ObjectOverwrite),"--")</f>
        <v>obj_00163#0006</v>
      </c>
      <c r="K10" s="48"/>
      <c r="L10" s="185" t="str">
        <f>A12</f>
        <v>OISShort</v>
      </c>
      <c r="M10" s="193" t="str">
        <f>H12</f>
        <v>SEKOIS4M_Quote</v>
      </c>
      <c r="N10" s="187" t="str">
        <f>IFERROR(_xll.qlQuoteValue(H12,Trigger),"--")</f>
        <v>--</v>
      </c>
      <c r="O10" s="188"/>
      <c r="P10" s="93" t="b">
        <v>0</v>
      </c>
      <c r="Q10" s="90">
        <v>50</v>
      </c>
      <c r="R10" s="90">
        <v>1</v>
      </c>
      <c r="S10" s="90" t="str">
        <f>J12</f>
        <v>--</v>
      </c>
      <c r="T10" s="94" t="str">
        <f>IFERROR(_xll.qlRateHelperEarliestDate(S10,Trigger),"--")</f>
        <v>--</v>
      </c>
      <c r="U10" s="94" t="str">
        <f>IFERROR(_xll.qlRateHelperPillarDate(S10,Trigger),"--")</f>
        <v>--</v>
      </c>
      <c r="W10" s="3" t="str">
        <f>IFERROR(INDEX($L$3:$L$58,MATCH(Y10,$M$3:$M$58,0),1),"")</f>
        <v>OIS</v>
      </c>
      <c r="X10" s="3" t="str">
        <v>obj_0015e</v>
      </c>
      <c r="Y10" s="3" t="str">
        <f>IFERROR(_xll.qlRateHelperQuoteName(X10,Trigger),"")</f>
        <v>SEKOIS3Y_Quote</v>
      </c>
      <c r="Z10" s="67">
        <f>IFERROR(_xll.qlRateHelperRate(X10,Trigger),"")</f>
        <v>-4.0000000000000001E-3</v>
      </c>
      <c r="AA10" s="98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42563</v>
      </c>
      <c r="AC10" s="4">
        <f>IFERROR(_xll.qlRateHelperPillarDate(X10,Trigger),"")</f>
        <v>43658</v>
      </c>
      <c r="AD10" s="73">
        <v>1.012283590831216</v>
      </c>
      <c r="AE10" s="163"/>
      <c r="AF10" s="69" t="s">
        <v>100</v>
      </c>
      <c r="AG10" s="69" t="s">
        <v>101</v>
      </c>
      <c r="AH10" s="69" t="s">
        <v>102</v>
      </c>
      <c r="AI10" s="69" t="s">
        <v>113</v>
      </c>
      <c r="AJ10" s="69" t="s">
        <v>103</v>
      </c>
      <c r="AK10" s="69" t="s">
        <v>114</v>
      </c>
      <c r="AL10" s="69" t="s">
        <v>104</v>
      </c>
      <c r="AM10" s="69" t="s">
        <v>105</v>
      </c>
    </row>
    <row r="11" spans="1:39" ht="11.25" customHeight="1" x14ac:dyDescent="0.2">
      <c r="A11" s="58" t="s">
        <v>142</v>
      </c>
      <c r="B11" s="59" t="s">
        <v>0</v>
      </c>
      <c r="C11" s="60">
        <f t="shared" si="0"/>
        <v>2</v>
      </c>
      <c r="D11" s="118"/>
      <c r="E11" s="118"/>
      <c r="F11" s="118"/>
      <c r="G11" s="61" t="str">
        <f t="shared" si="1"/>
        <v>SekiborON</v>
      </c>
      <c r="H11" s="62" t="str">
        <f>Currency&amp;$G$4&amp;IF($B11="1W","SW",$B11)&amp;QuoteSuffix</f>
        <v>SEKOIS3M_Quote</v>
      </c>
      <c r="I11" s="118"/>
      <c r="J11" s="184" t="str">
        <f>IF(P9,_xll.qlOISRateHelper(,C11,B11,H11,$G11,,Permanent,Trigger,ObjectOverwrite),"--")</f>
        <v>obj_00165#0006</v>
      </c>
      <c r="K11" s="48"/>
      <c r="L11" s="185" t="str">
        <f>A13</f>
        <v>OISShort</v>
      </c>
      <c r="M11" s="193" t="str">
        <f>H13</f>
        <v>SEKOIS5M_Quote</v>
      </c>
      <c r="N11" s="187" t="str">
        <f>IFERROR(_xll.qlQuoteValue(H13,Trigger),"--")</f>
        <v>--</v>
      </c>
      <c r="O11" s="188"/>
      <c r="P11" s="93" t="b">
        <v>0</v>
      </c>
      <c r="Q11" s="90">
        <v>50</v>
      </c>
      <c r="R11" s="90">
        <v>1</v>
      </c>
      <c r="S11" s="90" t="str">
        <f>J13</f>
        <v>--</v>
      </c>
      <c r="T11" s="94" t="str">
        <f>IFERROR(_xll.qlRateHelperEarliestDate(S11,Trigger),"--")</f>
        <v>--</v>
      </c>
      <c r="U11" s="94" t="str">
        <f>IFERROR(_xll.qlRateHelperPillarDate(S11,Trigger),"--")</f>
        <v>--</v>
      </c>
      <c r="W11" s="3" t="str">
        <f>IFERROR(INDEX($L$3:$L$58,MATCH(Y11,$M$3:$M$58,0),1),"")</f>
        <v>OIS</v>
      </c>
      <c r="X11" s="3" t="str">
        <v>obj_0015d</v>
      </c>
      <c r="Y11" s="3" t="str">
        <f>IFERROR(_xll.qlRateHelperQuoteName(X11,Trigger),"")</f>
        <v>SEKOIS4Y_Quote</v>
      </c>
      <c r="Z11" s="67">
        <f>IFERROR(_xll.qlRateHelperRate(X11,Trigger),"")</f>
        <v>-2.65E-3</v>
      </c>
      <c r="AA11" s="98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42563</v>
      </c>
      <c r="AC11" s="4">
        <f>IFERROR(_xll.qlRateHelperPillarDate(X11,Trigger),"")</f>
        <v>44025</v>
      </c>
      <c r="AD11" s="73">
        <v>1.0108687689847808</v>
      </c>
      <c r="AE11" s="163"/>
      <c r="AF11" s="136">
        <v>1</v>
      </c>
      <c r="AG11" s="137">
        <f>_xll.qlCalendarEndOfMonth(Calendar,Settlementdate,Trigger)</f>
        <v>42580</v>
      </c>
      <c r="AH11" s="136" t="str">
        <f t="shared" ref="AH11:AH23" si="2">Currency&amp;$AH$9&amp;AF11&amp;JumpSuffix&amp;QuoteSuffix</f>
        <v>SEKJump1_SYNTHON_Quote</v>
      </c>
      <c r="AI11" s="167">
        <f>_xll.qlDayCounterYearFraction("actual/360",AG11,_xll.qlCalendarAdvance(Calendar,AG11,"1D",,,Trigger))</f>
        <v>8.3333333333333332E-3</v>
      </c>
      <c r="AJ11" s="138" t="e">
        <f>IF(_xll.qlQuoteIsValid(AH11,Trigger),_xll.qlQuoteValue(AH11,Trigger),1)</f>
        <v>#NUM!</v>
      </c>
      <c r="AK11" s="170" t="e">
        <f>-LN(AJ11)/AI11</f>
        <v>#NUM!</v>
      </c>
      <c r="AL11" s="175">
        <v>0</v>
      </c>
      <c r="AM11" s="138">
        <f>IF(ISBLANK(AL11),AH11,EXP(-AL11*AI11))</f>
        <v>1</v>
      </c>
    </row>
    <row r="12" spans="1:39" ht="11.25" customHeight="1" x14ac:dyDescent="0.2">
      <c r="A12" s="58" t="s">
        <v>142</v>
      </c>
      <c r="B12" s="59" t="s">
        <v>42</v>
      </c>
      <c r="C12" s="60">
        <f t="shared" si="0"/>
        <v>2</v>
      </c>
      <c r="D12" s="118"/>
      <c r="E12" s="118"/>
      <c r="F12" s="118"/>
      <c r="G12" s="61" t="str">
        <f t="shared" si="1"/>
        <v>SekiborON</v>
      </c>
      <c r="H12" s="62" t="str">
        <f>Currency&amp;$G$4&amp;IF($B12="1W","SW",$B12)&amp;QuoteSuffix</f>
        <v>SEKOIS4M_Quote</v>
      </c>
      <c r="I12" s="118"/>
      <c r="J12" s="184" t="str">
        <f>IF(P10,_xll.qlOISRateHelper(,C12,B12,H12,$G12,,Permanent,Trigger,ObjectOverwrite),"--")</f>
        <v>--</v>
      </c>
      <c r="K12" s="48"/>
      <c r="L12" s="185" t="str">
        <f>A14</f>
        <v>OISShort</v>
      </c>
      <c r="M12" s="193" t="str">
        <f>H14</f>
        <v>SEKOIS6M_Quote</v>
      </c>
      <c r="N12" s="187">
        <f>IFERROR(_xll.qlQuoteValue(H14,Trigger),"--")</f>
        <v>-5.8000000000000005E-3</v>
      </c>
      <c r="O12" s="188"/>
      <c r="P12" s="93" t="b">
        <v>1</v>
      </c>
      <c r="Q12" s="90">
        <v>50</v>
      </c>
      <c r="R12" s="90">
        <v>1</v>
      </c>
      <c r="S12" s="90" t="str">
        <f>J14</f>
        <v>obj_00162#0006</v>
      </c>
      <c r="T12" s="94">
        <f>IFERROR(_xll.qlRateHelperEarliestDate(S12,Trigger),"--")</f>
        <v>42563</v>
      </c>
      <c r="U12" s="94">
        <f>IFERROR(_xll.qlRateHelperPillarDate(S12,Trigger),"--")</f>
        <v>42747</v>
      </c>
      <c r="W12" s="3" t="str">
        <f>IFERROR(INDEX($L$3:$L$58,MATCH(Y12,$M$3:$M$58,0),1),"")</f>
        <v>OIS</v>
      </c>
      <c r="X12" s="3" t="str">
        <v>obj_00156</v>
      </c>
      <c r="Y12" s="3" t="str">
        <f>IFERROR(_xll.qlRateHelperQuoteName(X12,Trigger),"")</f>
        <v>SEKOIS5Y_Quote</v>
      </c>
      <c r="Z12" s="67">
        <f>IFERROR(_xll.qlRateHelperRate(X12,Trigger),"")</f>
        <v>-1.5500000000000002E-3</v>
      </c>
      <c r="AA12" s="98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42563</v>
      </c>
      <c r="AC12" s="4">
        <f>IFERROR(_xll.qlRateHelperPillarDate(X12,Trigger),"")</f>
        <v>44389</v>
      </c>
      <c r="AD12" s="73">
        <v>1.0079368655548266</v>
      </c>
      <c r="AE12" s="163"/>
      <c r="AF12" s="139">
        <v>2</v>
      </c>
      <c r="AG12" s="140">
        <f>_xll.qlCalendarEndOfMonth(Calendar,_xll.qlCalendarAdvance(Calendar,AG11,"1m","mf",TRUE),Trigger)</f>
        <v>42613</v>
      </c>
      <c r="AH12" s="139" t="str">
        <f t="shared" si="2"/>
        <v>SEKJump2_SYNTHON_Quote</v>
      </c>
      <c r="AI12" s="168">
        <f>_xll.qlDayCounterYearFraction("actual/360",AG12,_xll.qlCalendarAdvance(Calendar,AG12,"1D",,,Trigger))</f>
        <v>2.7777777777777779E-3</v>
      </c>
      <c r="AJ12" s="141" t="e">
        <f>IF(_xll.qlQuoteIsValid(AH12,Trigger),_xll.qlQuoteValue(AH12,Trigger),1)</f>
        <v>#NUM!</v>
      </c>
      <c r="AK12" s="171" t="e">
        <f t="shared" ref="AK12:AK23" si="3">-LN(AJ12)/AI12</f>
        <v>#NUM!</v>
      </c>
      <c r="AL12" s="176">
        <v>0</v>
      </c>
      <c r="AM12" s="141">
        <f t="shared" ref="AM12:AM23" si="4">IF(ISBLANK(AL12),AH12,EXP(-AL12*AI12))</f>
        <v>1</v>
      </c>
    </row>
    <row r="13" spans="1:39" ht="11.25" customHeight="1" x14ac:dyDescent="0.2">
      <c r="A13" s="58" t="s">
        <v>142</v>
      </c>
      <c r="B13" s="59" t="s">
        <v>43</v>
      </c>
      <c r="C13" s="60">
        <f t="shared" si="0"/>
        <v>2</v>
      </c>
      <c r="D13" s="118"/>
      <c r="E13" s="118"/>
      <c r="F13" s="118"/>
      <c r="G13" s="61" t="str">
        <f t="shared" si="1"/>
        <v>SekiborON</v>
      </c>
      <c r="H13" s="62" t="str">
        <f>Currency&amp;$G$4&amp;IF($B13="1W","SW",$B13)&amp;QuoteSuffix</f>
        <v>SEKOIS5M_Quote</v>
      </c>
      <c r="I13" s="118"/>
      <c r="J13" s="184" t="str">
        <f>IF(P11,_xll.qlOISRateHelper(,C13,B13,H13,$G13,,Permanent,Trigger,ObjectOverwrite),"--")</f>
        <v>--</v>
      </c>
      <c r="K13" s="48"/>
      <c r="L13" s="185" t="str">
        <f>A15</f>
        <v>OISShort</v>
      </c>
      <c r="M13" s="193" t="str">
        <f>H15</f>
        <v>SEKOIS7M_Quote</v>
      </c>
      <c r="N13" s="187" t="str">
        <f>IFERROR(_xll.qlQuoteValue(H15,Trigger),"--")</f>
        <v>--</v>
      </c>
      <c r="O13" s="188"/>
      <c r="P13" s="93" t="b">
        <v>0</v>
      </c>
      <c r="Q13" s="90">
        <v>50</v>
      </c>
      <c r="R13" s="90">
        <v>1</v>
      </c>
      <c r="S13" s="90" t="str">
        <f>J15</f>
        <v>--</v>
      </c>
      <c r="T13" s="94" t="str">
        <f>IFERROR(_xll.qlRateHelperEarliestDate(S13,Trigger),"--")</f>
        <v>--</v>
      </c>
      <c r="U13" s="94" t="str">
        <f>IFERROR(_xll.qlRateHelperPillarDate(S13,Trigger),"--")</f>
        <v>--</v>
      </c>
      <c r="W13" s="3" t="str">
        <f>IFERROR(INDEX($L$3:$L$58,MATCH(Y13,$M$3:$M$58,0),1),"")</f>
        <v>OIS</v>
      </c>
      <c r="X13" s="3" t="str">
        <v>obj_00158</v>
      </c>
      <c r="Y13" s="3" t="str">
        <f>IFERROR(_xll.qlRateHelperQuoteName(X13,Trigger),"")</f>
        <v>SEKOIS6Y_Quote</v>
      </c>
      <c r="Z13" s="67">
        <f>IFERROR(_xll.qlRateHelperRate(X13,Trigger),"")</f>
        <v>-1.0000000000000001E-5</v>
      </c>
      <c r="AA13" s="98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42563</v>
      </c>
      <c r="AC13" s="4">
        <f>IFERROR(_xll.qlRateHelperPillarDate(X13,Trigger),"")</f>
        <v>44754</v>
      </c>
      <c r="AD13" s="73">
        <v>1.0000613450950844</v>
      </c>
      <c r="AE13" s="163"/>
      <c r="AF13" s="139">
        <v>3</v>
      </c>
      <c r="AG13" s="140">
        <f>_xll.qlCalendarEndOfMonth(Calendar,_xll.qlCalendarAdvance(Calendar,AG12,"1m","mf",TRUE),Trigger)</f>
        <v>42643</v>
      </c>
      <c r="AH13" s="139" t="str">
        <f t="shared" si="2"/>
        <v>SEKJump3_SYNTHON_Quote</v>
      </c>
      <c r="AI13" s="168">
        <f>_xll.qlDayCounterYearFraction("actual/360",AG13,_xll.qlCalendarAdvance(Calendar,AG13,"1D",,,Trigger))</f>
        <v>8.3333333333333332E-3</v>
      </c>
      <c r="AJ13" s="141" t="e">
        <f>IF(_xll.qlQuoteIsValid(AH13,Trigger),_xll.qlQuoteValue(AH13,Trigger),1)</f>
        <v>#NUM!</v>
      </c>
      <c r="AK13" s="171" t="e">
        <f t="shared" si="3"/>
        <v>#NUM!</v>
      </c>
      <c r="AL13" s="176">
        <v>0</v>
      </c>
      <c r="AM13" s="141">
        <f t="shared" si="4"/>
        <v>1</v>
      </c>
    </row>
    <row r="14" spans="1:39" ht="11.25" customHeight="1" x14ac:dyDescent="0.2">
      <c r="A14" s="58" t="s">
        <v>142</v>
      </c>
      <c r="B14" s="59" t="s">
        <v>3</v>
      </c>
      <c r="C14" s="60">
        <f t="shared" si="0"/>
        <v>2</v>
      </c>
      <c r="D14" s="118"/>
      <c r="E14" s="118"/>
      <c r="F14" s="118"/>
      <c r="G14" s="61" t="str">
        <f t="shared" si="1"/>
        <v>SekiborON</v>
      </c>
      <c r="H14" s="62" t="str">
        <f>Currency&amp;$G$4&amp;IF($B14="1W","SW",$B14)&amp;QuoteSuffix</f>
        <v>SEKOIS6M_Quote</v>
      </c>
      <c r="I14" s="118"/>
      <c r="J14" s="184" t="str">
        <f>IF(P12,_xll.qlOISRateHelper(,C14,B14,H14,$G14,,Permanent,Trigger,ObjectOverwrite),"--")</f>
        <v>obj_00162#0006</v>
      </c>
      <c r="K14" s="48"/>
      <c r="L14" s="185" t="str">
        <f>A16</f>
        <v>OISShort</v>
      </c>
      <c r="M14" s="193" t="str">
        <f>H16</f>
        <v>SEKOIS8M_Quote</v>
      </c>
      <c r="N14" s="187" t="str">
        <f>IFERROR(_xll.qlQuoteValue(H16,Trigger),"--")</f>
        <v>--</v>
      </c>
      <c r="O14" s="188"/>
      <c r="P14" s="93" t="b">
        <v>0</v>
      </c>
      <c r="Q14" s="90">
        <v>50</v>
      </c>
      <c r="R14" s="90">
        <v>1</v>
      </c>
      <c r="S14" s="90" t="str">
        <f>J16</f>
        <v>--</v>
      </c>
      <c r="T14" s="94" t="str">
        <f>IFERROR(_xll.qlRateHelperEarliestDate(S14,Trigger),"--")</f>
        <v>--</v>
      </c>
      <c r="U14" s="94" t="str">
        <f>IFERROR(_xll.qlRateHelperPillarDate(S14,Trigger),"--")</f>
        <v>--</v>
      </c>
      <c r="W14" s="3" t="str">
        <f>IFERROR(INDEX($L$3:$L$58,MATCH(Y14,$M$3:$M$58,0),1),"")</f>
        <v>OIS</v>
      </c>
      <c r="X14" s="3" t="str">
        <v>obj_00152</v>
      </c>
      <c r="Y14" s="3" t="str">
        <f>IFERROR(_xll.qlRateHelperQuoteName(X14,Trigger),"")</f>
        <v>SEKOIS7Y_Quote</v>
      </c>
      <c r="Z14" s="67">
        <f>IFERROR(_xll.qlRateHelperRate(X14,Trigger),"")</f>
        <v>1.5000000000000002E-3</v>
      </c>
      <c r="AA14" s="98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42563</v>
      </c>
      <c r="AC14" s="4">
        <f>IFERROR(_xll.qlRateHelperPillarDate(X14,Trigger),"")</f>
        <v>45119</v>
      </c>
      <c r="AD14" s="73">
        <v>0.98929368492480818</v>
      </c>
      <c r="AE14" s="163"/>
      <c r="AF14" s="139">
        <v>4</v>
      </c>
      <c r="AG14" s="140">
        <f>_xll.qlCalendarEndOfMonth(Calendar,_xll.qlCalendarAdvance(Calendar,AG13,"1m","mf",TRUE),Trigger)</f>
        <v>42674</v>
      </c>
      <c r="AH14" s="139" t="str">
        <f t="shared" si="2"/>
        <v>SEKJump4_SYNTHON_Quote</v>
      </c>
      <c r="AI14" s="168">
        <f>_xll.qlDayCounterYearFraction("actual/360",AG14,_xll.qlCalendarAdvance(Calendar,AG14,"1D",,,Trigger))</f>
        <v>2.7777777777777779E-3</v>
      </c>
      <c r="AJ14" s="141" t="e">
        <f>IF(_xll.qlQuoteIsValid(AH14,Trigger),_xll.qlQuoteValue(AH14,Trigger),1)</f>
        <v>#NUM!</v>
      </c>
      <c r="AK14" s="171" t="e">
        <f t="shared" si="3"/>
        <v>#NUM!</v>
      </c>
      <c r="AL14" s="176">
        <v>0</v>
      </c>
      <c r="AM14" s="141">
        <f t="shared" si="4"/>
        <v>1</v>
      </c>
    </row>
    <row r="15" spans="1:39" ht="11.25" customHeight="1" x14ac:dyDescent="0.2">
      <c r="A15" s="58" t="s">
        <v>142</v>
      </c>
      <c r="B15" s="59" t="s">
        <v>44</v>
      </c>
      <c r="C15" s="60">
        <f t="shared" si="0"/>
        <v>2</v>
      </c>
      <c r="D15" s="118"/>
      <c r="E15" s="118"/>
      <c r="F15" s="118"/>
      <c r="G15" s="61" t="str">
        <f t="shared" si="1"/>
        <v>SekiborON</v>
      </c>
      <c r="H15" s="62" t="str">
        <f>Currency&amp;$G$4&amp;IF($B15="1W","SW",$B15)&amp;QuoteSuffix</f>
        <v>SEKOIS7M_Quote</v>
      </c>
      <c r="I15" s="118"/>
      <c r="J15" s="184" t="str">
        <f>IF(P13,_xll.qlOISRateHelper(,C15,B15,H15,$G15,,Permanent,Trigger,ObjectOverwrite),"--")</f>
        <v>--</v>
      </c>
      <c r="K15" s="48"/>
      <c r="L15" s="185" t="str">
        <f>A17</f>
        <v>OISShort</v>
      </c>
      <c r="M15" s="193" t="str">
        <f>H17</f>
        <v>SEKOIS9M_Quote</v>
      </c>
      <c r="N15" s="187">
        <f>IFERROR(_xll.qlQuoteValue(H17,Trigger),"--")</f>
        <v>-5.7500000000000008E-3</v>
      </c>
      <c r="O15" s="188"/>
      <c r="P15" s="93" t="b">
        <v>1</v>
      </c>
      <c r="Q15" s="90">
        <v>50</v>
      </c>
      <c r="R15" s="90">
        <v>1</v>
      </c>
      <c r="S15" s="90" t="str">
        <f>J17</f>
        <v>obj_00164#0006</v>
      </c>
      <c r="T15" s="94">
        <f>IFERROR(_xll.qlRateHelperEarliestDate(S15,Trigger),"--")</f>
        <v>42563</v>
      </c>
      <c r="U15" s="94">
        <f>IFERROR(_xll.qlRateHelperPillarDate(S15,Trigger),"--")</f>
        <v>42837</v>
      </c>
      <c r="W15" s="3" t="str">
        <f>IFERROR(INDEX($L$3:$L$58,MATCH(Y15,$M$3:$M$58,0),1),"")</f>
        <v>OIS</v>
      </c>
      <c r="X15" s="3" t="str">
        <v>obj_00154</v>
      </c>
      <c r="Y15" s="3" t="str">
        <f>IFERROR(_xll.qlRateHelperQuoteName(X15,Trigger),"")</f>
        <v>SEKOIS8Y_Quote</v>
      </c>
      <c r="Z15" s="67">
        <f>IFERROR(_xll.qlRateHelperRate(X15,Trigger),"")</f>
        <v>2.9200000000000003E-3</v>
      </c>
      <c r="AA15" s="98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42563</v>
      </c>
      <c r="AC15" s="4">
        <f>IFERROR(_xll.qlRateHelperPillarDate(X15,Trigger),"")</f>
        <v>45485</v>
      </c>
      <c r="AD15" s="73">
        <v>0.97626018225922617</v>
      </c>
      <c r="AE15" s="163"/>
      <c r="AF15" s="139">
        <v>5</v>
      </c>
      <c r="AG15" s="140">
        <f>_xll.qlCalendarEndOfMonth(Calendar,_xll.qlCalendarAdvance(Calendar,AG14,"1m","mf",TRUE),Trigger)</f>
        <v>42704</v>
      </c>
      <c r="AH15" s="139" t="str">
        <f t="shared" si="2"/>
        <v>SEKJump5_SYNTHON_Quote</v>
      </c>
      <c r="AI15" s="168">
        <f>_xll.qlDayCounterYearFraction("actual/360",AG15,_xll.qlCalendarAdvance(Calendar,AG15,"1D",,,Trigger))</f>
        <v>2.7777777777777779E-3</v>
      </c>
      <c r="AJ15" s="141" t="e">
        <f>IF(_xll.qlQuoteIsValid(AH15,Trigger),_xll.qlQuoteValue(AH15,Trigger),1)</f>
        <v>#NUM!</v>
      </c>
      <c r="AK15" s="171" t="e">
        <f t="shared" si="3"/>
        <v>#NUM!</v>
      </c>
      <c r="AL15" s="176">
        <v>0</v>
      </c>
      <c r="AM15" s="141">
        <f t="shared" si="4"/>
        <v>1</v>
      </c>
    </row>
    <row r="16" spans="1:39" ht="11.25" customHeight="1" x14ac:dyDescent="0.2">
      <c r="A16" s="58" t="s">
        <v>142</v>
      </c>
      <c r="B16" s="59" t="s">
        <v>45</v>
      </c>
      <c r="C16" s="60">
        <f t="shared" si="0"/>
        <v>2</v>
      </c>
      <c r="D16" s="118"/>
      <c r="E16" s="118"/>
      <c r="F16" s="118"/>
      <c r="G16" s="61" t="str">
        <f t="shared" si="1"/>
        <v>SekiborON</v>
      </c>
      <c r="H16" s="62" t="str">
        <f>Currency&amp;$G$4&amp;IF($B16="1W","SW",$B16)&amp;QuoteSuffix</f>
        <v>SEKOIS8M_Quote</v>
      </c>
      <c r="I16" s="118"/>
      <c r="J16" s="184" t="str">
        <f>IF(P14,_xll.qlOISRateHelper(,C16,B16,H16,$G16,,Permanent,Trigger,ObjectOverwrite),"--")</f>
        <v>--</v>
      </c>
      <c r="K16" s="48"/>
      <c r="L16" s="185" t="str">
        <f>A18</f>
        <v>OISShort</v>
      </c>
      <c r="M16" s="193" t="str">
        <f>H18</f>
        <v>SEKOIS10M_Quote</v>
      </c>
      <c r="N16" s="187" t="str">
        <f>IFERROR(_xll.qlQuoteValue(H18,Trigger),"--")</f>
        <v>--</v>
      </c>
      <c r="O16" s="188"/>
      <c r="P16" s="93" t="b">
        <v>0</v>
      </c>
      <c r="Q16" s="90">
        <v>50</v>
      </c>
      <c r="R16" s="90">
        <v>1</v>
      </c>
      <c r="S16" s="90" t="str">
        <f>J18</f>
        <v>--</v>
      </c>
      <c r="T16" s="94" t="str">
        <f>IFERROR(_xll.qlRateHelperEarliestDate(S16,Trigger),"--")</f>
        <v>--</v>
      </c>
      <c r="U16" s="94" t="str">
        <f>IFERROR(_xll.qlRateHelperPillarDate(S16,Trigger),"--")</f>
        <v>--</v>
      </c>
      <c r="W16" s="3" t="str">
        <f>IFERROR(INDEX($L$3:$L$58,MATCH(Y16,$M$3:$M$58,0),1),"")</f>
        <v>OIS</v>
      </c>
      <c r="X16" s="3" t="str">
        <v>obj_00155</v>
      </c>
      <c r="Y16" s="3" t="str">
        <f>IFERROR(_xll.qlRateHelperQuoteName(X16,Trigger),"")</f>
        <v>SEKOIS9Y_Quote</v>
      </c>
      <c r="Z16" s="67">
        <f>IFERROR(_xll.qlRateHelperRate(X16,Trigger),"")</f>
        <v>4.2100000000000002E-3</v>
      </c>
      <c r="AA16" s="98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42563</v>
      </c>
      <c r="AC16" s="4">
        <f>IFERROR(_xll.qlRateHelperPillarDate(X16,Trigger),"")</f>
        <v>45852</v>
      </c>
      <c r="AD16" s="73">
        <v>0.96164513869208657</v>
      </c>
      <c r="AE16" s="163"/>
      <c r="AF16" s="139">
        <v>6</v>
      </c>
      <c r="AG16" s="140">
        <f>_xll.qlCalendarEndOfMonth(Calendar,_xll.qlCalendarAdvance(Calendar,AG15,"1m","mf",TRUE),Trigger)</f>
        <v>42734</v>
      </c>
      <c r="AH16" s="139" t="str">
        <f t="shared" si="2"/>
        <v>SEKJump6_SYNTHON_Quote</v>
      </c>
      <c r="AI16" s="168">
        <f>_xll.qlDayCounterYearFraction("actual/360",AG16,_xll.qlCalendarAdvance(Calendar,AG16,"1D",,,Trigger))</f>
        <v>8.3333333333333332E-3</v>
      </c>
      <c r="AJ16" s="141" t="e">
        <f>IF(_xll.qlQuoteIsValid(AH16,Trigger),_xll.qlQuoteValue(AH16,Trigger),1)</f>
        <v>#NUM!</v>
      </c>
      <c r="AK16" s="171" t="e">
        <f t="shared" si="3"/>
        <v>#NUM!</v>
      </c>
      <c r="AL16" s="176">
        <v>0</v>
      </c>
      <c r="AM16" s="141">
        <f t="shared" si="4"/>
        <v>1</v>
      </c>
    </row>
    <row r="17" spans="1:39" ht="11.25" customHeight="1" x14ac:dyDescent="0.2">
      <c r="A17" s="58" t="s">
        <v>142</v>
      </c>
      <c r="B17" s="59" t="s">
        <v>46</v>
      </c>
      <c r="C17" s="60">
        <f t="shared" si="0"/>
        <v>2</v>
      </c>
      <c r="D17" s="118"/>
      <c r="E17" s="118"/>
      <c r="F17" s="118"/>
      <c r="G17" s="61" t="str">
        <f t="shared" si="1"/>
        <v>SekiborON</v>
      </c>
      <c r="H17" s="62" t="str">
        <f>Currency&amp;$G$4&amp;IF($B17="1W","SW",$B17)&amp;QuoteSuffix</f>
        <v>SEKOIS9M_Quote</v>
      </c>
      <c r="I17" s="118"/>
      <c r="J17" s="184" t="str">
        <f>IF(P15,_xll.qlOISRateHelper(,C17,B17,H17,$G17,,Permanent,Trigger,ObjectOverwrite),"--")</f>
        <v>obj_00164#0006</v>
      </c>
      <c r="K17" s="48"/>
      <c r="L17" s="185" t="str">
        <f>A19</f>
        <v>OISShort</v>
      </c>
      <c r="M17" s="193" t="str">
        <f>H19</f>
        <v>SEKOIS11M_Quote</v>
      </c>
      <c r="N17" s="187" t="str">
        <f>IFERROR(_xll.qlQuoteValue(H19,Trigger),"--")</f>
        <v>--</v>
      </c>
      <c r="O17" s="188"/>
      <c r="P17" s="93" t="b">
        <v>0</v>
      </c>
      <c r="Q17" s="90">
        <v>50</v>
      </c>
      <c r="R17" s="90">
        <v>1</v>
      </c>
      <c r="S17" s="90" t="str">
        <f>J19</f>
        <v>--</v>
      </c>
      <c r="T17" s="94" t="str">
        <f>IFERROR(_xll.qlRateHelperEarliestDate(S17,Trigger),"--")</f>
        <v>--</v>
      </c>
      <c r="U17" s="94" t="str">
        <f>IFERROR(_xll.qlRateHelperPillarDate(S17,Trigger),"--")</f>
        <v>--</v>
      </c>
      <c r="W17" s="3" t="str">
        <f>IFERROR(INDEX($L$3:$L$58,MATCH(Y17,$M$3:$M$58,0),1),"")</f>
        <v>OIS</v>
      </c>
      <c r="X17" s="3" t="str">
        <v>obj_0015a</v>
      </c>
      <c r="Y17" s="3" t="str">
        <f>IFERROR(_xll.qlRateHelperQuoteName(X17,Trigger),"")</f>
        <v>SEKOIS10Y_Quote</v>
      </c>
      <c r="Z17" s="67">
        <f>IFERROR(_xll.qlRateHelperRate(X17,Trigger),"")</f>
        <v>5.3500000000000006E-3</v>
      </c>
      <c r="AA17" s="98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42563</v>
      </c>
      <c r="AC17" s="4">
        <f>IFERROR(_xll.qlRateHelperPillarDate(X17,Trigger),"")</f>
        <v>46216</v>
      </c>
      <c r="AD17" s="73">
        <v>0.94614116369673262</v>
      </c>
      <c r="AE17" s="163"/>
      <c r="AF17" s="139">
        <v>7</v>
      </c>
      <c r="AG17" s="140">
        <f>_xll.qlCalendarEndOfMonth(Calendar,_xll.qlCalendarAdvance(Calendar,AG16,"1m","mf",TRUE),Trigger)</f>
        <v>42766</v>
      </c>
      <c r="AH17" s="139" t="str">
        <f t="shared" si="2"/>
        <v>SEKJump7_SYNTHON_Quote</v>
      </c>
      <c r="AI17" s="168">
        <f>_xll.qlDayCounterYearFraction("actual/360",AG17,_xll.qlCalendarAdvance(Calendar,AG17,"1D",,,Trigger))</f>
        <v>2.7777777777777779E-3</v>
      </c>
      <c r="AJ17" s="141" t="e">
        <f>IF(_xll.qlQuoteIsValid(AH17,Trigger),_xll.qlQuoteValue(AH17,Trigger),1)</f>
        <v>#NUM!</v>
      </c>
      <c r="AK17" s="171" t="e">
        <f t="shared" si="3"/>
        <v>#NUM!</v>
      </c>
      <c r="AL17" s="176">
        <v>0</v>
      </c>
      <c r="AM17" s="141">
        <f t="shared" si="4"/>
        <v>1</v>
      </c>
    </row>
    <row r="18" spans="1:39" ht="11.25" customHeight="1" x14ac:dyDescent="0.2">
      <c r="A18" s="58" t="s">
        <v>142</v>
      </c>
      <c r="B18" s="59" t="s">
        <v>47</v>
      </c>
      <c r="C18" s="60">
        <f t="shared" si="0"/>
        <v>2</v>
      </c>
      <c r="D18" s="118"/>
      <c r="E18" s="118"/>
      <c r="F18" s="118"/>
      <c r="G18" s="61" t="str">
        <f t="shared" si="1"/>
        <v>SekiborON</v>
      </c>
      <c r="H18" s="62" t="str">
        <f>Currency&amp;$G$4&amp;IF($B18="1W","SW",$B18)&amp;QuoteSuffix</f>
        <v>SEKOIS10M_Quote</v>
      </c>
      <c r="I18" s="118"/>
      <c r="J18" s="184" t="str">
        <f>IF(P16,_xll.qlOISRateHelper(,C18,B18,H18,$G18,,Permanent,Trigger,ObjectOverwrite),"--")</f>
        <v>--</v>
      </c>
      <c r="K18" s="48"/>
      <c r="L18" s="185" t="str">
        <f>A20</f>
        <v>OISShort</v>
      </c>
      <c r="M18" s="193" t="str">
        <f>H20</f>
        <v>SEKOIS12M_Quote</v>
      </c>
      <c r="N18" s="187" t="str">
        <f>IFERROR(_xll.qlQuoteValue(H20,Trigger),"--")</f>
        <v>--</v>
      </c>
      <c r="O18" s="188"/>
      <c r="P18" s="93" t="b">
        <v>0</v>
      </c>
      <c r="Q18" s="90">
        <v>50</v>
      </c>
      <c r="R18" s="90">
        <v>1</v>
      </c>
      <c r="S18" s="90" t="str">
        <f>J20</f>
        <v>--</v>
      </c>
      <c r="T18" s="94" t="str">
        <f>IFERROR(_xll.qlRateHelperEarliestDate(S18,Trigger),"--")</f>
        <v>--</v>
      </c>
      <c r="U18" s="94" t="str">
        <f>IFERROR(_xll.qlRateHelperPillarDate(S18,Trigger),"--")</f>
        <v>--</v>
      </c>
      <c r="W18" s="3" t="str">
        <f>IFERROR(INDEX($L$3:$L$58,MATCH(Y18,$M$3:$M$58,0),1),"")</f>
        <v>OIS</v>
      </c>
      <c r="X18" s="3" t="str">
        <v>obj_0015c</v>
      </c>
      <c r="Y18" s="3" t="str">
        <f>IFERROR(_xll.qlRateHelperQuoteName(X18,Trigger),"")</f>
        <v>SEKOIS12Y_Quote</v>
      </c>
      <c r="Z18" s="67">
        <f>IFERROR(_xll.qlRateHelperRate(X18,Trigger),"")</f>
        <v>7.8000000000000005E-3</v>
      </c>
      <c r="AA18" s="98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42563</v>
      </c>
      <c r="AC18" s="4">
        <f>IFERROR(_xll.qlRateHelperPillarDate(X18,Trigger),"")</f>
        <v>46946</v>
      </c>
      <c r="AD18" s="73">
        <v>0.90697136749269325</v>
      </c>
      <c r="AE18" s="163"/>
      <c r="AF18" s="139">
        <v>8</v>
      </c>
      <c r="AG18" s="140">
        <f>_xll.qlCalendarEndOfMonth(Calendar,_xll.qlCalendarAdvance(Calendar,AG17,"1m","mf",TRUE),Trigger)</f>
        <v>42794</v>
      </c>
      <c r="AH18" s="139" t="str">
        <f t="shared" si="2"/>
        <v>SEKJump8_SYNTHON_Quote</v>
      </c>
      <c r="AI18" s="168">
        <f>_xll.qlDayCounterYearFraction("actual/360",AG18,_xll.qlCalendarAdvance(Calendar,AG18,"1D",,,Trigger))</f>
        <v>2.7777777777777779E-3</v>
      </c>
      <c r="AJ18" s="141" t="e">
        <f>IF(_xll.qlQuoteIsValid(AH18,Trigger),_xll.qlQuoteValue(AH18,Trigger),1)</f>
        <v>#NUM!</v>
      </c>
      <c r="AK18" s="171" t="e">
        <f t="shared" si="3"/>
        <v>#NUM!</v>
      </c>
      <c r="AL18" s="176">
        <v>0</v>
      </c>
      <c r="AM18" s="141">
        <f t="shared" si="4"/>
        <v>1</v>
      </c>
    </row>
    <row r="19" spans="1:39" ht="11.25" customHeight="1" x14ac:dyDescent="0.2">
      <c r="A19" s="58" t="s">
        <v>142</v>
      </c>
      <c r="B19" s="59" t="s">
        <v>48</v>
      </c>
      <c r="C19" s="60">
        <f t="shared" si="0"/>
        <v>2</v>
      </c>
      <c r="D19" s="118"/>
      <c r="E19" s="118"/>
      <c r="F19" s="118"/>
      <c r="G19" s="61" t="str">
        <f t="shared" si="1"/>
        <v>SekiborON</v>
      </c>
      <c r="H19" s="62" t="str">
        <f>Currency&amp;$G$4&amp;IF($B19="1W","SW",$B19)&amp;QuoteSuffix</f>
        <v>SEKOIS11M_Quote</v>
      </c>
      <c r="I19" s="118"/>
      <c r="J19" s="184" t="str">
        <f>IF(P17,_xll.qlOISRateHelper(,C19,B19,H19,$G19,,Permanent,Trigger,ObjectOverwrite),"--")</f>
        <v>--</v>
      </c>
      <c r="K19" s="48"/>
      <c r="L19" s="185" t="str">
        <f>A21</f>
        <v>OIS</v>
      </c>
      <c r="M19" s="193" t="str">
        <f>H21</f>
        <v>SEKOIS1Y_Quote</v>
      </c>
      <c r="N19" s="187">
        <f>IFERROR(_xll.qlQuoteValue(H21,Trigger),"--")</f>
        <v>-5.8000000000000005E-3</v>
      </c>
      <c r="O19" s="188"/>
      <c r="P19" s="93" t="b">
        <v>1</v>
      </c>
      <c r="Q19" s="90">
        <v>50</v>
      </c>
      <c r="R19" s="90">
        <v>1</v>
      </c>
      <c r="S19" s="90" t="str">
        <f>J21</f>
        <v>obj_00160#0006</v>
      </c>
      <c r="T19" s="94">
        <f>IFERROR(_xll.qlRateHelperEarliestDate(S19,Trigger),"--")</f>
        <v>42563</v>
      </c>
      <c r="U19" s="94">
        <f>IFERROR(_xll.qlRateHelperPillarDate(S19,Trigger),"--")</f>
        <v>42928</v>
      </c>
      <c r="W19" s="3" t="str">
        <f>IFERROR(INDEX($L$3:$L$58,MATCH(Y19,$M$3:$M$58,0),1),"")</f>
        <v>OIS</v>
      </c>
      <c r="X19" s="3" t="str">
        <v>obj_00153</v>
      </c>
      <c r="Y19" s="3" t="str">
        <f>IFERROR(_xll.qlRateHelperQuoteName(X19,Trigger),"")</f>
        <v>SEKOIS15Y_Quote</v>
      </c>
      <c r="Z19" s="67">
        <f>IFERROR(_xll.qlRateHelperRate(X19,Trigger),"")</f>
        <v>1.01E-2</v>
      </c>
      <c r="AA19" s="98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42563</v>
      </c>
      <c r="AC19" s="4">
        <f>IFERROR(_xll.qlRateHelperPillarDate(X19,Trigger),"")</f>
        <v>48043</v>
      </c>
      <c r="AD19" s="73">
        <v>0.8527571060747654</v>
      </c>
      <c r="AE19" s="163"/>
      <c r="AF19" s="139">
        <v>9</v>
      </c>
      <c r="AG19" s="140">
        <f>_xll.qlCalendarEndOfMonth(Calendar,_xll.qlCalendarAdvance(Calendar,AG18,"1m","mf",TRUE),Trigger)</f>
        <v>42825</v>
      </c>
      <c r="AH19" s="139" t="str">
        <f t="shared" si="2"/>
        <v>SEKJump9_SYNTHON_Quote</v>
      </c>
      <c r="AI19" s="168">
        <f>_xll.qlDayCounterYearFraction("actual/360",AG19,_xll.qlCalendarAdvance(Calendar,AG19,"1D",,,Trigger))</f>
        <v>8.3333333333333332E-3</v>
      </c>
      <c r="AJ19" s="141" t="e">
        <f>IF(_xll.qlQuoteIsValid(AH19,Trigger),_xll.qlQuoteValue(AH19,Trigger),1)</f>
        <v>#NUM!</v>
      </c>
      <c r="AK19" s="171" t="e">
        <f t="shared" si="3"/>
        <v>#NUM!</v>
      </c>
      <c r="AL19" s="176">
        <v>0</v>
      </c>
      <c r="AM19" s="141">
        <f t="shared" si="4"/>
        <v>1</v>
      </c>
    </row>
    <row r="20" spans="1:39" ht="11.25" customHeight="1" x14ac:dyDescent="0.2">
      <c r="A20" s="1" t="s">
        <v>142</v>
      </c>
      <c r="B20" s="7" t="s">
        <v>97</v>
      </c>
      <c r="C20" s="6">
        <f t="shared" si="0"/>
        <v>2</v>
      </c>
      <c r="D20" s="119"/>
      <c r="E20" s="119"/>
      <c r="F20" s="119"/>
      <c r="G20" s="8" t="str">
        <f t="shared" si="1"/>
        <v>SekiborON</v>
      </c>
      <c r="H20" s="2" t="str">
        <f>Currency&amp;$G$4&amp;IF($B20="1W","SW",$B20)&amp;QuoteSuffix</f>
        <v>SEKOIS12M_Quote</v>
      </c>
      <c r="I20" s="119"/>
      <c r="J20" s="183" t="str">
        <f>IF(P18,_xll.qlOISRateHelper(,C20,B20,H20,$G20,,Permanent,Trigger,ObjectOverwrite),"--")</f>
        <v>--</v>
      </c>
      <c r="K20" s="48"/>
      <c r="L20" s="185" t="str">
        <f>A22</f>
        <v>OIS</v>
      </c>
      <c r="M20" s="193" t="str">
        <f>H22</f>
        <v>SEKOIS13M_Quote</v>
      </c>
      <c r="N20" s="187" t="str">
        <f>IFERROR(_xll.qlQuoteValue(H22,Trigger),"--")</f>
        <v>--</v>
      </c>
      <c r="O20" s="188"/>
      <c r="P20" s="93" t="b">
        <v>0</v>
      </c>
      <c r="Q20" s="90">
        <v>50</v>
      </c>
      <c r="R20" s="90">
        <v>1</v>
      </c>
      <c r="S20" s="90" t="str">
        <f>J22</f>
        <v>--</v>
      </c>
      <c r="T20" s="94" t="str">
        <f>IFERROR(_xll.qlRateHelperEarliestDate(S20,Trigger),"--")</f>
        <v>--</v>
      </c>
      <c r="U20" s="94" t="str">
        <f>IFERROR(_xll.qlRateHelperPillarDate(S20,Trigger),"--")</f>
        <v>--</v>
      </c>
      <c r="W20" s="3" t="str">
        <f>IFERROR(INDEX($L$3:$L$58,MATCH(Y20,$M$3:$M$58,0),1),"")</f>
        <v>OIS</v>
      </c>
      <c r="X20" s="3" t="str">
        <v>obj_0015b</v>
      </c>
      <c r="Y20" s="3" t="str">
        <f>IFERROR(_xll.qlRateHelperQuoteName(X20,Trigger),"")</f>
        <v>SEKOIS20Y_Quote</v>
      </c>
      <c r="Z20" s="67">
        <f>IFERROR(_xll.qlRateHelperRate(X20,Trigger),"")</f>
        <v>1.2350000000000002E-2</v>
      </c>
      <c r="AA20" s="98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42563</v>
      </c>
      <c r="AC20" s="4">
        <f>IFERROR(_xll.qlRateHelperPillarDate(X20,Trigger),"")</f>
        <v>49870</v>
      </c>
      <c r="AD20" s="73">
        <v>0.76966530530853094</v>
      </c>
      <c r="AE20" s="163"/>
      <c r="AF20" s="139">
        <v>10</v>
      </c>
      <c r="AG20" s="140">
        <f>_xll.qlCalendarEndOfMonth(Calendar,_xll.qlCalendarAdvance(Calendar,AG19,"1m","mf",TRUE),Trigger)</f>
        <v>42853</v>
      </c>
      <c r="AH20" s="139" t="str">
        <f t="shared" si="2"/>
        <v>SEKJump10_SYNTHON_Quote</v>
      </c>
      <c r="AI20" s="168">
        <f>_xll.qlDayCounterYearFraction("actual/360",AG20,_xll.qlCalendarAdvance(Calendar,AG20,"1D",,,Trigger))</f>
        <v>1.1111111111111112E-2</v>
      </c>
      <c r="AJ20" s="141" t="e">
        <f>IF(_xll.qlQuoteIsValid(AH20,Trigger),_xll.qlQuoteValue(AH20,Trigger),1)</f>
        <v>#NUM!</v>
      </c>
      <c r="AK20" s="171" t="e">
        <f t="shared" si="3"/>
        <v>#NUM!</v>
      </c>
      <c r="AL20" s="176">
        <v>0</v>
      </c>
      <c r="AM20" s="141">
        <f t="shared" si="4"/>
        <v>1</v>
      </c>
    </row>
    <row r="21" spans="1:39" ht="11.25" customHeight="1" x14ac:dyDescent="0.2">
      <c r="A21" s="58" t="s">
        <v>70</v>
      </c>
      <c r="B21" s="59" t="s">
        <v>29</v>
      </c>
      <c r="C21" s="60">
        <f t="shared" ref="C21:C41" si="5">IF(B21="O/N",0,IF(B21="T/N",1,2))</f>
        <v>2</v>
      </c>
      <c r="D21" s="118"/>
      <c r="E21" s="118"/>
      <c r="F21" s="118"/>
      <c r="G21" s="61" t="str">
        <f t="shared" si="1"/>
        <v>SekiborON</v>
      </c>
      <c r="H21" s="62" t="str">
        <f>Currency&amp;$G$4&amp;IF($B21="1W","SW",$B21)&amp;QuoteSuffix</f>
        <v>SEKOIS1Y_Quote</v>
      </c>
      <c r="I21" s="118"/>
      <c r="J21" s="184" t="str">
        <f>IF(P19,_xll.qlOISRateHelper(,C21,B21,H21,$G21,,Permanent,Trigger,ObjectOverwrite),"--")</f>
        <v>obj_00160#0006</v>
      </c>
      <c r="K21" s="48"/>
      <c r="L21" s="185" t="str">
        <f>A23</f>
        <v>OIS</v>
      </c>
      <c r="M21" s="193" t="str">
        <f>H23</f>
        <v>SEKOIS14M_Quote</v>
      </c>
      <c r="N21" s="187" t="str">
        <f>IFERROR(_xll.qlQuoteValue(H23,Trigger),"--")</f>
        <v>--</v>
      </c>
      <c r="O21" s="188"/>
      <c r="P21" s="93" t="b">
        <v>0</v>
      </c>
      <c r="Q21" s="90">
        <v>50</v>
      </c>
      <c r="R21" s="90">
        <v>1</v>
      </c>
      <c r="S21" s="90" t="str">
        <f>J23</f>
        <v>--</v>
      </c>
      <c r="T21" s="94" t="str">
        <f>IFERROR(_xll.qlRateHelperEarliestDate(S21,Trigger),"--")</f>
        <v>--</v>
      </c>
      <c r="U21" s="94" t="str">
        <f>IFERROR(_xll.qlRateHelperPillarDate(S21,Trigger),"--")</f>
        <v>--</v>
      </c>
      <c r="W21" s="3" t="str">
        <f>IFERROR(INDEX($L$3:$L$58,MATCH(Y21,$M$3:$M$58,0),1),"")</f>
        <v>OIS</v>
      </c>
      <c r="X21" s="3" t="str">
        <v>obj_00159</v>
      </c>
      <c r="Y21" s="3" t="str">
        <f>IFERROR(_xll.qlRateHelperQuoteName(X21,Trigger),"")</f>
        <v>SEKOIS25Y_Quote</v>
      </c>
      <c r="Z21" s="67">
        <f>IFERROR(_xll.qlRateHelperRate(X21,Trigger),"")</f>
        <v>1.355E-2</v>
      </c>
      <c r="AA21" s="98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42563</v>
      </c>
      <c r="AC21" s="4">
        <f>IFERROR(_xll.qlRateHelperPillarDate(X21,Trigger),"")</f>
        <v>51694</v>
      </c>
      <c r="AD21" s="73">
        <v>0.69750038414739657</v>
      </c>
      <c r="AE21" s="163"/>
      <c r="AF21" s="139">
        <v>11</v>
      </c>
      <c r="AG21" s="140">
        <f>_xll.qlCalendarEndOfMonth(Calendar,_xll.qlCalendarAdvance(Calendar,AG20,"1m","mf",TRUE),Trigger)</f>
        <v>42886</v>
      </c>
      <c r="AH21" s="139" t="str">
        <f t="shared" si="2"/>
        <v>SEKJump11_SYNTHON_Quote</v>
      </c>
      <c r="AI21" s="168">
        <f>_xll.qlDayCounterYearFraction("actual/360",AG21,_xll.qlCalendarAdvance(Calendar,AG21,"1D",,,Trigger))</f>
        <v>2.7777777777777779E-3</v>
      </c>
      <c r="AJ21" s="141" t="e">
        <f>IF(_xll.qlQuoteIsValid(AH21,Trigger),_xll.qlQuoteValue(AH21,Trigger),1)</f>
        <v>#NUM!</v>
      </c>
      <c r="AK21" s="171" t="e">
        <f t="shared" si="3"/>
        <v>#NUM!</v>
      </c>
      <c r="AL21" s="176">
        <v>0</v>
      </c>
      <c r="AM21" s="141">
        <f t="shared" si="4"/>
        <v>1</v>
      </c>
    </row>
    <row r="22" spans="1:39" ht="11.25" customHeight="1" x14ac:dyDescent="0.2">
      <c r="A22" s="58" t="s">
        <v>70</v>
      </c>
      <c r="B22" s="59" t="s">
        <v>117</v>
      </c>
      <c r="C22" s="60">
        <f t="shared" si="5"/>
        <v>2</v>
      </c>
      <c r="D22" s="118"/>
      <c r="E22" s="118"/>
      <c r="F22" s="118"/>
      <c r="G22" s="61" t="str">
        <f t="shared" si="1"/>
        <v>SekiborON</v>
      </c>
      <c r="H22" s="62" t="str">
        <f>Currency&amp;$G$4&amp;IF($B22="1W","SW",$B22)&amp;QuoteSuffix</f>
        <v>SEKOIS13M_Quote</v>
      </c>
      <c r="I22" s="118"/>
      <c r="J22" s="184" t="str">
        <f>IF(P20,_xll.qlOISRateHelper(,C22,B22,H22,$G22,,Permanent,Trigger,ObjectOverwrite),"--")</f>
        <v>--</v>
      </c>
      <c r="L22" s="185" t="str">
        <f>A24</f>
        <v>OIS</v>
      </c>
      <c r="M22" s="193" t="str">
        <f>H24</f>
        <v>SEKOIS15M_Quote</v>
      </c>
      <c r="N22" s="187" t="str">
        <f>IFERROR(_xll.qlQuoteValue(H24,Trigger),"--")</f>
        <v>--</v>
      </c>
      <c r="O22" s="188"/>
      <c r="P22" s="93" t="b">
        <v>0</v>
      </c>
      <c r="Q22" s="90">
        <v>50</v>
      </c>
      <c r="R22" s="90">
        <v>1</v>
      </c>
      <c r="S22" s="90" t="str">
        <f>J24</f>
        <v>--</v>
      </c>
      <c r="T22" s="94" t="str">
        <f>IFERROR(_xll.qlRateHelperEarliestDate(S22,Trigger),"--")</f>
        <v>--</v>
      </c>
      <c r="U22" s="94" t="str">
        <f>IFERROR(_xll.qlRateHelperPillarDate(S22,Trigger),"--")</f>
        <v>--</v>
      </c>
      <c r="W22" s="3" t="str">
        <f>IFERROR(INDEX($L$3:$L$58,MATCH(Y22,$M$3:$M$58,0),1),"")</f>
        <v>OIS</v>
      </c>
      <c r="X22" s="3" t="str">
        <v>obj_00157</v>
      </c>
      <c r="Y22" s="3" t="str">
        <f>IFERROR(_xll.qlRateHelperQuoteName(X22,Trigger),"")</f>
        <v>SEKOIS30Y_Quote</v>
      </c>
      <c r="Z22" s="67">
        <f>IFERROR(_xll.qlRateHelperRate(X22,Trigger),"")</f>
        <v>1.4000000000000002E-2</v>
      </c>
      <c r="AA22" s="98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42563</v>
      </c>
      <c r="AC22" s="4">
        <f>IFERROR(_xll.qlRateHelperPillarDate(X22,Trigger),"")</f>
        <v>53520</v>
      </c>
      <c r="AD22" s="73">
        <v>0.6404198802394262</v>
      </c>
      <c r="AE22" s="163"/>
      <c r="AF22" s="139">
        <v>12</v>
      </c>
      <c r="AG22" s="140">
        <f>_xll.qlCalendarEndOfMonth(Calendar,_xll.qlCalendarAdvance(Calendar,AG21,"1m","mf",TRUE),Trigger)</f>
        <v>42916</v>
      </c>
      <c r="AH22" s="139" t="str">
        <f t="shared" si="2"/>
        <v>SEKJump12_SYNTHON_Quote</v>
      </c>
      <c r="AI22" s="168">
        <f>_xll.qlDayCounterYearFraction("actual/360",AG22,_xll.qlCalendarAdvance(Calendar,AG22,"1D",,,Trigger))</f>
        <v>8.3333333333333332E-3</v>
      </c>
      <c r="AJ22" s="141" t="e">
        <f>IF(_xll.qlQuoteIsValid(AH22,Trigger),_xll.qlQuoteValue(AH22,Trigger),1)</f>
        <v>#NUM!</v>
      </c>
      <c r="AK22" s="171" t="e">
        <f t="shared" si="3"/>
        <v>#NUM!</v>
      </c>
      <c r="AL22" s="176">
        <v>0</v>
      </c>
      <c r="AM22" s="141">
        <f t="shared" si="4"/>
        <v>1</v>
      </c>
    </row>
    <row r="23" spans="1:39" ht="11.25" customHeight="1" x14ac:dyDescent="0.2">
      <c r="A23" s="58" t="s">
        <v>70</v>
      </c>
      <c r="B23" s="59" t="s">
        <v>118</v>
      </c>
      <c r="C23" s="60">
        <f t="shared" si="5"/>
        <v>2</v>
      </c>
      <c r="D23" s="118"/>
      <c r="E23" s="118"/>
      <c r="F23" s="118"/>
      <c r="G23" s="61" t="str">
        <f t="shared" si="1"/>
        <v>SekiborON</v>
      </c>
      <c r="H23" s="62" t="str">
        <f>Currency&amp;$G$4&amp;IF($B23="1W","SW",$B23)&amp;QuoteSuffix</f>
        <v>SEKOIS14M_Quote</v>
      </c>
      <c r="I23" s="118"/>
      <c r="J23" s="184" t="str">
        <f>IF(P21,_xll.qlOISRateHelper(,C23,B23,H23,$G23,,Permanent,Trigger,ObjectOverwrite),"--")</f>
        <v>--</v>
      </c>
      <c r="L23" s="185" t="str">
        <f>A25</f>
        <v>OIS</v>
      </c>
      <c r="M23" s="193" t="str">
        <f>H25</f>
        <v>SEKOIS16M_Quote</v>
      </c>
      <c r="N23" s="187" t="str">
        <f>IFERROR(_xll.qlQuoteValue(H25,Trigger),"--")</f>
        <v>--</v>
      </c>
      <c r="O23" s="188"/>
      <c r="P23" s="93" t="b">
        <v>0</v>
      </c>
      <c r="Q23" s="90">
        <v>50</v>
      </c>
      <c r="R23" s="90">
        <v>1</v>
      </c>
      <c r="S23" s="90" t="str">
        <f>J25</f>
        <v>--</v>
      </c>
      <c r="T23" s="94" t="str">
        <f>IFERROR(_xll.qlRateHelperEarliestDate(S23,Trigger),"--")</f>
        <v>--</v>
      </c>
      <c r="U23" s="94" t="str">
        <f>IFERROR(_xll.qlRateHelperPillarDate(S23,Trigger),"--")</f>
        <v>--</v>
      </c>
      <c r="W23" s="3" t="str">
        <f>IFERROR(INDEX($L$3:$L$58,MATCH(Y23,$M$3:$M$58,0),1),"")</f>
        <v/>
      </c>
      <c r="X23" s="3" t="e">
        <v>#N/A</v>
      </c>
      <c r="Y23" s="3" t="str">
        <f>IFERROR(_xll.qlRateHelperQuoteName(X23,Trigger),"")</f>
        <v/>
      </c>
      <c r="Z23" s="67" t="str">
        <f>IFERROR(_xll.qlRateHelperRate(X23,Trigger),"")</f>
        <v/>
      </c>
      <c r="AA23" s="98" t="str">
        <f>IF(ISERROR(_xll.qlSwapRateHelperSpread($X23)),IF(ISERROR(_xll.qlFuturesRateHelperConvexityAdjustment($X23)),"",_xll.qlFuturesRateHelperConvexityAdjustment($X23)),_xll.qlSwapRateHelperSpread($X23))</f>
        <v/>
      </c>
      <c r="AB23" s="4" t="str">
        <f>IFERROR(_xll.qlRateHelperEarliestDate(X23,Trigger),"")</f>
        <v/>
      </c>
      <c r="AC23" s="4" t="str">
        <f>IFERROR(_xll.qlRateHelperPillarDate(X23,Trigger),"")</f>
        <v/>
      </c>
      <c r="AD23" s="73" t="e">
        <v>#N/A</v>
      </c>
      <c r="AE23" s="163"/>
      <c r="AF23" s="142">
        <v>13</v>
      </c>
      <c r="AG23" s="143">
        <f>_xll.qlCalendarAdjust(Calendar,DATE(YEAR(AG11)+1,12,31),"preceding",Trigger)</f>
        <v>43098</v>
      </c>
      <c r="AH23" s="142" t="str">
        <f t="shared" si="2"/>
        <v>SEKJump13_SYNTHON_Quote</v>
      </c>
      <c r="AI23" s="169">
        <f>_xll.qlDayCounterYearFraction("actual/360",AG23,_xll.qlCalendarAdvance(Calendar,AG23,"1D",,,Trigger))</f>
        <v>1.1111111111111112E-2</v>
      </c>
      <c r="AJ23" s="144" t="e">
        <f>IF(_xll.qlQuoteIsValid(AH23,Trigger),_xll.qlQuoteValue(AH23,Trigger),1)</f>
        <v>#NUM!</v>
      </c>
      <c r="AK23" s="172" t="e">
        <f t="shared" si="3"/>
        <v>#NUM!</v>
      </c>
      <c r="AL23" s="177">
        <v>0</v>
      </c>
      <c r="AM23" s="144">
        <f t="shared" si="4"/>
        <v>1</v>
      </c>
    </row>
    <row r="24" spans="1:39" ht="11.25" customHeight="1" x14ac:dyDescent="0.2">
      <c r="A24" s="58" t="s">
        <v>70</v>
      </c>
      <c r="B24" s="59" t="s">
        <v>49</v>
      </c>
      <c r="C24" s="60">
        <f t="shared" si="5"/>
        <v>2</v>
      </c>
      <c r="D24" s="118"/>
      <c r="E24" s="118"/>
      <c r="F24" s="118"/>
      <c r="G24" s="61" t="str">
        <f t="shared" si="1"/>
        <v>SekiborON</v>
      </c>
      <c r="H24" s="62" t="str">
        <f>Currency&amp;$G$4&amp;IF($B24="1W","SW",$B24)&amp;QuoteSuffix</f>
        <v>SEKOIS15M_Quote</v>
      </c>
      <c r="I24" s="118"/>
      <c r="J24" s="184" t="str">
        <f>IF(P22,_xll.qlOISRateHelper(,C24,B24,H24,$G24,,Permanent,Trigger,ObjectOverwrite),"--")</f>
        <v>--</v>
      </c>
      <c r="L24" s="185" t="str">
        <f>A26</f>
        <v>OIS</v>
      </c>
      <c r="M24" s="193" t="str">
        <f>H26</f>
        <v>SEKOIS17M_Quote</v>
      </c>
      <c r="N24" s="187" t="str">
        <f>IFERROR(_xll.qlQuoteValue(H26,Trigger),"--")</f>
        <v>--</v>
      </c>
      <c r="O24" s="188"/>
      <c r="P24" s="93" t="b">
        <v>0</v>
      </c>
      <c r="Q24" s="90">
        <v>50</v>
      </c>
      <c r="R24" s="90">
        <v>1</v>
      </c>
      <c r="S24" s="90" t="str">
        <f>J26</f>
        <v>--</v>
      </c>
      <c r="T24" s="94" t="str">
        <f>IFERROR(_xll.qlRateHelperEarliestDate(S24,Trigger),"--")</f>
        <v>--</v>
      </c>
      <c r="U24" s="94" t="str">
        <f>IFERROR(_xll.qlRateHelperPillarDate(S24,Trigger),"--")</f>
        <v>--</v>
      </c>
      <c r="W24" s="3" t="str">
        <f>IFERROR(INDEX($L$3:$L$58,MATCH(Y24,$M$3:$M$58,0),1),"")</f>
        <v/>
      </c>
      <c r="X24" s="3" t="e">
        <v>#N/A</v>
      </c>
      <c r="Y24" s="3" t="str">
        <f>IFERROR(_xll.qlRateHelperQuoteName(X24,Trigger),"")</f>
        <v/>
      </c>
      <c r="Z24" s="67" t="str">
        <f>IFERROR(_xll.qlRateHelperRate(X24,Trigger),"")</f>
        <v/>
      </c>
      <c r="AA24" s="98" t="str">
        <f>IF(ISERROR(_xll.qlSwapRateHelperSpread($X24)),IF(ISERROR(_xll.qlFuturesRateHelperConvexityAdjustment($X24)),"",_xll.qlFuturesRateHelperConvexityAdjustment($X24)),_xll.qlSwapRateHelperSpread($X24))</f>
        <v/>
      </c>
      <c r="AB24" s="4" t="str">
        <f>IFERROR(_xll.qlRateHelperEarliestDate(X24,Trigger),"")</f>
        <v/>
      </c>
      <c r="AC24" s="4" t="str">
        <f>IFERROR(_xll.qlRateHelperPillarDate(X24,Trigger),"")</f>
        <v/>
      </c>
      <c r="AD24" s="73" t="e">
        <v>#N/A</v>
      </c>
      <c r="AE24" s="163"/>
    </row>
    <row r="25" spans="1:39" ht="11.25" customHeight="1" x14ac:dyDescent="0.2">
      <c r="A25" s="58" t="s">
        <v>70</v>
      </c>
      <c r="B25" s="59" t="s">
        <v>119</v>
      </c>
      <c r="C25" s="60">
        <f t="shared" si="5"/>
        <v>2</v>
      </c>
      <c r="D25" s="118"/>
      <c r="E25" s="118"/>
      <c r="F25" s="118"/>
      <c r="G25" s="61" t="str">
        <f t="shared" si="1"/>
        <v>SekiborON</v>
      </c>
      <c r="H25" s="62" t="str">
        <f>Currency&amp;$G$4&amp;IF($B25="1W","SW",$B25)&amp;QuoteSuffix</f>
        <v>SEKOIS16M_Quote</v>
      </c>
      <c r="I25" s="118"/>
      <c r="J25" s="184" t="str">
        <f>IF(P23,_xll.qlOISRateHelper(,C25,B25,H25,$G25,,Permanent,Trigger,ObjectOverwrite),"--")</f>
        <v>--</v>
      </c>
      <c r="L25" s="185" t="str">
        <f>A27</f>
        <v>OIS</v>
      </c>
      <c r="M25" s="193" t="str">
        <f>H27</f>
        <v>SEKOIS18M_Quote</v>
      </c>
      <c r="N25" s="187" t="str">
        <f>IFERROR(_xll.qlQuoteValue(H27,Trigger),"--")</f>
        <v>--</v>
      </c>
      <c r="O25" s="188"/>
      <c r="P25" s="93" t="b">
        <v>0</v>
      </c>
      <c r="Q25" s="90">
        <v>50</v>
      </c>
      <c r="R25" s="90">
        <v>1</v>
      </c>
      <c r="S25" s="90" t="str">
        <f>J27</f>
        <v>--</v>
      </c>
      <c r="T25" s="94" t="str">
        <f>IFERROR(_xll.qlRateHelperEarliestDate(S25,Trigger),"--")</f>
        <v>--</v>
      </c>
      <c r="U25" s="94" t="str">
        <f>IFERROR(_xll.qlRateHelperPillarDate(S25,Trigger),"--")</f>
        <v>--</v>
      </c>
      <c r="W25" s="3" t="str">
        <f>IFERROR(INDEX($L$3:$L$58,MATCH(Y25,$M$3:$M$58,0),1),"")</f>
        <v/>
      </c>
      <c r="X25" s="3" t="e">
        <v>#N/A</v>
      </c>
      <c r="Y25" s="3" t="str">
        <f>IFERROR(_xll.qlRateHelperQuoteName(X25,Trigger),"")</f>
        <v/>
      </c>
      <c r="Z25" s="67" t="str">
        <f>IFERROR(_xll.qlRateHelperRate(X25,Trigger),"")</f>
        <v/>
      </c>
      <c r="AA25" s="98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3" t="e">
        <v>#N/A</v>
      </c>
      <c r="AE25" s="163"/>
    </row>
    <row r="26" spans="1:39" ht="11.25" customHeight="1" x14ac:dyDescent="0.2">
      <c r="A26" s="58" t="s">
        <v>70</v>
      </c>
      <c r="B26" s="59" t="s">
        <v>120</v>
      </c>
      <c r="C26" s="60">
        <f t="shared" si="5"/>
        <v>2</v>
      </c>
      <c r="D26" s="118"/>
      <c r="E26" s="118"/>
      <c r="F26" s="118"/>
      <c r="G26" s="61" t="str">
        <f t="shared" si="1"/>
        <v>SekiborON</v>
      </c>
      <c r="H26" s="62" t="str">
        <f>Currency&amp;$G$4&amp;IF($B26="1W","SW",$B26)&amp;QuoteSuffix</f>
        <v>SEKOIS17M_Quote</v>
      </c>
      <c r="I26" s="118"/>
      <c r="J26" s="184" t="str">
        <f>IF(P24,_xll.qlOISRateHelper(,C26,B26,H26,$G26,,Permanent,Trigger,ObjectOverwrite),"--")</f>
        <v>--</v>
      </c>
      <c r="L26" s="185" t="str">
        <f>A28</f>
        <v>OIS</v>
      </c>
      <c r="M26" s="193" t="str">
        <f>H28</f>
        <v>SEKOIS19M_Quote</v>
      </c>
      <c r="N26" s="187" t="str">
        <f>IFERROR(_xll.qlQuoteValue(H28,Trigger),"--")</f>
        <v>--</v>
      </c>
      <c r="O26" s="188"/>
      <c r="P26" s="93" t="b">
        <v>0</v>
      </c>
      <c r="Q26" s="90">
        <v>50</v>
      </c>
      <c r="R26" s="90">
        <v>1</v>
      </c>
      <c r="S26" s="90" t="str">
        <f>J28</f>
        <v>--</v>
      </c>
      <c r="T26" s="94" t="str">
        <f>IFERROR(_xll.qlRateHelperEarliestDate(S26,Trigger),"--")</f>
        <v>--</v>
      </c>
      <c r="U26" s="94" t="str">
        <f>IFERROR(_xll.qlRateHelperPillarDate(S26,Trigger),"--")</f>
        <v>--</v>
      </c>
      <c r="W26" s="3" t="str">
        <f>IFERROR(INDEX($L$3:$L$58,MATCH(Y26,$M$3:$M$58,0),1),"")</f>
        <v/>
      </c>
      <c r="X26" s="3" t="e">
        <v>#N/A</v>
      </c>
      <c r="Y26" s="3" t="str">
        <f>IFERROR(_xll.qlRateHelperQuoteName(X26,Trigger),"")</f>
        <v/>
      </c>
      <c r="Z26" s="67" t="str">
        <f>IFERROR(_xll.qlRateHelperRate(X26,Trigger),"")</f>
        <v/>
      </c>
      <c r="AA26" s="98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3" t="e">
        <v>#N/A</v>
      </c>
      <c r="AE26" s="163"/>
    </row>
    <row r="27" spans="1:39" ht="11.25" customHeight="1" x14ac:dyDescent="0.2">
      <c r="A27" s="58" t="s">
        <v>70</v>
      </c>
      <c r="B27" s="59" t="s">
        <v>50</v>
      </c>
      <c r="C27" s="60">
        <f t="shared" si="5"/>
        <v>2</v>
      </c>
      <c r="D27" s="118"/>
      <c r="E27" s="118"/>
      <c r="F27" s="118"/>
      <c r="G27" s="61" t="str">
        <f t="shared" si="1"/>
        <v>SekiborON</v>
      </c>
      <c r="H27" s="62" t="str">
        <f>Currency&amp;$G$4&amp;IF($B27="1W","SW",$B27)&amp;QuoteSuffix</f>
        <v>SEKOIS18M_Quote</v>
      </c>
      <c r="I27" s="118"/>
      <c r="J27" s="184" t="str">
        <f>IF(P25,_xll.qlOISRateHelper(,C27,B27,H27,$G27,,Permanent,Trigger,ObjectOverwrite),"--")</f>
        <v>--</v>
      </c>
      <c r="L27" s="185" t="str">
        <f>A29</f>
        <v>OIS</v>
      </c>
      <c r="M27" s="193" t="str">
        <f>H29</f>
        <v>SEKOIS20M_Quote</v>
      </c>
      <c r="N27" s="187" t="str">
        <f>IFERROR(_xll.qlQuoteValue(H29,Trigger),"--")</f>
        <v>--</v>
      </c>
      <c r="O27" s="188"/>
      <c r="P27" s="93" t="b">
        <v>0</v>
      </c>
      <c r="Q27" s="90">
        <v>50</v>
      </c>
      <c r="R27" s="90">
        <v>1</v>
      </c>
      <c r="S27" s="90" t="str">
        <f>J29</f>
        <v>--</v>
      </c>
      <c r="T27" s="94" t="str">
        <f>IFERROR(_xll.qlRateHelperEarliestDate(S27,Trigger),"--")</f>
        <v>--</v>
      </c>
      <c r="U27" s="94" t="str">
        <f>IFERROR(_xll.qlRateHelperPillarDate(S27,Trigger),"--")</f>
        <v>--</v>
      </c>
      <c r="W27" s="3" t="str">
        <f>IFERROR(INDEX($L$3:$L$58,MATCH(Y27,$M$3:$M$58,0),1),"")</f>
        <v/>
      </c>
      <c r="X27" s="3" t="e">
        <v>#N/A</v>
      </c>
      <c r="Y27" s="3" t="str">
        <f>IFERROR(_xll.qlRateHelperQuoteName(X27,Trigger),"")</f>
        <v/>
      </c>
      <c r="Z27" s="67" t="str">
        <f>IFERROR(_xll.qlRateHelperRate(X27,Trigger),"")</f>
        <v/>
      </c>
      <c r="AA27" s="98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3" t="e">
        <v>#N/A</v>
      </c>
      <c r="AE27" s="163"/>
    </row>
    <row r="28" spans="1:39" ht="11.25" customHeight="1" x14ac:dyDescent="0.2">
      <c r="A28" s="58" t="s">
        <v>70</v>
      </c>
      <c r="B28" s="59" t="s">
        <v>121</v>
      </c>
      <c r="C28" s="60">
        <f t="shared" si="5"/>
        <v>2</v>
      </c>
      <c r="D28" s="118"/>
      <c r="E28" s="118"/>
      <c r="F28" s="118"/>
      <c r="G28" s="61" t="str">
        <f t="shared" si="1"/>
        <v>SekiborON</v>
      </c>
      <c r="H28" s="62" t="str">
        <f>Currency&amp;$G$4&amp;IF($B28="1W","SW",$B28)&amp;QuoteSuffix</f>
        <v>SEKOIS19M_Quote</v>
      </c>
      <c r="I28" s="118"/>
      <c r="J28" s="184" t="str">
        <f>IF(P26,_xll.qlOISRateHelper(,C28,B28,H28,$G28,,Permanent,Trigger,ObjectOverwrite),"--")</f>
        <v>--</v>
      </c>
      <c r="L28" s="185" t="str">
        <f>A30</f>
        <v>OIS</v>
      </c>
      <c r="M28" s="193" t="str">
        <f>H30</f>
        <v>SEKOIS21M_Quote</v>
      </c>
      <c r="N28" s="187" t="str">
        <f>IFERROR(_xll.qlQuoteValue(H30,Trigger),"--")</f>
        <v>--</v>
      </c>
      <c r="O28" s="188"/>
      <c r="P28" s="93" t="b">
        <v>0</v>
      </c>
      <c r="Q28" s="90">
        <v>50</v>
      </c>
      <c r="R28" s="90">
        <v>1</v>
      </c>
      <c r="S28" s="90" t="str">
        <f>J30</f>
        <v>--</v>
      </c>
      <c r="T28" s="94" t="str">
        <f>IFERROR(_xll.qlRateHelperEarliestDate(S28,Trigger),"--")</f>
        <v>--</v>
      </c>
      <c r="U28" s="94" t="str">
        <f>IFERROR(_xll.qlRateHelperPillarDate(S28,Trigger),"--")</f>
        <v>--</v>
      </c>
      <c r="W28" s="3" t="str">
        <f>IFERROR(INDEX($L$3:$L$58,MATCH(Y28,$M$3:$M$58,0),1),"")</f>
        <v/>
      </c>
      <c r="X28" s="3" t="e">
        <v>#N/A</v>
      </c>
      <c r="Y28" s="3" t="str">
        <f>IFERROR(_xll.qlRateHelperQuoteName(X28,Trigger),"")</f>
        <v/>
      </c>
      <c r="Z28" s="67" t="str">
        <f>IFERROR(_xll.qlRateHelperRate(X28,Trigger),"")</f>
        <v/>
      </c>
      <c r="AA28" s="98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3" t="e">
        <v>#N/A</v>
      </c>
      <c r="AE28" s="163"/>
    </row>
    <row r="29" spans="1:39" ht="11.25" customHeight="1" x14ac:dyDescent="0.2">
      <c r="A29" s="58" t="s">
        <v>70</v>
      </c>
      <c r="B29" s="59" t="s">
        <v>122</v>
      </c>
      <c r="C29" s="60">
        <f t="shared" si="5"/>
        <v>2</v>
      </c>
      <c r="D29" s="118"/>
      <c r="E29" s="118"/>
      <c r="F29" s="118"/>
      <c r="G29" s="61" t="str">
        <f t="shared" si="1"/>
        <v>SekiborON</v>
      </c>
      <c r="H29" s="62" t="str">
        <f>Currency&amp;$G$4&amp;IF($B29="1W","SW",$B29)&amp;QuoteSuffix</f>
        <v>SEKOIS20M_Quote</v>
      </c>
      <c r="I29" s="118"/>
      <c r="J29" s="184" t="str">
        <f>IF(P27,_xll.qlOISRateHelper(,C29,B29,H29,$G29,,Permanent,Trigger,ObjectOverwrite),"--")</f>
        <v>--</v>
      </c>
      <c r="L29" s="185" t="str">
        <f>A31</f>
        <v>OIS</v>
      </c>
      <c r="M29" s="193" t="str">
        <f>H31</f>
        <v>SEKOIS22M_Quote</v>
      </c>
      <c r="N29" s="187" t="str">
        <f>IFERROR(_xll.qlQuoteValue(H31,Trigger),"--")</f>
        <v>--</v>
      </c>
      <c r="O29" s="188"/>
      <c r="P29" s="93" t="b">
        <v>0</v>
      </c>
      <c r="Q29" s="90">
        <v>50</v>
      </c>
      <c r="R29" s="90">
        <v>1</v>
      </c>
      <c r="S29" s="90" t="str">
        <f>J31</f>
        <v>--</v>
      </c>
      <c r="T29" s="94" t="str">
        <f>IFERROR(_xll.qlRateHelperEarliestDate(S29,Trigger),"--")</f>
        <v>--</v>
      </c>
      <c r="U29" s="94" t="str">
        <f>IFERROR(_xll.qlRateHelperPillarDate(S29,Trigger),"--")</f>
        <v>--</v>
      </c>
      <c r="W29" s="3" t="str">
        <f>IFERROR(INDEX($L$3:$L$58,MATCH(Y29,$M$3:$M$58,0),1),"")</f>
        <v/>
      </c>
      <c r="X29" s="3" t="e">
        <v>#N/A</v>
      </c>
      <c r="Y29" s="3" t="str">
        <f>IFERROR(_xll.qlRateHelperQuoteName(X29,Trigger),"")</f>
        <v/>
      </c>
      <c r="Z29" s="67" t="str">
        <f>IFERROR(_xll.qlRateHelperRate(X29,Trigger),"")</f>
        <v/>
      </c>
      <c r="AA29" s="98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3" t="e">
        <v>#N/A</v>
      </c>
      <c r="AE29" s="163"/>
    </row>
    <row r="30" spans="1:39" ht="11.25" customHeight="1" x14ac:dyDescent="0.2">
      <c r="A30" s="58" t="s">
        <v>70</v>
      </c>
      <c r="B30" s="59" t="s">
        <v>51</v>
      </c>
      <c r="C30" s="60">
        <f t="shared" si="5"/>
        <v>2</v>
      </c>
      <c r="D30" s="118"/>
      <c r="E30" s="118"/>
      <c r="F30" s="118"/>
      <c r="G30" s="61" t="str">
        <f t="shared" si="1"/>
        <v>SekiborON</v>
      </c>
      <c r="H30" s="62" t="str">
        <f>Currency&amp;$G$4&amp;IF($B30="1W","SW",$B30)&amp;QuoteSuffix</f>
        <v>SEKOIS21M_Quote</v>
      </c>
      <c r="I30" s="118"/>
      <c r="J30" s="184" t="str">
        <f>IF(P28,_xll.qlOISRateHelper(,C30,B30,H30,$G30,,Permanent,Trigger,ObjectOverwrite),"--")</f>
        <v>--</v>
      </c>
      <c r="L30" s="185" t="str">
        <f>A32</f>
        <v>OIS</v>
      </c>
      <c r="M30" s="193" t="str">
        <f>H32</f>
        <v>SEKOIS23M_Quote</v>
      </c>
      <c r="N30" s="187" t="str">
        <f>IFERROR(_xll.qlQuoteValue(H32,Trigger),"--")</f>
        <v>--</v>
      </c>
      <c r="O30" s="188"/>
      <c r="P30" s="93" t="b">
        <v>0</v>
      </c>
      <c r="Q30" s="90">
        <v>50</v>
      </c>
      <c r="R30" s="90">
        <v>1</v>
      </c>
      <c r="S30" s="90" t="str">
        <f>J32</f>
        <v>--</v>
      </c>
      <c r="T30" s="94" t="str">
        <f>IFERROR(_xll.qlRateHelperEarliestDate(S30,Trigger),"--")</f>
        <v>--</v>
      </c>
      <c r="U30" s="94" t="str">
        <f>IFERROR(_xll.qlRateHelperPillarDate(S30,Trigger),"--")</f>
        <v>--</v>
      </c>
      <c r="W30" s="3" t="str">
        <f>IFERROR(INDEX($L$3:$L$58,MATCH(Y30,$M$3:$M$58,0),1),"")</f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8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3" t="e">
        <v>#N/A</v>
      </c>
      <c r="AE30" s="163"/>
    </row>
    <row r="31" spans="1:39" ht="11.25" customHeight="1" x14ac:dyDescent="0.2">
      <c r="A31" s="58" t="s">
        <v>70</v>
      </c>
      <c r="B31" s="59" t="s">
        <v>123</v>
      </c>
      <c r="C31" s="60">
        <f t="shared" si="5"/>
        <v>2</v>
      </c>
      <c r="D31" s="118"/>
      <c r="E31" s="118"/>
      <c r="F31" s="118"/>
      <c r="G31" s="61" t="str">
        <f t="shared" si="1"/>
        <v>SekiborON</v>
      </c>
      <c r="H31" s="62" t="str">
        <f>Currency&amp;$G$4&amp;IF($B31="1W","SW",$B31)&amp;QuoteSuffix</f>
        <v>SEKOIS22M_Quote</v>
      </c>
      <c r="I31" s="118"/>
      <c r="J31" s="184" t="str">
        <f>IF(P29,_xll.qlOISRateHelper(,C31,B31,H31,$G31,,Permanent,Trigger,ObjectOverwrite),"--")</f>
        <v>--</v>
      </c>
      <c r="L31" s="185" t="str">
        <f>A33</f>
        <v>OIS</v>
      </c>
      <c r="M31" s="193" t="str">
        <f>H33</f>
        <v>SEKOIS2Y_Quote</v>
      </c>
      <c r="N31" s="187">
        <f>IFERROR(_xll.qlQuoteValue(H33,Trigger),"--")</f>
        <v>-5.1999999999999998E-3</v>
      </c>
      <c r="O31" s="188"/>
      <c r="P31" s="93" t="b">
        <v>1</v>
      </c>
      <c r="Q31" s="90">
        <v>50</v>
      </c>
      <c r="R31" s="90">
        <v>1</v>
      </c>
      <c r="S31" s="90" t="str">
        <f>J33</f>
        <v>obj_0015f#0006</v>
      </c>
      <c r="T31" s="94">
        <f>IFERROR(_xll.qlRateHelperEarliestDate(S31,Trigger),"--")</f>
        <v>42563</v>
      </c>
      <c r="U31" s="94">
        <f>IFERROR(_xll.qlRateHelperPillarDate(S31,Trigger),"--")</f>
        <v>43293</v>
      </c>
      <c r="W31" s="3" t="str">
        <f>IFERROR(INDEX($L$3:$L$58,MATCH(Y31,$M$3:$M$58,0),1),"")</f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8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3" t="e">
        <v>#N/A</v>
      </c>
      <c r="AE31" s="163"/>
    </row>
    <row r="32" spans="1:39" ht="11.25" customHeight="1" x14ac:dyDescent="0.2">
      <c r="A32" s="58" t="s">
        <v>70</v>
      </c>
      <c r="B32" s="59" t="s">
        <v>124</v>
      </c>
      <c r="C32" s="60">
        <f t="shared" si="5"/>
        <v>2</v>
      </c>
      <c r="D32" s="118"/>
      <c r="E32" s="118"/>
      <c r="F32" s="118"/>
      <c r="G32" s="61" t="str">
        <f t="shared" si="1"/>
        <v>SekiborON</v>
      </c>
      <c r="H32" s="62" t="str">
        <f>Currency&amp;$G$4&amp;IF($B32="1W","SW",$B32)&amp;QuoteSuffix</f>
        <v>SEKOIS23M_Quote</v>
      </c>
      <c r="I32" s="118"/>
      <c r="J32" s="184" t="str">
        <f>IF(P30,_xll.qlOISRateHelper(,C32,B32,H32,$G32,,Permanent,Trigger,ObjectOverwrite),"--")</f>
        <v>--</v>
      </c>
      <c r="L32" s="185" t="str">
        <f>A34</f>
        <v>OIS</v>
      </c>
      <c r="M32" s="193" t="str">
        <f>H34</f>
        <v>SEKOIS27M_Quote</v>
      </c>
      <c r="N32" s="187" t="str">
        <f>IFERROR(_xll.qlQuoteValue(H34,Trigger),"--")</f>
        <v>--</v>
      </c>
      <c r="O32" s="188"/>
      <c r="P32" s="93" t="b">
        <v>0</v>
      </c>
      <c r="Q32" s="90">
        <v>50</v>
      </c>
      <c r="R32" s="90">
        <v>1</v>
      </c>
      <c r="S32" s="90" t="str">
        <f>J34</f>
        <v>--</v>
      </c>
      <c r="T32" s="94" t="str">
        <f>IFERROR(_xll.qlRateHelperEarliestDate(S32,Trigger),"--")</f>
        <v>--</v>
      </c>
      <c r="U32" s="94" t="str">
        <f>IFERROR(_xll.qlRateHelperPillarDate(S32,Trigger),"--")</f>
        <v>--</v>
      </c>
      <c r="W32" s="3" t="str">
        <f>IFERROR(INDEX($L$3:$L$58,MATCH(Y32,$M$3:$M$58,0),1),"")</f>
        <v/>
      </c>
      <c r="X32" s="3" t="e">
        <v>#N/A</v>
      </c>
      <c r="Y32" s="3" t="str">
        <f>IFERROR(_xll.qlRateHelperQuoteName(X32,Trigger),"")</f>
        <v/>
      </c>
      <c r="Z32" s="67" t="str">
        <f>IFERROR(_xll.qlRateHelperRate(X32,Trigger),"")</f>
        <v/>
      </c>
      <c r="AA32" s="98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3" t="e">
        <v>#N/A</v>
      </c>
      <c r="AE32" s="163"/>
    </row>
    <row r="33" spans="1:31" ht="11.25" customHeight="1" x14ac:dyDescent="0.2">
      <c r="A33" s="58" t="s">
        <v>70</v>
      </c>
      <c r="B33" s="59" t="s">
        <v>52</v>
      </c>
      <c r="C33" s="60">
        <f t="shared" si="5"/>
        <v>2</v>
      </c>
      <c r="D33" s="118"/>
      <c r="E33" s="118"/>
      <c r="F33" s="118"/>
      <c r="G33" s="61" t="str">
        <f t="shared" si="1"/>
        <v>SekiborON</v>
      </c>
      <c r="H33" s="62" t="str">
        <f>Currency&amp;$G$4&amp;IF($B33="1W","SW",$B33)&amp;QuoteSuffix</f>
        <v>SEKOIS2Y_Quote</v>
      </c>
      <c r="I33" s="118"/>
      <c r="J33" s="184" t="str">
        <f>IF(P31,_xll.qlOISRateHelper(,C33,B33,H33,$G33,,Permanent,Trigger,ObjectOverwrite),"--")</f>
        <v>obj_0015f#0006</v>
      </c>
      <c r="L33" s="185" t="str">
        <f>A35</f>
        <v>OIS</v>
      </c>
      <c r="M33" s="193" t="str">
        <f>H35</f>
        <v>SEKOIS30M_Quote</v>
      </c>
      <c r="N33" s="187" t="str">
        <f>IFERROR(_xll.qlQuoteValue(H35,Trigger),"--")</f>
        <v>--</v>
      </c>
      <c r="O33" s="188"/>
      <c r="P33" s="93" t="b">
        <v>0</v>
      </c>
      <c r="Q33" s="90">
        <v>50</v>
      </c>
      <c r="R33" s="90">
        <v>1</v>
      </c>
      <c r="S33" s="90" t="str">
        <f>J35</f>
        <v>--</v>
      </c>
      <c r="T33" s="94" t="str">
        <f>IFERROR(_xll.qlRateHelperEarliestDate(S33,Trigger),"--")</f>
        <v>--</v>
      </c>
      <c r="U33" s="94" t="str">
        <f>IFERROR(_xll.qlRateHelperPillarDate(S33,Trigger),"--")</f>
        <v>--</v>
      </c>
      <c r="W33" s="3" t="str">
        <f>IFERROR(INDEX($L$3:$L$58,MATCH(Y33,$M$3:$M$58,0),1),"")</f>
        <v/>
      </c>
      <c r="X33" s="3" t="e">
        <v>#N/A</v>
      </c>
      <c r="Y33" s="3" t="str">
        <f>IFERROR(_xll.qlRateHelperQuoteName(X33,Trigger),"")</f>
        <v/>
      </c>
      <c r="Z33" s="67" t="str">
        <f>IFERROR(_xll.qlRateHelperRate(X33,Trigger),"")</f>
        <v/>
      </c>
      <c r="AA33" s="98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3" t="e">
        <v>#N/A</v>
      </c>
      <c r="AE33" s="163"/>
    </row>
    <row r="34" spans="1:31" ht="11.25" customHeight="1" x14ac:dyDescent="0.2">
      <c r="A34" s="58" t="s">
        <v>70</v>
      </c>
      <c r="B34" s="59" t="s">
        <v>125</v>
      </c>
      <c r="C34" s="60">
        <f t="shared" si="5"/>
        <v>2</v>
      </c>
      <c r="D34" s="118"/>
      <c r="E34" s="118"/>
      <c r="F34" s="118"/>
      <c r="G34" s="61" t="str">
        <f t="shared" si="1"/>
        <v>SekiborON</v>
      </c>
      <c r="H34" s="62" t="str">
        <f>Currency&amp;$G$4&amp;IF($B34="1W","SW",$B34)&amp;QuoteSuffix</f>
        <v>SEKOIS27M_Quote</v>
      </c>
      <c r="I34" s="118"/>
      <c r="J34" s="184" t="str">
        <f>IF(P32,_xll.qlOISRateHelper(,C34,B34,H34,$G34,,Permanent,Trigger,ObjectOverwrite),"--")</f>
        <v>--</v>
      </c>
      <c r="L34" s="185" t="str">
        <f>A36</f>
        <v>OIS</v>
      </c>
      <c r="M34" s="193" t="str">
        <f>H36</f>
        <v>SEKOIS33M_Quote</v>
      </c>
      <c r="N34" s="187" t="str">
        <f>IFERROR(_xll.qlQuoteValue(H36,Trigger),"--")</f>
        <v>--</v>
      </c>
      <c r="O34" s="188"/>
      <c r="P34" s="93" t="b">
        <v>0</v>
      </c>
      <c r="Q34" s="90">
        <v>50</v>
      </c>
      <c r="R34" s="90">
        <v>1</v>
      </c>
      <c r="S34" s="90" t="str">
        <f>J36</f>
        <v>--</v>
      </c>
      <c r="T34" s="94" t="str">
        <f>IFERROR(_xll.qlRateHelperEarliestDate(S34,Trigger),"--")</f>
        <v>--</v>
      </c>
      <c r="U34" s="94" t="str">
        <f>IFERROR(_xll.qlRateHelperPillarDate(S34,Trigger),"--")</f>
        <v>--</v>
      </c>
      <c r="W34" s="3" t="str">
        <f>IFERROR(INDEX($L$3:$L$58,MATCH(Y34,$M$3:$M$58,0),1),"")</f>
        <v/>
      </c>
      <c r="X34" s="3" t="e">
        <v>#N/A</v>
      </c>
      <c r="Y34" s="3" t="str">
        <f>IFERROR(_xll.qlRateHelperQuoteName(X34,Trigger),"")</f>
        <v/>
      </c>
      <c r="Z34" s="67" t="str">
        <f>IFERROR(_xll.qlRateHelperRate(X34,Trigger),"")</f>
        <v/>
      </c>
      <c r="AA34" s="98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3" t="e">
        <v>#N/A</v>
      </c>
      <c r="AE34" s="163"/>
    </row>
    <row r="35" spans="1:31" ht="11.25" customHeight="1" x14ac:dyDescent="0.2">
      <c r="A35" s="58" t="s">
        <v>70</v>
      </c>
      <c r="B35" s="59" t="s">
        <v>126</v>
      </c>
      <c r="C35" s="60">
        <f t="shared" si="5"/>
        <v>2</v>
      </c>
      <c r="D35" s="118"/>
      <c r="E35" s="118"/>
      <c r="F35" s="118"/>
      <c r="G35" s="61" t="str">
        <f t="shared" si="1"/>
        <v>SekiborON</v>
      </c>
      <c r="H35" s="62" t="str">
        <f>Currency&amp;$G$4&amp;IF($B35="1W","SW",$B35)&amp;QuoteSuffix</f>
        <v>SEKOIS30M_Quote</v>
      </c>
      <c r="I35" s="118"/>
      <c r="J35" s="184" t="str">
        <f>IF(P33,_xll.qlOISRateHelper(,C35,B35,H35,$G35,,Permanent,Trigger,ObjectOverwrite),"--")</f>
        <v>--</v>
      </c>
      <c r="L35" s="185" t="str">
        <f>A37</f>
        <v>OIS</v>
      </c>
      <c r="M35" s="193" t="str">
        <f>H37</f>
        <v>SEKOIS3Y_Quote</v>
      </c>
      <c r="N35" s="187">
        <f>IFERROR(_xll.qlQuoteValue(H37,Trigger),"--")</f>
        <v>-4.0000000000000001E-3</v>
      </c>
      <c r="O35" s="188"/>
      <c r="P35" s="93" t="b">
        <v>1</v>
      </c>
      <c r="Q35" s="90">
        <v>50</v>
      </c>
      <c r="R35" s="90">
        <v>1</v>
      </c>
      <c r="S35" s="90" t="str">
        <f>J37</f>
        <v>obj_0015e#0006</v>
      </c>
      <c r="T35" s="94">
        <f>IFERROR(_xll.qlRateHelperEarliestDate(S35,Trigger),"--")</f>
        <v>42563</v>
      </c>
      <c r="U35" s="94">
        <f>IFERROR(_xll.qlRateHelperPillarDate(S35,Trigger),"--")</f>
        <v>43658</v>
      </c>
      <c r="W35" s="3" t="str">
        <f>IFERROR(INDEX($L$3:$L$58,MATCH(Y35,$M$3:$M$58,0),1),"")</f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8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3" t="e">
        <v>#N/A</v>
      </c>
      <c r="AE35" s="163"/>
    </row>
    <row r="36" spans="1:31" ht="11.25" customHeight="1" x14ac:dyDescent="0.2">
      <c r="A36" s="58" t="s">
        <v>70</v>
      </c>
      <c r="B36" s="59" t="s">
        <v>127</v>
      </c>
      <c r="C36" s="60">
        <f t="shared" si="5"/>
        <v>2</v>
      </c>
      <c r="D36" s="118"/>
      <c r="E36" s="118"/>
      <c r="F36" s="118"/>
      <c r="G36" s="61" t="str">
        <f t="shared" si="1"/>
        <v>SekiborON</v>
      </c>
      <c r="H36" s="62" t="str">
        <f>Currency&amp;$G$4&amp;IF($B36="1W","SW",$B36)&amp;QuoteSuffix</f>
        <v>SEKOIS33M_Quote</v>
      </c>
      <c r="I36" s="118"/>
      <c r="J36" s="184" t="str">
        <f>IF(P34,_xll.qlOISRateHelper(,C36,B36,H36,$G36,,Permanent,Trigger,ObjectOverwrite),"--")</f>
        <v>--</v>
      </c>
      <c r="L36" s="185" t="str">
        <f>A38</f>
        <v>OIS</v>
      </c>
      <c r="M36" s="193" t="str">
        <f>H38</f>
        <v>SEKOIS39M_Quote</v>
      </c>
      <c r="N36" s="187" t="str">
        <f>IFERROR(_xll.qlQuoteValue(H38,Trigger),"--")</f>
        <v>--</v>
      </c>
      <c r="O36" s="188"/>
      <c r="P36" s="93" t="b">
        <v>0</v>
      </c>
      <c r="Q36" s="90">
        <v>50</v>
      </c>
      <c r="R36" s="90">
        <v>1</v>
      </c>
      <c r="S36" s="90" t="str">
        <f>J38</f>
        <v>--</v>
      </c>
      <c r="T36" s="94" t="str">
        <f>IFERROR(_xll.qlRateHelperEarliestDate(S36,Trigger),"--")</f>
        <v>--</v>
      </c>
      <c r="U36" s="94" t="str">
        <f>IFERROR(_xll.qlRateHelperPillarDate(S36,Trigger),"--")</f>
        <v>--</v>
      </c>
      <c r="W36" s="3" t="str">
        <f>IFERROR(INDEX($L$3:$L$58,MATCH(Y36,$M$3:$M$58,0),1),"")</f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8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3" t="e">
        <v>#N/A</v>
      </c>
      <c r="AE36" s="163"/>
    </row>
    <row r="37" spans="1:31" ht="11.25" customHeight="1" x14ac:dyDescent="0.2">
      <c r="A37" s="58" t="s">
        <v>70</v>
      </c>
      <c r="B37" s="59" t="s">
        <v>53</v>
      </c>
      <c r="C37" s="60">
        <f t="shared" si="5"/>
        <v>2</v>
      </c>
      <c r="D37" s="118"/>
      <c r="E37" s="118"/>
      <c r="F37" s="118"/>
      <c r="G37" s="61" t="str">
        <f t="shared" si="1"/>
        <v>SekiborON</v>
      </c>
      <c r="H37" s="62" t="str">
        <f>Currency&amp;$G$4&amp;IF($B37="1W","SW",$B37)&amp;QuoteSuffix</f>
        <v>SEKOIS3Y_Quote</v>
      </c>
      <c r="I37" s="118"/>
      <c r="J37" s="184" t="str">
        <f>IF(P35,_xll.qlOISRateHelper(,C37,B37,H37,$G37,,Permanent,Trigger,ObjectOverwrite),"--")</f>
        <v>obj_0015e#0006</v>
      </c>
      <c r="L37" s="185" t="str">
        <f>A39</f>
        <v>OIS</v>
      </c>
      <c r="M37" s="193" t="str">
        <f>H39</f>
        <v>SEKOIS42M_Quote</v>
      </c>
      <c r="N37" s="187" t="str">
        <f>IFERROR(_xll.qlQuoteValue(H39,Trigger),"--")</f>
        <v>--</v>
      </c>
      <c r="O37" s="188"/>
      <c r="P37" s="93" t="b">
        <v>0</v>
      </c>
      <c r="Q37" s="90">
        <v>50</v>
      </c>
      <c r="R37" s="90">
        <v>1</v>
      </c>
      <c r="S37" s="90" t="str">
        <f>J39</f>
        <v>--</v>
      </c>
      <c r="T37" s="94" t="str">
        <f>IFERROR(_xll.qlRateHelperEarliestDate(S37,Trigger),"--")</f>
        <v>--</v>
      </c>
      <c r="U37" s="94" t="str">
        <f>IFERROR(_xll.qlRateHelperPillarDate(S37,Trigger),"--")</f>
        <v>--</v>
      </c>
      <c r="W37" s="3" t="str">
        <f>IFERROR(INDEX($L$3:$L$58,MATCH(Y37,$M$3:$M$58,0),1),"")</f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8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3" t="e">
        <v>#N/A</v>
      </c>
      <c r="AE37" s="163"/>
    </row>
    <row r="38" spans="1:31" ht="11.25" customHeight="1" x14ac:dyDescent="0.2">
      <c r="A38" s="58" t="s">
        <v>70</v>
      </c>
      <c r="B38" s="59" t="s">
        <v>128</v>
      </c>
      <c r="C38" s="60">
        <f t="shared" si="5"/>
        <v>2</v>
      </c>
      <c r="D38" s="118"/>
      <c r="E38" s="118"/>
      <c r="F38" s="118"/>
      <c r="G38" s="61" t="str">
        <f t="shared" si="1"/>
        <v>SekiborON</v>
      </c>
      <c r="H38" s="62" t="str">
        <f>Currency&amp;$G$4&amp;IF($B38="1W","SW",$B38)&amp;QuoteSuffix</f>
        <v>SEKOIS39M_Quote</v>
      </c>
      <c r="I38" s="118"/>
      <c r="J38" s="184" t="str">
        <f>IF(P36,_xll.qlOISRateHelper(,C38,B38,H38,$G38,,Permanent,Trigger,ObjectOverwrite),"--")</f>
        <v>--</v>
      </c>
      <c r="L38" s="185" t="str">
        <f>A40</f>
        <v>OIS</v>
      </c>
      <c r="M38" s="193" t="str">
        <f>H40</f>
        <v>SEKOIS45M_Quote</v>
      </c>
      <c r="N38" s="187" t="str">
        <f>IFERROR(_xll.qlQuoteValue(H40,Trigger),"--")</f>
        <v>--</v>
      </c>
      <c r="O38" s="188"/>
      <c r="P38" s="93" t="b">
        <v>0</v>
      </c>
      <c r="Q38" s="90">
        <v>50</v>
      </c>
      <c r="R38" s="90">
        <v>1</v>
      </c>
      <c r="S38" s="90" t="str">
        <f>J40</f>
        <v>--</v>
      </c>
      <c r="T38" s="94" t="str">
        <f>IFERROR(_xll.qlRateHelperEarliestDate(S38,Trigger),"--")</f>
        <v>--</v>
      </c>
      <c r="U38" s="94" t="str">
        <f>IFERROR(_xll.qlRateHelperPillarDate(S38,Trigger),"--")</f>
        <v>--</v>
      </c>
      <c r="W38" s="3" t="str">
        <f>IFERROR(INDEX($L$3:$L$58,MATCH(Y38,$M$3:$M$58,0),1),"")</f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8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3" t="e">
        <v>#N/A</v>
      </c>
    </row>
    <row r="39" spans="1:31" ht="11.25" customHeight="1" x14ac:dyDescent="0.2">
      <c r="A39" s="58" t="s">
        <v>70</v>
      </c>
      <c r="B39" s="59" t="s">
        <v>129</v>
      </c>
      <c r="C39" s="60">
        <f t="shared" si="5"/>
        <v>2</v>
      </c>
      <c r="D39" s="118"/>
      <c r="E39" s="118"/>
      <c r="F39" s="118"/>
      <c r="G39" s="61" t="str">
        <f t="shared" si="1"/>
        <v>SekiborON</v>
      </c>
      <c r="H39" s="62" t="str">
        <f>Currency&amp;$G$4&amp;IF($B39="1W","SW",$B39)&amp;QuoteSuffix</f>
        <v>SEKOIS42M_Quote</v>
      </c>
      <c r="I39" s="118"/>
      <c r="J39" s="184" t="str">
        <f>IF(P37,_xll.qlOISRateHelper(,C39,B39,H39,$G39,,Permanent,Trigger,ObjectOverwrite),"--")</f>
        <v>--</v>
      </c>
      <c r="L39" s="185" t="str">
        <f>A41</f>
        <v>OIS</v>
      </c>
      <c r="M39" s="193" t="str">
        <f>H41</f>
        <v>SEKOIS4Y_Quote</v>
      </c>
      <c r="N39" s="187">
        <f>IFERROR(_xll.qlQuoteValue(H41,Trigger),"--")</f>
        <v>-2.65E-3</v>
      </c>
      <c r="O39" s="188"/>
      <c r="P39" s="93" t="b">
        <v>1</v>
      </c>
      <c r="Q39" s="90">
        <v>50</v>
      </c>
      <c r="R39" s="90">
        <v>1</v>
      </c>
      <c r="S39" s="90" t="str">
        <f>J41</f>
        <v>obj_0015d#0006</v>
      </c>
      <c r="T39" s="94">
        <f>IFERROR(_xll.qlRateHelperEarliestDate(S39,Trigger),"--")</f>
        <v>42563</v>
      </c>
      <c r="U39" s="94">
        <f>IFERROR(_xll.qlRateHelperPillarDate(S39,Trigger),"--")</f>
        <v>44025</v>
      </c>
      <c r="W39" s="3" t="str">
        <f>IFERROR(INDEX($L$3:$L$58,MATCH(Y39,$M$3:$M$58,0),1),"")</f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8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3" t="e">
        <v>#N/A</v>
      </c>
    </row>
    <row r="40" spans="1:31" ht="11.25" customHeight="1" x14ac:dyDescent="0.2">
      <c r="A40" s="58" t="s">
        <v>70</v>
      </c>
      <c r="B40" s="59" t="s">
        <v>130</v>
      </c>
      <c r="C40" s="60">
        <f t="shared" si="5"/>
        <v>2</v>
      </c>
      <c r="D40" s="118"/>
      <c r="E40" s="118"/>
      <c r="F40" s="118"/>
      <c r="G40" s="61" t="str">
        <f t="shared" si="1"/>
        <v>SekiborON</v>
      </c>
      <c r="H40" s="62" t="str">
        <f>Currency&amp;$G$4&amp;IF($B40="1W","SW",$B40)&amp;QuoteSuffix</f>
        <v>SEKOIS45M_Quote</v>
      </c>
      <c r="I40" s="118"/>
      <c r="J40" s="184" t="str">
        <f>IF(P38,_xll.qlOISRateHelper(,C40,B40,H40,$G40,,Permanent,Trigger,ObjectOverwrite),"--")</f>
        <v>--</v>
      </c>
      <c r="L40" s="185" t="str">
        <f>A42</f>
        <v>OIS</v>
      </c>
      <c r="M40" s="193" t="str">
        <f>H42</f>
        <v>SEKOIS51M_Quote</v>
      </c>
      <c r="N40" s="187" t="str">
        <f>IFERROR(_xll.qlQuoteValue(H42,Trigger),"--")</f>
        <v>--</v>
      </c>
      <c r="O40" s="188"/>
      <c r="P40" s="93" t="b">
        <v>0</v>
      </c>
      <c r="Q40" s="90">
        <v>50</v>
      </c>
      <c r="R40" s="90">
        <v>1</v>
      </c>
      <c r="S40" s="90" t="str">
        <f>J42</f>
        <v>--</v>
      </c>
      <c r="T40" s="94" t="str">
        <f>IFERROR(_xll.qlRateHelperEarliestDate(S40,Trigger),"--")</f>
        <v>--</v>
      </c>
      <c r="U40" s="94" t="str">
        <f>IFERROR(_xll.qlRateHelperPillarDate(S40,Trigger),"--")</f>
        <v>--</v>
      </c>
      <c r="W40" s="3" t="str">
        <f>IFERROR(INDEX($L$3:$L$58,MATCH(Y40,$M$3:$M$58,0),1),"")</f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8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3" t="e">
        <v>#N/A</v>
      </c>
    </row>
    <row r="41" spans="1:31" ht="11.25" customHeight="1" x14ac:dyDescent="0.2">
      <c r="A41" s="58" t="s">
        <v>70</v>
      </c>
      <c r="B41" s="59" t="s">
        <v>54</v>
      </c>
      <c r="C41" s="60">
        <f t="shared" si="5"/>
        <v>2</v>
      </c>
      <c r="D41" s="118"/>
      <c r="E41" s="118"/>
      <c r="F41" s="118"/>
      <c r="G41" s="61" t="str">
        <f t="shared" si="1"/>
        <v>SekiborON</v>
      </c>
      <c r="H41" s="62" t="str">
        <f>Currency&amp;$G$4&amp;IF($B41="1W","SW",$B41)&amp;QuoteSuffix</f>
        <v>SEKOIS4Y_Quote</v>
      </c>
      <c r="I41" s="118"/>
      <c r="J41" s="184" t="str">
        <f>IF(P39,_xll.qlOISRateHelper(,C41,B41,H41,$G41,,Permanent,Trigger,ObjectOverwrite),"--")</f>
        <v>obj_0015d#0006</v>
      </c>
      <c r="L41" s="185" t="str">
        <f>A43</f>
        <v>OIS</v>
      </c>
      <c r="M41" s="193" t="str">
        <f>H43</f>
        <v>SEKOIS54M_Quote</v>
      </c>
      <c r="N41" s="187" t="str">
        <f>IFERROR(_xll.qlQuoteValue(H43,Trigger),"--")</f>
        <v>--</v>
      </c>
      <c r="O41" s="188"/>
      <c r="P41" s="93" t="b">
        <v>0</v>
      </c>
      <c r="Q41" s="90">
        <v>50</v>
      </c>
      <c r="R41" s="90">
        <v>1</v>
      </c>
      <c r="S41" s="90" t="str">
        <f>J43</f>
        <v>--</v>
      </c>
      <c r="T41" s="94" t="str">
        <f>IFERROR(_xll.qlRateHelperEarliestDate(S41,Trigger),"--")</f>
        <v>--</v>
      </c>
      <c r="U41" s="94" t="str">
        <f>IFERROR(_xll.qlRateHelperPillarDate(S41,Trigger),"--")</f>
        <v>--</v>
      </c>
      <c r="W41" s="3" t="str">
        <f>IFERROR(INDEX($L$3:$L$58,MATCH(Y41,$M$3:$M$58,0),1),"")</f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8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3" t="e">
        <v>#N/A</v>
      </c>
    </row>
    <row r="42" spans="1:31" ht="11.25" customHeight="1" x14ac:dyDescent="0.2">
      <c r="A42" s="58" t="s">
        <v>70</v>
      </c>
      <c r="B42" s="59" t="s">
        <v>131</v>
      </c>
      <c r="C42" s="60">
        <f t="shared" ref="C42:C60" si="6">IF(B42="O/N",0,IF(B42="T/N",1,2))</f>
        <v>2</v>
      </c>
      <c r="D42" s="118"/>
      <c r="E42" s="118"/>
      <c r="F42" s="118"/>
      <c r="G42" s="61" t="str">
        <f t="shared" si="1"/>
        <v>SekiborON</v>
      </c>
      <c r="H42" s="62" t="str">
        <f>Currency&amp;$G$4&amp;IF($B42="1W","SW",$B42)&amp;QuoteSuffix</f>
        <v>SEKOIS51M_Quote</v>
      </c>
      <c r="I42" s="118"/>
      <c r="J42" s="184" t="str">
        <f>IF(P40,_xll.qlOISRateHelper(,C42,B42,H42,$G42,,Permanent,Trigger,ObjectOverwrite),"--")</f>
        <v>--</v>
      </c>
      <c r="L42" s="185" t="str">
        <f>A44</f>
        <v>OIS</v>
      </c>
      <c r="M42" s="193" t="str">
        <f>H44</f>
        <v>SEKOIS57M_Quote</v>
      </c>
      <c r="N42" s="187" t="str">
        <f>IFERROR(_xll.qlQuoteValue(H44,Trigger),"--")</f>
        <v>--</v>
      </c>
      <c r="O42" s="188"/>
      <c r="P42" s="93" t="b">
        <v>0</v>
      </c>
      <c r="Q42" s="90">
        <v>50</v>
      </c>
      <c r="R42" s="90">
        <v>1</v>
      </c>
      <c r="S42" s="90" t="str">
        <f>J44</f>
        <v>--</v>
      </c>
      <c r="T42" s="94" t="str">
        <f>IFERROR(_xll.qlRateHelperEarliestDate(S42,Trigger),"--")</f>
        <v>--</v>
      </c>
      <c r="U42" s="94" t="str">
        <f>IFERROR(_xll.qlRateHelperPillarDate(S42,Trigger),"--")</f>
        <v>--</v>
      </c>
      <c r="W42" s="3" t="str">
        <f>IFERROR(INDEX($L$3:$L$58,MATCH(Y42,$M$3:$M$58,0),1),"")</f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8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3" t="e">
        <v>#N/A</v>
      </c>
    </row>
    <row r="43" spans="1:31" ht="11.25" customHeight="1" x14ac:dyDescent="0.2">
      <c r="A43" s="58" t="s">
        <v>70</v>
      </c>
      <c r="B43" s="59" t="s">
        <v>132</v>
      </c>
      <c r="C43" s="60">
        <f t="shared" si="6"/>
        <v>2</v>
      </c>
      <c r="D43" s="118"/>
      <c r="E43" s="118"/>
      <c r="F43" s="118"/>
      <c r="G43" s="61" t="str">
        <f t="shared" si="1"/>
        <v>SekiborON</v>
      </c>
      <c r="H43" s="62" t="str">
        <f>Currency&amp;$G$4&amp;IF($B43="1W","SW",$B43)&amp;QuoteSuffix</f>
        <v>SEKOIS54M_Quote</v>
      </c>
      <c r="I43" s="118"/>
      <c r="J43" s="184" t="str">
        <f>IF(P41,_xll.qlOISRateHelper(,C43,B43,H43,$G43,,Permanent,Trigger,ObjectOverwrite),"--")</f>
        <v>--</v>
      </c>
      <c r="L43" s="185" t="str">
        <f>A45</f>
        <v>OIS</v>
      </c>
      <c r="M43" s="193" t="str">
        <f>H45</f>
        <v>SEKOIS5Y_Quote</v>
      </c>
      <c r="N43" s="187">
        <f>IFERROR(_xll.qlQuoteValue(H45,Trigger),"--")</f>
        <v>-1.5500000000000002E-3</v>
      </c>
      <c r="O43" s="188"/>
      <c r="P43" s="93" t="b">
        <v>1</v>
      </c>
      <c r="Q43" s="90">
        <v>50</v>
      </c>
      <c r="R43" s="90">
        <v>1</v>
      </c>
      <c r="S43" s="90" t="str">
        <f>J45</f>
        <v>obj_00156#0007</v>
      </c>
      <c r="T43" s="94">
        <f>IFERROR(_xll.qlRateHelperEarliestDate(S43,Trigger),"--")</f>
        <v>42563</v>
      </c>
      <c r="U43" s="94">
        <f>IFERROR(_xll.qlRateHelperPillarDate(S43,Trigger),"--")</f>
        <v>44389</v>
      </c>
      <c r="W43" s="3" t="str">
        <f>IFERROR(INDEX($L$3:$L$58,MATCH(Y43,$M$3:$M$58,0),1),"")</f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8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3" t="e">
        <v>#N/A</v>
      </c>
    </row>
    <row r="44" spans="1:31" ht="11.25" customHeight="1" x14ac:dyDescent="0.2">
      <c r="A44" s="58" t="s">
        <v>70</v>
      </c>
      <c r="B44" s="59" t="s">
        <v>133</v>
      </c>
      <c r="C44" s="60">
        <f t="shared" si="6"/>
        <v>2</v>
      </c>
      <c r="D44" s="118"/>
      <c r="E44" s="118"/>
      <c r="F44" s="118"/>
      <c r="G44" s="61" t="str">
        <f t="shared" si="1"/>
        <v>SekiborON</v>
      </c>
      <c r="H44" s="62" t="str">
        <f>Currency&amp;$G$4&amp;IF($B44="1W","SW",$B44)&amp;QuoteSuffix</f>
        <v>SEKOIS57M_Quote</v>
      </c>
      <c r="I44" s="118"/>
      <c r="J44" s="184" t="str">
        <f>IF(P42,_xll.qlOISRateHelper(,C44,B44,H44,$G44,,Permanent,Trigger,ObjectOverwrite),"--")</f>
        <v>--</v>
      </c>
      <c r="L44" s="185" t="str">
        <f>A46</f>
        <v>OIS</v>
      </c>
      <c r="M44" s="193" t="str">
        <f>H46</f>
        <v>SEKOIS6Y_Quote</v>
      </c>
      <c r="N44" s="187">
        <f>IFERROR(_xll.qlQuoteValue(H46,Trigger),"--")</f>
        <v>-1.0000000000000001E-5</v>
      </c>
      <c r="O44" s="188"/>
      <c r="P44" s="93" t="b">
        <v>1</v>
      </c>
      <c r="Q44" s="90">
        <v>50</v>
      </c>
      <c r="R44" s="90">
        <v>1</v>
      </c>
      <c r="S44" s="90" t="str">
        <f>J46</f>
        <v>obj_00158#0007</v>
      </c>
      <c r="T44" s="94">
        <f>IFERROR(_xll.qlRateHelperEarliestDate(S44,Trigger),"--")</f>
        <v>42563</v>
      </c>
      <c r="U44" s="94">
        <f>IFERROR(_xll.qlRateHelperPillarDate(S44,Trigger),"--")</f>
        <v>44754</v>
      </c>
      <c r="W44" s="3" t="str">
        <f>IFERROR(INDEX($L$3:$L$58,MATCH(Y44,$M$3:$M$58,0),1),"")</f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8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3" t="e">
        <v>#N/A</v>
      </c>
    </row>
    <row r="45" spans="1:31" ht="11.25" customHeight="1" x14ac:dyDescent="0.2">
      <c r="A45" s="58" t="s">
        <v>70</v>
      </c>
      <c r="B45" s="59" t="s">
        <v>55</v>
      </c>
      <c r="C45" s="60">
        <f t="shared" si="6"/>
        <v>2</v>
      </c>
      <c r="D45" s="118"/>
      <c r="E45" s="118"/>
      <c r="F45" s="118"/>
      <c r="G45" s="61" t="str">
        <f t="shared" si="1"/>
        <v>SekiborON</v>
      </c>
      <c r="H45" s="62" t="str">
        <f>Currency&amp;$G$4&amp;IF($B45="1W","SW",$B45)&amp;QuoteSuffix</f>
        <v>SEKOIS5Y_Quote</v>
      </c>
      <c r="I45" s="118"/>
      <c r="J45" s="184" t="str">
        <f>IF(P43,_xll.qlOISRateHelper(,C45,B45,H45,$G45,,Permanent,Trigger,ObjectOverwrite),"--")</f>
        <v>obj_00156#0007</v>
      </c>
      <c r="L45" s="185" t="str">
        <f>A47</f>
        <v>OIS</v>
      </c>
      <c r="M45" s="193" t="str">
        <f>H47</f>
        <v>SEKOIS7Y_Quote</v>
      </c>
      <c r="N45" s="187">
        <f>IFERROR(_xll.qlQuoteValue(H47,Trigger),"--")</f>
        <v>1.5000000000000002E-3</v>
      </c>
      <c r="O45" s="188"/>
      <c r="P45" s="93" t="b">
        <v>1</v>
      </c>
      <c r="Q45" s="90">
        <v>50</v>
      </c>
      <c r="R45" s="90">
        <v>1</v>
      </c>
      <c r="S45" s="90" t="str">
        <f>J47</f>
        <v>obj_00152#0007</v>
      </c>
      <c r="T45" s="94">
        <f>IFERROR(_xll.qlRateHelperEarliestDate(S45,Trigger),"--")</f>
        <v>42563</v>
      </c>
      <c r="U45" s="94">
        <f>IFERROR(_xll.qlRateHelperPillarDate(S45,Trigger),"--")</f>
        <v>45119</v>
      </c>
      <c r="W45" s="3" t="str">
        <f>IFERROR(INDEX($L$3:$L$58,MATCH(Y45,$M$3:$M$58,0),1),"")</f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8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3" t="e">
        <v>#N/A</v>
      </c>
    </row>
    <row r="46" spans="1:31" ht="11.25" customHeight="1" x14ac:dyDescent="0.2">
      <c r="A46" s="58" t="s">
        <v>70</v>
      </c>
      <c r="B46" s="59" t="s">
        <v>56</v>
      </c>
      <c r="C46" s="60">
        <f t="shared" si="6"/>
        <v>2</v>
      </c>
      <c r="D46" s="118"/>
      <c r="E46" s="118"/>
      <c r="F46" s="118"/>
      <c r="G46" s="61" t="str">
        <f t="shared" si="1"/>
        <v>SekiborON</v>
      </c>
      <c r="H46" s="62" t="str">
        <f>Currency&amp;$G$4&amp;IF($B46="1W","SW",$B46)&amp;QuoteSuffix</f>
        <v>SEKOIS6Y_Quote</v>
      </c>
      <c r="I46" s="118"/>
      <c r="J46" s="184" t="str">
        <f>IF(P44,_xll.qlOISRateHelper(,C46,B46,H46,$G46,,Permanent,Trigger,ObjectOverwrite),"--")</f>
        <v>obj_00158#0007</v>
      </c>
      <c r="L46" s="185" t="str">
        <f>A48</f>
        <v>OIS</v>
      </c>
      <c r="M46" s="193" t="str">
        <f>H48</f>
        <v>SEKOIS8Y_Quote</v>
      </c>
      <c r="N46" s="187">
        <f>IFERROR(_xll.qlQuoteValue(H48,Trigger),"--")</f>
        <v>2.9200000000000003E-3</v>
      </c>
      <c r="O46" s="188"/>
      <c r="P46" s="93" t="b">
        <v>1</v>
      </c>
      <c r="Q46" s="90">
        <v>50</v>
      </c>
      <c r="R46" s="90">
        <v>1</v>
      </c>
      <c r="S46" s="90" t="str">
        <f>J48</f>
        <v>obj_00154#0007</v>
      </c>
      <c r="T46" s="94">
        <f>IFERROR(_xll.qlRateHelperEarliestDate(S46,Trigger),"--")</f>
        <v>42563</v>
      </c>
      <c r="U46" s="94">
        <f>IFERROR(_xll.qlRateHelperPillarDate(S46,Trigger),"--")</f>
        <v>45485</v>
      </c>
      <c r="W46" s="3" t="str">
        <f>IFERROR(INDEX($L$3:$L$58,MATCH(Y46,$M$3:$M$58,0),1),"")</f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8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3" t="e">
        <v>#N/A</v>
      </c>
    </row>
    <row r="47" spans="1:31" ht="11.25" customHeight="1" x14ac:dyDescent="0.2">
      <c r="A47" s="58" t="s">
        <v>70</v>
      </c>
      <c r="B47" s="59" t="s">
        <v>57</v>
      </c>
      <c r="C47" s="60">
        <f t="shared" si="6"/>
        <v>2</v>
      </c>
      <c r="D47" s="118"/>
      <c r="E47" s="118"/>
      <c r="F47" s="118"/>
      <c r="G47" s="61" t="str">
        <f t="shared" si="1"/>
        <v>SekiborON</v>
      </c>
      <c r="H47" s="62" t="str">
        <f>Currency&amp;$G$4&amp;IF($B47="1W","SW",$B47)&amp;QuoteSuffix</f>
        <v>SEKOIS7Y_Quote</v>
      </c>
      <c r="I47" s="118"/>
      <c r="J47" s="184" t="str">
        <f>IF(P45,_xll.qlOISRateHelper(,C47,B47,H47,$G47,,Permanent,Trigger,ObjectOverwrite),"--")</f>
        <v>obj_00152#0007</v>
      </c>
      <c r="L47" s="185" t="str">
        <f>A49</f>
        <v>OIS</v>
      </c>
      <c r="M47" s="193" t="str">
        <f>H49</f>
        <v>SEKOIS9Y_Quote</v>
      </c>
      <c r="N47" s="187">
        <f>IFERROR(_xll.qlQuoteValue(H49,Trigger),"--")</f>
        <v>4.2100000000000002E-3</v>
      </c>
      <c r="O47" s="188"/>
      <c r="P47" s="93" t="b">
        <v>1</v>
      </c>
      <c r="Q47" s="90">
        <v>50</v>
      </c>
      <c r="R47" s="90">
        <v>1</v>
      </c>
      <c r="S47" s="90" t="str">
        <f>J49</f>
        <v>obj_00155#0007</v>
      </c>
      <c r="T47" s="94">
        <f>IFERROR(_xll.qlRateHelperEarliestDate(S47,Trigger),"--")</f>
        <v>42563</v>
      </c>
      <c r="U47" s="94">
        <f>IFERROR(_xll.qlRateHelperPillarDate(S47,Trigger),"--")</f>
        <v>45852</v>
      </c>
      <c r="W47" s="3" t="str">
        <f>IFERROR(INDEX($L$3:$L$58,MATCH(Y47,$M$3:$M$58,0),1),"")</f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8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3" t="e">
        <v>#N/A</v>
      </c>
    </row>
    <row r="48" spans="1:31" ht="11.25" customHeight="1" x14ac:dyDescent="0.2">
      <c r="A48" s="58" t="s">
        <v>70</v>
      </c>
      <c r="B48" s="59" t="s">
        <v>58</v>
      </c>
      <c r="C48" s="60">
        <f t="shared" si="6"/>
        <v>2</v>
      </c>
      <c r="D48" s="118"/>
      <c r="E48" s="118"/>
      <c r="F48" s="118"/>
      <c r="G48" s="61" t="str">
        <f t="shared" si="1"/>
        <v>SekiborON</v>
      </c>
      <c r="H48" s="62" t="str">
        <f>Currency&amp;$G$4&amp;IF($B48="1W","SW",$B48)&amp;QuoteSuffix</f>
        <v>SEKOIS8Y_Quote</v>
      </c>
      <c r="I48" s="118"/>
      <c r="J48" s="184" t="str">
        <f>IF(P46,_xll.qlOISRateHelper(,C48,B48,H48,$G48,,Permanent,Trigger,ObjectOverwrite),"--")</f>
        <v>obj_00154#0007</v>
      </c>
      <c r="L48" s="185" t="str">
        <f>A50</f>
        <v>OIS</v>
      </c>
      <c r="M48" s="193" t="str">
        <f>H50</f>
        <v>SEKOIS10Y_Quote</v>
      </c>
      <c r="N48" s="187">
        <f>IFERROR(_xll.qlQuoteValue(H50,Trigger),"--")</f>
        <v>5.3500000000000006E-3</v>
      </c>
      <c r="O48" s="188"/>
      <c r="P48" s="93" t="b">
        <v>1</v>
      </c>
      <c r="Q48" s="90">
        <v>50</v>
      </c>
      <c r="R48" s="90">
        <v>1</v>
      </c>
      <c r="S48" s="90" t="str">
        <f>J50</f>
        <v>obj_0015a#0007</v>
      </c>
      <c r="T48" s="94">
        <f>IFERROR(_xll.qlRateHelperEarliestDate(S48,Trigger),"--")</f>
        <v>42563</v>
      </c>
      <c r="U48" s="94">
        <f>IFERROR(_xll.qlRateHelperPillarDate(S48,Trigger),"--")</f>
        <v>46216</v>
      </c>
      <c r="W48" s="3" t="str">
        <f>IFERROR(INDEX($L$3:$L$58,MATCH(Y48,$M$3:$M$58,0),1),"")</f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8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3" t="e">
        <v>#N/A</v>
      </c>
    </row>
    <row r="49" spans="1:30" ht="11.25" customHeight="1" x14ac:dyDescent="0.2">
      <c r="A49" s="58" t="s">
        <v>70</v>
      </c>
      <c r="B49" s="59" t="s">
        <v>59</v>
      </c>
      <c r="C49" s="60">
        <f t="shared" si="6"/>
        <v>2</v>
      </c>
      <c r="D49" s="118"/>
      <c r="E49" s="118"/>
      <c r="F49" s="118"/>
      <c r="G49" s="61" t="str">
        <f t="shared" si="1"/>
        <v>SekiborON</v>
      </c>
      <c r="H49" s="62" t="str">
        <f>Currency&amp;$G$4&amp;IF($B49="1W","SW",$B49)&amp;QuoteSuffix</f>
        <v>SEKOIS9Y_Quote</v>
      </c>
      <c r="I49" s="118"/>
      <c r="J49" s="184" t="str">
        <f>IF(P47,_xll.qlOISRateHelper(,C49,B49,H49,$G49,,Permanent,Trigger,ObjectOverwrite),"--")</f>
        <v>obj_00155#0007</v>
      </c>
      <c r="L49" s="185" t="str">
        <f>A51</f>
        <v>OIS</v>
      </c>
      <c r="M49" s="193" t="str">
        <f>H51</f>
        <v>SEKOIS12Y_Quote</v>
      </c>
      <c r="N49" s="187">
        <f>IFERROR(_xll.qlQuoteValue(H51,Trigger),"--")</f>
        <v>7.8000000000000005E-3</v>
      </c>
      <c r="O49" s="188"/>
      <c r="P49" s="93" t="b">
        <v>1</v>
      </c>
      <c r="Q49" s="90">
        <v>50</v>
      </c>
      <c r="R49" s="90">
        <v>1</v>
      </c>
      <c r="S49" s="90" t="str">
        <f>J51</f>
        <v>obj_0015c#0007</v>
      </c>
      <c r="T49" s="94">
        <f>IFERROR(_xll.qlRateHelperEarliestDate(S49,Trigger),"--")</f>
        <v>42563</v>
      </c>
      <c r="U49" s="94">
        <f>IFERROR(_xll.qlRateHelperPillarDate(S49,Trigger),"--")</f>
        <v>46946</v>
      </c>
      <c r="W49" s="3" t="str">
        <f>IFERROR(INDEX($L$3:$L$58,MATCH(Y49,$M$3:$M$58,0),1),"")</f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8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3" t="e">
        <v>#N/A</v>
      </c>
    </row>
    <row r="50" spans="1:30" ht="11.25" customHeight="1" x14ac:dyDescent="0.2">
      <c r="A50" s="58" t="s">
        <v>70</v>
      </c>
      <c r="B50" s="59" t="s">
        <v>60</v>
      </c>
      <c r="C50" s="60">
        <f t="shared" si="6"/>
        <v>2</v>
      </c>
      <c r="D50" s="118"/>
      <c r="E50" s="118"/>
      <c r="F50" s="118"/>
      <c r="G50" s="61" t="str">
        <f t="shared" si="1"/>
        <v>SekiborON</v>
      </c>
      <c r="H50" s="62" t="str">
        <f>Currency&amp;$G$4&amp;IF($B50="1W","SW",$B50)&amp;QuoteSuffix</f>
        <v>SEKOIS10Y_Quote</v>
      </c>
      <c r="I50" s="118"/>
      <c r="J50" s="184" t="str">
        <f>IF(P48,_xll.qlOISRateHelper(,C50,B50,H50,$G50,,Permanent,Trigger,ObjectOverwrite),"--")</f>
        <v>obj_0015a#0007</v>
      </c>
      <c r="L50" s="185" t="str">
        <f>A52</f>
        <v>OIS</v>
      </c>
      <c r="M50" s="193" t="str">
        <f>H52</f>
        <v>SEKOIS15Y_Quote</v>
      </c>
      <c r="N50" s="187">
        <f>IFERROR(_xll.qlQuoteValue(H52,Trigger),"--")</f>
        <v>1.01E-2</v>
      </c>
      <c r="O50" s="188"/>
      <c r="P50" s="93" t="b">
        <v>1</v>
      </c>
      <c r="Q50" s="90">
        <v>50</v>
      </c>
      <c r="R50" s="90">
        <v>1</v>
      </c>
      <c r="S50" s="90" t="str">
        <f>J52</f>
        <v>obj_00153#0007</v>
      </c>
      <c r="T50" s="94">
        <f>IFERROR(_xll.qlRateHelperEarliestDate(S50,Trigger),"--")</f>
        <v>42563</v>
      </c>
      <c r="U50" s="94">
        <f>IFERROR(_xll.qlRateHelperPillarDate(S50,Trigger),"--")</f>
        <v>48043</v>
      </c>
      <c r="W50" s="3" t="str">
        <f>IFERROR(INDEX($L$3:$L$58,MATCH(Y50,$M$3:$M$58,0),1),"")</f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8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3" t="e">
        <v>#N/A</v>
      </c>
    </row>
    <row r="51" spans="1:30" ht="11.25" customHeight="1" x14ac:dyDescent="0.2">
      <c r="A51" s="58" t="s">
        <v>70</v>
      </c>
      <c r="B51" s="59" t="s">
        <v>61</v>
      </c>
      <c r="C51" s="60">
        <f t="shared" si="6"/>
        <v>2</v>
      </c>
      <c r="D51" s="118"/>
      <c r="E51" s="118"/>
      <c r="F51" s="118"/>
      <c r="G51" s="61" t="str">
        <f t="shared" si="1"/>
        <v>SekiborON</v>
      </c>
      <c r="H51" s="62" t="str">
        <f>Currency&amp;$G$4&amp;IF($B51="1W","SW",$B51)&amp;QuoteSuffix</f>
        <v>SEKOIS12Y_Quote</v>
      </c>
      <c r="I51" s="118"/>
      <c r="J51" s="184" t="str">
        <f>IF(P49,_xll.qlOISRateHelper(,C51,B51,H51,$G51,,Permanent,Trigger,ObjectOverwrite),"--")</f>
        <v>obj_0015c#0007</v>
      </c>
      <c r="L51" s="185" t="str">
        <f>A53</f>
        <v>OIS</v>
      </c>
      <c r="M51" s="193" t="str">
        <f>H53</f>
        <v>SEKOIS20Y_Quote</v>
      </c>
      <c r="N51" s="187">
        <f>IFERROR(_xll.qlQuoteValue(H53,Trigger),"--")</f>
        <v>1.2350000000000002E-2</v>
      </c>
      <c r="O51" s="188"/>
      <c r="P51" s="93" t="b">
        <v>1</v>
      </c>
      <c r="Q51" s="90">
        <v>50</v>
      </c>
      <c r="R51" s="90">
        <v>1</v>
      </c>
      <c r="S51" s="90" t="str">
        <f>J53</f>
        <v>obj_0015b#0007</v>
      </c>
      <c r="T51" s="94">
        <f>IFERROR(_xll.qlRateHelperEarliestDate(S51,Trigger),"--")</f>
        <v>42563</v>
      </c>
      <c r="U51" s="94">
        <f>IFERROR(_xll.qlRateHelperPillarDate(S51,Trigger),"--")</f>
        <v>49870</v>
      </c>
      <c r="W51" s="3" t="str">
        <f>IFERROR(INDEX($L$3:$L$58,MATCH(Y51,$M$3:$M$58,0),1),"")</f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8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3" t="e">
        <v>#N/A</v>
      </c>
    </row>
    <row r="52" spans="1:30" ht="11.25" customHeight="1" x14ac:dyDescent="0.2">
      <c r="A52" s="58" t="s">
        <v>70</v>
      </c>
      <c r="B52" s="59" t="s">
        <v>62</v>
      </c>
      <c r="C52" s="60">
        <f t="shared" si="6"/>
        <v>2</v>
      </c>
      <c r="D52" s="118"/>
      <c r="E52" s="118"/>
      <c r="F52" s="118"/>
      <c r="G52" s="61" t="str">
        <f t="shared" si="1"/>
        <v>SekiborON</v>
      </c>
      <c r="H52" s="62" t="str">
        <f>Currency&amp;$G$4&amp;IF($B52="1W","SW",$B52)&amp;QuoteSuffix</f>
        <v>SEKOIS15Y_Quote</v>
      </c>
      <c r="I52" s="118"/>
      <c r="J52" s="184" t="str">
        <f>IF(P50,_xll.qlOISRateHelper(,C52,B52,H52,$G52,,Permanent,Trigger,ObjectOverwrite),"--")</f>
        <v>obj_00153#0007</v>
      </c>
      <c r="L52" s="185" t="str">
        <f>A54</f>
        <v>OIS</v>
      </c>
      <c r="M52" s="193" t="str">
        <f>H54</f>
        <v>SEKOIS25Y_Quote</v>
      </c>
      <c r="N52" s="187">
        <f>IFERROR(_xll.qlQuoteValue(H54,Trigger),"--")</f>
        <v>1.355E-2</v>
      </c>
      <c r="O52" s="188"/>
      <c r="P52" s="93" t="b">
        <v>1</v>
      </c>
      <c r="Q52" s="90">
        <v>50</v>
      </c>
      <c r="R52" s="90">
        <v>1</v>
      </c>
      <c r="S52" s="90" t="str">
        <f>J54</f>
        <v>obj_00159#0007</v>
      </c>
      <c r="T52" s="94">
        <f>IFERROR(_xll.qlRateHelperEarliestDate(S52,Trigger),"--")</f>
        <v>42563</v>
      </c>
      <c r="U52" s="94">
        <f>IFERROR(_xll.qlRateHelperPillarDate(S52,Trigger),"--")</f>
        <v>51694</v>
      </c>
      <c r="W52" s="3" t="str">
        <f>IFERROR(INDEX($L$3:$L$58,MATCH(Y52,$M$3:$M$58,0),1),"")</f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8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3" t="e">
        <v>#N/A</v>
      </c>
    </row>
    <row r="53" spans="1:30" ht="11.25" customHeight="1" x14ac:dyDescent="0.2">
      <c r="A53" s="58" t="s">
        <v>70</v>
      </c>
      <c r="B53" s="59" t="s">
        <v>63</v>
      </c>
      <c r="C53" s="60">
        <f t="shared" si="6"/>
        <v>2</v>
      </c>
      <c r="D53" s="118"/>
      <c r="E53" s="118"/>
      <c r="F53" s="118"/>
      <c r="G53" s="61" t="str">
        <f t="shared" si="1"/>
        <v>SekiborON</v>
      </c>
      <c r="H53" s="62" t="str">
        <f>Currency&amp;$G$4&amp;IF($B53="1W","SW",$B53)&amp;QuoteSuffix</f>
        <v>SEKOIS20Y_Quote</v>
      </c>
      <c r="I53" s="118"/>
      <c r="J53" s="184" t="str">
        <f>IF(P51,_xll.qlOISRateHelper(,C53,B53,H53,$G53,,Permanent,Trigger,ObjectOverwrite),"--")</f>
        <v>obj_0015b#0007</v>
      </c>
      <c r="L53" s="185" t="str">
        <f>A55</f>
        <v>OIS</v>
      </c>
      <c r="M53" s="193" t="str">
        <f>H55</f>
        <v>SEKOIS27Y_Quote</v>
      </c>
      <c r="N53" s="187" t="str">
        <f>IFERROR(_xll.qlQuoteValue(H55,Trigger),"--")</f>
        <v>--</v>
      </c>
      <c r="O53" s="188"/>
      <c r="P53" s="93" t="b">
        <v>0</v>
      </c>
      <c r="Q53" s="90">
        <v>50</v>
      </c>
      <c r="R53" s="90">
        <v>1</v>
      </c>
      <c r="S53" s="90" t="str">
        <f>J55</f>
        <v>--</v>
      </c>
      <c r="T53" s="94" t="str">
        <f>IFERROR(_xll.qlRateHelperEarliestDate(S53,Trigger),"--")</f>
        <v>--</v>
      </c>
      <c r="U53" s="94" t="str">
        <f>IFERROR(_xll.qlRateHelperPillarDate(S53,Trigger),"--")</f>
        <v>--</v>
      </c>
      <c r="W53" s="3" t="str">
        <f>IFERROR(INDEX($L$3:$L$58,MATCH(Y53,$M$3:$M$58,0),1),"")</f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8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3" t="e">
        <v>#N/A</v>
      </c>
    </row>
    <row r="54" spans="1:30" ht="11.25" customHeight="1" x14ac:dyDescent="0.2">
      <c r="A54" s="58" t="s">
        <v>70</v>
      </c>
      <c r="B54" s="59" t="s">
        <v>64</v>
      </c>
      <c r="C54" s="60">
        <f t="shared" si="6"/>
        <v>2</v>
      </c>
      <c r="D54" s="118"/>
      <c r="E54" s="118"/>
      <c r="F54" s="118"/>
      <c r="G54" s="61" t="str">
        <f t="shared" si="1"/>
        <v>SekiborON</v>
      </c>
      <c r="H54" s="62" t="str">
        <f>Currency&amp;$G$4&amp;IF($B54="1W","SW",$B54)&amp;QuoteSuffix</f>
        <v>SEKOIS25Y_Quote</v>
      </c>
      <c r="I54" s="118"/>
      <c r="J54" s="184" t="str">
        <f>IF(P52,_xll.qlOISRateHelper(,C54,B54,H54,$G54,,Permanent,Trigger,ObjectOverwrite),"--")</f>
        <v>obj_00159#0007</v>
      </c>
      <c r="L54" s="185" t="str">
        <f>A56</f>
        <v>OIS</v>
      </c>
      <c r="M54" s="193" t="str">
        <f>H56</f>
        <v>SEKOIS30Y_Quote</v>
      </c>
      <c r="N54" s="187">
        <f>IFERROR(_xll.qlQuoteValue(H56,Trigger),"--")</f>
        <v>1.4000000000000002E-2</v>
      </c>
      <c r="O54" s="188"/>
      <c r="P54" s="93" t="b">
        <v>1</v>
      </c>
      <c r="Q54" s="90">
        <v>50</v>
      </c>
      <c r="R54" s="90">
        <v>1</v>
      </c>
      <c r="S54" s="90" t="str">
        <f>J56</f>
        <v>obj_00157#0007</v>
      </c>
      <c r="T54" s="94">
        <f>IFERROR(_xll.qlRateHelperEarliestDate(S54,Trigger),"--")</f>
        <v>42563</v>
      </c>
      <c r="U54" s="94">
        <f>IFERROR(_xll.qlRateHelperPillarDate(S54,Trigger),"--")</f>
        <v>53520</v>
      </c>
      <c r="W54" s="3" t="str">
        <f>IFERROR(INDEX($L$3:$L$58,MATCH(Y54,$M$3:$M$58,0),1),"")</f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8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3" t="e">
        <v>#N/A</v>
      </c>
    </row>
    <row r="55" spans="1:30" ht="11.25" customHeight="1" x14ac:dyDescent="0.2">
      <c r="A55" s="58" t="s">
        <v>70</v>
      </c>
      <c r="B55" s="59" t="s">
        <v>65</v>
      </c>
      <c r="C55" s="60">
        <f t="shared" si="6"/>
        <v>2</v>
      </c>
      <c r="D55" s="118"/>
      <c r="E55" s="118"/>
      <c r="F55" s="118"/>
      <c r="G55" s="61" t="str">
        <f t="shared" si="1"/>
        <v>SekiborON</v>
      </c>
      <c r="H55" s="62" t="str">
        <f>Currency&amp;$G$4&amp;IF($B55="1W","SW",$B55)&amp;QuoteSuffix</f>
        <v>SEKOIS27Y_Quote</v>
      </c>
      <c r="I55" s="118"/>
      <c r="J55" s="184" t="str">
        <f>IF(P53,_xll.qlOISRateHelper(,C55,B55,H55,$G55,,Permanent,Trigger,ObjectOverwrite),"--")</f>
        <v>--</v>
      </c>
      <c r="L55" s="185" t="str">
        <f>A57</f>
        <v>OIS</v>
      </c>
      <c r="M55" s="193" t="str">
        <f>H57</f>
        <v>SEKOIS35Y_Quote</v>
      </c>
      <c r="N55" s="187" t="str">
        <f>IFERROR(_xll.qlQuoteValue(H57,Trigger),"--")</f>
        <v>--</v>
      </c>
      <c r="O55" s="188"/>
      <c r="P55" s="93" t="b">
        <v>0</v>
      </c>
      <c r="Q55" s="90">
        <v>50</v>
      </c>
      <c r="R55" s="90">
        <v>1</v>
      </c>
      <c r="S55" s="90" t="str">
        <f>J57</f>
        <v>--</v>
      </c>
      <c r="T55" s="94" t="str">
        <f>IFERROR(_xll.qlRateHelperEarliestDate(S55,Trigger),"--")</f>
        <v>--</v>
      </c>
      <c r="U55" s="94" t="str">
        <f>IFERROR(_xll.qlRateHelperPillarDate(S55,Trigger),"--")</f>
        <v>--</v>
      </c>
      <c r="W55" s="3" t="str">
        <f>IFERROR(INDEX($L$3:$L$58,MATCH(Y55,$M$3:$M$58,0),1),"")</f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8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3" t="e">
        <v>#N/A</v>
      </c>
    </row>
    <row r="56" spans="1:30" ht="11.25" customHeight="1" x14ac:dyDescent="0.2">
      <c r="A56" s="58" t="s">
        <v>70</v>
      </c>
      <c r="B56" s="59" t="s">
        <v>66</v>
      </c>
      <c r="C56" s="60">
        <f t="shared" si="6"/>
        <v>2</v>
      </c>
      <c r="D56" s="118"/>
      <c r="E56" s="118"/>
      <c r="F56" s="118"/>
      <c r="G56" s="61" t="str">
        <f t="shared" si="1"/>
        <v>SekiborON</v>
      </c>
      <c r="H56" s="62" t="str">
        <f>Currency&amp;$G$4&amp;IF($B56="1W","SW",$B56)&amp;QuoteSuffix</f>
        <v>SEKOIS30Y_Quote</v>
      </c>
      <c r="I56" s="118"/>
      <c r="J56" s="184" t="str">
        <f>IF(P54,_xll.qlOISRateHelper(,C56,B56,H56,$G56,,Permanent,Trigger,ObjectOverwrite),"--")</f>
        <v>obj_00157#0007</v>
      </c>
      <c r="L56" s="185" t="str">
        <f>A58</f>
        <v>OIS</v>
      </c>
      <c r="M56" s="193" t="str">
        <f>H58</f>
        <v>SEKOIS40Y_Quote</v>
      </c>
      <c r="N56" s="187" t="str">
        <f>IFERROR(_xll.qlQuoteValue(H58,Trigger),"--")</f>
        <v>--</v>
      </c>
      <c r="O56" s="188"/>
      <c r="P56" s="93" t="b">
        <v>0</v>
      </c>
      <c r="Q56" s="90">
        <v>50</v>
      </c>
      <c r="R56" s="90">
        <v>1</v>
      </c>
      <c r="S56" s="90" t="str">
        <f>J58</f>
        <v>--</v>
      </c>
      <c r="T56" s="94" t="str">
        <f>IFERROR(_xll.qlRateHelperEarliestDate(S56,Trigger),"--")</f>
        <v>--</v>
      </c>
      <c r="U56" s="94" t="str">
        <f>IFERROR(_xll.qlRateHelperPillarDate(S56,Trigger),"--")</f>
        <v>--</v>
      </c>
      <c r="W56" s="3" t="str">
        <f>IFERROR(INDEX($L$3:$L$58,MATCH(Y56,$M$3:$M$58,0),1),"")</f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8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3" t="e">
        <v>#N/A</v>
      </c>
    </row>
    <row r="57" spans="1:30" ht="11.25" customHeight="1" x14ac:dyDescent="0.2">
      <c r="A57" s="58" t="s">
        <v>70</v>
      </c>
      <c r="B57" s="59" t="s">
        <v>67</v>
      </c>
      <c r="C57" s="60">
        <f t="shared" si="6"/>
        <v>2</v>
      </c>
      <c r="D57" s="118"/>
      <c r="E57" s="118"/>
      <c r="F57" s="118"/>
      <c r="G57" s="61" t="str">
        <f t="shared" si="1"/>
        <v>SekiborON</v>
      </c>
      <c r="H57" s="62" t="str">
        <f>Currency&amp;$G$4&amp;IF($B57="1W","SW",$B57)&amp;QuoteSuffix</f>
        <v>SEKOIS35Y_Quote</v>
      </c>
      <c r="I57" s="118"/>
      <c r="J57" s="184" t="str">
        <f>IF(P55,_xll.qlOISRateHelper(,C57,B57,H57,$G57,,Permanent,Trigger,ObjectOverwrite),"--")</f>
        <v>--</v>
      </c>
      <c r="L57" s="185" t="str">
        <f>A59</f>
        <v>OIS</v>
      </c>
      <c r="M57" s="193" t="str">
        <f>H59</f>
        <v>SEKOIS45Y_Quote</v>
      </c>
      <c r="N57" s="187" t="str">
        <f>IFERROR(_xll.qlQuoteValue(H59,Trigger),"--")</f>
        <v>--</v>
      </c>
      <c r="O57" s="188"/>
      <c r="P57" s="93" t="b">
        <v>0</v>
      </c>
      <c r="Q57" s="90">
        <v>50</v>
      </c>
      <c r="R57" s="90">
        <v>1</v>
      </c>
      <c r="S57" s="90" t="str">
        <f>J59</f>
        <v>--</v>
      </c>
      <c r="T57" s="94" t="str">
        <f>IFERROR(_xll.qlRateHelperEarliestDate(S57,Trigger),"--")</f>
        <v>--</v>
      </c>
      <c r="U57" s="94" t="str">
        <f>IFERROR(_xll.qlRateHelperPillarDate(S57,Trigger),"--")</f>
        <v>--</v>
      </c>
      <c r="W57" s="3" t="str">
        <f>IFERROR(INDEX($L$3:$L$58,MATCH(Y57,$M$3:$M$58,0),1),"")</f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8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3" t="e">
        <v>#N/A</v>
      </c>
    </row>
    <row r="58" spans="1:30" ht="11.25" customHeight="1" x14ac:dyDescent="0.2">
      <c r="A58" s="58" t="s">
        <v>70</v>
      </c>
      <c r="B58" s="59" t="s">
        <v>68</v>
      </c>
      <c r="C58" s="60">
        <f t="shared" si="6"/>
        <v>2</v>
      </c>
      <c r="D58" s="118"/>
      <c r="E58" s="118"/>
      <c r="F58" s="118"/>
      <c r="G58" s="61" t="str">
        <f t="shared" si="1"/>
        <v>SekiborON</v>
      </c>
      <c r="H58" s="62" t="str">
        <f>Currency&amp;$G$4&amp;IF($B58="1W","SW",$B58)&amp;QuoteSuffix</f>
        <v>SEKOIS40Y_Quote</v>
      </c>
      <c r="I58" s="118"/>
      <c r="J58" s="184" t="str">
        <f>IF(P56,_xll.qlOISRateHelper(,C58,B58,H58,$G58,,Permanent,Trigger,ObjectOverwrite),"--")</f>
        <v>--</v>
      </c>
      <c r="L58" s="189" t="str">
        <f>A60</f>
        <v>OIS</v>
      </c>
      <c r="M58" s="190" t="str">
        <f>H60</f>
        <v>SEKOIS50Y_Quote</v>
      </c>
      <c r="N58" s="191" t="str">
        <f>IFERROR(_xll.qlQuoteValue(H60,Trigger),"--")</f>
        <v>--</v>
      </c>
      <c r="O58" s="192"/>
      <c r="P58" s="95" t="b">
        <v>0</v>
      </c>
      <c r="Q58" s="91">
        <v>50</v>
      </c>
      <c r="R58" s="91">
        <v>1</v>
      </c>
      <c r="S58" s="91" t="str">
        <f>J60</f>
        <v>--</v>
      </c>
      <c r="T58" s="96" t="str">
        <f>IFERROR(_xll.qlRateHelperEarliestDate(S58,Trigger),"--")</f>
        <v>--</v>
      </c>
      <c r="U58" s="96" t="str">
        <f>IFERROR(_xll.qlRateHelperPillarDate(S58,Trigger),"--")</f>
        <v>--</v>
      </c>
      <c r="W58" s="5" t="str">
        <f>IFERROR(INDEX($L$3:$L$58,MATCH(Y58,$M$3:$M$58,0),1),"")</f>
        <v/>
      </c>
      <c r="X58" s="5" t="e">
        <v>#N/A</v>
      </c>
      <c r="Y58" s="5" t="str">
        <f>IFERROR(_xll.qlRateHelperQuoteName(X58,Trigger),"")</f>
        <v/>
      </c>
      <c r="Z58" s="75" t="str">
        <f>IFERROR(_xll.qlRateHelperRate(X58,Trigger),"")</f>
        <v/>
      </c>
      <c r="AA58" s="99" t="str">
        <f>IF(ISERROR(_xll.qlSwapRateHelperSpread($X58)),IF(ISERROR(_xll.qlFuturesRateHelperConvexityAdjustment($X58)),"",_xll.qlFuturesRateHelperConvexityAdjustment($X58)),_xll.qlSwapRateHelperSpread($X58))</f>
        <v/>
      </c>
      <c r="AB58" s="9" t="str">
        <f>IFERROR(_xll.qlRateHelperEarliestDate(X58,Trigger),"")</f>
        <v/>
      </c>
      <c r="AC58" s="9" t="str">
        <f>IFERROR(_xll.qlRateHelperPillarDate(X58,Trigger),"")</f>
        <v/>
      </c>
      <c r="AD58" s="74" t="e">
        <v>#N/A</v>
      </c>
    </row>
    <row r="59" spans="1:30" ht="11.25" customHeight="1" x14ac:dyDescent="0.2">
      <c r="A59" s="58" t="s">
        <v>70</v>
      </c>
      <c r="B59" s="59" t="s">
        <v>134</v>
      </c>
      <c r="C59" s="60">
        <f t="shared" si="6"/>
        <v>2</v>
      </c>
      <c r="D59" s="118"/>
      <c r="E59" s="118"/>
      <c r="F59" s="118"/>
      <c r="G59" s="61" t="str">
        <f t="shared" si="1"/>
        <v>SekiborON</v>
      </c>
      <c r="H59" s="62" t="str">
        <f>Currency&amp;$G$4&amp;IF($B59="1W","SW",$B59)&amp;QuoteSuffix</f>
        <v>SEKOIS45Y_Quote</v>
      </c>
      <c r="I59" s="118"/>
      <c r="J59" s="184" t="str">
        <f>IF(P57,_xll.qlOISRateHelper(,C59,B59,H59,$G59,,Permanent,Trigger,ObjectOverwrite),"--")</f>
        <v>--</v>
      </c>
      <c r="Y59" s="194" t="str">
        <f>_xll.ohGroup("SEKON_instruments",Y3:Y58,Permanent,Trigger,ObjectOverwrite)</f>
        <v>SEKON_instruments#0030</v>
      </c>
    </row>
    <row r="60" spans="1:30" ht="11.25" customHeight="1" x14ac:dyDescent="0.2">
      <c r="A60" s="1" t="s">
        <v>70</v>
      </c>
      <c r="B60" s="7" t="s">
        <v>69</v>
      </c>
      <c r="C60" s="6">
        <f t="shared" si="6"/>
        <v>2</v>
      </c>
      <c r="D60" s="119"/>
      <c r="E60" s="119"/>
      <c r="F60" s="119"/>
      <c r="G60" s="8" t="str">
        <f t="shared" si="1"/>
        <v>SekiborON</v>
      </c>
      <c r="H60" s="2" t="str">
        <f>Currency&amp;$G$4&amp;IF($B60="1W","SW",$B60)&amp;QuoteSuffix</f>
        <v>SEKOIS50Y_Quote</v>
      </c>
      <c r="I60" s="119"/>
      <c r="J60" s="183" t="str">
        <f>IF(P58,_xll.qlOISRateHelper(,C60,B60,H60,$G60,,Permanent,Trigger,ObjectOverwrite),"--")</f>
        <v>--</v>
      </c>
    </row>
    <row r="61" spans="1:30" ht="11.25" customHeight="1" x14ac:dyDescent="0.2"/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3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58">
      <formula1>"TRUE, 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5.7109375" style="52" hidden="1" customWidth="1" outlineLevel="1"/>
    <col min="9" max="9" width="25.7109375" style="46" hidden="1" customWidth="1" outlineLevel="1"/>
    <col min="10" max="10" width="15.7109375" style="97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7" hidden="1" customWidth="1" outlineLevel="1"/>
    <col min="14" max="18" width="8.7109375" style="97" hidden="1" customWidth="1" outlineLevel="1"/>
    <col min="19" max="19" width="15.7109375" style="97" hidden="1" customWidth="1" outlineLevel="1"/>
    <col min="20" max="21" width="10.7109375" style="97" hidden="1" customWidth="1" outlineLevel="1"/>
    <col min="22" max="22" width="2.7109375" style="48" hidden="1" customWidth="1" outlineLevel="1"/>
    <col min="23" max="23" width="9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3.5703125" style="46" customWidth="1"/>
    <col min="32" max="32" width="2.7109375" style="46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0</v>
      </c>
      <c r="H1" s="50" t="str">
        <f>"_SYNTH"&amp;$G$1</f>
        <v>_SYNTH3M</v>
      </c>
      <c r="L1" s="65" t="s">
        <v>144</v>
      </c>
      <c r="M1" s="100"/>
      <c r="N1" s="100"/>
      <c r="O1" s="92"/>
      <c r="P1" s="100" t="s">
        <v>25</v>
      </c>
      <c r="Q1" s="100"/>
      <c r="R1" s="100"/>
      <c r="S1" s="100"/>
      <c r="T1" s="100"/>
      <c r="U1" s="92"/>
      <c r="V1" s="89"/>
      <c r="W1" s="70" t="str">
        <f>Currency&amp;$G$1</f>
        <v>SEK3M</v>
      </c>
      <c r="X1" s="64"/>
      <c r="Y1" s="64"/>
      <c r="Z1" s="66"/>
      <c r="AA1" s="66"/>
      <c r="AB1" s="64"/>
      <c r="AC1" s="64"/>
      <c r="AD1" s="68" t="s">
        <v>33</v>
      </c>
    </row>
    <row r="2" spans="1:39" ht="21.75" customHeight="1" x14ac:dyDescent="0.2">
      <c r="A2" s="63" t="s">
        <v>9</v>
      </c>
      <c r="B2" s="63" t="s">
        <v>30</v>
      </c>
      <c r="C2" s="63"/>
      <c r="D2" s="63" t="s">
        <v>109</v>
      </c>
      <c r="E2" s="63" t="s">
        <v>35</v>
      </c>
      <c r="F2" s="63" t="s">
        <v>96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78</v>
      </c>
      <c r="N2" s="69" t="s">
        <v>81</v>
      </c>
      <c r="O2" s="69" t="s">
        <v>83</v>
      </c>
      <c r="P2" s="69" t="s">
        <v>79</v>
      </c>
      <c r="Q2" s="69" t="s">
        <v>80</v>
      </c>
      <c r="R2" s="69" t="s">
        <v>82</v>
      </c>
      <c r="S2" s="69" t="s">
        <v>25</v>
      </c>
      <c r="T2" s="69" t="s">
        <v>23</v>
      </c>
      <c r="U2" s="69" t="s">
        <v>75</v>
      </c>
      <c r="V2" s="89"/>
      <c r="W2" s="69" t="s">
        <v>9</v>
      </c>
      <c r="X2" s="69" t="s">
        <v>25</v>
      </c>
      <c r="Y2" s="69" t="s">
        <v>78</v>
      </c>
      <c r="Z2" s="71" t="s">
        <v>24</v>
      </c>
      <c r="AA2" s="71" t="s">
        <v>83</v>
      </c>
      <c r="AB2" s="69" t="s">
        <v>23</v>
      </c>
      <c r="AC2" s="69" t="s">
        <v>75</v>
      </c>
      <c r="AD2" s="72">
        <f t="array" ref="AD2:AD51">_xll.qlPiecewiseYieldCurveData(YieldCurve_3M,Trigger)</f>
        <v>1</v>
      </c>
      <c r="AG2" s="164" t="s">
        <v>84</v>
      </c>
      <c r="AH2" s="165"/>
      <c r="AI2" s="165"/>
      <c r="AJ2" s="165"/>
      <c r="AK2" s="166"/>
    </row>
    <row r="3" spans="1:39" ht="11.25" customHeight="1" x14ac:dyDescent="0.2">
      <c r="A3" s="104" t="s">
        <v>27</v>
      </c>
      <c r="B3" s="105" t="s">
        <v>74</v>
      </c>
      <c r="C3" s="117"/>
      <c r="D3" s="106" t="b">
        <v>0</v>
      </c>
      <c r="E3" s="107" t="s">
        <v>110</v>
      </c>
      <c r="F3" s="106" t="s">
        <v>28</v>
      </c>
      <c r="G3" s="107" t="str">
        <f>_xll.qlIborIndex(,FamilyName,SUBSTITUTE(IF(RIGHT(B3,1)="N","1D",B3),"S","1"),2,Currency,Calendar,E3,D3,F3,,Permanent,Trigger,ObjectOverwrite)</f>
        <v>obj_0012e#0001</v>
      </c>
      <c r="H3" s="114" t="str">
        <f t="shared" ref="H3:H9" si="0">Currency&amp;$B3&amp;"D"&amp;$H$1&amp;QuoteSuffix</f>
        <v>SEKSND_SYNTH3M_Quote</v>
      </c>
      <c r="I3" s="117"/>
      <c r="J3" s="195" t="str">
        <f>IF(P3,_xll.qlDepositRateHelper(,H3,G3,Permanent,Trigger,ObjectOverwrite),"--")</f>
        <v>--</v>
      </c>
      <c r="K3" s="49"/>
      <c r="L3" s="197" t="str">
        <f>A3</f>
        <v>Dp</v>
      </c>
      <c r="M3" s="198" t="str">
        <f>H3</f>
        <v>SEKSND_SYNTH3M_Quote</v>
      </c>
      <c r="N3" s="199">
        <f>IFERROR(_xll.qlQuoteValue(H3,Trigger),"--")</f>
        <v>-6.0780000000000001E-3</v>
      </c>
      <c r="O3" s="200"/>
      <c r="P3" s="125" t="b">
        <v>0</v>
      </c>
      <c r="Q3" s="124">
        <v>10</v>
      </c>
      <c r="R3" s="124">
        <v>1</v>
      </c>
      <c r="S3" s="124" t="str">
        <f>J3</f>
        <v>--</v>
      </c>
      <c r="T3" s="126" t="str">
        <f>IFERROR(_xll.qlRateHelperEarliestDate(S3,Trigger),"--")</f>
        <v>--</v>
      </c>
      <c r="U3" s="126" t="str">
        <f>IFERROR(_xll.qlRateHelperPillarDate(S3,Trigger),"--")</f>
        <v>--</v>
      </c>
      <c r="W3" s="3" t="str">
        <f t="shared" ref="W3:W34" si="1">IFERROR(INDEX($L$3:$L$51,MATCH(Y3,$M$3:$M$51,0),1),"")</f>
        <v>Dp</v>
      </c>
      <c r="X3" s="3" t="str">
        <f t="array" ref="X3:X51">_xll.qlRateHelperSelection(_xll.ohFilter(RateHelpers,IncludeFlag),_xll.ohFilter(Priority,IncludeFlag),$AK$3,$AK$4,$AK$5,$AK$6,_xll.ohFilter(MinDistance,IncludeFlag),Trigger)</f>
        <v>obj_00146</v>
      </c>
      <c r="Y3" s="3" t="str">
        <f>IFERROR(_xll.qlRateHelperQuoteName(X3,Trigger),"")</f>
        <v>SEK1MD_SYNTH3M_Quote</v>
      </c>
      <c r="Z3" s="67">
        <f>IFERROR(_xll.qlRateHelperRate(X3,Trigger),"")</f>
        <v>-5.777E-3</v>
      </c>
      <c r="AA3" s="98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42594</v>
      </c>
      <c r="AD3" s="73">
        <v>1.0004977114823785</v>
      </c>
      <c r="AE3" s="163"/>
      <c r="AG3" s="101" t="s">
        <v>85</v>
      </c>
      <c r="AK3" s="102">
        <v>6</v>
      </c>
    </row>
    <row r="4" spans="1:39" ht="11.25" customHeight="1" x14ac:dyDescent="0.2">
      <c r="A4" s="53" t="s">
        <v>27</v>
      </c>
      <c r="B4" s="54" t="s">
        <v>90</v>
      </c>
      <c r="C4" s="118"/>
      <c r="D4" s="56" t="b">
        <v>0</v>
      </c>
      <c r="E4" s="55" t="s">
        <v>110</v>
      </c>
      <c r="F4" s="56" t="s">
        <v>28</v>
      </c>
      <c r="G4" s="55" t="str">
        <f>_xll.qlIborIndex(,FamilyName,SUBSTITUTE(IF(RIGHT(B4,1)="N","1D",B4),"S","1"),2,Currency,Calendar,E4,D4,F4,,Permanent,Trigger,ObjectOverwrite)</f>
        <v>obj_00140#0001</v>
      </c>
      <c r="H4" s="133" t="str">
        <f t="shared" si="0"/>
        <v>SEKSWD_SYNTH3M_Quote</v>
      </c>
      <c r="I4" s="122"/>
      <c r="J4" s="182" t="str">
        <f>IF(P4,_xll.qlDepositRateHelper(,H4,G4,Permanent,Trigger,ObjectOverwrite),"--")</f>
        <v>--</v>
      </c>
      <c r="K4" s="48"/>
      <c r="L4" s="185" t="str">
        <f t="shared" ref="L4:L9" si="2">A4</f>
        <v>Dp</v>
      </c>
      <c r="M4" s="193" t="str">
        <f t="shared" ref="M4:M9" si="3">H4</f>
        <v>SEKSWD_SYNTH3M_Quote</v>
      </c>
      <c r="N4" s="187">
        <f>IFERROR(_xll.qlQuoteValue(H4,Trigger),"--")</f>
        <v>-6.0150000000000004E-3</v>
      </c>
      <c r="O4" s="188"/>
      <c r="P4" s="93" t="b">
        <v>0</v>
      </c>
      <c r="Q4" s="90">
        <v>10</v>
      </c>
      <c r="R4" s="90">
        <v>1</v>
      </c>
      <c r="S4" s="90" t="str">
        <f t="shared" ref="S4:S9" si="4">J4</f>
        <v>--</v>
      </c>
      <c r="T4" s="94" t="str">
        <f>IFERROR(_xll.qlRateHelperEarliestDate(S4,Trigger),"--")</f>
        <v>--</v>
      </c>
      <c r="U4" s="94" t="str">
        <f>IFERROR(_xll.qlRateHelperPillarDate(S4,Trigger),"--")</f>
        <v>--</v>
      </c>
      <c r="W4" s="3" t="str">
        <f t="shared" si="1"/>
        <v>Dp</v>
      </c>
      <c r="X4" s="3" t="str">
        <v>obj_00112</v>
      </c>
      <c r="Y4" s="3" t="str">
        <f>IFERROR(_xll.qlRateHelperQuoteName(X4,Trigger),"")</f>
        <v>SEK2MD_SYNTH3M_Quote</v>
      </c>
      <c r="Z4" s="67">
        <f>IFERROR(_xll.qlRateHelperRate(X4,Trigger),"")</f>
        <v>-5.5170000000000002E-3</v>
      </c>
      <c r="AA4" s="98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42625</v>
      </c>
      <c r="AD4" s="73">
        <v>1.0009510536436195</v>
      </c>
      <c r="AE4" s="163"/>
      <c r="AG4" s="101" t="s">
        <v>86</v>
      </c>
      <c r="AK4" s="102">
        <v>0</v>
      </c>
    </row>
    <row r="5" spans="1:39" ht="11.25" customHeight="1" x14ac:dyDescent="0.2">
      <c r="A5" s="58" t="s">
        <v>27</v>
      </c>
      <c r="B5" s="59" t="s">
        <v>39</v>
      </c>
      <c r="C5" s="118"/>
      <c r="D5" s="61" t="b">
        <v>0</v>
      </c>
      <c r="E5" s="60" t="s">
        <v>110</v>
      </c>
      <c r="F5" s="61" t="s">
        <v>28</v>
      </c>
      <c r="G5" s="60" t="str">
        <f>_xll.qlIborIndex(,FamilyName,SUBSTITUTE(IF(RIGHT(B5,1)="N","1D",B5),"S","1"),2,Currency,Calendar,E5,D5,F5,,Permanent,Trigger,ObjectOverwrite)</f>
        <v>obj_0014b#0001</v>
      </c>
      <c r="H5" s="115" t="str">
        <f t="shared" si="0"/>
        <v>SEK2WD_SYNTH3M_Quote</v>
      </c>
      <c r="I5" s="118"/>
      <c r="J5" s="184" t="str">
        <f>IF(P5,_xll.qlDepositRateHelper(,H5,G5,Permanent,Trigger,ObjectOverwrite),"--")</f>
        <v>--</v>
      </c>
      <c r="K5" s="48"/>
      <c r="L5" s="185" t="str">
        <f t="shared" si="2"/>
        <v>Dp</v>
      </c>
      <c r="M5" s="193" t="str">
        <f t="shared" si="3"/>
        <v>SEK2WD_SYNTH3M_Quote</v>
      </c>
      <c r="N5" s="187">
        <f>IFERROR(_xll.qlQuoteValue(H5,Trigger),"--")</f>
        <v>-5.9430000000000004E-3</v>
      </c>
      <c r="O5" s="188"/>
      <c r="P5" s="93" t="b">
        <v>0</v>
      </c>
      <c r="Q5" s="90">
        <v>10</v>
      </c>
      <c r="R5" s="90">
        <v>1</v>
      </c>
      <c r="S5" s="90" t="str">
        <f t="shared" si="4"/>
        <v>--</v>
      </c>
      <c r="T5" s="94" t="str">
        <f>IFERROR(_xll.qlRateHelperEarliestDate(S5,Trigger),"--")</f>
        <v>--</v>
      </c>
      <c r="U5" s="94" t="str">
        <f>IFERROR(_xll.qlRateHelperPillarDate(S5,Trigger),"--")</f>
        <v>--</v>
      </c>
      <c r="W5" s="3" t="str">
        <f t="shared" si="1"/>
        <v>Dp</v>
      </c>
      <c r="X5" s="3" t="str">
        <v>obj_00120</v>
      </c>
      <c r="Y5" s="3" t="str">
        <f>IFERROR(_xll.qlRateHelperQuoteName(X5,Trigger),"")</f>
        <v>SEK3MD_SYNTH3M_Quote</v>
      </c>
      <c r="Z5" s="67">
        <f>IFERROR(_xll.qlRateHelperRate(X5,Trigger),"")</f>
        <v>-5.3600000000000002E-3</v>
      </c>
      <c r="AA5" s="98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42655</v>
      </c>
      <c r="AD5" s="73">
        <v>1.0013716566425654</v>
      </c>
      <c r="AE5" s="163"/>
      <c r="AF5" s="76"/>
      <c r="AG5" s="101" t="s">
        <v>87</v>
      </c>
      <c r="AK5" s="102">
        <v>3</v>
      </c>
    </row>
    <row r="6" spans="1:39" ht="11.25" customHeight="1" x14ac:dyDescent="0.2">
      <c r="A6" s="157" t="s">
        <v>27</v>
      </c>
      <c r="B6" s="158" t="s">
        <v>40</v>
      </c>
      <c r="C6" s="160"/>
      <c r="D6" s="8" t="b">
        <v>0</v>
      </c>
      <c r="E6" s="6" t="s">
        <v>110</v>
      </c>
      <c r="F6" s="8" t="s">
        <v>28</v>
      </c>
      <c r="G6" s="161" t="str">
        <f>_xll.qlIborIndex(,FamilyName,SUBSTITUTE(IF(RIGHT(B6,1)="N","1D",B6),"S","1"),2,Currency,Calendar,E6,D6,F6,,Permanent,Trigger,ObjectOverwrite)</f>
        <v>obj_00119#0001</v>
      </c>
      <c r="H6" s="162" t="str">
        <f t="shared" si="0"/>
        <v>SEK3WD_SYNTH3M_Quote</v>
      </c>
      <c r="I6" s="160"/>
      <c r="J6" s="196" t="str">
        <f>IF(P6,_xll.qlDepositRateHelper(,H6,G6,Permanent,Trigger,ObjectOverwrite),"--")</f>
        <v>--</v>
      </c>
      <c r="K6" s="48"/>
      <c r="L6" s="185" t="str">
        <f t="shared" si="2"/>
        <v>Dp</v>
      </c>
      <c r="M6" s="193" t="str">
        <f t="shared" si="3"/>
        <v>SEK3WD_SYNTH3M_Quote</v>
      </c>
      <c r="N6" s="187">
        <f>IFERROR(_xll.qlQuoteValue(H6,Trigger),"--")</f>
        <v>-5.8739999999999999E-3</v>
      </c>
      <c r="O6" s="188"/>
      <c r="P6" s="93" t="b">
        <v>0</v>
      </c>
      <c r="Q6" s="90">
        <v>10</v>
      </c>
      <c r="R6" s="90">
        <v>1</v>
      </c>
      <c r="S6" s="90" t="str">
        <f t="shared" si="4"/>
        <v>--</v>
      </c>
      <c r="T6" s="94" t="str">
        <f>IFERROR(_xll.qlRateHelperEarliestDate(S6,Trigger),"--")</f>
        <v>--</v>
      </c>
      <c r="U6" s="94" t="str">
        <f>IFERROR(_xll.qlRateHelperPillarDate(S6,Trigger),"--")</f>
        <v>--</v>
      </c>
      <c r="W6" s="3" t="str">
        <f t="shared" si="1"/>
        <v>IMMFRA</v>
      </c>
      <c r="X6" s="3" t="str">
        <v>obj_00166</v>
      </c>
      <c r="Y6" s="3" t="str">
        <f>IFERROR(_xll.qlRateHelperQuoteName(X6,Trigger),"")</f>
        <v>FUTSEK3F1_Quote</v>
      </c>
      <c r="Z6" s="67">
        <f>IFERROR(_xll.qlRateHelperRate(X6,Trigger),"")</f>
        <v>-5.1499999999999879E-3</v>
      </c>
      <c r="AA6" s="98">
        <f>IF(ISERROR(_xll.qlSwapRateHelperSpread($X6)),IF(ISERROR(_xll.qlFuturesRateHelperConvexityAdjustment($X6)),"",_xll.qlFuturesRateHelperConvexityAdjustment($X6)),_xll.qlSwapRateHelperSpread($X6))</f>
        <v>0</v>
      </c>
      <c r="AB6" s="4">
        <f>IFERROR(_xll.qlRateHelperEarliestDate(X6,Trigger),"")</f>
        <v>42634</v>
      </c>
      <c r="AC6" s="4">
        <f>IFERROR(_xll.qlRateHelperPillarDate(X6,Trigger),"")</f>
        <v>42725</v>
      </c>
      <c r="AD6" s="73">
        <v>1.002382590174087</v>
      </c>
      <c r="AE6" s="163"/>
      <c r="AG6" s="101" t="s">
        <v>88</v>
      </c>
      <c r="AK6" s="103" t="s">
        <v>89</v>
      </c>
    </row>
    <row r="7" spans="1:39" ht="11.25" customHeight="1" x14ac:dyDescent="0.2">
      <c r="A7" s="58" t="s">
        <v>27</v>
      </c>
      <c r="B7" s="59" t="s">
        <v>2</v>
      </c>
      <c r="C7" s="118"/>
      <c r="D7" s="118"/>
      <c r="E7" s="118"/>
      <c r="F7" s="118"/>
      <c r="G7" s="60" t="str">
        <f>PROPER(Currency)&amp;FamilyName&amp;B7</f>
        <v>Sekibor1M</v>
      </c>
      <c r="H7" s="115" t="str">
        <f t="shared" si="0"/>
        <v>SEK1MD_SYNTH3M_Quote</v>
      </c>
      <c r="I7" s="118"/>
      <c r="J7" s="184" t="str">
        <f>IF(P7,_xll.qlDepositRateHelper(,H7,G7,Permanent,Trigger,ObjectOverwrite),"--")</f>
        <v>obj_00146#0001</v>
      </c>
      <c r="K7" s="48"/>
      <c r="L7" s="185" t="str">
        <f t="shared" si="2"/>
        <v>Dp</v>
      </c>
      <c r="M7" s="193" t="str">
        <f t="shared" si="3"/>
        <v>SEK1MD_SYNTH3M_Quote</v>
      </c>
      <c r="N7" s="187">
        <f>IFERROR(_xll.qlQuoteValue(H7,Trigger),"--")</f>
        <v>-5.777E-3</v>
      </c>
      <c r="O7" s="188"/>
      <c r="P7" s="93" t="b">
        <v>1</v>
      </c>
      <c r="Q7" s="90">
        <v>10</v>
      </c>
      <c r="R7" s="90">
        <v>1</v>
      </c>
      <c r="S7" s="90" t="str">
        <f t="shared" si="4"/>
        <v>obj_00146#0001</v>
      </c>
      <c r="T7" s="94">
        <f>IFERROR(_xll.qlRateHelperEarliestDate(S7,Trigger),"--")</f>
        <v>42563</v>
      </c>
      <c r="U7" s="94">
        <f>IFERROR(_xll.qlRateHelperPillarDate(S7,Trigger),"--")</f>
        <v>42594</v>
      </c>
      <c r="W7" s="3" t="str">
        <f t="shared" si="1"/>
        <v>IMMFRA</v>
      </c>
      <c r="X7" s="3" t="str">
        <v>obj_00167</v>
      </c>
      <c r="Y7" s="3" t="str">
        <f>IFERROR(_xll.qlRateHelperQuoteName(X7,Trigger),"")</f>
        <v>FUTSEK3F2_Quote</v>
      </c>
      <c r="Z7" s="67">
        <f>IFERROR(_xll.qlRateHelperRate(X7,Trigger),"")</f>
        <v>-5.4499999999999549E-3</v>
      </c>
      <c r="AA7" s="98">
        <f>IF(ISERROR(_xll.qlSwapRateHelperSpread($X7)),IF(ISERROR(_xll.qlFuturesRateHelperConvexityAdjustment($X7)),"",_xll.qlFuturesRateHelperConvexityAdjustment($X7)),_xll.qlSwapRateHelperSpread($X7))</f>
        <v>0</v>
      </c>
      <c r="AB7" s="4">
        <f>IFERROR(_xll.qlRateHelperEarliestDate(X7,Trigger),"")</f>
        <v>42725</v>
      </c>
      <c r="AC7" s="4">
        <f>IFERROR(_xll.qlRateHelperPillarDate(X7,Trigger),"")</f>
        <v>42815</v>
      </c>
      <c r="AD7" s="73">
        <v>1.0037501998216718</v>
      </c>
      <c r="AE7" s="163"/>
    </row>
    <row r="8" spans="1:39" ht="11.25" customHeight="1" x14ac:dyDescent="0.2">
      <c r="A8" s="58" t="s">
        <v>27</v>
      </c>
      <c r="B8" s="59" t="s">
        <v>41</v>
      </c>
      <c r="C8" s="118"/>
      <c r="D8" s="118"/>
      <c r="E8" s="118"/>
      <c r="F8" s="118"/>
      <c r="G8" s="60" t="str">
        <f>PROPER(Currency)&amp;FamilyName&amp;B8</f>
        <v>Sekibor2M</v>
      </c>
      <c r="H8" s="115" t="str">
        <f t="shared" si="0"/>
        <v>SEK2MD_SYNTH3M_Quote</v>
      </c>
      <c r="I8" s="118"/>
      <c r="J8" s="184" t="str">
        <f>IF(P8,_xll.qlDepositRateHelper(,H8,G8,Permanent,Trigger,ObjectOverwrite),"--")</f>
        <v>obj_00112#0001</v>
      </c>
      <c r="K8" s="48"/>
      <c r="L8" s="185" t="str">
        <f t="shared" si="2"/>
        <v>Dp</v>
      </c>
      <c r="M8" s="193" t="str">
        <f t="shared" si="3"/>
        <v>SEK2MD_SYNTH3M_Quote</v>
      </c>
      <c r="N8" s="187">
        <f>IFERROR(_xll.qlQuoteValue(H8,Trigger),"--")</f>
        <v>-5.5170000000000002E-3</v>
      </c>
      <c r="O8" s="188"/>
      <c r="P8" s="93" t="b">
        <v>1</v>
      </c>
      <c r="Q8" s="90">
        <v>10</v>
      </c>
      <c r="R8" s="90">
        <v>1</v>
      </c>
      <c r="S8" s="90" t="str">
        <f t="shared" si="4"/>
        <v>obj_00112#0001</v>
      </c>
      <c r="T8" s="94">
        <f>IFERROR(_xll.qlRateHelperEarliestDate(S8,Trigger),"--")</f>
        <v>42563</v>
      </c>
      <c r="U8" s="94">
        <f>IFERROR(_xll.qlRateHelperPillarDate(S8,Trigger),"--")</f>
        <v>42625</v>
      </c>
      <c r="W8" s="3" t="str">
        <f t="shared" si="1"/>
        <v>IMMFRA</v>
      </c>
      <c r="X8" s="3" t="str">
        <v>obj_00168</v>
      </c>
      <c r="Y8" s="3" t="str">
        <f>IFERROR(_xll.qlRateHelperQuoteName(X8,Trigger),"")</f>
        <v>FUTSEK3F3_Quote</v>
      </c>
      <c r="Z8" s="67">
        <f>IFERROR(_xll.qlRateHelperRate(X8,Trigger),"")</f>
        <v>-5.1499999999999879E-3</v>
      </c>
      <c r="AA8" s="98">
        <f>IF(ISERROR(_xll.qlSwapRateHelperSpread($X8)),IF(ISERROR(_xll.qlFuturesRateHelperConvexityAdjustment($X8)),"",_xll.qlFuturesRateHelperConvexityAdjustment($X8)),_xll.qlSwapRateHelperSpread($X8))</f>
        <v>0</v>
      </c>
      <c r="AB8" s="4">
        <f>IFERROR(_xll.qlRateHelperEarliestDate(X8,Trigger),"")</f>
        <v>42809</v>
      </c>
      <c r="AC8" s="4">
        <f>IFERROR(_xll.qlRateHelperPillarDate(X8,Trigger),"")</f>
        <v>42901</v>
      </c>
      <c r="AD8" s="73">
        <v>1.0049829456411374</v>
      </c>
      <c r="AE8" s="163"/>
    </row>
    <row r="9" spans="1:39" ht="11.25" customHeight="1" x14ac:dyDescent="0.2">
      <c r="A9" s="1" t="s">
        <v>27</v>
      </c>
      <c r="B9" s="7" t="s">
        <v>0</v>
      </c>
      <c r="C9" s="119"/>
      <c r="D9" s="119"/>
      <c r="E9" s="119"/>
      <c r="F9" s="119"/>
      <c r="G9" s="6" t="str">
        <f>PROPER(Currency)&amp;FamilyName&amp;B9</f>
        <v>Sekibor3M</v>
      </c>
      <c r="H9" s="116" t="str">
        <f t="shared" si="0"/>
        <v>SEK3MD_SYNTH3M_Quote</v>
      </c>
      <c r="I9" s="119"/>
      <c r="J9" s="183" t="str">
        <f>IF(P9,_xll.qlDepositRateHelper(,H9,G9,Permanent,Trigger,ObjectOverwrite),"--")</f>
        <v>obj_00120#0001</v>
      </c>
      <c r="K9" s="48"/>
      <c r="L9" s="189" t="str">
        <f t="shared" si="2"/>
        <v>Dp</v>
      </c>
      <c r="M9" s="190" t="str">
        <f t="shared" si="3"/>
        <v>SEK3MD_SYNTH3M_Quote</v>
      </c>
      <c r="N9" s="191">
        <f>IFERROR(_xll.qlQuoteValue(H9,Trigger),"--")</f>
        <v>-5.3600000000000002E-3</v>
      </c>
      <c r="O9" s="192"/>
      <c r="P9" s="95" t="b">
        <v>1</v>
      </c>
      <c r="Q9" s="91">
        <v>10</v>
      </c>
      <c r="R9" s="91">
        <v>1</v>
      </c>
      <c r="S9" s="91" t="str">
        <f t="shared" si="4"/>
        <v>obj_00120#0001</v>
      </c>
      <c r="T9" s="96">
        <f>IFERROR(_xll.qlRateHelperEarliestDate(S9,Trigger),"--")</f>
        <v>42563</v>
      </c>
      <c r="U9" s="96">
        <f>IFERROR(_xll.qlRateHelperPillarDate(S9,Trigger),"--")</f>
        <v>42655</v>
      </c>
      <c r="W9" s="3" t="str">
        <f t="shared" si="1"/>
        <v>IMMFRA</v>
      </c>
      <c r="X9" s="3" t="str">
        <v>obj_00169</v>
      </c>
      <c r="Y9" s="3" t="str">
        <f>IFERROR(_xll.qlRateHelperQuoteName(X9,Trigger),"")</f>
        <v>FUTSEK3F4_Quote</v>
      </c>
      <c r="Z9" s="67">
        <f>IFERROR(_xll.qlRateHelperRate(X9,Trigger),"")</f>
        <v>-4.750000000000032E-3</v>
      </c>
      <c r="AA9" s="98">
        <f>IF(ISERROR(_xll.qlSwapRateHelperSpread($X9)),IF(ISERROR(_xll.qlFuturesRateHelperConvexityAdjustment($X9)),"",_xll.qlFuturesRateHelperConvexityAdjustment($X9)),_xll.qlSwapRateHelperSpread($X9))</f>
        <v>0</v>
      </c>
      <c r="AB9" s="4">
        <f>IFERROR(_xll.qlRateHelperEarliestDate(X9,Trigger),"")</f>
        <v>42907</v>
      </c>
      <c r="AC9" s="4">
        <f>IFERROR(_xll.qlRateHelperPillarDate(X9,Trigger),"")</f>
        <v>42999</v>
      </c>
      <c r="AD9" s="73">
        <v>1.006287484798869</v>
      </c>
      <c r="AE9" s="163"/>
      <c r="AH9" s="46" t="s">
        <v>106</v>
      </c>
    </row>
    <row r="10" spans="1:39" ht="11.25" customHeight="1" x14ac:dyDescent="0.2">
      <c r="B10" s="46"/>
      <c r="C10" s="46"/>
      <c r="D10" s="46"/>
      <c r="E10" s="46"/>
      <c r="F10" s="46"/>
      <c r="G10" s="46"/>
      <c r="H10" s="46" t="s">
        <v>91</v>
      </c>
      <c r="K10" s="48"/>
      <c r="L10" s="197" t="str">
        <f t="shared" ref="L10:L24" si="5">A12</f>
        <v>IMMFRA</v>
      </c>
      <c r="M10" s="198" t="str">
        <f>H12</f>
        <v>FUTSEK3F1_Quote</v>
      </c>
      <c r="N10" s="201">
        <f>IFERROR(_xll.qlQuoteValue(H12,Trigger),"--")</f>
        <v>100.515</v>
      </c>
      <c r="O10" s="201">
        <f>I12</f>
        <v>0</v>
      </c>
      <c r="P10" s="125" t="b">
        <v>1</v>
      </c>
      <c r="Q10" s="124">
        <v>60</v>
      </c>
      <c r="R10" s="124">
        <v>3</v>
      </c>
      <c r="S10" s="124" t="str">
        <f>J12</f>
        <v>obj_00166#0001</v>
      </c>
      <c r="T10" s="126">
        <f>IFERROR(_xll.qlRateHelperEarliestDate(S10,Trigger),"--")</f>
        <v>42634</v>
      </c>
      <c r="U10" s="126">
        <f>IFERROR(_xll.qlRateHelperPillarDate(S10,Trigger),"--")</f>
        <v>42725</v>
      </c>
      <c r="W10" s="3" t="str">
        <f t="shared" si="1"/>
        <v>IMMFRA</v>
      </c>
      <c r="X10" s="3" t="str">
        <v>obj_0016a</v>
      </c>
      <c r="Y10" s="3" t="str">
        <f>IFERROR(_xll.qlRateHelperQuoteName(X10,Trigger),"")</f>
        <v>FUTSEK3F5_Quote</v>
      </c>
      <c r="Z10" s="67">
        <f>IFERROR(_xll.qlRateHelperRate(X10,Trigger),"")</f>
        <v>-4.1999999999999815E-3</v>
      </c>
      <c r="AA10" s="98">
        <f>IF(ISERROR(_xll.qlSwapRateHelperSpread($X10)),IF(ISERROR(_xll.qlFuturesRateHelperConvexityAdjustment($X10)),"",_xll.qlFuturesRateHelperConvexityAdjustment($X10)),_xll.qlSwapRateHelperSpread($X10))</f>
        <v>0</v>
      </c>
      <c r="AB10" s="4">
        <f>IFERROR(_xll.qlRateHelperEarliestDate(X10,Trigger),"")</f>
        <v>42998</v>
      </c>
      <c r="AC10" s="4">
        <f>IFERROR(_xll.qlRateHelperPillarDate(X10,Trigger),"")</f>
        <v>43089</v>
      </c>
      <c r="AD10" s="73">
        <v>1.0073443363654777</v>
      </c>
      <c r="AE10" s="163"/>
      <c r="AF10" s="69" t="s">
        <v>100</v>
      </c>
      <c r="AG10" s="69" t="s">
        <v>101</v>
      </c>
      <c r="AH10" s="69" t="s">
        <v>102</v>
      </c>
      <c r="AI10" s="69" t="s">
        <v>113</v>
      </c>
      <c r="AJ10" s="69" t="s">
        <v>103</v>
      </c>
      <c r="AK10" s="69" t="s">
        <v>114</v>
      </c>
      <c r="AL10" s="69" t="s">
        <v>104</v>
      </c>
      <c r="AM10" s="69" t="s">
        <v>105</v>
      </c>
    </row>
    <row r="11" spans="1:39" ht="11.25" customHeight="1" x14ac:dyDescent="0.2">
      <c r="A11" s="63" t="s">
        <v>9</v>
      </c>
      <c r="B11" s="63" t="s">
        <v>93</v>
      </c>
      <c r="C11" s="63" t="s">
        <v>34</v>
      </c>
      <c r="D11" s="63"/>
      <c r="E11" s="63"/>
      <c r="F11" s="63"/>
      <c r="G11" s="63" t="s">
        <v>4</v>
      </c>
      <c r="H11" s="63" t="s">
        <v>1</v>
      </c>
      <c r="I11" s="63" t="s">
        <v>92</v>
      </c>
      <c r="J11" s="63" t="s">
        <v>25</v>
      </c>
      <c r="K11" s="48"/>
      <c r="L11" s="185" t="str">
        <f t="shared" si="5"/>
        <v>IMMFRA</v>
      </c>
      <c r="M11" s="193" t="str">
        <f t="shared" ref="M11:M24" si="6">H13</f>
        <v>FUTSEK3F2_Quote</v>
      </c>
      <c r="N11" s="202">
        <f>IFERROR(_xll.qlQuoteValue(H13,Trigger),"--")</f>
        <v>100.545</v>
      </c>
      <c r="O11" s="202">
        <f t="shared" ref="O11:O24" si="7">I13</f>
        <v>0</v>
      </c>
      <c r="P11" s="93" t="b">
        <v>1</v>
      </c>
      <c r="Q11" s="90">
        <v>60</v>
      </c>
      <c r="R11" s="90">
        <v>3</v>
      </c>
      <c r="S11" s="90" t="str">
        <f t="shared" ref="S11:S24" si="8">J13</f>
        <v>obj_00167#0001</v>
      </c>
      <c r="T11" s="94">
        <f>IFERROR(_xll.qlRateHelperEarliestDate(S11,Trigger),"--")</f>
        <v>42725</v>
      </c>
      <c r="U11" s="94">
        <f>IFERROR(_xll.qlRateHelperPillarDate(S11,Trigger),"--")</f>
        <v>42815</v>
      </c>
      <c r="W11" s="3" t="str">
        <f t="shared" si="1"/>
        <v>IMMFRA</v>
      </c>
      <c r="X11" s="3" t="str">
        <v>obj_0016b</v>
      </c>
      <c r="Y11" s="3" t="str">
        <f>IFERROR(_xll.qlRateHelperQuoteName(X11,Trigger),"")</f>
        <v>FUTSEK3F6_Quote</v>
      </c>
      <c r="Z11" s="67">
        <f>IFERROR(_xll.qlRateHelperRate(X11,Trigger),"")</f>
        <v>-3.5499999999999421E-3</v>
      </c>
      <c r="AA11" s="98">
        <f>IF(ISERROR(_xll.qlSwapRateHelperSpread($X11)),IF(ISERROR(_xll.qlFuturesRateHelperConvexityAdjustment($X11)),"",_xll.qlFuturesRateHelperConvexityAdjustment($X11)),_xll.qlSwapRateHelperSpread($X11))</f>
        <v>0</v>
      </c>
      <c r="AB11" s="4">
        <f>IFERROR(_xll.qlRateHelperEarliestDate(X11,Trigger),"")</f>
        <v>43089</v>
      </c>
      <c r="AC11" s="4">
        <f>IFERROR(_xll.qlRateHelperPillarDate(X11,Trigger),"")</f>
        <v>43179</v>
      </c>
      <c r="AD11" s="73">
        <v>1.0082391486104265</v>
      </c>
      <c r="AE11" s="163"/>
      <c r="AF11" s="136">
        <v>1</v>
      </c>
      <c r="AG11" s="137">
        <f>_xll.qlCalendarEndOfMonth(Calendar,Settlementdate,Trigger)</f>
        <v>42580</v>
      </c>
      <c r="AH11" s="136" t="str">
        <f t="shared" ref="AH11:AH23" si="9">Currency&amp;$AH$9&amp;AF11&amp;JumpSuffix&amp;QuoteSuffix</f>
        <v>SEKJump1_SYNTHON_Quote</v>
      </c>
      <c r="AI11" s="167">
        <f>_xll.qlDayCounterYearFraction("actual/360",AG11,_xll.qlCalendarAdvance(Calendar,AG11,"1D",,,Trigger))</f>
        <v>8.3333333333333332E-3</v>
      </c>
      <c r="AJ11" s="138" t="e">
        <f>IF(_xll.qlQuoteIsValid(AH11,Trigger),_xll.qlQuoteValue(AH11,Trigger),1)</f>
        <v>#NUM!</v>
      </c>
      <c r="AK11" s="170" t="e">
        <f>-LN(AJ11)/AI11</f>
        <v>#NUM!</v>
      </c>
      <c r="AL11" s="175">
        <v>0</v>
      </c>
      <c r="AM11" s="138">
        <f>IF(ISBLANK(AL11),AH11,EXP(-AL11*AI11))</f>
        <v>1</v>
      </c>
    </row>
    <row r="12" spans="1:39" ht="11.25" customHeight="1" x14ac:dyDescent="0.2">
      <c r="A12" s="53" t="s">
        <v>141</v>
      </c>
      <c r="B12" s="108" t="b">
        <v>1</v>
      </c>
      <c r="C12" s="56" t="str">
        <f>_xll.qlIMMNextCode(Evaluationdate+2,B12,Trigger)</f>
        <v>U6</v>
      </c>
      <c r="D12" s="55">
        <v>1</v>
      </c>
      <c r="E12" s="122"/>
      <c r="F12" s="122"/>
      <c r="G12" s="55" t="str">
        <f t="shared" ref="G12:G26" si="10">PROPER(Currency)&amp;FamilyName&amp;Tenor</f>
        <v>Sekibor3M</v>
      </c>
      <c r="H12" s="111" t="str">
        <f t="shared" ref="H12:H26" si="11">"FUT"&amp;Currency&amp;SUBSTITUTE($G$1,"M","F")&amp;D12&amp;QuoteSuffix</f>
        <v>FUTSEK3F1_Quote</v>
      </c>
      <c r="I12" s="120">
        <v>0</v>
      </c>
      <c r="J12" s="182" t="str">
        <f>IF(P10,_xll.qlFuturesRateHelper(,H12,$H$10,C12,G12,I12,Permanent,Trigger,ObjectOverwrite),"--")</f>
        <v>obj_00166#0001</v>
      </c>
      <c r="K12" s="48" t="s">
        <v>37</v>
      </c>
      <c r="L12" s="185" t="str">
        <f t="shared" si="5"/>
        <v>IMMFRA</v>
      </c>
      <c r="M12" s="193" t="str">
        <f t="shared" si="6"/>
        <v>FUTSEK3F3_Quote</v>
      </c>
      <c r="N12" s="202">
        <f>IFERROR(_xll.qlQuoteValue(H14,Trigger),"--")</f>
        <v>100.515</v>
      </c>
      <c r="O12" s="202">
        <f t="shared" si="7"/>
        <v>0</v>
      </c>
      <c r="P12" s="93" t="b">
        <v>1</v>
      </c>
      <c r="Q12" s="90">
        <v>60</v>
      </c>
      <c r="R12" s="90">
        <v>3</v>
      </c>
      <c r="S12" s="90" t="str">
        <f t="shared" si="8"/>
        <v>obj_00168#0001</v>
      </c>
      <c r="T12" s="94">
        <f>IFERROR(_xll.qlRateHelperEarliestDate(S12,Trigger),"--")</f>
        <v>42809</v>
      </c>
      <c r="U12" s="94">
        <f>IFERROR(_xll.qlRateHelperPillarDate(S12,Trigger),"--")</f>
        <v>42901</v>
      </c>
      <c r="W12" s="3" t="str">
        <f t="shared" si="1"/>
        <v>Sw</v>
      </c>
      <c r="X12" s="3" t="str">
        <v>obj_0014d</v>
      </c>
      <c r="Y12" s="3" t="str">
        <f>IFERROR(_xll.qlRateHelperQuoteName(X12,Trigger),"")</f>
        <v>SEKAB3S2Y_Quote</v>
      </c>
      <c r="Z12" s="67">
        <f>IFERROR(_xll.qlRateHelperRate(X12,Trigger),"")</f>
        <v>-4.5500000000000002E-3</v>
      </c>
      <c r="AA12" s="98">
        <f>IF(ISERROR(_xll.qlSwapRateHelperSpread($X12)),IF(ISERROR(_xll.qlFuturesRateHelperConvexityAdjustment($X12)),"",_xll.qlFuturesRateHelperConvexityAdjustment($X12)),_xll.qlSwapRateHelperSpread($X12))</f>
        <v>0</v>
      </c>
      <c r="AB12" s="4">
        <f>IFERROR(_xll.qlRateHelperEarliestDate(X12,Trigger),"")</f>
        <v>42563</v>
      </c>
      <c r="AC12" s="4">
        <f>IFERROR(_xll.qlRateHelperPillarDate(X12,Trigger),"")</f>
        <v>43293</v>
      </c>
      <c r="AD12" s="73">
        <v>1.009169555768868</v>
      </c>
      <c r="AE12" s="163"/>
      <c r="AF12" s="139">
        <v>2</v>
      </c>
      <c r="AG12" s="140">
        <f>_xll.qlCalendarEndOfMonth(Calendar,_xll.qlCalendarAdvance(Calendar,AG11,"1m","mf",TRUE),Trigger)</f>
        <v>42613</v>
      </c>
      <c r="AH12" s="139" t="str">
        <f t="shared" si="9"/>
        <v>SEKJump2_SYNTHON_Quote</v>
      </c>
      <c r="AI12" s="168">
        <f>_xll.qlDayCounterYearFraction("actual/360",AG12,_xll.qlCalendarAdvance(Calendar,AG12,"1D",,,Trigger))</f>
        <v>2.7777777777777779E-3</v>
      </c>
      <c r="AJ12" s="141" t="e">
        <f>IF(_xll.qlQuoteIsValid(AH12,Trigger),_xll.qlQuoteValue(AH12,Trigger),1)</f>
        <v>#NUM!</v>
      </c>
      <c r="AK12" s="171" t="e">
        <f t="shared" ref="AK12:AK23" si="12">-LN(AJ12)/AI12</f>
        <v>#NUM!</v>
      </c>
      <c r="AL12" s="176">
        <v>0</v>
      </c>
      <c r="AM12" s="141">
        <f t="shared" ref="AM12:AM23" si="13">IF(ISBLANK(AL12),AH12,EXP(-AL12*AI12))</f>
        <v>1</v>
      </c>
    </row>
    <row r="13" spans="1:39" ht="11.25" customHeight="1" x14ac:dyDescent="0.2">
      <c r="A13" s="58" t="s">
        <v>141</v>
      </c>
      <c r="B13" s="109" t="b">
        <v>1</v>
      </c>
      <c r="C13" s="61" t="str">
        <f>_xll.qlIMMNextCode(C12,B13,Trigger)</f>
        <v>Z6</v>
      </c>
      <c r="D13" s="60">
        <v>2</v>
      </c>
      <c r="E13" s="118"/>
      <c r="F13" s="118"/>
      <c r="G13" s="60" t="str">
        <f t="shared" si="10"/>
        <v>Sekibor3M</v>
      </c>
      <c r="H13" s="112" t="str">
        <f t="shared" si="11"/>
        <v>FUTSEK3F2_Quote</v>
      </c>
      <c r="I13" s="121">
        <v>0</v>
      </c>
      <c r="J13" s="184" t="str">
        <f>IF(P11,_xll.qlFuturesRateHelper(,H13,$H$10,C13,G13,I13,Permanent,Trigger,ObjectOverwrite),"--")</f>
        <v>obj_00167#0001</v>
      </c>
      <c r="K13" s="48"/>
      <c r="L13" s="185" t="str">
        <f t="shared" si="5"/>
        <v>IMMFRA</v>
      </c>
      <c r="M13" s="193" t="str">
        <f t="shared" si="6"/>
        <v>FUTSEK3F4_Quote</v>
      </c>
      <c r="N13" s="202">
        <f>IFERROR(_xll.qlQuoteValue(H15,Trigger),"--")</f>
        <v>100.47499999999999</v>
      </c>
      <c r="O13" s="202">
        <f t="shared" si="7"/>
        <v>0</v>
      </c>
      <c r="P13" s="93" t="b">
        <v>1</v>
      </c>
      <c r="Q13" s="90">
        <v>60</v>
      </c>
      <c r="R13" s="90">
        <v>21</v>
      </c>
      <c r="S13" s="90" t="str">
        <f t="shared" si="8"/>
        <v>obj_00169#0001</v>
      </c>
      <c r="T13" s="94">
        <f>IFERROR(_xll.qlRateHelperEarliestDate(S13,Trigger),"--")</f>
        <v>42907</v>
      </c>
      <c r="U13" s="94">
        <f>IFERROR(_xll.qlRateHelperPillarDate(S13,Trigger),"--")</f>
        <v>42999</v>
      </c>
      <c r="W13" s="3" t="str">
        <f t="shared" si="1"/>
        <v>Sw</v>
      </c>
      <c r="X13" s="3" t="str">
        <v>obj_00111</v>
      </c>
      <c r="Y13" s="3" t="str">
        <f>IFERROR(_xll.qlRateHelperQuoteName(X13,Trigger),"")</f>
        <v>SEKAB3S3Y_Quote</v>
      </c>
      <c r="Z13" s="67">
        <f>IFERROR(_xll.qlRateHelperRate(X13,Trigger),"")</f>
        <v>-3.3250000000000003E-3</v>
      </c>
      <c r="AA13" s="98">
        <f>IF(ISERROR(_xll.qlSwapRateHelperSpread($X13)),IF(ISERROR(_xll.qlFuturesRateHelperConvexityAdjustment($X13)),"",_xll.qlFuturesRateHelperConvexityAdjustment($X13)),_xll.qlSwapRateHelperSpread($X13))</f>
        <v>0</v>
      </c>
      <c r="AB13" s="4">
        <f>IFERROR(_xll.qlRateHelperEarliestDate(X13,Trigger),"")</f>
        <v>42563</v>
      </c>
      <c r="AC13" s="4">
        <f>IFERROR(_xll.qlRateHelperPillarDate(X13,Trigger),"")</f>
        <v>43658</v>
      </c>
      <c r="AD13" s="73">
        <v>1.0100636004778032</v>
      </c>
      <c r="AE13" s="163"/>
      <c r="AF13" s="139">
        <v>3</v>
      </c>
      <c r="AG13" s="140">
        <f>_xll.qlCalendarEndOfMonth(Calendar,_xll.qlCalendarAdvance(Calendar,AG12,"1m","mf",TRUE),Trigger)</f>
        <v>42643</v>
      </c>
      <c r="AH13" s="139" t="str">
        <f t="shared" si="9"/>
        <v>SEKJump3_SYNTHON_Quote</v>
      </c>
      <c r="AI13" s="168">
        <f>_xll.qlDayCounterYearFraction("actual/360",AG13,_xll.qlCalendarAdvance(Calendar,AG13,"1D",,,Trigger))</f>
        <v>8.3333333333333332E-3</v>
      </c>
      <c r="AJ13" s="141" t="e">
        <f>IF(_xll.qlQuoteIsValid(AH13,Trigger),_xll.qlQuoteValue(AH13,Trigger),1)</f>
        <v>#NUM!</v>
      </c>
      <c r="AK13" s="171" t="e">
        <f t="shared" si="12"/>
        <v>#NUM!</v>
      </c>
      <c r="AL13" s="176">
        <v>0</v>
      </c>
      <c r="AM13" s="141">
        <f t="shared" si="13"/>
        <v>1</v>
      </c>
    </row>
    <row r="14" spans="1:39" ht="11.25" customHeight="1" x14ac:dyDescent="0.2">
      <c r="A14" s="58" t="s">
        <v>141</v>
      </c>
      <c r="B14" s="109" t="b">
        <v>1</v>
      </c>
      <c r="C14" s="61" t="str">
        <f>_xll.qlIMMNextCode(C13,B14,Trigger)</f>
        <v>H7</v>
      </c>
      <c r="D14" s="60">
        <v>3</v>
      </c>
      <c r="E14" s="118"/>
      <c r="F14" s="118"/>
      <c r="G14" s="60" t="str">
        <f t="shared" si="10"/>
        <v>Sekibor3M</v>
      </c>
      <c r="H14" s="112" t="str">
        <f t="shared" si="11"/>
        <v>FUTSEK3F3_Quote</v>
      </c>
      <c r="I14" s="121">
        <v>0</v>
      </c>
      <c r="J14" s="184" t="str">
        <f>IF(P12,_xll.qlFuturesRateHelper(,H14,$H$10,C14,G14,I14,Permanent,Trigger,ObjectOverwrite),"--")</f>
        <v>obj_00168#0001</v>
      </c>
      <c r="K14" s="48"/>
      <c r="L14" s="185" t="str">
        <f t="shared" si="5"/>
        <v>IMMFRA</v>
      </c>
      <c r="M14" s="193" t="str">
        <f t="shared" si="6"/>
        <v>FUTSEK3F5_Quote</v>
      </c>
      <c r="N14" s="202">
        <f>IFERROR(_xll.qlQuoteValue(H16,Trigger),"--")</f>
        <v>100.42</v>
      </c>
      <c r="O14" s="202">
        <f t="shared" si="7"/>
        <v>0</v>
      </c>
      <c r="P14" s="93" t="b">
        <v>1</v>
      </c>
      <c r="Q14" s="90">
        <v>60</v>
      </c>
      <c r="R14" s="90">
        <v>21</v>
      </c>
      <c r="S14" s="90" t="str">
        <f t="shared" si="8"/>
        <v>obj_0016a#0001</v>
      </c>
      <c r="T14" s="94">
        <f>IFERROR(_xll.qlRateHelperEarliestDate(S14,Trigger),"--")</f>
        <v>42998</v>
      </c>
      <c r="U14" s="94">
        <f>IFERROR(_xll.qlRateHelperPillarDate(S14,Trigger),"--")</f>
        <v>43089</v>
      </c>
      <c r="W14" s="3" t="str">
        <f t="shared" si="1"/>
        <v>Sw</v>
      </c>
      <c r="X14" s="3" t="str">
        <v>obj_00110</v>
      </c>
      <c r="Y14" s="3" t="str">
        <f>IFERROR(_xll.qlRateHelperQuoteName(X14,Trigger),"")</f>
        <v>SEKAB3S4Y_Quote</v>
      </c>
      <c r="Z14" s="67">
        <f>IFERROR(_xll.qlRateHelperRate(X14,Trigger),"")</f>
        <v>-1.9E-3</v>
      </c>
      <c r="AA14" s="98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42563</v>
      </c>
      <c r="AC14" s="4">
        <f>IFERROR(_xll.qlRateHelperPillarDate(X14,Trigger),"")</f>
        <v>44025</v>
      </c>
      <c r="AD14" s="73">
        <v>1.0076801936118969</v>
      </c>
      <c r="AE14" s="163"/>
      <c r="AF14" s="139">
        <v>4</v>
      </c>
      <c r="AG14" s="140">
        <f>_xll.qlCalendarEndOfMonth(Calendar,_xll.qlCalendarAdvance(Calendar,AG13,"1m","mf",TRUE),Trigger)</f>
        <v>42674</v>
      </c>
      <c r="AH14" s="139" t="str">
        <f t="shared" si="9"/>
        <v>SEKJump4_SYNTHON_Quote</v>
      </c>
      <c r="AI14" s="168">
        <f>_xll.qlDayCounterYearFraction("actual/360",AG14,_xll.qlCalendarAdvance(Calendar,AG14,"1D",,,Trigger))</f>
        <v>2.7777777777777779E-3</v>
      </c>
      <c r="AJ14" s="141" t="e">
        <f>IF(_xll.qlQuoteIsValid(AH14,Trigger),_xll.qlQuoteValue(AH14,Trigger),1)</f>
        <v>#NUM!</v>
      </c>
      <c r="AK14" s="171" t="e">
        <f t="shared" si="12"/>
        <v>#NUM!</v>
      </c>
      <c r="AL14" s="176">
        <v>0</v>
      </c>
      <c r="AM14" s="141">
        <f t="shared" si="13"/>
        <v>1</v>
      </c>
    </row>
    <row r="15" spans="1:39" ht="11.25" customHeight="1" x14ac:dyDescent="0.2">
      <c r="A15" s="58" t="s">
        <v>141</v>
      </c>
      <c r="B15" s="109" t="b">
        <v>1</v>
      </c>
      <c r="C15" s="61" t="str">
        <f>_xll.qlIMMNextCode(C14,B15,Trigger)</f>
        <v>M7</v>
      </c>
      <c r="D15" s="60">
        <v>4</v>
      </c>
      <c r="E15" s="118"/>
      <c r="F15" s="118"/>
      <c r="G15" s="60" t="str">
        <f t="shared" si="10"/>
        <v>Sekibor3M</v>
      </c>
      <c r="H15" s="112" t="str">
        <f t="shared" si="11"/>
        <v>FUTSEK3F4_Quote</v>
      </c>
      <c r="I15" s="121">
        <v>0</v>
      </c>
      <c r="J15" s="184" t="str">
        <f>IF(P13,_xll.qlFuturesRateHelper(,H15,$H$10,C15,G15,I15,Permanent,Trigger,ObjectOverwrite),"--")</f>
        <v>obj_00169#0001</v>
      </c>
      <c r="K15" s="48"/>
      <c r="L15" s="185" t="str">
        <f t="shared" si="5"/>
        <v>IMMFRA</v>
      </c>
      <c r="M15" s="193" t="str">
        <f t="shared" si="6"/>
        <v>FUTSEK3F6_Quote</v>
      </c>
      <c r="N15" s="202">
        <f>IFERROR(_xll.qlQuoteValue(H17,Trigger),"--")</f>
        <v>100.355</v>
      </c>
      <c r="O15" s="202">
        <f t="shared" si="7"/>
        <v>0</v>
      </c>
      <c r="P15" s="93" t="b">
        <v>1</v>
      </c>
      <c r="Q15" s="90">
        <v>60</v>
      </c>
      <c r="R15" s="90">
        <v>21</v>
      </c>
      <c r="S15" s="90" t="str">
        <f t="shared" si="8"/>
        <v>obj_0016b#0001</v>
      </c>
      <c r="T15" s="94">
        <f>IFERROR(_xll.qlRateHelperEarliestDate(S15,Trigger),"--")</f>
        <v>43089</v>
      </c>
      <c r="U15" s="94">
        <f>IFERROR(_xll.qlRateHelperPillarDate(S15,Trigger),"--")</f>
        <v>43179</v>
      </c>
      <c r="W15" s="3" t="str">
        <f t="shared" si="1"/>
        <v>Sw</v>
      </c>
      <c r="X15" s="3" t="str">
        <v>obj_00139</v>
      </c>
      <c r="Y15" s="3" t="str">
        <f>IFERROR(_xll.qlRateHelperQuoteName(X15,Trigger),"")</f>
        <v>SEKAB3S5Y_Quote</v>
      </c>
      <c r="Z15" s="67">
        <f>IFERROR(_xll.qlRateHelperRate(X15,Trigger),"")</f>
        <v>-3.7500000000000001E-4</v>
      </c>
      <c r="AA15" s="98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42563</v>
      </c>
      <c r="AC15" s="4">
        <f>IFERROR(_xll.qlRateHelperPillarDate(X15,Trigger),"")</f>
        <v>44389</v>
      </c>
      <c r="AD15" s="73">
        <v>1.0019214416099798</v>
      </c>
      <c r="AE15" s="163"/>
      <c r="AF15" s="139">
        <v>5</v>
      </c>
      <c r="AG15" s="140">
        <f>_xll.qlCalendarEndOfMonth(Calendar,_xll.qlCalendarAdvance(Calendar,AG14,"1m","mf",TRUE),Trigger)</f>
        <v>42704</v>
      </c>
      <c r="AH15" s="139" t="str">
        <f t="shared" si="9"/>
        <v>SEKJump5_SYNTHON_Quote</v>
      </c>
      <c r="AI15" s="168">
        <f>_xll.qlDayCounterYearFraction("actual/360",AG15,_xll.qlCalendarAdvance(Calendar,AG15,"1D",,,Trigger))</f>
        <v>2.7777777777777779E-3</v>
      </c>
      <c r="AJ15" s="141" t="e">
        <f>IF(_xll.qlQuoteIsValid(AH15,Trigger),_xll.qlQuoteValue(AH15,Trigger),1)</f>
        <v>#NUM!</v>
      </c>
      <c r="AK15" s="171" t="e">
        <f t="shared" si="12"/>
        <v>#NUM!</v>
      </c>
      <c r="AL15" s="176">
        <v>0</v>
      </c>
      <c r="AM15" s="141">
        <f t="shared" si="13"/>
        <v>1</v>
      </c>
    </row>
    <row r="16" spans="1:39" ht="11.25" customHeight="1" x14ac:dyDescent="0.2">
      <c r="A16" s="58" t="s">
        <v>141</v>
      </c>
      <c r="B16" s="109" t="b">
        <v>1</v>
      </c>
      <c r="C16" s="61" t="str">
        <f>_xll.qlIMMNextCode(C15,B16,Trigger)</f>
        <v>U7</v>
      </c>
      <c r="D16" s="60">
        <v>5</v>
      </c>
      <c r="E16" s="118"/>
      <c r="F16" s="118"/>
      <c r="G16" s="60" t="str">
        <f t="shared" si="10"/>
        <v>Sekibor3M</v>
      </c>
      <c r="H16" s="112" t="str">
        <f t="shared" si="11"/>
        <v>FUTSEK3F5_Quote</v>
      </c>
      <c r="I16" s="121">
        <v>0</v>
      </c>
      <c r="J16" s="184" t="str">
        <f>IF(P14,_xll.qlFuturesRateHelper(,H16,$H$10,C16,G16,I16,Permanent,Trigger,ObjectOverwrite),"--")</f>
        <v>obj_0016a#0001</v>
      </c>
      <c r="K16" s="48"/>
      <c r="L16" s="185" t="str">
        <f t="shared" si="5"/>
        <v>IMMFRA</v>
      </c>
      <c r="M16" s="193" t="str">
        <f t="shared" si="6"/>
        <v>FUTSEK3F7_Quote</v>
      </c>
      <c r="N16" s="202">
        <f>IFERROR(_xll.qlQuoteValue(H18,Trigger),"--")</f>
        <v>100.285</v>
      </c>
      <c r="O16" s="202">
        <f t="shared" si="7"/>
        <v>0</v>
      </c>
      <c r="P16" s="93" t="b">
        <v>1</v>
      </c>
      <c r="Q16" s="90">
        <v>60</v>
      </c>
      <c r="R16" s="90">
        <v>21</v>
      </c>
      <c r="S16" s="90" t="str">
        <f t="shared" si="8"/>
        <v>obj_0016c#0001</v>
      </c>
      <c r="T16" s="94">
        <f>IFERROR(_xll.qlRateHelperEarliestDate(S16,Trigger),"--")</f>
        <v>43180</v>
      </c>
      <c r="U16" s="94">
        <f>IFERROR(_xll.qlRateHelperPillarDate(S16,Trigger),"--")</f>
        <v>43272</v>
      </c>
      <c r="W16" s="3" t="str">
        <f t="shared" si="1"/>
        <v>Sw</v>
      </c>
      <c r="X16" s="3" t="str">
        <v>obj_00141</v>
      </c>
      <c r="Y16" s="3" t="str">
        <f>IFERROR(_xll.qlRateHelperQuoteName(X16,Trigger),"")</f>
        <v>SEKAB3S6Y_Quote</v>
      </c>
      <c r="Z16" s="67">
        <f>IFERROR(_xll.qlRateHelperRate(X16,Trigger),"")</f>
        <v>1.2250000000000002E-3</v>
      </c>
      <c r="AA16" s="98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42563</v>
      </c>
      <c r="AC16" s="4">
        <f>IFERROR(_xll.qlRateHelperPillarDate(X16,Trigger),"")</f>
        <v>44754</v>
      </c>
      <c r="AD16" s="73">
        <v>0.99268487427584573</v>
      </c>
      <c r="AE16" s="163"/>
      <c r="AF16" s="139">
        <v>6</v>
      </c>
      <c r="AG16" s="140">
        <f>_xll.qlCalendarEndOfMonth(Calendar,_xll.qlCalendarAdvance(Calendar,AG15,"1m","mf",TRUE),Trigger)</f>
        <v>42734</v>
      </c>
      <c r="AH16" s="139" t="str">
        <f t="shared" si="9"/>
        <v>SEKJump6_SYNTHON_Quote</v>
      </c>
      <c r="AI16" s="168">
        <f>_xll.qlDayCounterYearFraction("actual/360",AG16,_xll.qlCalendarAdvance(Calendar,AG16,"1D",,,Trigger))</f>
        <v>8.3333333333333332E-3</v>
      </c>
      <c r="AJ16" s="141" t="e">
        <f>IF(_xll.qlQuoteIsValid(AH16,Trigger),_xll.qlQuoteValue(AH16,Trigger),1)</f>
        <v>#NUM!</v>
      </c>
      <c r="AK16" s="171" t="e">
        <f t="shared" si="12"/>
        <v>#NUM!</v>
      </c>
      <c r="AL16" s="176">
        <v>0</v>
      </c>
      <c r="AM16" s="141">
        <f t="shared" si="13"/>
        <v>1</v>
      </c>
    </row>
    <row r="17" spans="1:39" ht="11.25" customHeight="1" x14ac:dyDescent="0.2">
      <c r="A17" s="58" t="s">
        <v>141</v>
      </c>
      <c r="B17" s="109" t="b">
        <v>1</v>
      </c>
      <c r="C17" s="61" t="str">
        <f>_xll.qlIMMNextCode(C16,B17,Trigger)</f>
        <v>Z7</v>
      </c>
      <c r="D17" s="60">
        <v>6</v>
      </c>
      <c r="E17" s="118"/>
      <c r="F17" s="118"/>
      <c r="G17" s="60" t="str">
        <f t="shared" si="10"/>
        <v>Sekibor3M</v>
      </c>
      <c r="H17" s="112" t="str">
        <f t="shared" si="11"/>
        <v>FUTSEK3F6_Quote</v>
      </c>
      <c r="I17" s="121">
        <v>0</v>
      </c>
      <c r="J17" s="184" t="str">
        <f>IF(P15,_xll.qlFuturesRateHelper(,H17,$H$10,C17,G17,I17,Permanent,Trigger,ObjectOverwrite),"--")</f>
        <v>obj_0016b#0001</v>
      </c>
      <c r="K17" s="48"/>
      <c r="L17" s="185" t="str">
        <f t="shared" si="5"/>
        <v>IMMFRA</v>
      </c>
      <c r="M17" s="193" t="str">
        <f t="shared" si="6"/>
        <v>FUTSEK3F8_Quote</v>
      </c>
      <c r="N17" s="202">
        <f>IFERROR(_xll.qlQuoteValue(H19,Trigger),"--")</f>
        <v>100.21</v>
      </c>
      <c r="O17" s="202">
        <f t="shared" si="7"/>
        <v>0</v>
      </c>
      <c r="P17" s="93" t="b">
        <v>1</v>
      </c>
      <c r="Q17" s="90">
        <v>60</v>
      </c>
      <c r="R17" s="90">
        <v>21</v>
      </c>
      <c r="S17" s="90" t="str">
        <f t="shared" si="8"/>
        <v>obj_0016d#0001</v>
      </c>
      <c r="T17" s="94">
        <f>IFERROR(_xll.qlRateHelperEarliestDate(S17,Trigger),"--")</f>
        <v>43271</v>
      </c>
      <c r="U17" s="94">
        <f>IFERROR(_xll.qlRateHelperPillarDate(S17,Trigger),"--")</f>
        <v>43363</v>
      </c>
      <c r="W17" s="3" t="str">
        <f t="shared" si="1"/>
        <v>Sw</v>
      </c>
      <c r="X17" s="3" t="str">
        <v>obj_0012d</v>
      </c>
      <c r="Y17" s="3" t="str">
        <f>IFERROR(_xll.qlRateHelperQuoteName(X17,Trigger),"")</f>
        <v>SEKAB3S7Y_Quote</v>
      </c>
      <c r="Z17" s="67">
        <f>IFERROR(_xll.qlRateHelperRate(X17,Trigger),"")</f>
        <v>2.8249999999999998E-3</v>
      </c>
      <c r="AA17" s="98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42563</v>
      </c>
      <c r="AC17" s="4">
        <f>IFERROR(_xll.qlRateHelperPillarDate(X17,Trigger),"")</f>
        <v>45119</v>
      </c>
      <c r="AD17" s="73">
        <v>0.98031901373378627</v>
      </c>
      <c r="AE17" s="163"/>
      <c r="AF17" s="139">
        <v>7</v>
      </c>
      <c r="AG17" s="140">
        <f>_xll.qlCalendarEndOfMonth(Calendar,_xll.qlCalendarAdvance(Calendar,AG16,"1m","mf",TRUE),Trigger)</f>
        <v>42766</v>
      </c>
      <c r="AH17" s="139" t="str">
        <f t="shared" si="9"/>
        <v>SEKJump7_SYNTHON_Quote</v>
      </c>
      <c r="AI17" s="168">
        <f>_xll.qlDayCounterYearFraction("actual/360",AG17,_xll.qlCalendarAdvance(Calendar,AG17,"1D",,,Trigger))</f>
        <v>2.7777777777777779E-3</v>
      </c>
      <c r="AJ17" s="141" t="e">
        <f>IF(_xll.qlQuoteIsValid(AH17,Trigger),_xll.qlQuoteValue(AH17,Trigger),1)</f>
        <v>#NUM!</v>
      </c>
      <c r="AK17" s="171" t="e">
        <f t="shared" si="12"/>
        <v>#NUM!</v>
      </c>
      <c r="AL17" s="176">
        <v>0</v>
      </c>
      <c r="AM17" s="141">
        <f t="shared" si="13"/>
        <v>1</v>
      </c>
    </row>
    <row r="18" spans="1:39" ht="11.25" customHeight="1" x14ac:dyDescent="0.2">
      <c r="A18" s="58" t="s">
        <v>141</v>
      </c>
      <c r="B18" s="109" t="b">
        <v>1</v>
      </c>
      <c r="C18" s="61" t="str">
        <f>_xll.qlIMMNextCode(C17,B18,Trigger)</f>
        <v>H8</v>
      </c>
      <c r="D18" s="60">
        <v>7</v>
      </c>
      <c r="E18" s="118"/>
      <c r="F18" s="118"/>
      <c r="G18" s="60" t="str">
        <f t="shared" si="10"/>
        <v>Sekibor3M</v>
      </c>
      <c r="H18" s="112" t="str">
        <f t="shared" si="11"/>
        <v>FUTSEK3F7_Quote</v>
      </c>
      <c r="I18" s="121">
        <v>0</v>
      </c>
      <c r="J18" s="184" t="str">
        <f>IF(P16,_xll.qlFuturesRateHelper(,H18,$H$10,C18,G18,I18,Permanent,Trigger,ObjectOverwrite),"--")</f>
        <v>obj_0016c#0001</v>
      </c>
      <c r="K18" s="48"/>
      <c r="L18" s="185" t="str">
        <f t="shared" si="5"/>
        <v>IMMFRA</v>
      </c>
      <c r="M18" s="193" t="str">
        <f t="shared" si="6"/>
        <v>FUTSEK3F9_Quote</v>
      </c>
      <c r="N18" s="202">
        <f>IFERROR(_xll.qlQuoteValue(H20,Trigger),"--")</f>
        <v>100.13500000000001</v>
      </c>
      <c r="O18" s="202">
        <f t="shared" si="7"/>
        <v>0</v>
      </c>
      <c r="P18" s="93" t="b">
        <v>1</v>
      </c>
      <c r="Q18" s="90">
        <v>60</v>
      </c>
      <c r="R18" s="90">
        <v>21</v>
      </c>
      <c r="S18" s="90" t="str">
        <f t="shared" si="8"/>
        <v>obj_0016e#0001</v>
      </c>
      <c r="T18" s="94">
        <f>IFERROR(_xll.qlRateHelperEarliestDate(S18,Trigger),"--")</f>
        <v>43362</v>
      </c>
      <c r="U18" s="94">
        <f>IFERROR(_xll.qlRateHelperPillarDate(S18,Trigger),"--")</f>
        <v>43453</v>
      </c>
      <c r="W18" s="3" t="str">
        <f t="shared" si="1"/>
        <v>Sw</v>
      </c>
      <c r="X18" s="3" t="str">
        <v>obj_0014a</v>
      </c>
      <c r="Y18" s="3" t="str">
        <f>IFERROR(_xll.qlRateHelperQuoteName(X18,Trigger),"")</f>
        <v>SEKAB3S8Y_Quote</v>
      </c>
      <c r="Z18" s="67">
        <f>IFERROR(_xll.qlRateHelperRate(X18,Trigger),"")</f>
        <v>4.2750000000000002E-3</v>
      </c>
      <c r="AA18" s="98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42563</v>
      </c>
      <c r="AC18" s="4">
        <f>IFERROR(_xll.qlRateHelperPillarDate(X18,Trigger),"")</f>
        <v>45485</v>
      </c>
      <c r="AD18" s="73">
        <v>0.96608519536599557</v>
      </c>
      <c r="AE18" s="163"/>
      <c r="AF18" s="139">
        <v>8</v>
      </c>
      <c r="AG18" s="140">
        <f>_xll.qlCalendarEndOfMonth(Calendar,_xll.qlCalendarAdvance(Calendar,AG17,"1m","mf",TRUE),Trigger)</f>
        <v>42794</v>
      </c>
      <c r="AH18" s="139" t="str">
        <f t="shared" si="9"/>
        <v>SEKJump8_SYNTHON_Quote</v>
      </c>
      <c r="AI18" s="168">
        <f>_xll.qlDayCounterYearFraction("actual/360",AG18,_xll.qlCalendarAdvance(Calendar,AG18,"1D",,,Trigger))</f>
        <v>2.7777777777777779E-3</v>
      </c>
      <c r="AJ18" s="141" t="e">
        <f>IF(_xll.qlQuoteIsValid(AH18,Trigger),_xll.qlQuoteValue(AH18,Trigger),1)</f>
        <v>#NUM!</v>
      </c>
      <c r="AK18" s="171" t="e">
        <f t="shared" si="12"/>
        <v>#NUM!</v>
      </c>
      <c r="AL18" s="176">
        <v>0</v>
      </c>
      <c r="AM18" s="141">
        <f t="shared" si="13"/>
        <v>1</v>
      </c>
    </row>
    <row r="19" spans="1:39" ht="11.25" customHeight="1" x14ac:dyDescent="0.2">
      <c r="A19" s="58" t="s">
        <v>141</v>
      </c>
      <c r="B19" s="109" t="b">
        <v>1</v>
      </c>
      <c r="C19" s="61" t="str">
        <f>_xll.qlIMMNextCode(C18,B19,Trigger)</f>
        <v>M8</v>
      </c>
      <c r="D19" s="60">
        <v>8</v>
      </c>
      <c r="E19" s="118"/>
      <c r="F19" s="118"/>
      <c r="G19" s="60" t="str">
        <f t="shared" si="10"/>
        <v>Sekibor3M</v>
      </c>
      <c r="H19" s="112" t="str">
        <f t="shared" si="11"/>
        <v>FUTSEK3F8_Quote</v>
      </c>
      <c r="I19" s="121">
        <v>0</v>
      </c>
      <c r="J19" s="184" t="str">
        <f>IF(P17,_xll.qlFuturesRateHelper(,H19,$H$10,C19,G19,I19,Permanent,Trigger,ObjectOverwrite),"--")</f>
        <v>obj_0016d#0001</v>
      </c>
      <c r="K19" s="48"/>
      <c r="L19" s="185" t="str">
        <f t="shared" si="5"/>
        <v>IMMFRA</v>
      </c>
      <c r="M19" s="193" t="str">
        <f t="shared" si="6"/>
        <v>FUTSEK3F10_Quote</v>
      </c>
      <c r="N19" s="202">
        <f>IFERROR(_xll.qlQuoteValue(H21,Trigger),"--")</f>
        <v>100.06</v>
      </c>
      <c r="O19" s="202">
        <f t="shared" si="7"/>
        <v>0</v>
      </c>
      <c r="P19" s="93" t="b">
        <v>1</v>
      </c>
      <c r="Q19" s="90">
        <v>60</v>
      </c>
      <c r="R19" s="90">
        <v>21</v>
      </c>
      <c r="S19" s="90" t="str">
        <f t="shared" si="8"/>
        <v>obj_0016f#0001</v>
      </c>
      <c r="T19" s="94">
        <f>IFERROR(_xll.qlRateHelperEarliestDate(S19,Trigger),"--")</f>
        <v>43453</v>
      </c>
      <c r="U19" s="94">
        <f>IFERROR(_xll.qlRateHelperPillarDate(S19,Trigger),"--")</f>
        <v>43543</v>
      </c>
      <c r="W19" s="3" t="str">
        <f t="shared" si="1"/>
        <v>Sw</v>
      </c>
      <c r="X19" s="3" t="str">
        <v>obj_00118</v>
      </c>
      <c r="Y19" s="3" t="str">
        <f>IFERROR(_xll.qlRateHelperQuoteName(X19,Trigger),"")</f>
        <v>SEKAB3S9Y_Quote</v>
      </c>
      <c r="Z19" s="67">
        <f>IFERROR(_xll.qlRateHelperRate(X19,Trigger),"")</f>
        <v>5.5750000000000001E-3</v>
      </c>
      <c r="AA19" s="98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42563</v>
      </c>
      <c r="AC19" s="4">
        <f>IFERROR(_xll.qlRateHelperPillarDate(X19,Trigger),"")</f>
        <v>45852</v>
      </c>
      <c r="AD19" s="73">
        <v>0.95045334687825322</v>
      </c>
      <c r="AE19" s="163"/>
      <c r="AF19" s="139">
        <v>9</v>
      </c>
      <c r="AG19" s="140">
        <f>_xll.qlCalendarEndOfMonth(Calendar,_xll.qlCalendarAdvance(Calendar,AG18,"1m","mf",TRUE),Trigger)</f>
        <v>42825</v>
      </c>
      <c r="AH19" s="139" t="str">
        <f t="shared" si="9"/>
        <v>SEKJump9_SYNTHON_Quote</v>
      </c>
      <c r="AI19" s="168">
        <f>_xll.qlDayCounterYearFraction("actual/360",AG19,_xll.qlCalendarAdvance(Calendar,AG19,"1D",,,Trigger))</f>
        <v>8.3333333333333332E-3</v>
      </c>
      <c r="AJ19" s="141" t="e">
        <f>IF(_xll.qlQuoteIsValid(AH19,Trigger),_xll.qlQuoteValue(AH19,Trigger),1)</f>
        <v>#NUM!</v>
      </c>
      <c r="AK19" s="171" t="e">
        <f t="shared" si="12"/>
        <v>#NUM!</v>
      </c>
      <c r="AL19" s="176">
        <v>0</v>
      </c>
      <c r="AM19" s="141">
        <f t="shared" si="13"/>
        <v>1</v>
      </c>
    </row>
    <row r="20" spans="1:39" ht="11.25" customHeight="1" x14ac:dyDescent="0.2">
      <c r="A20" s="58" t="s">
        <v>141</v>
      </c>
      <c r="B20" s="109" t="b">
        <v>1</v>
      </c>
      <c r="C20" s="61" t="str">
        <f>_xll.qlIMMNextCode(C19,B20,Trigger)</f>
        <v>U8</v>
      </c>
      <c r="D20" s="60">
        <v>9</v>
      </c>
      <c r="E20" s="118"/>
      <c r="F20" s="118"/>
      <c r="G20" s="60" t="str">
        <f t="shared" si="10"/>
        <v>Sekibor3M</v>
      </c>
      <c r="H20" s="112" t="str">
        <f t="shared" si="11"/>
        <v>FUTSEK3F9_Quote</v>
      </c>
      <c r="I20" s="121">
        <v>0</v>
      </c>
      <c r="J20" s="184" t="str">
        <f>IF(P18,_xll.qlFuturesRateHelper(,H20,$H$10,C20,G20,I20,Permanent,Trigger,ObjectOverwrite),"--")</f>
        <v>obj_0016e#0001</v>
      </c>
      <c r="K20" s="48"/>
      <c r="L20" s="185" t="str">
        <f t="shared" si="5"/>
        <v>IMMFRA</v>
      </c>
      <c r="M20" s="193" t="str">
        <f t="shared" si="6"/>
        <v>FUTSEK3F11_Quote</v>
      </c>
      <c r="N20" s="202">
        <f>IFERROR(_xll.qlQuoteValue(H22,Trigger),"--")</f>
        <v>99.995000000000005</v>
      </c>
      <c r="O20" s="202">
        <f t="shared" si="7"/>
        <v>0</v>
      </c>
      <c r="P20" s="93" t="b">
        <v>1</v>
      </c>
      <c r="Q20" s="90">
        <v>60</v>
      </c>
      <c r="R20" s="90">
        <v>21</v>
      </c>
      <c r="S20" s="90" t="str">
        <f t="shared" si="8"/>
        <v>obj_00170#0001</v>
      </c>
      <c r="T20" s="94">
        <f>IFERROR(_xll.qlRateHelperEarliestDate(S20,Trigger),"--")</f>
        <v>43544</v>
      </c>
      <c r="U20" s="94">
        <f>IFERROR(_xll.qlRateHelperPillarDate(S20,Trigger),"--")</f>
        <v>43636</v>
      </c>
      <c r="W20" s="3" t="str">
        <f t="shared" si="1"/>
        <v>Sw</v>
      </c>
      <c r="X20" s="3" t="str">
        <v>obj_0011f</v>
      </c>
      <c r="Y20" s="3" t="str">
        <f>IFERROR(_xll.qlRateHelperQuoteName(X20,Trigger),"")</f>
        <v>SEKAB3S10Y_Quote</v>
      </c>
      <c r="Z20" s="67">
        <f>IFERROR(_xll.qlRateHelperRate(X20,Trigger),"")</f>
        <v>6.7250000000000009E-3</v>
      </c>
      <c r="AA20" s="98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42563</v>
      </c>
      <c r="AC20" s="4">
        <f>IFERROR(_xll.qlRateHelperPillarDate(X20,Trigger),"")</f>
        <v>46216</v>
      </c>
      <c r="AD20" s="73">
        <v>0.93398967461620808</v>
      </c>
      <c r="AE20" s="163"/>
      <c r="AF20" s="139">
        <v>10</v>
      </c>
      <c r="AG20" s="140">
        <f>_xll.qlCalendarEndOfMonth(Calendar,_xll.qlCalendarAdvance(Calendar,AG19,"1m","mf",TRUE),Trigger)</f>
        <v>42853</v>
      </c>
      <c r="AH20" s="139" t="str">
        <f t="shared" si="9"/>
        <v>SEKJump10_SYNTHON_Quote</v>
      </c>
      <c r="AI20" s="168">
        <f>_xll.qlDayCounterYearFraction("actual/360",AG20,_xll.qlCalendarAdvance(Calendar,AG20,"1D",,,Trigger))</f>
        <v>1.1111111111111112E-2</v>
      </c>
      <c r="AJ20" s="141" t="e">
        <f>IF(_xll.qlQuoteIsValid(AH20,Trigger),_xll.qlQuoteValue(AH20,Trigger),1)</f>
        <v>#NUM!</v>
      </c>
      <c r="AK20" s="171" t="e">
        <f t="shared" si="12"/>
        <v>#NUM!</v>
      </c>
      <c r="AL20" s="176">
        <v>0</v>
      </c>
      <c r="AM20" s="141">
        <f t="shared" si="13"/>
        <v>1</v>
      </c>
    </row>
    <row r="21" spans="1:39" ht="11.25" customHeight="1" x14ac:dyDescent="0.2">
      <c r="A21" s="58" t="s">
        <v>141</v>
      </c>
      <c r="B21" s="109" t="b">
        <v>1</v>
      </c>
      <c r="C21" s="61" t="str">
        <f>_xll.qlIMMNextCode(C20,B21,Trigger)</f>
        <v>Z8</v>
      </c>
      <c r="D21" s="60">
        <v>10</v>
      </c>
      <c r="E21" s="118"/>
      <c r="F21" s="118"/>
      <c r="G21" s="60" t="str">
        <f t="shared" si="10"/>
        <v>Sekibor3M</v>
      </c>
      <c r="H21" s="112" t="str">
        <f t="shared" si="11"/>
        <v>FUTSEK3F10_Quote</v>
      </c>
      <c r="I21" s="121">
        <v>0</v>
      </c>
      <c r="J21" s="184" t="str">
        <f>IF(P19,_xll.qlFuturesRateHelper(,H21,$H$10,C21,G21,I21,Permanent,Trigger,ObjectOverwrite),"--")</f>
        <v>obj_0016f#0001</v>
      </c>
      <c r="K21" s="48"/>
      <c r="L21" s="185" t="str">
        <f t="shared" si="5"/>
        <v>IMMFRA</v>
      </c>
      <c r="M21" s="193" t="str">
        <f t="shared" si="6"/>
        <v>FUTSEK3F12_Quote</v>
      </c>
      <c r="N21" s="202">
        <f>IFERROR(_xll.qlQuoteValue(H23,Trigger),"--")</f>
        <v>99.91</v>
      </c>
      <c r="O21" s="202">
        <f t="shared" si="7"/>
        <v>0</v>
      </c>
      <c r="P21" s="93" t="b">
        <v>1</v>
      </c>
      <c r="Q21" s="90">
        <v>60</v>
      </c>
      <c r="R21" s="90">
        <v>21</v>
      </c>
      <c r="S21" s="90" t="str">
        <f t="shared" si="8"/>
        <v>obj_00171#0001</v>
      </c>
      <c r="T21" s="94">
        <f>IFERROR(_xll.qlRateHelperEarliestDate(S21,Trigger),"--")</f>
        <v>43635</v>
      </c>
      <c r="U21" s="94">
        <f>IFERROR(_xll.qlRateHelperPillarDate(S21,Trigger),"--")</f>
        <v>43727</v>
      </c>
      <c r="W21" s="3" t="str">
        <f t="shared" si="1"/>
        <v>Sw</v>
      </c>
      <c r="X21" s="3" t="str">
        <v>obj_00136</v>
      </c>
      <c r="Y21" s="3" t="str">
        <f>IFERROR(_xll.qlRateHelperQuoteName(X21,Trigger),"")</f>
        <v>SEKAB3S12Y_Quote</v>
      </c>
      <c r="Z21" s="67">
        <f>IFERROR(_xll.qlRateHelperRate(X21,Trigger),"")</f>
        <v>8.6750000000000004E-3</v>
      </c>
      <c r="AA21" s="98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42563</v>
      </c>
      <c r="AC21" s="4">
        <f>IFERROR(_xll.qlRateHelperPillarDate(X21,Trigger),"")</f>
        <v>46946</v>
      </c>
      <c r="AD21" s="73">
        <v>0.89912736176682206</v>
      </c>
      <c r="AE21" s="163"/>
      <c r="AF21" s="139">
        <v>11</v>
      </c>
      <c r="AG21" s="140">
        <f>_xll.qlCalendarEndOfMonth(Calendar,_xll.qlCalendarAdvance(Calendar,AG20,"1m","mf",TRUE),Trigger)</f>
        <v>42886</v>
      </c>
      <c r="AH21" s="139" t="str">
        <f t="shared" si="9"/>
        <v>SEKJump11_SYNTHON_Quote</v>
      </c>
      <c r="AI21" s="168">
        <f>_xll.qlDayCounterYearFraction("actual/360",AG21,_xll.qlCalendarAdvance(Calendar,AG21,"1D",,,Trigger))</f>
        <v>2.7777777777777779E-3</v>
      </c>
      <c r="AJ21" s="141" t="e">
        <f>IF(_xll.qlQuoteIsValid(AH21,Trigger),_xll.qlQuoteValue(AH21,Trigger),1)</f>
        <v>#NUM!</v>
      </c>
      <c r="AK21" s="171" t="e">
        <f t="shared" si="12"/>
        <v>#NUM!</v>
      </c>
      <c r="AL21" s="176">
        <v>0</v>
      </c>
      <c r="AM21" s="141">
        <f t="shared" si="13"/>
        <v>1</v>
      </c>
    </row>
    <row r="22" spans="1:39" ht="11.25" customHeight="1" x14ac:dyDescent="0.2">
      <c r="A22" s="58" t="s">
        <v>141</v>
      </c>
      <c r="B22" s="109" t="b">
        <v>1</v>
      </c>
      <c r="C22" s="61" t="str">
        <f>_xll.qlIMMNextCode(C21,B22,Trigger)</f>
        <v>H9</v>
      </c>
      <c r="D22" s="60">
        <v>11</v>
      </c>
      <c r="E22" s="118"/>
      <c r="F22" s="118"/>
      <c r="G22" s="60" t="str">
        <f t="shared" si="10"/>
        <v>Sekibor3M</v>
      </c>
      <c r="H22" s="112" t="str">
        <f t="shared" si="11"/>
        <v>FUTSEK3F11_Quote</v>
      </c>
      <c r="I22" s="121">
        <v>0</v>
      </c>
      <c r="J22" s="184" t="str">
        <f>IF(P20,_xll.qlFuturesRateHelper(,H22,$H$10,C22,G22,I22,Permanent,Trigger,ObjectOverwrite),"--")</f>
        <v>obj_00170#0001</v>
      </c>
      <c r="K22" s="48"/>
      <c r="L22" s="185" t="str">
        <f t="shared" si="5"/>
        <v>IMMFRA</v>
      </c>
      <c r="M22" s="193" t="str">
        <f t="shared" si="6"/>
        <v>FUTSEK3F13_Quote</v>
      </c>
      <c r="N22" s="202" t="str">
        <f>IFERROR(_xll.qlQuoteValue(H24,Trigger),"--")</f>
        <v>--</v>
      </c>
      <c r="O22" s="202">
        <f t="shared" si="7"/>
        <v>0</v>
      </c>
      <c r="P22" s="93" t="b">
        <v>0</v>
      </c>
      <c r="Q22" s="90">
        <v>60</v>
      </c>
      <c r="R22" s="90">
        <v>21</v>
      </c>
      <c r="S22" s="90" t="str">
        <f t="shared" si="8"/>
        <v>--</v>
      </c>
      <c r="T22" s="94" t="str">
        <f>IFERROR(_xll.qlRateHelperEarliestDate(S22,Trigger),"--")</f>
        <v>--</v>
      </c>
      <c r="U22" s="94" t="str">
        <f>IFERROR(_xll.qlRateHelperPillarDate(S22,Trigger),"--")</f>
        <v>--</v>
      </c>
      <c r="W22" s="3" t="str">
        <f t="shared" si="1"/>
        <v>Sw</v>
      </c>
      <c r="X22" s="3" t="str">
        <v>obj_0014f</v>
      </c>
      <c r="Y22" s="3" t="str">
        <f>IFERROR(_xll.qlRateHelperQuoteName(X22,Trigger),"")</f>
        <v>SEKAB3S15Y_Quote</v>
      </c>
      <c r="Z22" s="67">
        <f>IFERROR(_xll.qlRateHelperRate(X22,Trigger),"")</f>
        <v>1.0975000000000002E-2</v>
      </c>
      <c r="AA22" s="98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42563</v>
      </c>
      <c r="AC22" s="4">
        <f>IFERROR(_xll.qlRateHelperPillarDate(X22,Trigger),"")</f>
        <v>48043</v>
      </c>
      <c r="AD22" s="73">
        <v>0.84387432136382645</v>
      </c>
      <c r="AE22" s="163"/>
      <c r="AF22" s="139">
        <v>12</v>
      </c>
      <c r="AG22" s="140">
        <f>_xll.qlCalendarEndOfMonth(Calendar,_xll.qlCalendarAdvance(Calendar,AG21,"1m","mf",TRUE),Trigger)</f>
        <v>42916</v>
      </c>
      <c r="AH22" s="139" t="str">
        <f t="shared" si="9"/>
        <v>SEKJump12_SYNTHON_Quote</v>
      </c>
      <c r="AI22" s="168">
        <f>_xll.qlDayCounterYearFraction("actual/360",AG22,_xll.qlCalendarAdvance(Calendar,AG22,"1D",,,Trigger))</f>
        <v>8.3333333333333332E-3</v>
      </c>
      <c r="AJ22" s="141" t="e">
        <f>IF(_xll.qlQuoteIsValid(AH22,Trigger),_xll.qlQuoteValue(AH22,Trigger),1)</f>
        <v>#NUM!</v>
      </c>
      <c r="AK22" s="171" t="e">
        <f t="shared" si="12"/>
        <v>#NUM!</v>
      </c>
      <c r="AL22" s="176">
        <v>0</v>
      </c>
      <c r="AM22" s="141">
        <f t="shared" si="13"/>
        <v>1</v>
      </c>
    </row>
    <row r="23" spans="1:39" ht="11.25" customHeight="1" x14ac:dyDescent="0.2">
      <c r="A23" s="58" t="s">
        <v>141</v>
      </c>
      <c r="B23" s="109" t="b">
        <v>1</v>
      </c>
      <c r="C23" s="61" t="str">
        <f>_xll.qlIMMNextCode(C22,B23,Trigger)</f>
        <v>M9</v>
      </c>
      <c r="D23" s="60">
        <v>12</v>
      </c>
      <c r="E23" s="118"/>
      <c r="F23" s="118"/>
      <c r="G23" s="60" t="str">
        <f t="shared" si="10"/>
        <v>Sekibor3M</v>
      </c>
      <c r="H23" s="112" t="str">
        <f t="shared" si="11"/>
        <v>FUTSEK3F12_Quote</v>
      </c>
      <c r="I23" s="121">
        <v>0</v>
      </c>
      <c r="J23" s="184" t="str">
        <f>IF(P21,_xll.qlFuturesRateHelper(,H23,$H$10,C23,G23,I23,Permanent,Trigger,ObjectOverwrite),"--")</f>
        <v>obj_00171#0001</v>
      </c>
      <c r="K23" s="48"/>
      <c r="L23" s="185" t="str">
        <f t="shared" si="5"/>
        <v>IMMFRA</v>
      </c>
      <c r="M23" s="193" t="str">
        <f t="shared" si="6"/>
        <v>FUTSEK3F14_Quote</v>
      </c>
      <c r="N23" s="202" t="str">
        <f>IFERROR(_xll.qlQuoteValue(H25,Trigger),"--")</f>
        <v>--</v>
      </c>
      <c r="O23" s="202">
        <f t="shared" si="7"/>
        <v>0</v>
      </c>
      <c r="P23" s="93" t="b">
        <v>0</v>
      </c>
      <c r="Q23" s="90">
        <v>30</v>
      </c>
      <c r="R23" s="90">
        <v>21</v>
      </c>
      <c r="S23" s="90" t="str">
        <f t="shared" si="8"/>
        <v>--</v>
      </c>
      <c r="T23" s="94" t="str">
        <f>IFERROR(_xll.qlRateHelperEarliestDate(S23,Trigger),"--")</f>
        <v>--</v>
      </c>
      <c r="U23" s="94" t="str">
        <f>IFERROR(_xll.qlRateHelperPillarDate(S23,Trigger),"--")</f>
        <v>--</v>
      </c>
      <c r="W23" s="3" t="str">
        <f t="shared" si="1"/>
        <v>Sw</v>
      </c>
      <c r="X23" s="3" t="str">
        <v>obj_00134</v>
      </c>
      <c r="Y23" s="3" t="str">
        <f>IFERROR(_xll.qlRateHelperQuoteName(X23,Trigger),"")</f>
        <v>SEKAB3S20Y_Quote</v>
      </c>
      <c r="Z23" s="67">
        <f>IFERROR(_xll.qlRateHelperRate(X23,Trigger),"")</f>
        <v>1.3275000000000002E-2</v>
      </c>
      <c r="AA23" s="98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42563</v>
      </c>
      <c r="AC23" s="4">
        <f>IFERROR(_xll.qlRateHelperPillarDate(X23,Trigger),"")</f>
        <v>49870</v>
      </c>
      <c r="AD23" s="73">
        <v>0.75867517896014081</v>
      </c>
      <c r="AE23" s="163"/>
      <c r="AF23" s="142">
        <v>13</v>
      </c>
      <c r="AG23" s="143">
        <f>_xll.qlCalendarAdjust(Calendar,DATE(YEAR(AG11)+1,12,31),"preceding",Trigger)</f>
        <v>43098</v>
      </c>
      <c r="AH23" s="142" t="str">
        <f t="shared" si="9"/>
        <v>SEKJump13_SYNTHON_Quote</v>
      </c>
      <c r="AI23" s="169">
        <f>_xll.qlDayCounterYearFraction("actual/360",AG23,_xll.qlCalendarAdvance(Calendar,AG23,"1D",,,Trigger))</f>
        <v>1.1111111111111112E-2</v>
      </c>
      <c r="AJ23" s="144" t="e">
        <f>IF(_xll.qlQuoteIsValid(AH23,Trigger),_xll.qlQuoteValue(AH23,Trigger),1)</f>
        <v>#NUM!</v>
      </c>
      <c r="AK23" s="172" t="e">
        <f t="shared" si="12"/>
        <v>#NUM!</v>
      </c>
      <c r="AL23" s="177">
        <v>0</v>
      </c>
      <c r="AM23" s="144">
        <f t="shared" si="13"/>
        <v>1</v>
      </c>
    </row>
    <row r="24" spans="1:39" ht="11.25" customHeight="1" x14ac:dyDescent="0.2">
      <c r="A24" s="58" t="s">
        <v>141</v>
      </c>
      <c r="B24" s="109" t="b">
        <v>1</v>
      </c>
      <c r="C24" s="61" t="str">
        <f>_xll.qlIMMNextCode(C23,B24,Trigger)</f>
        <v>U9</v>
      </c>
      <c r="D24" s="60">
        <v>13</v>
      </c>
      <c r="E24" s="118"/>
      <c r="F24" s="118"/>
      <c r="G24" s="60" t="str">
        <f t="shared" si="10"/>
        <v>Sekibor3M</v>
      </c>
      <c r="H24" s="112" t="str">
        <f t="shared" si="11"/>
        <v>FUTSEK3F13_Quote</v>
      </c>
      <c r="I24" s="121">
        <v>0</v>
      </c>
      <c r="J24" s="184" t="str">
        <f>IF(P22,_xll.qlFuturesRateHelper(,H24,$H$10,C24,G24,I24,Permanent,Trigger,ObjectOverwrite),"--")</f>
        <v>--</v>
      </c>
      <c r="K24" s="48"/>
      <c r="L24" s="189" t="str">
        <f t="shared" si="5"/>
        <v>IMMFRA</v>
      </c>
      <c r="M24" s="190" t="str">
        <f t="shared" si="6"/>
        <v>FUTSEK3F15_Quote</v>
      </c>
      <c r="N24" s="203" t="str">
        <f>IFERROR(_xll.qlQuoteValue(H26,Trigger),"--")</f>
        <v>--</v>
      </c>
      <c r="O24" s="203">
        <f t="shared" si="7"/>
        <v>0</v>
      </c>
      <c r="P24" s="95" t="b">
        <v>0</v>
      </c>
      <c r="Q24" s="91">
        <v>30</v>
      </c>
      <c r="R24" s="91">
        <v>21</v>
      </c>
      <c r="S24" s="91" t="str">
        <f t="shared" si="8"/>
        <v>--</v>
      </c>
      <c r="T24" s="96" t="str">
        <f>IFERROR(_xll.qlRateHelperEarliestDate(S24,Trigger),"--")</f>
        <v>--</v>
      </c>
      <c r="U24" s="96" t="str">
        <f>IFERROR(_xll.qlRateHelperPillarDate(S24,Trigger),"--")</f>
        <v>--</v>
      </c>
      <c r="W24" s="3" t="str">
        <f t="shared" si="1"/>
        <v>Sw</v>
      </c>
      <c r="X24" s="3" t="str">
        <v>obj_00127</v>
      </c>
      <c r="Y24" s="3" t="str">
        <f>IFERROR(_xll.qlRateHelperQuoteName(X24,Trigger),"")</f>
        <v>SEKAB3S25Y_Quote</v>
      </c>
      <c r="Z24" s="67">
        <f>IFERROR(_xll.qlRateHelperRate(X24,Trigger),"")</f>
        <v>1.4425E-2</v>
      </c>
      <c r="AA24" s="98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42563</v>
      </c>
      <c r="AC24" s="4">
        <f>IFERROR(_xll.qlRateHelperPillarDate(X24,Trigger),"")</f>
        <v>51694</v>
      </c>
      <c r="AD24" s="73">
        <v>0.68639662223756326</v>
      </c>
      <c r="AE24" s="163"/>
    </row>
    <row r="25" spans="1:39" ht="11.25" customHeight="1" x14ac:dyDescent="0.2">
      <c r="A25" s="58" t="s">
        <v>141</v>
      </c>
      <c r="B25" s="109" t="b">
        <v>1</v>
      </c>
      <c r="C25" s="61" t="str">
        <f>_xll.qlIMMNextCode(C24,B25,Trigger)</f>
        <v>Z9</v>
      </c>
      <c r="D25" s="60">
        <v>14</v>
      </c>
      <c r="E25" s="118"/>
      <c r="F25" s="118"/>
      <c r="G25" s="60" t="str">
        <f t="shared" si="10"/>
        <v>Sekibor3M</v>
      </c>
      <c r="H25" s="112" t="str">
        <f t="shared" si="11"/>
        <v>FUTSEK3F14_Quote</v>
      </c>
      <c r="I25" s="121">
        <v>0</v>
      </c>
      <c r="J25" s="184" t="str">
        <f>IF(P23,_xll.qlFuturesRateHelper(,H25,$H$10,C25,G25,I25,Permanent,Trigger,ObjectOverwrite),"--")</f>
        <v>--</v>
      </c>
      <c r="K25" s="48"/>
      <c r="L25" s="197" t="str">
        <f t="shared" ref="L25:L45" si="14">A29</f>
        <v>Sw</v>
      </c>
      <c r="M25" s="204" t="str">
        <f>H29</f>
        <v>SEKAB3S6M_Quote</v>
      </c>
      <c r="N25" s="199" t="str">
        <f>IFERROR(_xll.qlQuoteValue(H29,Trigger),"--")</f>
        <v>--</v>
      </c>
      <c r="O25" s="199">
        <f>I29</f>
        <v>0</v>
      </c>
      <c r="P25" s="127" t="b">
        <v>0</v>
      </c>
      <c r="Q25" s="127">
        <v>50</v>
      </c>
      <c r="R25" s="127">
        <v>1</v>
      </c>
      <c r="S25" s="127" t="str">
        <f>J29</f>
        <v>--</v>
      </c>
      <c r="T25" s="128" t="str">
        <f>IFERROR(_xll.qlRateHelperEarliestDate(S25,Trigger),"--")</f>
        <v>--</v>
      </c>
      <c r="U25" s="128" t="str">
        <f>IFERROR(_xll.qlRateHelperPillarDate(S25,Trigger),"--")</f>
        <v>--</v>
      </c>
      <c r="W25" s="3" t="str">
        <f t="shared" si="1"/>
        <v>Sw</v>
      </c>
      <c r="X25" s="3" t="str">
        <v>obj_00115</v>
      </c>
      <c r="Y25" s="3" t="str">
        <f>IFERROR(_xll.qlRateHelperQuoteName(X25,Trigger),"")</f>
        <v>SEKAB3S30Y_Quote</v>
      </c>
      <c r="Z25" s="67">
        <f>IFERROR(_xll.qlRateHelperRate(X25,Trigger),"")</f>
        <v>1.4875000000000001E-2</v>
      </c>
      <c r="AA25" s="98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42563</v>
      </c>
      <c r="AC25" s="4">
        <f>IFERROR(_xll.qlRateHelperPillarDate(X25,Trigger),"")</f>
        <v>53520</v>
      </c>
      <c r="AD25" s="73">
        <v>0.62826033532182379</v>
      </c>
      <c r="AE25" s="163"/>
    </row>
    <row r="26" spans="1:39" ht="11.25" customHeight="1" x14ac:dyDescent="0.2">
      <c r="A26" s="1" t="s">
        <v>141</v>
      </c>
      <c r="B26" s="110" t="b">
        <v>1</v>
      </c>
      <c r="C26" s="8" t="str">
        <f>_xll.qlIMMNextCode(C25,B26,Trigger)</f>
        <v>H0</v>
      </c>
      <c r="D26" s="6">
        <v>15</v>
      </c>
      <c r="E26" s="119"/>
      <c r="F26" s="119"/>
      <c r="G26" s="6" t="str">
        <f t="shared" si="10"/>
        <v>Sekibor3M</v>
      </c>
      <c r="H26" s="113" t="str">
        <f t="shared" si="11"/>
        <v>FUTSEK3F15_Quote</v>
      </c>
      <c r="I26" s="123">
        <v>0</v>
      </c>
      <c r="J26" s="183" t="str">
        <f>IF(P24,_xll.qlFuturesRateHelper(,H26,$H$10,C26,G26,I26,Permanent,Trigger,ObjectOverwrite),"--")</f>
        <v>--</v>
      </c>
      <c r="K26" s="48"/>
      <c r="L26" s="185" t="str">
        <f t="shared" si="14"/>
        <v>Sw</v>
      </c>
      <c r="M26" s="193" t="str">
        <f t="shared" ref="M26:M51" si="15">H30</f>
        <v>SEKAB3S1Y_Quote</v>
      </c>
      <c r="N26" s="187">
        <f>IFERROR(_xll.qlQuoteValue(H30,Trigger),"--")</f>
        <v>-5.275000000000001E-3</v>
      </c>
      <c r="O26" s="187">
        <f t="shared" ref="O26:O51" si="16">I30</f>
        <v>0</v>
      </c>
      <c r="P26" s="129" t="b">
        <v>0</v>
      </c>
      <c r="Q26" s="129">
        <v>50</v>
      </c>
      <c r="R26" s="129">
        <v>1</v>
      </c>
      <c r="S26" s="129" t="str">
        <f t="shared" ref="S26:S51" si="17">J30</f>
        <v>--</v>
      </c>
      <c r="T26" s="130" t="str">
        <f>IFERROR(_xll.qlRateHelperEarliestDate(S26,Trigger),"--")</f>
        <v>--</v>
      </c>
      <c r="U26" s="130" t="str">
        <f>IFERROR(_xll.qlRateHelperPillarDate(S26,Trigger),"--")</f>
        <v>--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67" t="str">
        <f>IFERROR(_xll.qlRateHelperRate(X26,Trigger),"")</f>
        <v/>
      </c>
      <c r="AA26" s="98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3" t="e">
        <v>#N/A</v>
      </c>
      <c r="AE26" s="163"/>
    </row>
    <row r="27" spans="1:39" ht="11.25" customHeight="1" x14ac:dyDescent="0.2">
      <c r="G27" s="50" t="s">
        <v>112</v>
      </c>
      <c r="H27" s="50" t="s">
        <v>135</v>
      </c>
      <c r="K27" s="48"/>
      <c r="L27" s="185" t="str">
        <f t="shared" si="14"/>
        <v>Sw</v>
      </c>
      <c r="M27" s="193" t="str">
        <f t="shared" si="15"/>
        <v>SEKAB3S15M_Quote</v>
      </c>
      <c r="N27" s="187" t="str">
        <f>IFERROR(_xll.qlQuoteValue(H31,Trigger),"--")</f>
        <v>--</v>
      </c>
      <c r="O27" s="187">
        <f t="shared" si="16"/>
        <v>0</v>
      </c>
      <c r="P27" s="129" t="b">
        <v>0</v>
      </c>
      <c r="Q27" s="129">
        <v>50</v>
      </c>
      <c r="R27" s="129">
        <v>1</v>
      </c>
      <c r="S27" s="129" t="str">
        <f t="shared" si="17"/>
        <v>--</v>
      </c>
      <c r="T27" s="130" t="str">
        <f>IFERROR(_xll.qlRateHelperEarliestDate(S27,Trigger),"--")</f>
        <v>--</v>
      </c>
      <c r="U27" s="130" t="str">
        <f>IFERROR(_xll.qlRateHelperPillarDate(S27,Trigger),"--")</f>
        <v>--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67" t="str">
        <f>IFERROR(_xll.qlRateHelperRate(X27,Trigger),"")</f>
        <v/>
      </c>
      <c r="AA27" s="98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3" t="e">
        <v>#N/A</v>
      </c>
      <c r="AE27" s="163"/>
    </row>
    <row r="28" spans="1:39" ht="11.25" customHeight="1" x14ac:dyDescent="0.2">
      <c r="A28" s="63" t="s">
        <v>9</v>
      </c>
      <c r="B28" s="63" t="s">
        <v>30</v>
      </c>
      <c r="C28" s="63" t="s">
        <v>95</v>
      </c>
      <c r="D28" s="63" t="s">
        <v>5</v>
      </c>
      <c r="E28" s="63" t="s">
        <v>35</v>
      </c>
      <c r="F28" s="63" t="s">
        <v>96</v>
      </c>
      <c r="G28" s="63" t="s">
        <v>4</v>
      </c>
      <c r="H28" s="63" t="s">
        <v>1</v>
      </c>
      <c r="I28" s="63" t="s">
        <v>94</v>
      </c>
      <c r="J28" s="63" t="s">
        <v>25</v>
      </c>
      <c r="K28" s="48"/>
      <c r="L28" s="185" t="str">
        <f t="shared" si="14"/>
        <v>Sw</v>
      </c>
      <c r="M28" s="193" t="str">
        <f t="shared" si="15"/>
        <v>SEKAB3S18M_Quote</v>
      </c>
      <c r="N28" s="187" t="str">
        <f>IFERROR(_xll.qlQuoteValue(H32,Trigger),"--")</f>
        <v>--</v>
      </c>
      <c r="O28" s="187">
        <f t="shared" si="16"/>
        <v>0</v>
      </c>
      <c r="P28" s="129" t="b">
        <v>0</v>
      </c>
      <c r="Q28" s="129">
        <v>50</v>
      </c>
      <c r="R28" s="129">
        <v>1</v>
      </c>
      <c r="S28" s="129" t="str">
        <f t="shared" si="17"/>
        <v>--</v>
      </c>
      <c r="T28" s="130" t="str">
        <f>IFERROR(_xll.qlRateHelperEarliestDate(S28,Trigger),"--")</f>
        <v>--</v>
      </c>
      <c r="U28" s="130" t="str">
        <f>IFERROR(_xll.qlRateHelperPillarDate(S28,Trigger),"--")</f>
        <v>--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67" t="str">
        <f>IFERROR(_xll.qlRateHelperRate(X28,Trigger),"")</f>
        <v/>
      </c>
      <c r="AA28" s="98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3" t="e">
        <v>#N/A</v>
      </c>
      <c r="AE28" s="163"/>
    </row>
    <row r="29" spans="1:39" ht="11.25" customHeight="1" x14ac:dyDescent="0.2">
      <c r="A29" s="58" t="s">
        <v>26</v>
      </c>
      <c r="B29" s="59" t="s">
        <v>3</v>
      </c>
      <c r="C29" s="60" t="s">
        <v>6</v>
      </c>
      <c r="D29" s="60" t="s">
        <v>8</v>
      </c>
      <c r="E29" s="60" t="s">
        <v>7</v>
      </c>
      <c r="F29" s="60" t="s">
        <v>111</v>
      </c>
      <c r="G29" s="60" t="str">
        <f t="shared" ref="G29:G55" si="18">PROPER(Currency)&amp;FamilyName&amp;Tenor</f>
        <v>Sekibor3M</v>
      </c>
      <c r="H29" s="58" t="str">
        <f t="shared" ref="H29:H55" si="19">Currency&amp;$G$27&amp;$H$27&amp;$B29&amp;QuoteSuffix</f>
        <v>SEKAB3S6M_Quote</v>
      </c>
      <c r="I29" s="121">
        <v>0</v>
      </c>
      <c r="J29" s="184" t="str">
        <f>IF(P25,_xll.qlSwapRateHelper2(,H29,2,B29,Calendar,D29,E29,F29,G29,I29,C29,Discounting,PillarDate,,Permanent,Trigger,ObjectOverwrite),"--")</f>
        <v>--</v>
      </c>
      <c r="K29" s="48"/>
      <c r="L29" s="185" t="str">
        <f t="shared" si="14"/>
        <v>Sw</v>
      </c>
      <c r="M29" s="193" t="str">
        <f t="shared" si="15"/>
        <v>SEKAB3S21M_Quote</v>
      </c>
      <c r="N29" s="187" t="str">
        <f>IFERROR(_xll.qlQuoteValue(H33,Trigger),"--")</f>
        <v>--</v>
      </c>
      <c r="O29" s="187">
        <f t="shared" si="16"/>
        <v>0</v>
      </c>
      <c r="P29" s="129" t="b">
        <v>0</v>
      </c>
      <c r="Q29" s="129">
        <v>50</v>
      </c>
      <c r="R29" s="129">
        <v>1</v>
      </c>
      <c r="S29" s="129" t="str">
        <f t="shared" si="17"/>
        <v>--</v>
      </c>
      <c r="T29" s="130" t="str">
        <f>IFERROR(_xll.qlRateHelperEarliestDate(S29,Trigger),"--")</f>
        <v>--</v>
      </c>
      <c r="U29" s="130" t="str">
        <f>IFERROR(_xll.qlRateHelperPillarDate(S29,Trigger),"--")</f>
        <v>--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67" t="str">
        <f>IFERROR(_xll.qlRateHelperRate(X29,Trigger),"")</f>
        <v/>
      </c>
      <c r="AA29" s="98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3" t="e">
        <v>#N/A</v>
      </c>
      <c r="AE29" s="163"/>
    </row>
    <row r="30" spans="1:39" ht="11.25" customHeight="1" x14ac:dyDescent="0.2">
      <c r="A30" s="58" t="s">
        <v>26</v>
      </c>
      <c r="B30" s="59" t="s">
        <v>29</v>
      </c>
      <c r="C30" s="60" t="s">
        <v>6</v>
      </c>
      <c r="D30" s="60" t="s">
        <v>8</v>
      </c>
      <c r="E30" s="60" t="s">
        <v>7</v>
      </c>
      <c r="F30" s="60" t="s">
        <v>111</v>
      </c>
      <c r="G30" s="60" t="str">
        <f t="shared" si="18"/>
        <v>Sekibor3M</v>
      </c>
      <c r="H30" s="58" t="str">
        <f t="shared" si="19"/>
        <v>SEKAB3S1Y_Quote</v>
      </c>
      <c r="I30" s="121">
        <v>0</v>
      </c>
      <c r="J30" s="184" t="str">
        <f>IF(P26,_xll.qlSwapRateHelper2(,H30,2,B30,Calendar,D30,E30,F30,G30,I30,C30,Discounting,PillarDate,,Permanent,Trigger,ObjectOverwrite),"--")</f>
        <v>--</v>
      </c>
      <c r="K30" s="48"/>
      <c r="L30" s="185" t="str">
        <f t="shared" si="14"/>
        <v>Sw</v>
      </c>
      <c r="M30" s="193" t="str">
        <f t="shared" si="15"/>
        <v>SEKAB3S2Y_Quote</v>
      </c>
      <c r="N30" s="187">
        <f>IFERROR(_xll.qlQuoteValue(H34,Trigger),"--")</f>
        <v>-4.5500000000000002E-3</v>
      </c>
      <c r="O30" s="187">
        <f t="shared" si="16"/>
        <v>0</v>
      </c>
      <c r="P30" s="129" t="b">
        <v>1</v>
      </c>
      <c r="Q30" s="129">
        <v>50</v>
      </c>
      <c r="R30" s="129">
        <v>1</v>
      </c>
      <c r="S30" s="129" t="str">
        <f t="shared" si="17"/>
        <v>obj_0014d#0001</v>
      </c>
      <c r="T30" s="130">
        <f>IFERROR(_xll.qlRateHelperEarliestDate(S30,Trigger),"--")</f>
        <v>42563</v>
      </c>
      <c r="U30" s="130">
        <f>IFERROR(_xll.qlRateHelperPillarDate(S30,Trigger),"--")</f>
        <v>43293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8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3" t="e">
        <v>#N/A</v>
      </c>
    </row>
    <row r="31" spans="1:39" ht="11.25" customHeight="1" x14ac:dyDescent="0.2">
      <c r="A31" s="58" t="s">
        <v>26</v>
      </c>
      <c r="B31" s="59" t="s">
        <v>49</v>
      </c>
      <c r="C31" s="60" t="s">
        <v>6</v>
      </c>
      <c r="D31" s="60" t="s">
        <v>8</v>
      </c>
      <c r="E31" s="60" t="s">
        <v>7</v>
      </c>
      <c r="F31" s="60" t="s">
        <v>111</v>
      </c>
      <c r="G31" s="60" t="str">
        <f t="shared" si="18"/>
        <v>Sekibor3M</v>
      </c>
      <c r="H31" s="58" t="str">
        <f t="shared" si="19"/>
        <v>SEKAB3S15M_Quote</v>
      </c>
      <c r="I31" s="121">
        <v>0</v>
      </c>
      <c r="J31" s="184" t="str">
        <f>IF(P27,_xll.qlSwapRateHelper2(,H31,2,B31,Calendar,D31,E31,F31,G31,I31,C31,Discounting,PillarDate,,Permanent,Trigger,ObjectOverwrite),"--")</f>
        <v>--</v>
      </c>
      <c r="K31" s="48"/>
      <c r="L31" s="185" t="str">
        <f t="shared" si="14"/>
        <v>Sw</v>
      </c>
      <c r="M31" s="193" t="str">
        <f t="shared" si="15"/>
        <v>SEKAB3S27M_Quote</v>
      </c>
      <c r="N31" s="187" t="str">
        <f>IFERROR(_xll.qlQuoteValue(H35,Trigger),"--")</f>
        <v>--</v>
      </c>
      <c r="O31" s="187">
        <f t="shared" si="16"/>
        <v>0</v>
      </c>
      <c r="P31" s="129" t="b">
        <v>0</v>
      </c>
      <c r="Q31" s="129">
        <v>50</v>
      </c>
      <c r="R31" s="129">
        <v>1</v>
      </c>
      <c r="S31" s="129" t="str">
        <f t="shared" si="17"/>
        <v>--</v>
      </c>
      <c r="T31" s="130" t="str">
        <f>IFERROR(_xll.qlRateHelperEarliestDate(S31,Trigger),"--")</f>
        <v>--</v>
      </c>
      <c r="U31" s="130" t="str">
        <f>IFERROR(_xll.qlRateHelperPillarDate(S31,Trigger),"--")</f>
        <v>--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8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3" t="e">
        <v>#N/A</v>
      </c>
    </row>
    <row r="32" spans="1:39" ht="11.25" customHeight="1" x14ac:dyDescent="0.2">
      <c r="A32" s="58" t="s">
        <v>26</v>
      </c>
      <c r="B32" s="59" t="s">
        <v>50</v>
      </c>
      <c r="C32" s="60" t="s">
        <v>6</v>
      </c>
      <c r="D32" s="60" t="s">
        <v>8</v>
      </c>
      <c r="E32" s="60" t="s">
        <v>7</v>
      </c>
      <c r="F32" s="60" t="s">
        <v>111</v>
      </c>
      <c r="G32" s="60" t="str">
        <f t="shared" si="18"/>
        <v>Sekibor3M</v>
      </c>
      <c r="H32" s="58" t="str">
        <f t="shared" si="19"/>
        <v>SEKAB3S18M_Quote</v>
      </c>
      <c r="I32" s="121">
        <v>0</v>
      </c>
      <c r="J32" s="184" t="str">
        <f>IF(P28,_xll.qlSwapRateHelper2(,H32,2,B32,Calendar,D32,E32,F32,G32,I32,C32,Discounting,PillarDate,,Permanent,Trigger,ObjectOverwrite),"--")</f>
        <v>--</v>
      </c>
      <c r="K32" s="48"/>
      <c r="L32" s="185" t="str">
        <f t="shared" si="14"/>
        <v>Sw</v>
      </c>
      <c r="M32" s="193" t="str">
        <f t="shared" si="15"/>
        <v>SEKAB3S30M_Quote</v>
      </c>
      <c r="N32" s="187" t="str">
        <f>IFERROR(_xll.qlQuoteValue(H36,Trigger),"--")</f>
        <v>--</v>
      </c>
      <c r="O32" s="187">
        <f t="shared" si="16"/>
        <v>0</v>
      </c>
      <c r="P32" s="129" t="b">
        <v>0</v>
      </c>
      <c r="Q32" s="129">
        <v>50</v>
      </c>
      <c r="R32" s="129">
        <v>1</v>
      </c>
      <c r="S32" s="129" t="str">
        <f t="shared" si="17"/>
        <v>--</v>
      </c>
      <c r="T32" s="130" t="str">
        <f>IFERROR(_xll.qlRateHelperEarliestDate(S32,Trigger),"--")</f>
        <v>--</v>
      </c>
      <c r="U32" s="130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67" t="str">
        <f>IFERROR(_xll.qlRateHelperRate(X32,Trigger),"")</f>
        <v/>
      </c>
      <c r="AA32" s="98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3" t="e">
        <v>#N/A</v>
      </c>
    </row>
    <row r="33" spans="1:30" ht="11.25" customHeight="1" x14ac:dyDescent="0.2">
      <c r="A33" s="58" t="s">
        <v>26</v>
      </c>
      <c r="B33" s="59" t="s">
        <v>51</v>
      </c>
      <c r="C33" s="60" t="s">
        <v>6</v>
      </c>
      <c r="D33" s="60" t="s">
        <v>8</v>
      </c>
      <c r="E33" s="60" t="s">
        <v>7</v>
      </c>
      <c r="F33" s="60" t="s">
        <v>111</v>
      </c>
      <c r="G33" s="60" t="str">
        <f t="shared" si="18"/>
        <v>Sekibor3M</v>
      </c>
      <c r="H33" s="58" t="str">
        <f t="shared" si="19"/>
        <v>SEKAB3S21M_Quote</v>
      </c>
      <c r="I33" s="121">
        <v>0</v>
      </c>
      <c r="J33" s="184" t="str">
        <f>IF(P29,_xll.qlSwapRateHelper2(,H33,2,B33,Calendar,D33,E33,F33,G33,I33,C33,Discounting,PillarDate,,Permanent,Trigger,ObjectOverwrite),"--")</f>
        <v>--</v>
      </c>
      <c r="K33" s="48"/>
      <c r="L33" s="185" t="str">
        <f t="shared" si="14"/>
        <v>Sw</v>
      </c>
      <c r="M33" s="193" t="str">
        <f t="shared" si="15"/>
        <v>SEKAB3S33M_Quote</v>
      </c>
      <c r="N33" s="187" t="str">
        <f>IFERROR(_xll.qlQuoteValue(H37,Trigger),"--")</f>
        <v>--</v>
      </c>
      <c r="O33" s="187">
        <f t="shared" si="16"/>
        <v>0</v>
      </c>
      <c r="P33" s="129" t="b">
        <v>0</v>
      </c>
      <c r="Q33" s="129">
        <v>50</v>
      </c>
      <c r="R33" s="129">
        <v>1</v>
      </c>
      <c r="S33" s="129" t="str">
        <f t="shared" si="17"/>
        <v>--</v>
      </c>
      <c r="T33" s="130" t="str">
        <f>IFERROR(_xll.qlRateHelperEarliestDate(S33,Trigger),"--")</f>
        <v>--</v>
      </c>
      <c r="U33" s="130" t="str">
        <f>IFERROR(_xll.qlRateHelperPillarDate(S33,Trigger),"--")</f>
        <v>--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67" t="str">
        <f>IFERROR(_xll.qlRateHelperRate(X33,Trigger),"")</f>
        <v/>
      </c>
      <c r="AA33" s="98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3" t="e">
        <v>#N/A</v>
      </c>
    </row>
    <row r="34" spans="1:30" ht="11.25" customHeight="1" x14ac:dyDescent="0.2">
      <c r="A34" s="58" t="s">
        <v>26</v>
      </c>
      <c r="B34" s="59" t="s">
        <v>52</v>
      </c>
      <c r="C34" s="60" t="s">
        <v>6</v>
      </c>
      <c r="D34" s="60" t="s">
        <v>8</v>
      </c>
      <c r="E34" s="60" t="s">
        <v>7</v>
      </c>
      <c r="F34" s="60" t="s">
        <v>111</v>
      </c>
      <c r="G34" s="60" t="str">
        <f t="shared" si="18"/>
        <v>Sekibor3M</v>
      </c>
      <c r="H34" s="58" t="str">
        <f t="shared" si="19"/>
        <v>SEKAB3S2Y_Quote</v>
      </c>
      <c r="I34" s="121">
        <v>0</v>
      </c>
      <c r="J34" s="184" t="str">
        <f>IF(P30,_xll.qlSwapRateHelper2(,H34,2,B34,Calendar,D34,E34,F34,G34,I34,C34,Discounting,PillarDate,,Permanent,Trigger,ObjectOverwrite),"--")</f>
        <v>obj_0014d#0001</v>
      </c>
      <c r="K34" s="48"/>
      <c r="L34" s="185" t="str">
        <f t="shared" si="14"/>
        <v>Sw</v>
      </c>
      <c r="M34" s="193" t="str">
        <f t="shared" si="15"/>
        <v>SEKAB3S3Y_Quote</v>
      </c>
      <c r="N34" s="187">
        <f>IFERROR(_xll.qlQuoteValue(H38,Trigger),"--")</f>
        <v>-3.3250000000000003E-3</v>
      </c>
      <c r="O34" s="187">
        <f t="shared" si="16"/>
        <v>0</v>
      </c>
      <c r="P34" s="129" t="b">
        <v>1</v>
      </c>
      <c r="Q34" s="129">
        <v>50</v>
      </c>
      <c r="R34" s="129">
        <v>1</v>
      </c>
      <c r="S34" s="129" t="str">
        <f t="shared" si="17"/>
        <v>obj_00111#0001</v>
      </c>
      <c r="T34" s="130">
        <f>IFERROR(_xll.qlRateHelperEarliestDate(S34,Trigger),"--")</f>
        <v>42563</v>
      </c>
      <c r="U34" s="130">
        <f>IFERROR(_xll.qlRateHelperPillarDate(S34,Trigger),"--")</f>
        <v>43658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67" t="str">
        <f>IFERROR(_xll.qlRateHelperRate(X34,Trigger),"")</f>
        <v/>
      </c>
      <c r="AA34" s="98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3" t="e">
        <v>#N/A</v>
      </c>
    </row>
    <row r="35" spans="1:30" ht="11.25" customHeight="1" x14ac:dyDescent="0.2">
      <c r="A35" s="58" t="s">
        <v>26</v>
      </c>
      <c r="B35" s="59" t="s">
        <v>125</v>
      </c>
      <c r="C35" s="60" t="s">
        <v>6</v>
      </c>
      <c r="D35" s="60" t="s">
        <v>8</v>
      </c>
      <c r="E35" s="60" t="s">
        <v>7</v>
      </c>
      <c r="F35" s="60" t="s">
        <v>111</v>
      </c>
      <c r="G35" s="60" t="str">
        <f t="shared" si="18"/>
        <v>Sekibor3M</v>
      </c>
      <c r="H35" s="58" t="str">
        <f t="shared" si="19"/>
        <v>SEKAB3S27M_Quote</v>
      </c>
      <c r="I35" s="121">
        <v>0</v>
      </c>
      <c r="J35" s="184" t="str">
        <f>IF(P31,_xll.qlSwapRateHelper2(,H35,2,B35,Calendar,D35,E35,F35,G35,I35,C35,Discounting,PillarDate,,Permanent,Trigger,ObjectOverwrite),"--")</f>
        <v>--</v>
      </c>
      <c r="K35" s="48"/>
      <c r="L35" s="185" t="str">
        <f t="shared" si="14"/>
        <v>Sw</v>
      </c>
      <c r="M35" s="193" t="str">
        <f t="shared" si="15"/>
        <v>SEKAB3S4Y_Quote</v>
      </c>
      <c r="N35" s="187">
        <f>IFERROR(_xll.qlQuoteValue(H39,Trigger),"--")</f>
        <v>-1.9E-3</v>
      </c>
      <c r="O35" s="187">
        <f t="shared" si="16"/>
        <v>0</v>
      </c>
      <c r="P35" s="129" t="b">
        <v>1</v>
      </c>
      <c r="Q35" s="129">
        <v>50</v>
      </c>
      <c r="R35" s="129">
        <v>1</v>
      </c>
      <c r="S35" s="129" t="str">
        <f t="shared" si="17"/>
        <v>obj_00110#0001</v>
      </c>
      <c r="T35" s="130">
        <f>IFERROR(_xll.qlRateHelperEarliestDate(S35,Trigger),"--")</f>
        <v>42563</v>
      </c>
      <c r="U35" s="130">
        <f>IFERROR(_xll.qlRateHelperPillarDate(S35,Trigger),"--")</f>
        <v>44025</v>
      </c>
      <c r="W35" s="3" t="str">
        <f t="shared" ref="W35:W51" si="20">IFERROR(INDEX($L$3:$L$51,MATCH(Y35,$M$3:$M$51,0),1),"")</f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8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3" t="e">
        <v>#N/A</v>
      </c>
    </row>
    <row r="36" spans="1:30" ht="11.25" customHeight="1" x14ac:dyDescent="0.2">
      <c r="A36" s="58" t="s">
        <v>26</v>
      </c>
      <c r="B36" s="59" t="s">
        <v>126</v>
      </c>
      <c r="C36" s="60" t="s">
        <v>6</v>
      </c>
      <c r="D36" s="60" t="s">
        <v>8</v>
      </c>
      <c r="E36" s="60" t="s">
        <v>7</v>
      </c>
      <c r="F36" s="60" t="s">
        <v>111</v>
      </c>
      <c r="G36" s="60" t="str">
        <f t="shared" si="18"/>
        <v>Sekibor3M</v>
      </c>
      <c r="H36" s="58" t="str">
        <f t="shared" si="19"/>
        <v>SEKAB3S30M_Quote</v>
      </c>
      <c r="I36" s="121">
        <v>0</v>
      </c>
      <c r="J36" s="184" t="str">
        <f>IF(P32,_xll.qlSwapRateHelper2(,H36,2,B36,Calendar,D36,E36,F36,G36,I36,C36,Discounting,PillarDate,,Permanent,Trigger,ObjectOverwrite),"--")</f>
        <v>--</v>
      </c>
      <c r="K36" s="48"/>
      <c r="L36" s="185" t="str">
        <f t="shared" si="14"/>
        <v>Sw</v>
      </c>
      <c r="M36" s="193" t="str">
        <f t="shared" si="15"/>
        <v>SEKAB3S5Y_Quote</v>
      </c>
      <c r="N36" s="187">
        <f>IFERROR(_xll.qlQuoteValue(H40,Trigger),"--")</f>
        <v>-3.7500000000000001E-4</v>
      </c>
      <c r="O36" s="187">
        <f t="shared" si="16"/>
        <v>0</v>
      </c>
      <c r="P36" s="129" t="b">
        <v>1</v>
      </c>
      <c r="Q36" s="129">
        <v>50</v>
      </c>
      <c r="R36" s="129">
        <v>1</v>
      </c>
      <c r="S36" s="129" t="str">
        <f t="shared" si="17"/>
        <v>obj_00139#0001</v>
      </c>
      <c r="T36" s="130">
        <f>IFERROR(_xll.qlRateHelperEarliestDate(S36,Trigger),"--")</f>
        <v>42563</v>
      </c>
      <c r="U36" s="130">
        <f>IFERROR(_xll.qlRateHelperPillarDate(S36,Trigger),"--")</f>
        <v>44389</v>
      </c>
      <c r="W36" s="3" t="str">
        <f t="shared" si="20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8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3" t="e">
        <v>#N/A</v>
      </c>
    </row>
    <row r="37" spans="1:30" ht="11.25" customHeight="1" x14ac:dyDescent="0.2">
      <c r="A37" s="58" t="s">
        <v>26</v>
      </c>
      <c r="B37" s="59" t="s">
        <v>127</v>
      </c>
      <c r="C37" s="60" t="s">
        <v>6</v>
      </c>
      <c r="D37" s="60" t="s">
        <v>8</v>
      </c>
      <c r="E37" s="60" t="s">
        <v>7</v>
      </c>
      <c r="F37" s="60" t="s">
        <v>111</v>
      </c>
      <c r="G37" s="60" t="str">
        <f t="shared" si="18"/>
        <v>Sekibor3M</v>
      </c>
      <c r="H37" s="58" t="str">
        <f t="shared" si="19"/>
        <v>SEKAB3S33M_Quote</v>
      </c>
      <c r="I37" s="121">
        <v>0</v>
      </c>
      <c r="J37" s="184" t="str">
        <f>IF(P33,_xll.qlSwapRateHelper2(,H37,2,B37,Calendar,D37,E37,F37,G37,I37,C37,Discounting,PillarDate,,Permanent,Trigger,ObjectOverwrite),"--")</f>
        <v>--</v>
      </c>
      <c r="K37" s="48"/>
      <c r="L37" s="185" t="str">
        <f t="shared" si="14"/>
        <v>Sw</v>
      </c>
      <c r="M37" s="193" t="str">
        <f t="shared" si="15"/>
        <v>SEKAB3S6Y_Quote</v>
      </c>
      <c r="N37" s="187">
        <f>IFERROR(_xll.qlQuoteValue(H41,Trigger),"--")</f>
        <v>1.2250000000000002E-3</v>
      </c>
      <c r="O37" s="187">
        <f t="shared" si="16"/>
        <v>0</v>
      </c>
      <c r="P37" s="129" t="b">
        <v>1</v>
      </c>
      <c r="Q37" s="129">
        <v>50</v>
      </c>
      <c r="R37" s="129">
        <v>1</v>
      </c>
      <c r="S37" s="129" t="str">
        <f t="shared" si="17"/>
        <v>obj_00141#0001</v>
      </c>
      <c r="T37" s="130">
        <f>IFERROR(_xll.qlRateHelperEarliestDate(S37,Trigger),"--")</f>
        <v>42563</v>
      </c>
      <c r="U37" s="130">
        <f>IFERROR(_xll.qlRateHelperPillarDate(S37,Trigger),"--")</f>
        <v>44754</v>
      </c>
      <c r="W37" s="3" t="str">
        <f t="shared" si="2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8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3" t="e">
        <v>#N/A</v>
      </c>
    </row>
    <row r="38" spans="1:30" ht="11.25" customHeight="1" x14ac:dyDescent="0.2">
      <c r="A38" s="58" t="s">
        <v>26</v>
      </c>
      <c r="B38" s="59" t="s">
        <v>53</v>
      </c>
      <c r="C38" s="60" t="s">
        <v>6</v>
      </c>
      <c r="D38" s="60" t="s">
        <v>8</v>
      </c>
      <c r="E38" s="60" t="s">
        <v>7</v>
      </c>
      <c r="F38" s="60" t="s">
        <v>111</v>
      </c>
      <c r="G38" s="60" t="str">
        <f t="shared" si="18"/>
        <v>Sekibor3M</v>
      </c>
      <c r="H38" s="58" t="str">
        <f t="shared" si="19"/>
        <v>SEKAB3S3Y_Quote</v>
      </c>
      <c r="I38" s="121">
        <v>0</v>
      </c>
      <c r="J38" s="184" t="str">
        <f>IF(P34,_xll.qlSwapRateHelper2(,H38,2,B38,Calendar,D38,E38,F38,G38,I38,C38,Discounting,PillarDate,,Permanent,Trigger,ObjectOverwrite),"--")</f>
        <v>obj_00111#0001</v>
      </c>
      <c r="K38" s="48"/>
      <c r="L38" s="185" t="str">
        <f t="shared" si="14"/>
        <v>Sw</v>
      </c>
      <c r="M38" s="193" t="str">
        <f t="shared" si="15"/>
        <v>SEKAB3S7Y_Quote</v>
      </c>
      <c r="N38" s="187">
        <f>IFERROR(_xll.qlQuoteValue(H42,Trigger),"--")</f>
        <v>2.8249999999999998E-3</v>
      </c>
      <c r="O38" s="187">
        <f t="shared" si="16"/>
        <v>0</v>
      </c>
      <c r="P38" s="129" t="b">
        <v>1</v>
      </c>
      <c r="Q38" s="129">
        <v>50</v>
      </c>
      <c r="R38" s="129">
        <v>1</v>
      </c>
      <c r="S38" s="129" t="str">
        <f t="shared" si="17"/>
        <v>obj_0012d#0001</v>
      </c>
      <c r="T38" s="130">
        <f>IFERROR(_xll.qlRateHelperEarliestDate(S38,Trigger),"--")</f>
        <v>42563</v>
      </c>
      <c r="U38" s="130">
        <f>IFERROR(_xll.qlRateHelperPillarDate(S38,Trigger),"--")</f>
        <v>45119</v>
      </c>
      <c r="W38" s="3" t="str">
        <f t="shared" si="2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8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3" t="e">
        <v>#N/A</v>
      </c>
    </row>
    <row r="39" spans="1:30" ht="11.25" customHeight="1" x14ac:dyDescent="0.2">
      <c r="A39" s="58" t="s">
        <v>26</v>
      </c>
      <c r="B39" s="59" t="s">
        <v>54</v>
      </c>
      <c r="C39" s="60" t="s">
        <v>6</v>
      </c>
      <c r="D39" s="60" t="s">
        <v>8</v>
      </c>
      <c r="E39" s="60" t="s">
        <v>7</v>
      </c>
      <c r="F39" s="60" t="s">
        <v>111</v>
      </c>
      <c r="G39" s="60" t="str">
        <f t="shared" si="18"/>
        <v>Sekibor3M</v>
      </c>
      <c r="H39" s="58" t="str">
        <f t="shared" si="19"/>
        <v>SEKAB3S4Y_Quote</v>
      </c>
      <c r="I39" s="121">
        <v>0</v>
      </c>
      <c r="J39" s="184" t="str">
        <f>IF(P35,_xll.qlSwapRateHelper2(,H39,2,B39,Calendar,D39,E39,F39,G39,I39,C39,Discounting,PillarDate,,Permanent,Trigger,ObjectOverwrite),"--")</f>
        <v>obj_00110#0001</v>
      </c>
      <c r="K39" s="48"/>
      <c r="L39" s="185" t="str">
        <f t="shared" si="14"/>
        <v>Sw</v>
      </c>
      <c r="M39" s="193" t="str">
        <f t="shared" si="15"/>
        <v>SEKAB3S8Y_Quote</v>
      </c>
      <c r="N39" s="187">
        <f>IFERROR(_xll.qlQuoteValue(H43,Trigger),"--")</f>
        <v>4.2750000000000002E-3</v>
      </c>
      <c r="O39" s="187">
        <f t="shared" si="16"/>
        <v>0</v>
      </c>
      <c r="P39" s="129" t="b">
        <v>1</v>
      </c>
      <c r="Q39" s="129">
        <v>50</v>
      </c>
      <c r="R39" s="129">
        <v>1</v>
      </c>
      <c r="S39" s="129" t="str">
        <f t="shared" si="17"/>
        <v>obj_0014a#0001</v>
      </c>
      <c r="T39" s="130">
        <f>IFERROR(_xll.qlRateHelperEarliestDate(S39,Trigger),"--")</f>
        <v>42563</v>
      </c>
      <c r="U39" s="130">
        <f>IFERROR(_xll.qlRateHelperPillarDate(S39,Trigger),"--")</f>
        <v>45485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8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3" t="e">
        <v>#N/A</v>
      </c>
    </row>
    <row r="40" spans="1:30" ht="11.25" customHeight="1" x14ac:dyDescent="0.2">
      <c r="A40" s="58" t="s">
        <v>26</v>
      </c>
      <c r="B40" s="59" t="s">
        <v>55</v>
      </c>
      <c r="C40" s="60" t="s">
        <v>6</v>
      </c>
      <c r="D40" s="60" t="s">
        <v>8</v>
      </c>
      <c r="E40" s="60" t="s">
        <v>7</v>
      </c>
      <c r="F40" s="60" t="s">
        <v>111</v>
      </c>
      <c r="G40" s="60" t="str">
        <f t="shared" si="18"/>
        <v>Sekibor3M</v>
      </c>
      <c r="H40" s="58" t="str">
        <f t="shared" si="19"/>
        <v>SEKAB3S5Y_Quote</v>
      </c>
      <c r="I40" s="121">
        <v>0</v>
      </c>
      <c r="J40" s="184" t="str">
        <f>IF(P36,_xll.qlSwapRateHelper2(,H40,2,B40,Calendar,D40,E40,F40,G40,I40,C40,Discounting,PillarDate,,Permanent,Trigger,ObjectOverwrite),"--")</f>
        <v>obj_00139#0001</v>
      </c>
      <c r="K40" s="48"/>
      <c r="L40" s="185" t="str">
        <f t="shared" si="14"/>
        <v>Sw</v>
      </c>
      <c r="M40" s="193" t="str">
        <f t="shared" si="15"/>
        <v>SEKAB3S9Y_Quote</v>
      </c>
      <c r="N40" s="187">
        <f>IFERROR(_xll.qlQuoteValue(H44,Trigger),"--")</f>
        <v>5.5750000000000001E-3</v>
      </c>
      <c r="O40" s="187">
        <f t="shared" si="16"/>
        <v>0</v>
      </c>
      <c r="P40" s="129" t="b">
        <v>1</v>
      </c>
      <c r="Q40" s="129">
        <v>50</v>
      </c>
      <c r="R40" s="129">
        <v>1</v>
      </c>
      <c r="S40" s="129" t="str">
        <f t="shared" si="17"/>
        <v>obj_00118#0001</v>
      </c>
      <c r="T40" s="130">
        <f>IFERROR(_xll.qlRateHelperEarliestDate(S40,Trigger),"--")</f>
        <v>42563</v>
      </c>
      <c r="U40" s="130">
        <f>IFERROR(_xll.qlRateHelperPillarDate(S40,Trigger),"--")</f>
        <v>45852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8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3" t="e">
        <v>#N/A</v>
      </c>
    </row>
    <row r="41" spans="1:30" ht="11.25" customHeight="1" x14ac:dyDescent="0.2">
      <c r="A41" s="58" t="s">
        <v>26</v>
      </c>
      <c r="B41" s="59" t="s">
        <v>56</v>
      </c>
      <c r="C41" s="60" t="s">
        <v>6</v>
      </c>
      <c r="D41" s="60" t="s">
        <v>8</v>
      </c>
      <c r="E41" s="60" t="s">
        <v>7</v>
      </c>
      <c r="F41" s="60" t="s">
        <v>111</v>
      </c>
      <c r="G41" s="60" t="str">
        <f t="shared" si="18"/>
        <v>Sekibor3M</v>
      </c>
      <c r="H41" s="58" t="str">
        <f t="shared" si="19"/>
        <v>SEKAB3S6Y_Quote</v>
      </c>
      <c r="I41" s="121">
        <v>0</v>
      </c>
      <c r="J41" s="184" t="str">
        <f>IF(P37,_xll.qlSwapRateHelper2(,H41,2,B41,Calendar,D41,E41,F41,G41,I41,C41,Discounting,PillarDate,,Permanent,Trigger,ObjectOverwrite),"--")</f>
        <v>obj_00141#0001</v>
      </c>
      <c r="L41" s="185" t="str">
        <f t="shared" si="14"/>
        <v>Sw</v>
      </c>
      <c r="M41" s="193" t="str">
        <f t="shared" si="15"/>
        <v>SEKAB3S10Y_Quote</v>
      </c>
      <c r="N41" s="187">
        <f>IFERROR(_xll.qlQuoteValue(H45,Trigger),"--")</f>
        <v>6.7250000000000009E-3</v>
      </c>
      <c r="O41" s="187">
        <f t="shared" si="16"/>
        <v>0</v>
      </c>
      <c r="P41" s="129" t="b">
        <v>1</v>
      </c>
      <c r="Q41" s="129">
        <v>50</v>
      </c>
      <c r="R41" s="129">
        <v>1</v>
      </c>
      <c r="S41" s="129" t="str">
        <f t="shared" si="17"/>
        <v>obj_0011f#0001</v>
      </c>
      <c r="T41" s="130">
        <f>IFERROR(_xll.qlRateHelperEarliestDate(S41,Trigger),"--")</f>
        <v>42563</v>
      </c>
      <c r="U41" s="130">
        <f>IFERROR(_xll.qlRateHelperPillarDate(S41,Trigger),"--")</f>
        <v>46216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8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3" t="e">
        <v>#N/A</v>
      </c>
    </row>
    <row r="42" spans="1:30" ht="11.25" customHeight="1" x14ac:dyDescent="0.2">
      <c r="A42" s="58" t="s">
        <v>26</v>
      </c>
      <c r="B42" s="59" t="s">
        <v>57</v>
      </c>
      <c r="C42" s="60" t="s">
        <v>6</v>
      </c>
      <c r="D42" s="60" t="s">
        <v>8</v>
      </c>
      <c r="E42" s="60" t="s">
        <v>7</v>
      </c>
      <c r="F42" s="60" t="s">
        <v>111</v>
      </c>
      <c r="G42" s="60" t="str">
        <f t="shared" si="18"/>
        <v>Sekibor3M</v>
      </c>
      <c r="H42" s="58" t="str">
        <f t="shared" si="19"/>
        <v>SEKAB3S7Y_Quote</v>
      </c>
      <c r="I42" s="121">
        <v>0</v>
      </c>
      <c r="J42" s="184" t="str">
        <f>IF(P38,_xll.qlSwapRateHelper2(,H42,2,B42,Calendar,D42,E42,F42,G42,I42,C42,Discounting,PillarDate,,Permanent,Trigger,ObjectOverwrite),"--")</f>
        <v>obj_0012d#0001</v>
      </c>
      <c r="L42" s="185" t="str">
        <f t="shared" si="14"/>
        <v>Sw</v>
      </c>
      <c r="M42" s="193" t="str">
        <f t="shared" si="15"/>
        <v>SEKAB3S12Y_Quote</v>
      </c>
      <c r="N42" s="187">
        <f>IFERROR(_xll.qlQuoteValue(H46,Trigger),"--")</f>
        <v>8.6750000000000004E-3</v>
      </c>
      <c r="O42" s="187">
        <f t="shared" si="16"/>
        <v>0</v>
      </c>
      <c r="P42" s="129" t="b">
        <v>1</v>
      </c>
      <c r="Q42" s="129">
        <v>50</v>
      </c>
      <c r="R42" s="129">
        <v>1</v>
      </c>
      <c r="S42" s="129" t="str">
        <f t="shared" si="17"/>
        <v>obj_00136#0001</v>
      </c>
      <c r="T42" s="130">
        <f>IFERROR(_xll.qlRateHelperEarliestDate(S42,Trigger),"--")</f>
        <v>42563</v>
      </c>
      <c r="U42" s="130">
        <f>IFERROR(_xll.qlRateHelperPillarDate(S42,Trigger),"--")</f>
        <v>46946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8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3" t="e">
        <v>#N/A</v>
      </c>
    </row>
    <row r="43" spans="1:30" ht="11.25" customHeight="1" x14ac:dyDescent="0.2">
      <c r="A43" s="58" t="s">
        <v>26</v>
      </c>
      <c r="B43" s="59" t="s">
        <v>58</v>
      </c>
      <c r="C43" s="60" t="s">
        <v>6</v>
      </c>
      <c r="D43" s="60" t="s">
        <v>8</v>
      </c>
      <c r="E43" s="60" t="s">
        <v>7</v>
      </c>
      <c r="F43" s="60" t="s">
        <v>111</v>
      </c>
      <c r="G43" s="60" t="str">
        <f t="shared" si="18"/>
        <v>Sekibor3M</v>
      </c>
      <c r="H43" s="58" t="str">
        <f t="shared" si="19"/>
        <v>SEKAB3S8Y_Quote</v>
      </c>
      <c r="I43" s="121">
        <v>0</v>
      </c>
      <c r="J43" s="184" t="str">
        <f>IF(P39,_xll.qlSwapRateHelper2(,H43,2,B43,Calendar,D43,E43,F43,G43,I43,C43,Discounting,PillarDate,,Permanent,Trigger,ObjectOverwrite),"--")</f>
        <v>obj_0014a#0001</v>
      </c>
      <c r="L43" s="185" t="str">
        <f t="shared" si="14"/>
        <v>Sw</v>
      </c>
      <c r="M43" s="193" t="str">
        <f t="shared" si="15"/>
        <v>SEKAB3S15Y_Quote</v>
      </c>
      <c r="N43" s="187">
        <f>IFERROR(_xll.qlQuoteValue(H47,Trigger),"--")</f>
        <v>1.0975000000000002E-2</v>
      </c>
      <c r="O43" s="187">
        <f t="shared" si="16"/>
        <v>0</v>
      </c>
      <c r="P43" s="129" t="b">
        <v>1</v>
      </c>
      <c r="Q43" s="129">
        <v>50</v>
      </c>
      <c r="R43" s="129">
        <v>1</v>
      </c>
      <c r="S43" s="129" t="str">
        <f t="shared" si="17"/>
        <v>obj_0014f#0001</v>
      </c>
      <c r="T43" s="130">
        <f>IFERROR(_xll.qlRateHelperEarliestDate(S43,Trigger),"--")</f>
        <v>42563</v>
      </c>
      <c r="U43" s="130">
        <f>IFERROR(_xll.qlRateHelperPillarDate(S43,Trigger),"--")</f>
        <v>48043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8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3" t="e">
        <v>#N/A</v>
      </c>
    </row>
    <row r="44" spans="1:30" ht="11.25" customHeight="1" x14ac:dyDescent="0.2">
      <c r="A44" s="58" t="s">
        <v>26</v>
      </c>
      <c r="B44" s="59" t="s">
        <v>59</v>
      </c>
      <c r="C44" s="60" t="s">
        <v>6</v>
      </c>
      <c r="D44" s="60" t="s">
        <v>8</v>
      </c>
      <c r="E44" s="60" t="s">
        <v>7</v>
      </c>
      <c r="F44" s="60" t="s">
        <v>111</v>
      </c>
      <c r="G44" s="60" t="str">
        <f t="shared" si="18"/>
        <v>Sekibor3M</v>
      </c>
      <c r="H44" s="58" t="str">
        <f t="shared" si="19"/>
        <v>SEKAB3S9Y_Quote</v>
      </c>
      <c r="I44" s="121">
        <v>0</v>
      </c>
      <c r="J44" s="184" t="str">
        <f>IF(P40,_xll.qlSwapRateHelper2(,H44,2,B44,Calendar,D44,E44,F44,G44,I44,C44,Discounting,PillarDate,,Permanent,Trigger,ObjectOverwrite),"--")</f>
        <v>obj_00118#0001</v>
      </c>
      <c r="L44" s="185" t="str">
        <f t="shared" si="14"/>
        <v>Sw</v>
      </c>
      <c r="M44" s="193" t="str">
        <f t="shared" si="15"/>
        <v>SEKAB3S20Y_Quote</v>
      </c>
      <c r="N44" s="187">
        <f>IFERROR(_xll.qlQuoteValue(H48,Trigger),"--")</f>
        <v>1.3275000000000002E-2</v>
      </c>
      <c r="O44" s="187">
        <f t="shared" si="16"/>
        <v>0</v>
      </c>
      <c r="P44" s="129" t="b">
        <v>1</v>
      </c>
      <c r="Q44" s="129">
        <v>50</v>
      </c>
      <c r="R44" s="129">
        <v>1</v>
      </c>
      <c r="S44" s="129" t="str">
        <f t="shared" si="17"/>
        <v>obj_00134#0001</v>
      </c>
      <c r="T44" s="130">
        <f>IFERROR(_xll.qlRateHelperEarliestDate(S44,Trigger),"--")</f>
        <v>42563</v>
      </c>
      <c r="U44" s="130">
        <f>IFERROR(_xll.qlRateHelperPillarDate(S44,Trigger),"--")</f>
        <v>49870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8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3" t="e">
        <v>#N/A</v>
      </c>
    </row>
    <row r="45" spans="1:30" ht="11.25" customHeight="1" x14ac:dyDescent="0.2">
      <c r="A45" s="58" t="s">
        <v>26</v>
      </c>
      <c r="B45" s="59" t="s">
        <v>60</v>
      </c>
      <c r="C45" s="60" t="s">
        <v>6</v>
      </c>
      <c r="D45" s="60" t="s">
        <v>8</v>
      </c>
      <c r="E45" s="60" t="s">
        <v>7</v>
      </c>
      <c r="F45" s="60" t="s">
        <v>111</v>
      </c>
      <c r="G45" s="60" t="str">
        <f t="shared" si="18"/>
        <v>Sekibor3M</v>
      </c>
      <c r="H45" s="58" t="str">
        <f t="shared" si="19"/>
        <v>SEKAB3S10Y_Quote</v>
      </c>
      <c r="I45" s="121">
        <v>0</v>
      </c>
      <c r="J45" s="184" t="str">
        <f>IF(P41,_xll.qlSwapRateHelper2(,H45,2,B45,Calendar,D45,E45,F45,G45,I45,C45,Discounting,PillarDate,,Permanent,Trigger,ObjectOverwrite),"--")</f>
        <v>obj_0011f#0001</v>
      </c>
      <c r="L45" s="185" t="str">
        <f t="shared" si="14"/>
        <v>Sw</v>
      </c>
      <c r="M45" s="193" t="str">
        <f t="shared" si="15"/>
        <v>SEKAB3S25Y_Quote</v>
      </c>
      <c r="N45" s="187">
        <f>IFERROR(_xll.qlQuoteValue(H49,Trigger),"--")</f>
        <v>1.4425E-2</v>
      </c>
      <c r="O45" s="187">
        <f t="shared" si="16"/>
        <v>0</v>
      </c>
      <c r="P45" s="129" t="b">
        <v>1</v>
      </c>
      <c r="Q45" s="129">
        <v>50</v>
      </c>
      <c r="R45" s="129">
        <v>1</v>
      </c>
      <c r="S45" s="129" t="str">
        <f t="shared" si="17"/>
        <v>obj_00127#0001</v>
      </c>
      <c r="T45" s="130">
        <f>IFERROR(_xll.qlRateHelperEarliestDate(S45,Trigger),"--")</f>
        <v>42563</v>
      </c>
      <c r="U45" s="130">
        <f>IFERROR(_xll.qlRateHelperPillarDate(S45,Trigger),"--")</f>
        <v>51694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8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3" t="e">
        <v>#N/A</v>
      </c>
    </row>
    <row r="46" spans="1:30" ht="11.25" customHeight="1" x14ac:dyDescent="0.2">
      <c r="A46" s="58" t="s">
        <v>26</v>
      </c>
      <c r="B46" s="59" t="s">
        <v>61</v>
      </c>
      <c r="C46" s="60" t="s">
        <v>6</v>
      </c>
      <c r="D46" s="60" t="s">
        <v>8</v>
      </c>
      <c r="E46" s="60" t="s">
        <v>7</v>
      </c>
      <c r="F46" s="60" t="s">
        <v>111</v>
      </c>
      <c r="G46" s="60" t="str">
        <f t="shared" si="18"/>
        <v>Sekibor3M</v>
      </c>
      <c r="H46" s="58" t="str">
        <f t="shared" si="19"/>
        <v>SEKAB3S12Y_Quote</v>
      </c>
      <c r="I46" s="121">
        <v>0</v>
      </c>
      <c r="J46" s="184" t="str">
        <f>IF(P42,_xll.qlSwapRateHelper2(,H46,2,B46,Calendar,D46,E46,F46,G46,I46,C46,Discounting,PillarDate,,Permanent,Trigger,ObjectOverwrite),"--")</f>
        <v>obj_00136#0001</v>
      </c>
      <c r="L46" s="185" t="str">
        <f t="shared" ref="L46:L51" si="21">A50</f>
        <v>Sw</v>
      </c>
      <c r="M46" s="193" t="str">
        <f t="shared" si="15"/>
        <v>SEKAB3S27Y_Quote</v>
      </c>
      <c r="N46" s="187" t="str">
        <f>IFERROR(_xll.qlQuoteValue(H50,Trigger),"--")</f>
        <v>--</v>
      </c>
      <c r="O46" s="187">
        <f t="shared" si="16"/>
        <v>0</v>
      </c>
      <c r="P46" s="129" t="b">
        <v>0</v>
      </c>
      <c r="Q46" s="129">
        <v>50</v>
      </c>
      <c r="R46" s="129">
        <v>1</v>
      </c>
      <c r="S46" s="129" t="str">
        <f t="shared" si="17"/>
        <v>--</v>
      </c>
      <c r="T46" s="130" t="str">
        <f>IFERROR(_xll.qlRateHelperEarliestDate(S46,Trigger),"--")</f>
        <v>--</v>
      </c>
      <c r="U46" s="130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8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3" t="e">
        <v>#N/A</v>
      </c>
    </row>
    <row r="47" spans="1:30" ht="11.25" customHeight="1" x14ac:dyDescent="0.2">
      <c r="A47" s="58" t="s">
        <v>26</v>
      </c>
      <c r="B47" s="59" t="s">
        <v>62</v>
      </c>
      <c r="C47" s="60" t="s">
        <v>6</v>
      </c>
      <c r="D47" s="60" t="s">
        <v>8</v>
      </c>
      <c r="E47" s="60" t="s">
        <v>7</v>
      </c>
      <c r="F47" s="60" t="s">
        <v>111</v>
      </c>
      <c r="G47" s="60" t="str">
        <f t="shared" si="18"/>
        <v>Sekibor3M</v>
      </c>
      <c r="H47" s="58" t="str">
        <f t="shared" si="19"/>
        <v>SEKAB3S15Y_Quote</v>
      </c>
      <c r="I47" s="121">
        <v>0</v>
      </c>
      <c r="J47" s="184" t="str">
        <f>IF(P43,_xll.qlSwapRateHelper2(,H47,2,B47,Calendar,D47,E47,F47,G47,I47,C47,Discounting,PillarDate,,Permanent,Trigger,ObjectOverwrite),"--")</f>
        <v>obj_0014f#0001</v>
      </c>
      <c r="L47" s="185" t="str">
        <f t="shared" si="21"/>
        <v>Sw</v>
      </c>
      <c r="M47" s="193" t="str">
        <f t="shared" si="15"/>
        <v>SEKAB3S30Y_Quote</v>
      </c>
      <c r="N47" s="187">
        <f>IFERROR(_xll.qlQuoteValue(H51,Trigger),"--")</f>
        <v>1.4875000000000001E-2</v>
      </c>
      <c r="O47" s="187">
        <f t="shared" si="16"/>
        <v>0</v>
      </c>
      <c r="P47" s="129" t="b">
        <v>1</v>
      </c>
      <c r="Q47" s="129">
        <v>50</v>
      </c>
      <c r="R47" s="129">
        <v>1</v>
      </c>
      <c r="S47" s="129" t="str">
        <f t="shared" si="17"/>
        <v>obj_00115#0001</v>
      </c>
      <c r="T47" s="130">
        <f>IFERROR(_xll.qlRateHelperEarliestDate(S47,Trigger),"--")</f>
        <v>42563</v>
      </c>
      <c r="U47" s="130">
        <f>IFERROR(_xll.qlRateHelperPillarDate(S47,Trigger),"--")</f>
        <v>53520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8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3" t="e">
        <v>#N/A</v>
      </c>
    </row>
    <row r="48" spans="1:30" ht="11.25" customHeight="1" x14ac:dyDescent="0.2">
      <c r="A48" s="58" t="s">
        <v>26</v>
      </c>
      <c r="B48" s="59" t="s">
        <v>63</v>
      </c>
      <c r="C48" s="60" t="s">
        <v>6</v>
      </c>
      <c r="D48" s="60" t="s">
        <v>8</v>
      </c>
      <c r="E48" s="60" t="s">
        <v>7</v>
      </c>
      <c r="F48" s="60" t="s">
        <v>111</v>
      </c>
      <c r="G48" s="60" t="str">
        <f t="shared" si="18"/>
        <v>Sekibor3M</v>
      </c>
      <c r="H48" s="58" t="str">
        <f t="shared" si="19"/>
        <v>SEKAB3S20Y_Quote</v>
      </c>
      <c r="I48" s="121">
        <v>0</v>
      </c>
      <c r="J48" s="184" t="str">
        <f>IF(P44,_xll.qlSwapRateHelper2(,H48,2,B48,Calendar,D48,E48,F48,G48,I48,C48,Discounting,PillarDate,,Permanent,Trigger,ObjectOverwrite),"--")</f>
        <v>obj_00134#0001</v>
      </c>
      <c r="L48" s="185" t="str">
        <f t="shared" si="21"/>
        <v>Sw</v>
      </c>
      <c r="M48" s="193" t="str">
        <f t="shared" si="15"/>
        <v>SEKAB3S35Y_Quote</v>
      </c>
      <c r="N48" s="187" t="str">
        <f>IFERROR(_xll.qlQuoteValue(H52,Trigger),"--")</f>
        <v>--</v>
      </c>
      <c r="O48" s="187">
        <f t="shared" si="16"/>
        <v>0</v>
      </c>
      <c r="P48" s="129" t="b">
        <v>0</v>
      </c>
      <c r="Q48" s="129">
        <v>40</v>
      </c>
      <c r="R48" s="129">
        <v>1</v>
      </c>
      <c r="S48" s="129" t="str">
        <f t="shared" si="17"/>
        <v>--</v>
      </c>
      <c r="T48" s="130" t="str">
        <f>IFERROR(_xll.qlRateHelperEarliestDate(S48,Trigger),"--")</f>
        <v>--</v>
      </c>
      <c r="U48" s="130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8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3" t="e">
        <v>#N/A</v>
      </c>
    </row>
    <row r="49" spans="1:30" ht="11.25" customHeight="1" x14ac:dyDescent="0.2">
      <c r="A49" s="58" t="s">
        <v>26</v>
      </c>
      <c r="B49" s="59" t="s">
        <v>64</v>
      </c>
      <c r="C49" s="60" t="s">
        <v>6</v>
      </c>
      <c r="D49" s="60" t="s">
        <v>8</v>
      </c>
      <c r="E49" s="60" t="s">
        <v>7</v>
      </c>
      <c r="F49" s="60" t="s">
        <v>111</v>
      </c>
      <c r="G49" s="60" t="str">
        <f t="shared" si="18"/>
        <v>Sekibor3M</v>
      </c>
      <c r="H49" s="58" t="str">
        <f t="shared" si="19"/>
        <v>SEKAB3S25Y_Quote</v>
      </c>
      <c r="I49" s="121">
        <v>0</v>
      </c>
      <c r="J49" s="184" t="str">
        <f>IF(P45,_xll.qlSwapRateHelper2(,H49,2,B49,Calendar,D49,E49,F49,G49,I49,C49,Discounting,PillarDate,,Permanent,Trigger,ObjectOverwrite),"--")</f>
        <v>obj_00127#0001</v>
      </c>
      <c r="L49" s="185" t="str">
        <f t="shared" si="21"/>
        <v>Sw</v>
      </c>
      <c r="M49" s="193" t="str">
        <f t="shared" si="15"/>
        <v>SEKAB3S40Y_Quote</v>
      </c>
      <c r="N49" s="187" t="str">
        <f>IFERROR(_xll.qlQuoteValue(H53,Trigger),"--")</f>
        <v>--</v>
      </c>
      <c r="O49" s="187">
        <f t="shared" si="16"/>
        <v>0</v>
      </c>
      <c r="P49" s="129" t="b">
        <v>0</v>
      </c>
      <c r="Q49" s="129">
        <v>40</v>
      </c>
      <c r="R49" s="129">
        <v>1</v>
      </c>
      <c r="S49" s="129" t="str">
        <f t="shared" si="17"/>
        <v>--</v>
      </c>
      <c r="T49" s="130" t="str">
        <f>IFERROR(_xll.qlRateHelperEarliestDate(S49,Trigger),"--")</f>
        <v>--</v>
      </c>
      <c r="U49" s="130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8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3" t="e">
        <v>#N/A</v>
      </c>
    </row>
    <row r="50" spans="1:30" ht="11.25" customHeight="1" x14ac:dyDescent="0.2">
      <c r="A50" s="58" t="s">
        <v>26</v>
      </c>
      <c r="B50" s="59" t="s">
        <v>65</v>
      </c>
      <c r="C50" s="60" t="s">
        <v>6</v>
      </c>
      <c r="D50" s="60" t="s">
        <v>8</v>
      </c>
      <c r="E50" s="60" t="s">
        <v>7</v>
      </c>
      <c r="F50" s="60" t="s">
        <v>111</v>
      </c>
      <c r="G50" s="60" t="str">
        <f t="shared" si="18"/>
        <v>Sekibor3M</v>
      </c>
      <c r="H50" s="58" t="str">
        <f t="shared" si="19"/>
        <v>SEKAB3S27Y_Quote</v>
      </c>
      <c r="I50" s="121">
        <v>0</v>
      </c>
      <c r="J50" s="184" t="str">
        <f>IF(P46,_xll.qlSwapRateHelper2(,H50,2,B50,Calendar,D50,E50,F50,G50,I50,C50,Discounting,PillarDate,,Permanent,Trigger,ObjectOverwrite),"--")</f>
        <v>--</v>
      </c>
      <c r="L50" s="185" t="str">
        <f t="shared" si="21"/>
        <v>Sw</v>
      </c>
      <c r="M50" s="193" t="str">
        <f t="shared" si="15"/>
        <v>SEKAB3S45Y_Quote</v>
      </c>
      <c r="N50" s="187" t="str">
        <f>IFERROR(_xll.qlQuoteValue(H54,Trigger),"--")</f>
        <v>--</v>
      </c>
      <c r="O50" s="187">
        <f t="shared" si="16"/>
        <v>0</v>
      </c>
      <c r="P50" s="129" t="b">
        <v>0</v>
      </c>
      <c r="Q50" s="129">
        <v>40</v>
      </c>
      <c r="R50" s="129">
        <v>1</v>
      </c>
      <c r="S50" s="129" t="str">
        <f t="shared" si="17"/>
        <v>--</v>
      </c>
      <c r="T50" s="130" t="str">
        <f>IFERROR(_xll.qlRateHelperEarliestDate(S50,Trigger),"--")</f>
        <v>--</v>
      </c>
      <c r="U50" s="130" t="str">
        <f>IFERROR(_xll.qlRateHelperPillarDate(S50,Trigger),"--")</f>
        <v>--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8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3" t="e">
        <v>#N/A</v>
      </c>
    </row>
    <row r="51" spans="1:30" ht="11.25" customHeight="1" x14ac:dyDescent="0.2">
      <c r="A51" s="58" t="s">
        <v>26</v>
      </c>
      <c r="B51" s="59" t="s">
        <v>66</v>
      </c>
      <c r="C51" s="60" t="s">
        <v>6</v>
      </c>
      <c r="D51" s="60" t="s">
        <v>8</v>
      </c>
      <c r="E51" s="60" t="s">
        <v>7</v>
      </c>
      <c r="F51" s="60" t="s">
        <v>111</v>
      </c>
      <c r="G51" s="60" t="str">
        <f t="shared" si="18"/>
        <v>Sekibor3M</v>
      </c>
      <c r="H51" s="58" t="str">
        <f t="shared" si="19"/>
        <v>SEKAB3S30Y_Quote</v>
      </c>
      <c r="I51" s="121">
        <v>0</v>
      </c>
      <c r="J51" s="184" t="str">
        <f>IF(P47,_xll.qlSwapRateHelper2(,H51,2,B51,Calendar,D51,E51,F51,G51,I51,C51,Discounting,PillarDate,,Permanent,Trigger,ObjectOverwrite),"--")</f>
        <v>obj_00115#0001</v>
      </c>
      <c r="L51" s="189" t="str">
        <f t="shared" si="21"/>
        <v>Sw</v>
      </c>
      <c r="M51" s="190" t="str">
        <f t="shared" si="15"/>
        <v>SEKAB3S50Y_Quote</v>
      </c>
      <c r="N51" s="191" t="str">
        <f>IFERROR(_xll.qlQuoteValue(H55,Trigger),"--")</f>
        <v>--</v>
      </c>
      <c r="O51" s="191">
        <f t="shared" si="16"/>
        <v>0</v>
      </c>
      <c r="P51" s="131" t="b">
        <v>0</v>
      </c>
      <c r="Q51" s="131">
        <v>40</v>
      </c>
      <c r="R51" s="131">
        <v>1</v>
      </c>
      <c r="S51" s="131" t="str">
        <f t="shared" si="17"/>
        <v>--</v>
      </c>
      <c r="T51" s="132" t="str">
        <f>IFERROR(_xll.qlRateHelperEarliestDate(S51,Trigger),"--")</f>
        <v>--</v>
      </c>
      <c r="U51" s="132" t="str">
        <f>IFERROR(_xll.qlRateHelperPillarDate(S51,Trigger),"--")</f>
        <v>--</v>
      </c>
      <c r="W51" s="5" t="str">
        <f t="shared" si="20"/>
        <v/>
      </c>
      <c r="X51" s="5" t="e">
        <v>#N/A</v>
      </c>
      <c r="Y51" s="5" t="str">
        <f>IFERROR(_xll.qlRateHelperQuoteName(X51,Trigger),"")</f>
        <v/>
      </c>
      <c r="Z51" s="75" t="str">
        <f>IFERROR(_xll.qlRateHelperRate(X51,Trigger),"")</f>
        <v/>
      </c>
      <c r="AA51" s="99" t="str">
        <f>IF(ISERROR(_xll.qlSwapRateHelperSpread($X51)),IF(ISERROR(_xll.qlFuturesRateHelperConvexityAdjustment($X51)),"",_xll.qlFuturesRateHelperConvexityAdjustment($X51)),_xll.qlSwapRateHelperSpread($X51))</f>
        <v/>
      </c>
      <c r="AB51" s="9" t="str">
        <f>IFERROR(_xll.qlRateHelperEarliestDate(X51,Trigger),"")</f>
        <v/>
      </c>
      <c r="AC51" s="9" t="str">
        <f>IFERROR(_xll.qlRateHelperPillarDate(X51,Trigger),"")</f>
        <v/>
      </c>
      <c r="AD51" s="74" t="e">
        <v>#N/A</v>
      </c>
    </row>
    <row r="52" spans="1:30" ht="11.25" customHeight="1" x14ac:dyDescent="0.2">
      <c r="A52" s="58" t="s">
        <v>26</v>
      </c>
      <c r="B52" s="59" t="s">
        <v>67</v>
      </c>
      <c r="C52" s="60" t="s">
        <v>6</v>
      </c>
      <c r="D52" s="60" t="s">
        <v>8</v>
      </c>
      <c r="E52" s="60" t="s">
        <v>7</v>
      </c>
      <c r="F52" s="60" t="s">
        <v>111</v>
      </c>
      <c r="G52" s="60" t="str">
        <f t="shared" si="18"/>
        <v>Sekibor3M</v>
      </c>
      <c r="H52" s="58" t="str">
        <f t="shared" si="19"/>
        <v>SEKAB3S35Y_Quote</v>
      </c>
      <c r="I52" s="121">
        <v>0</v>
      </c>
      <c r="J52" s="184" t="str">
        <f>IF(P48,_xll.qlSwapRateHelper2(,H52,2,B52,Calendar,D52,E52,F52,G52,I52,C52,Discounting,PillarDate,,Permanent,Trigger,ObjectOverwrite),"--")</f>
        <v>--</v>
      </c>
      <c r="L52" s="150"/>
      <c r="Y52" s="194" t="str">
        <f>_xll.ohGroup("SEK3M_instruments",Y3:Y51,Permanent,Trigger,ObjectOverwrite)</f>
        <v>SEK3M_instruments#0009</v>
      </c>
    </row>
    <row r="53" spans="1:30" ht="11.25" customHeight="1" x14ac:dyDescent="0.2">
      <c r="A53" s="58" t="s">
        <v>26</v>
      </c>
      <c r="B53" s="59" t="s">
        <v>68</v>
      </c>
      <c r="C53" s="60" t="s">
        <v>6</v>
      </c>
      <c r="D53" s="60" t="s">
        <v>8</v>
      </c>
      <c r="E53" s="60" t="s">
        <v>7</v>
      </c>
      <c r="F53" s="60" t="s">
        <v>111</v>
      </c>
      <c r="G53" s="60" t="str">
        <f t="shared" si="18"/>
        <v>Sekibor3M</v>
      </c>
      <c r="H53" s="58" t="str">
        <f t="shared" si="19"/>
        <v>SEKAB3S40Y_Quote</v>
      </c>
      <c r="I53" s="121">
        <v>0</v>
      </c>
      <c r="J53" s="184" t="str">
        <f>IF(P49,_xll.qlSwapRateHelper2(,H53,2,B53,Calendar,D53,E53,F53,G53,I53,C53,Discounting,PillarDate,,Permanent,Trigger,ObjectOverwrite),"--")</f>
        <v>--</v>
      </c>
      <c r="L53" s="150"/>
    </row>
    <row r="54" spans="1:30" ht="11.25" customHeight="1" x14ac:dyDescent="0.2">
      <c r="A54" s="58" t="s">
        <v>26</v>
      </c>
      <c r="B54" s="59" t="s">
        <v>134</v>
      </c>
      <c r="C54" s="60" t="s">
        <v>6</v>
      </c>
      <c r="D54" s="60" t="s">
        <v>8</v>
      </c>
      <c r="E54" s="60" t="s">
        <v>7</v>
      </c>
      <c r="F54" s="60" t="s">
        <v>111</v>
      </c>
      <c r="G54" s="60" t="str">
        <f t="shared" si="18"/>
        <v>Sekibor3M</v>
      </c>
      <c r="H54" s="58" t="str">
        <f t="shared" si="19"/>
        <v>SEKAB3S45Y_Quote</v>
      </c>
      <c r="I54" s="121">
        <v>0</v>
      </c>
      <c r="J54" s="184" t="str">
        <f>IF(P50,_xll.qlSwapRateHelper2(,H54,2,B54,Calendar,D54,E54,F54,G54,I54,C54,Discounting,PillarDate,,Permanent,Trigger,ObjectOverwrite),"--")</f>
        <v>--</v>
      </c>
      <c r="L54" s="150"/>
    </row>
    <row r="55" spans="1:30" ht="11.25" customHeight="1" x14ac:dyDescent="0.2">
      <c r="A55" s="1" t="s">
        <v>26</v>
      </c>
      <c r="B55" s="7" t="s">
        <v>69</v>
      </c>
      <c r="C55" s="6" t="s">
        <v>6</v>
      </c>
      <c r="D55" s="6" t="s">
        <v>8</v>
      </c>
      <c r="E55" s="6" t="s">
        <v>7</v>
      </c>
      <c r="F55" s="6" t="s">
        <v>111</v>
      </c>
      <c r="G55" s="6" t="str">
        <f t="shared" si="18"/>
        <v>Sekibor3M</v>
      </c>
      <c r="H55" s="1" t="str">
        <f t="shared" si="19"/>
        <v>SEKAB3S50Y_Quote</v>
      </c>
      <c r="I55" s="123">
        <v>0</v>
      </c>
      <c r="J55" s="183" t="str">
        <f>IF(P51,_xll.qlSwapRateHelper2(,H55,2,B55,Calendar,D55,E55,F55,G55,I55,C55,Discounting,PillarDate,,Permanent,Trigger,ObjectOverwrite),"--")</f>
        <v>--</v>
      </c>
      <c r="L55" s="150"/>
    </row>
    <row r="56" spans="1:30" ht="11.25" customHeight="1" x14ac:dyDescent="0.2"/>
    <row r="57" spans="1:30" ht="11.25" customHeight="1" x14ac:dyDescent="0.2"/>
    <row r="58" spans="1:30" ht="11.25" customHeight="1" x14ac:dyDescent="0.2"/>
    <row r="59" spans="1:30" ht="11.25" customHeight="1" x14ac:dyDescent="0.2"/>
    <row r="60" spans="1:30" ht="11.25" customHeight="1" x14ac:dyDescent="0.2"/>
    <row r="61" spans="1:30" ht="11.25" customHeight="1" x14ac:dyDescent="0.2"/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6" t="s">
        <v>37</v>
      </c>
    </row>
  </sheetData>
  <dataValidations count="5">
    <dataValidation type="list" allowBlank="1" showInputMessage="1" showErrorMessage="1" sqref="E3:E6 E29:E55">
      <formula1>"Following,Modified Following,Preceding,Modified Preceding,Unadjusted,Half-Month Modified Following"</formula1>
    </dataValidation>
    <dataValidation type="list" allowBlank="1" showInputMessage="1" showErrorMessage="1" sqref="F3:F6 F29:F5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D29:D55">
      <formula1>"Annual,Semiannual,EveryFourthMonth,Quarterly,Bimonthly,Monthly,Biweekly,Weekly,Daily,Once,NoFrequency"</formula1>
    </dataValidation>
    <dataValidation type="list" allowBlank="1" showInputMessage="1" showErrorMessage="1" sqref="P3:P51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5.7109375" style="52" hidden="1" customWidth="1" outlineLevel="1"/>
    <col min="9" max="9" width="25.7109375" style="46" hidden="1" customWidth="1" outlineLevel="1"/>
    <col min="10" max="10" width="15.7109375" style="97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7" hidden="1" customWidth="1" outlineLevel="1"/>
    <col min="14" max="18" width="8.7109375" style="97" hidden="1" customWidth="1" outlineLevel="1"/>
    <col min="19" max="19" width="15.7109375" style="97" hidden="1" customWidth="1" outlineLevel="1"/>
    <col min="20" max="21" width="10.7109375" style="97" hidden="1" customWidth="1" outlineLevel="1"/>
    <col min="22" max="22" width="2.7109375" style="48" hidden="1" customWidth="1" outlineLevel="1"/>
    <col min="23" max="23" width="9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3.5703125" style="46" customWidth="1"/>
    <col min="32" max="32" width="2.7109375" style="46" customWidth="1"/>
    <col min="33" max="33" width="24.42578125" style="46" bestFit="1" customWidth="1"/>
    <col min="34" max="34" width="21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3</v>
      </c>
      <c r="H1" s="50" t="str">
        <f>"_SYNTH"&amp;$G$1</f>
        <v>_SYNTH6M</v>
      </c>
      <c r="L1" s="65" t="s">
        <v>144</v>
      </c>
      <c r="M1" s="100"/>
      <c r="N1" s="100"/>
      <c r="O1" s="92"/>
      <c r="P1" s="100" t="s">
        <v>25</v>
      </c>
      <c r="Q1" s="100"/>
      <c r="R1" s="100"/>
      <c r="S1" s="100"/>
      <c r="T1" s="100"/>
      <c r="U1" s="92"/>
      <c r="V1" s="89"/>
      <c r="W1" s="70" t="str">
        <f>Currency&amp;$G$1</f>
        <v>SEK6M</v>
      </c>
      <c r="X1" s="64"/>
      <c r="Y1" s="64"/>
      <c r="Z1" s="66"/>
      <c r="AA1" s="66"/>
      <c r="AB1" s="64"/>
      <c r="AC1" s="64"/>
      <c r="AD1" s="68" t="s">
        <v>33</v>
      </c>
    </row>
    <row r="2" spans="1:39" ht="21.75" customHeight="1" x14ac:dyDescent="0.2">
      <c r="A2" s="63" t="s">
        <v>9</v>
      </c>
      <c r="B2" s="63" t="s">
        <v>30</v>
      </c>
      <c r="C2" s="63"/>
      <c r="D2" s="63" t="s">
        <v>109</v>
      </c>
      <c r="E2" s="63" t="s">
        <v>35</v>
      </c>
      <c r="F2" s="63" t="s">
        <v>96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78</v>
      </c>
      <c r="N2" s="69" t="s">
        <v>81</v>
      </c>
      <c r="O2" s="69"/>
      <c r="P2" s="69" t="s">
        <v>79</v>
      </c>
      <c r="Q2" s="69" t="s">
        <v>80</v>
      </c>
      <c r="R2" s="69" t="s">
        <v>82</v>
      </c>
      <c r="S2" s="69" t="s">
        <v>25</v>
      </c>
      <c r="T2" s="69" t="s">
        <v>23</v>
      </c>
      <c r="U2" s="69" t="s">
        <v>75</v>
      </c>
      <c r="V2" s="89"/>
      <c r="W2" s="69" t="s">
        <v>9</v>
      </c>
      <c r="X2" s="69" t="s">
        <v>25</v>
      </c>
      <c r="Y2" s="69" t="s">
        <v>78</v>
      </c>
      <c r="Z2" s="71" t="s">
        <v>24</v>
      </c>
      <c r="AA2" s="71" t="s">
        <v>83</v>
      </c>
      <c r="AB2" s="69" t="s">
        <v>23</v>
      </c>
      <c r="AC2" s="69" t="s">
        <v>75</v>
      </c>
      <c r="AD2" s="72">
        <f t="array" ref="AD2:AD39">_xll.qlPiecewiseYieldCurveData(YieldCurve_6M,Trigger)</f>
        <v>1</v>
      </c>
      <c r="AG2" s="164" t="s">
        <v>84</v>
      </c>
      <c r="AH2" s="165"/>
      <c r="AI2" s="165"/>
      <c r="AJ2" s="165"/>
      <c r="AK2" s="166"/>
    </row>
    <row r="3" spans="1:39" ht="11.25" customHeight="1" x14ac:dyDescent="0.2">
      <c r="A3" s="104" t="s">
        <v>27</v>
      </c>
      <c r="B3" s="105" t="s">
        <v>74</v>
      </c>
      <c r="C3" s="117"/>
      <c r="D3" s="106" t="b">
        <v>0</v>
      </c>
      <c r="E3" s="106" t="s">
        <v>7</v>
      </c>
      <c r="F3" s="106" t="s">
        <v>28</v>
      </c>
      <c r="G3" s="107" t="str">
        <f>_xll.qlIborIndex(,FamilyName,SUBSTITUTE(IF(RIGHT(B3,1)="N","1D",B3),"S","1"),2,Currency,Calendar,E3,D3,F3,,Permanent,Trigger,ObjectOverwrite)</f>
        <v>obj_00114#0001</v>
      </c>
      <c r="H3" s="114" t="str">
        <f t="shared" ref="H3:H12" si="0">Currency&amp;$B3&amp;"D"&amp;$H$1&amp;QuoteSuffix</f>
        <v>SEKSND_SYNTH6M_Quote</v>
      </c>
      <c r="I3" s="117"/>
      <c r="J3" s="195" t="str">
        <f>IF(P3,_xll.qlDepositRateHelper(,H3,G3,Permanent,Trigger,ObjectOverwrite),"--")</f>
        <v>--</v>
      </c>
      <c r="K3" s="49"/>
      <c r="L3" s="197" t="str">
        <f>A3</f>
        <v>Dp</v>
      </c>
      <c r="M3" s="198" t="str">
        <f>H3</f>
        <v>SEKSND_SYNTH6M_Quote</v>
      </c>
      <c r="N3" s="199">
        <f>IFERROR(_xll.qlQuoteValue(H3,Trigger),"--")</f>
        <v>-2.9789999999999999E-3</v>
      </c>
      <c r="O3" s="200"/>
      <c r="P3" s="127" t="b">
        <v>0</v>
      </c>
      <c r="Q3" s="124">
        <v>10</v>
      </c>
      <c r="R3" s="124">
        <v>1</v>
      </c>
      <c r="S3" s="124" t="str">
        <f>J3</f>
        <v>--</v>
      </c>
      <c r="T3" s="126" t="str">
        <f>IFERROR(_xll.qlRateHelperEarliestDate(S3,Trigger),"--")</f>
        <v>--</v>
      </c>
      <c r="U3" s="126" t="str">
        <f>IFERROR(_xll.qlRateHelperPillarDate(S3,Trigger),"--")</f>
        <v>--</v>
      </c>
      <c r="W3" s="3" t="str">
        <f t="shared" ref="W3:W39" si="1">IFERROR(INDEX($L$3:$L$39,MATCH(Y3,$M$3:$M$39,0),1),"")</f>
        <v>Dp</v>
      </c>
      <c r="X3" s="3" t="str">
        <f t="array" ref="X3:X39">_xll.qlRateHelperSelection(_xll.ohFilter(RateHelpers,IncludeFlag),_xll.ohFilter(Priority,IncludeFlag),$AK$3,$AK$4,$AK$5,$AK$6,_xll.ohFilter(MinDistance,IncludeFlag),Trigger)</f>
        <v>obj_0013e</v>
      </c>
      <c r="Y3" s="3" t="str">
        <f>IFERROR(_xll.qlRateHelperQuoteName(X3,Trigger),"")</f>
        <v>SEK1MD_SYNTH6M_Quote</v>
      </c>
      <c r="Z3" s="67">
        <f>IFERROR(_xll.qlRateHelperRate(X3,Trigger),"")</f>
        <v>-3.0430000000000001E-3</v>
      </c>
      <c r="AA3" s="98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42594</v>
      </c>
      <c r="AD3" s="73">
        <v>1.0002621047920315</v>
      </c>
      <c r="AE3" s="163"/>
      <c r="AG3" s="173" t="s">
        <v>85</v>
      </c>
      <c r="AK3" s="174">
        <v>0</v>
      </c>
    </row>
    <row r="4" spans="1:39" ht="11.25" customHeight="1" x14ac:dyDescent="0.2">
      <c r="A4" s="53" t="s">
        <v>27</v>
      </c>
      <c r="B4" s="54" t="s">
        <v>90</v>
      </c>
      <c r="C4" s="205"/>
      <c r="D4" s="56" t="b">
        <v>0</v>
      </c>
      <c r="E4" s="56" t="s">
        <v>7</v>
      </c>
      <c r="F4" s="56" t="s">
        <v>28</v>
      </c>
      <c r="G4" s="55" t="str">
        <f>_xll.qlIborIndex(,FamilyName,SUBSTITUTE(IF(RIGHT(B4,1)="N","1D",B4),"S","1"),2,Currency,Calendar,E4,D4,F4,,Permanent,Trigger,ObjectOverwrite)</f>
        <v>obj_0010f#0001</v>
      </c>
      <c r="H4" s="133" t="str">
        <f t="shared" si="0"/>
        <v>SEKSWD_SYNTH6M_Quote</v>
      </c>
      <c r="I4" s="122"/>
      <c r="J4" s="182" t="str">
        <f>IF(P4,_xll.qlDepositRateHelper(,H4,G4,Permanent,Trigger,ObjectOverwrite),"--")</f>
        <v>--</v>
      </c>
      <c r="K4" s="48"/>
      <c r="L4" s="185" t="str">
        <f t="shared" ref="L4:L9" si="2">A4</f>
        <v>Dp</v>
      </c>
      <c r="M4" s="193" t="str">
        <f t="shared" ref="M4:M12" si="3">H4</f>
        <v>SEKSWD_SYNTH6M_Quote</v>
      </c>
      <c r="N4" s="187">
        <f>IFERROR(_xll.qlQuoteValue(H4,Trigger),"--")</f>
        <v>-2.993E-3</v>
      </c>
      <c r="O4" s="188"/>
      <c r="P4" s="129" t="b">
        <v>0</v>
      </c>
      <c r="Q4" s="90">
        <v>10</v>
      </c>
      <c r="R4" s="90">
        <v>1</v>
      </c>
      <c r="S4" s="90" t="str">
        <f t="shared" ref="S4:S12" si="4">J4</f>
        <v>--</v>
      </c>
      <c r="T4" s="94" t="str">
        <f>IFERROR(_xll.qlRateHelperEarliestDate(S4,Trigger),"--")</f>
        <v>--</v>
      </c>
      <c r="U4" s="94" t="str">
        <f>IFERROR(_xll.qlRateHelperPillarDate(S4,Trigger),"--")</f>
        <v>--</v>
      </c>
      <c r="W4" s="3" t="str">
        <f t="shared" si="1"/>
        <v>Dp</v>
      </c>
      <c r="X4" s="3" t="str">
        <v>obj_0013c</v>
      </c>
      <c r="Y4" s="3" t="str">
        <f>IFERROR(_xll.qlRateHelperQuoteName(X4,Trigger),"")</f>
        <v>SEK2MD_SYNTH6M_Quote</v>
      </c>
      <c r="Z4" s="67">
        <f>IFERROR(_xll.qlRateHelperRate(X4,Trigger),"")</f>
        <v>-3.1150000000000001E-3</v>
      </c>
      <c r="AA4" s="98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42625</v>
      </c>
      <c r="AD4" s="73">
        <v>1.0005367601791484</v>
      </c>
      <c r="AE4" s="163"/>
      <c r="AG4" s="101" t="s">
        <v>86</v>
      </c>
      <c r="AK4" s="102">
        <v>0</v>
      </c>
    </row>
    <row r="5" spans="1:39" ht="11.25" customHeight="1" x14ac:dyDescent="0.2">
      <c r="A5" s="58" t="s">
        <v>27</v>
      </c>
      <c r="B5" s="59" t="s">
        <v>39</v>
      </c>
      <c r="C5" s="206"/>
      <c r="D5" s="61" t="b">
        <v>0</v>
      </c>
      <c r="E5" s="61" t="s">
        <v>7</v>
      </c>
      <c r="F5" s="61" t="s">
        <v>28</v>
      </c>
      <c r="G5" s="60" t="str">
        <f>_xll.qlIborIndex(,FamilyName,SUBSTITUTE(IF(RIGHT(B5,1)="N","1D",B5),"S","1"),2,Currency,Calendar,E5,D5,F5,,Permanent,Trigger,ObjectOverwrite)</f>
        <v>obj_00143#0001</v>
      </c>
      <c r="H5" s="115" t="str">
        <f t="shared" si="0"/>
        <v>SEK2WD_SYNTH6M_Quote</v>
      </c>
      <c r="I5" s="118"/>
      <c r="J5" s="184" t="str">
        <f>IF(P5,_xll.qlDepositRateHelper(,H5,G5,Permanent,Trigger,ObjectOverwrite),"--")</f>
        <v>--</v>
      </c>
      <c r="K5" s="48"/>
      <c r="L5" s="185" t="str">
        <f t="shared" si="2"/>
        <v>Dp</v>
      </c>
      <c r="M5" s="193" t="str">
        <f t="shared" si="3"/>
        <v>SEK2WD_SYNTH6M_Quote</v>
      </c>
      <c r="N5" s="187">
        <f>IFERROR(_xll.qlQuoteValue(H5,Trigger),"--")</f>
        <v>-3.0079999999999998E-3</v>
      </c>
      <c r="O5" s="188"/>
      <c r="P5" s="129" t="b">
        <v>0</v>
      </c>
      <c r="Q5" s="90">
        <v>10</v>
      </c>
      <c r="R5" s="90">
        <v>1</v>
      </c>
      <c r="S5" s="90" t="str">
        <f t="shared" si="4"/>
        <v>--</v>
      </c>
      <c r="T5" s="94" t="str">
        <f>IFERROR(_xll.qlRateHelperEarliestDate(S5,Trigger),"--")</f>
        <v>--</v>
      </c>
      <c r="U5" s="94" t="str">
        <f>IFERROR(_xll.qlRateHelperPillarDate(S5,Trigger),"--")</f>
        <v>--</v>
      </c>
      <c r="W5" s="3" t="str">
        <f t="shared" si="1"/>
        <v>Dp</v>
      </c>
      <c r="X5" s="3" t="str">
        <v>obj_00125</v>
      </c>
      <c r="Y5" s="3" t="str">
        <f>IFERROR(_xll.qlRateHelperQuoteName(X5,Trigger),"")</f>
        <v>SEK3MD_SYNTH6M_Quote</v>
      </c>
      <c r="Z5" s="67">
        <f>IFERROR(_xll.qlRateHelperRate(X5,Trigger),"")</f>
        <v>-3.235E-3</v>
      </c>
      <c r="AA5" s="98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42655</v>
      </c>
      <c r="AD5" s="73">
        <v>1.0008274062573619</v>
      </c>
      <c r="AE5" s="163"/>
      <c r="AF5" s="76"/>
      <c r="AG5" s="101" t="s">
        <v>87</v>
      </c>
      <c r="AK5" s="102">
        <v>0</v>
      </c>
    </row>
    <row r="6" spans="1:39" ht="11.25" customHeight="1" x14ac:dyDescent="0.2">
      <c r="A6" s="157" t="s">
        <v>27</v>
      </c>
      <c r="B6" s="158" t="s">
        <v>40</v>
      </c>
      <c r="C6" s="207"/>
      <c r="D6" s="159" t="b">
        <v>0</v>
      </c>
      <c r="E6" s="159" t="s">
        <v>7</v>
      </c>
      <c r="F6" s="159" t="s">
        <v>28</v>
      </c>
      <c r="G6" s="161" t="str">
        <f>_xll.qlIborIndex(,FamilyName,SUBSTITUTE(IF(RIGHT(B6,1)="N","1D",B6),"S","1"),2,Currency,Calendar,E6,D6,F6,,Permanent,Trigger,ObjectOverwrite)</f>
        <v>obj_00142#0001</v>
      </c>
      <c r="H6" s="162" t="str">
        <f t="shared" si="0"/>
        <v>SEK3WD_SYNTH6M_Quote</v>
      </c>
      <c r="I6" s="160"/>
      <c r="J6" s="196" t="str">
        <f>IF(P6,_xll.qlDepositRateHelper(,H6,G6,Permanent,Trigger,ObjectOverwrite),"--")</f>
        <v>--</v>
      </c>
      <c r="K6" s="48"/>
      <c r="L6" s="185" t="str">
        <f t="shared" si="2"/>
        <v>Dp</v>
      </c>
      <c r="M6" s="193" t="str">
        <f t="shared" si="3"/>
        <v>SEK3WD_SYNTH6M_Quote</v>
      </c>
      <c r="N6" s="187">
        <f>IFERROR(_xll.qlQuoteValue(H6,Trigger),"--")</f>
        <v>-3.0230000000000001E-3</v>
      </c>
      <c r="O6" s="188"/>
      <c r="P6" s="129" t="b">
        <v>0</v>
      </c>
      <c r="Q6" s="90">
        <v>10</v>
      </c>
      <c r="R6" s="90">
        <v>1</v>
      </c>
      <c r="S6" s="90" t="str">
        <f t="shared" si="4"/>
        <v>--</v>
      </c>
      <c r="T6" s="94" t="str">
        <f>IFERROR(_xll.qlRateHelperEarliestDate(S6,Trigger),"--")</f>
        <v>--</v>
      </c>
      <c r="U6" s="94" t="str">
        <f>IFERROR(_xll.qlRateHelperPillarDate(S6,Trigger),"--")</f>
        <v>--</v>
      </c>
      <c r="W6" s="3" t="str">
        <f t="shared" si="1"/>
        <v>Dp</v>
      </c>
      <c r="X6" s="3" t="str">
        <v>obj_00145</v>
      </c>
      <c r="Y6" s="3" t="str">
        <f>IFERROR(_xll.qlRateHelperQuoteName(X6,Trigger),"")</f>
        <v>SEK4MD_SYNTH6M_Quote</v>
      </c>
      <c r="Z6" s="67">
        <f>IFERROR(_xll.qlRateHelperRate(X6,Trigger),"")</f>
        <v>-3.4290000000000002E-3</v>
      </c>
      <c r="AA6" s="98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42563</v>
      </c>
      <c r="AC6" s="4">
        <f>IFERROR(_xll.qlRateHelperPillarDate(X6,Trigger),"")</f>
        <v>42688</v>
      </c>
      <c r="AD6" s="73">
        <v>1.0011920442777182</v>
      </c>
      <c r="AE6" s="163"/>
      <c r="AG6" s="101" t="s">
        <v>88</v>
      </c>
      <c r="AK6" s="103" t="s">
        <v>89</v>
      </c>
    </row>
    <row r="7" spans="1:39" ht="11.25" customHeight="1" x14ac:dyDescent="0.2">
      <c r="A7" s="58" t="s">
        <v>27</v>
      </c>
      <c r="B7" s="59" t="s">
        <v>2</v>
      </c>
      <c r="C7" s="206"/>
      <c r="D7" s="118"/>
      <c r="E7" s="118"/>
      <c r="F7" s="118"/>
      <c r="G7" s="60" t="str">
        <f>PROPER(Currency)&amp;FamilyName&amp;B7</f>
        <v>Sekibor1M</v>
      </c>
      <c r="H7" s="115" t="str">
        <f t="shared" si="0"/>
        <v>SEK1MD_SYNTH6M_Quote</v>
      </c>
      <c r="I7" s="118"/>
      <c r="J7" s="184" t="str">
        <f>IF(P7,_xll.qlDepositRateHelper(,H7,G7,Permanent,Trigger,ObjectOverwrite),"--")</f>
        <v>obj_0013e#0001</v>
      </c>
      <c r="K7" s="48"/>
      <c r="L7" s="185" t="str">
        <f t="shared" si="2"/>
        <v>Dp</v>
      </c>
      <c r="M7" s="193" t="str">
        <f t="shared" si="3"/>
        <v>SEK1MD_SYNTH6M_Quote</v>
      </c>
      <c r="N7" s="187">
        <f>IFERROR(_xll.qlQuoteValue(H7,Trigger),"--")</f>
        <v>-3.0430000000000001E-3</v>
      </c>
      <c r="O7" s="188"/>
      <c r="P7" s="129" t="b">
        <v>1</v>
      </c>
      <c r="Q7" s="90">
        <v>10</v>
      </c>
      <c r="R7" s="90">
        <v>1</v>
      </c>
      <c r="S7" s="90" t="str">
        <f t="shared" si="4"/>
        <v>obj_0013e#0001</v>
      </c>
      <c r="T7" s="94">
        <f>IFERROR(_xll.qlRateHelperEarliestDate(S7,Trigger),"--")</f>
        <v>42563</v>
      </c>
      <c r="U7" s="94">
        <f>IFERROR(_xll.qlRateHelperPillarDate(S7,Trigger),"--")</f>
        <v>42594</v>
      </c>
      <c r="W7" s="3" t="str">
        <f t="shared" si="1"/>
        <v>Dp</v>
      </c>
      <c r="X7" s="3" t="str">
        <v>obj_00144</v>
      </c>
      <c r="Y7" s="3" t="str">
        <f>IFERROR(_xll.qlRateHelperQuoteName(X7,Trigger),"")</f>
        <v>SEK5MD_SYNTH6M_Quote</v>
      </c>
      <c r="Z7" s="67">
        <f>IFERROR(_xll.qlRateHelperRate(X7,Trigger),"")</f>
        <v>-3.5820000000000001E-3</v>
      </c>
      <c r="AA7" s="98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42563</v>
      </c>
      <c r="AC7" s="4">
        <f>IFERROR(_xll.qlRateHelperPillarDate(X7,Trigger),"")</f>
        <v>42716</v>
      </c>
      <c r="AD7" s="73">
        <v>1.0015246710830232</v>
      </c>
      <c r="AE7" s="163"/>
    </row>
    <row r="8" spans="1:39" ht="11.25" customHeight="1" x14ac:dyDescent="0.2">
      <c r="A8" s="58" t="s">
        <v>27</v>
      </c>
      <c r="B8" s="59" t="s">
        <v>41</v>
      </c>
      <c r="C8" s="206"/>
      <c r="D8" s="118"/>
      <c r="E8" s="118"/>
      <c r="F8" s="118"/>
      <c r="G8" s="60" t="str">
        <f>PROPER(Currency)&amp;FamilyName&amp;B8</f>
        <v>Sekibor2M</v>
      </c>
      <c r="H8" s="115" t="str">
        <f t="shared" si="0"/>
        <v>SEK2MD_SYNTH6M_Quote</v>
      </c>
      <c r="I8" s="118"/>
      <c r="J8" s="184" t="str">
        <f>IF(P8,_xll.qlDepositRateHelper(,H8,G8,Permanent,Trigger,ObjectOverwrite),"--")</f>
        <v>obj_0013c#0001</v>
      </c>
      <c r="K8" s="48"/>
      <c r="L8" s="185" t="str">
        <f t="shared" si="2"/>
        <v>Dp</v>
      </c>
      <c r="M8" s="193" t="str">
        <f t="shared" si="3"/>
        <v>SEK2MD_SYNTH6M_Quote</v>
      </c>
      <c r="N8" s="187">
        <f>IFERROR(_xll.qlQuoteValue(H8,Trigger),"--")</f>
        <v>-3.1150000000000001E-3</v>
      </c>
      <c r="O8" s="188"/>
      <c r="P8" s="129" t="b">
        <v>1</v>
      </c>
      <c r="Q8" s="90">
        <v>10</v>
      </c>
      <c r="R8" s="90">
        <v>1</v>
      </c>
      <c r="S8" s="90" t="str">
        <f t="shared" si="4"/>
        <v>obj_0013c#0001</v>
      </c>
      <c r="T8" s="94">
        <f>IFERROR(_xll.qlRateHelperEarliestDate(S8,Trigger),"--")</f>
        <v>42563</v>
      </c>
      <c r="U8" s="94">
        <f>IFERROR(_xll.qlRateHelperPillarDate(S8,Trigger),"--")</f>
        <v>42625</v>
      </c>
      <c r="W8" s="3" t="str">
        <f t="shared" si="1"/>
        <v>Dp</v>
      </c>
      <c r="X8" s="3" t="str">
        <v>obj_00122</v>
      </c>
      <c r="Y8" s="3" t="str">
        <f>IFERROR(_xll.qlRateHelperQuoteName(X8,Trigger),"")</f>
        <v>SEK6MD_SYNTH6M_Quote</v>
      </c>
      <c r="Z8" s="67">
        <f>IFERROR(_xll.qlRateHelperRate(X8,Trigger),"")</f>
        <v>-3.7000000000000002E-3</v>
      </c>
      <c r="AA8" s="98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42563</v>
      </c>
      <c r="AC8" s="4">
        <f>IFERROR(_xll.qlRateHelperPillarDate(X8,Trigger),"")</f>
        <v>42747</v>
      </c>
      <c r="AD8" s="73">
        <v>1.0018946941883429</v>
      </c>
      <c r="AE8" s="163"/>
    </row>
    <row r="9" spans="1:39" ht="11.25" customHeight="1" x14ac:dyDescent="0.2">
      <c r="A9" s="58" t="s">
        <v>27</v>
      </c>
      <c r="B9" s="59" t="s">
        <v>0</v>
      </c>
      <c r="C9" s="206"/>
      <c r="D9" s="118"/>
      <c r="E9" s="118"/>
      <c r="F9" s="118"/>
      <c r="G9" s="60" t="str">
        <f>PROPER(Currency)&amp;FamilyName&amp;B9</f>
        <v>Sekibor3M</v>
      </c>
      <c r="H9" s="115" t="str">
        <f t="shared" si="0"/>
        <v>SEK3MD_SYNTH6M_Quote</v>
      </c>
      <c r="I9" s="118"/>
      <c r="J9" s="184" t="str">
        <f>IF(P9,_xll.qlDepositRateHelper(,H9,G9,Permanent,Trigger,ObjectOverwrite),"--")</f>
        <v>obj_00125#0001</v>
      </c>
      <c r="K9" s="48"/>
      <c r="L9" s="185" t="str">
        <f t="shared" si="2"/>
        <v>Dp</v>
      </c>
      <c r="M9" s="193" t="str">
        <f t="shared" si="3"/>
        <v>SEK3MD_SYNTH6M_Quote</v>
      </c>
      <c r="N9" s="187">
        <f>IFERROR(_xll.qlQuoteValue(H9,Trigger),"--")</f>
        <v>-3.235E-3</v>
      </c>
      <c r="O9" s="188"/>
      <c r="P9" s="129" t="b">
        <v>1</v>
      </c>
      <c r="Q9" s="90">
        <v>10</v>
      </c>
      <c r="R9" s="90">
        <v>1</v>
      </c>
      <c r="S9" s="90" t="str">
        <f t="shared" si="4"/>
        <v>obj_00125#0001</v>
      </c>
      <c r="T9" s="94">
        <f>IFERROR(_xll.qlRateHelperEarliestDate(S9,Trigger),"--")</f>
        <v>42563</v>
      </c>
      <c r="U9" s="94">
        <f>IFERROR(_xll.qlRateHelperPillarDate(S9,Trigger),"--")</f>
        <v>42655</v>
      </c>
      <c r="W9" s="3" t="str">
        <f t="shared" si="1"/>
        <v>BasSw</v>
      </c>
      <c r="X9" s="3" t="str">
        <v>obj_00126</v>
      </c>
      <c r="Y9" s="3" t="str">
        <f>IFERROR(_xll.qlRateHelperQuoteName(X9,Trigger),"")</f>
        <v>SEKSB6S1Y_3S6S_Quote</v>
      </c>
      <c r="Z9" s="67">
        <f>IFERROR(_xll.qlRateHelperRate(X9,Trigger),"")</f>
        <v>-4.1768473967142969E-3</v>
      </c>
      <c r="AA9" s="98">
        <f>IF(ISERROR(_xll.qlSwapRateHelperSpread($X9)),IF(ISERROR(_xll.qlFuturesRateHelperConvexityAdjustment($X9)),"",_xll.qlFuturesRateHelperConvexityAdjustment($X9)),_xll.qlSwapRateHelperSpread($X9))</f>
        <v>0</v>
      </c>
      <c r="AB9" s="4">
        <f>IFERROR(_xll.qlRateHelperEarliestDate(X9,Trigger),"")</f>
        <v>42563</v>
      </c>
      <c r="AC9" s="4">
        <f>IFERROR(_xll.qlRateHelperPillarDate(X9,Trigger),"")</f>
        <v>42928</v>
      </c>
      <c r="AD9" s="73">
        <v>1.0041955747441742</v>
      </c>
      <c r="AE9" s="163"/>
      <c r="AH9" s="46" t="s">
        <v>106</v>
      </c>
    </row>
    <row r="10" spans="1:39" ht="11.25" customHeight="1" x14ac:dyDescent="0.2">
      <c r="A10" s="151" t="s">
        <v>27</v>
      </c>
      <c r="B10" s="152" t="s">
        <v>42</v>
      </c>
      <c r="C10" s="208"/>
      <c r="D10" s="153" t="b">
        <v>1</v>
      </c>
      <c r="E10" s="153" t="s">
        <v>7</v>
      </c>
      <c r="F10" s="153" t="s">
        <v>28</v>
      </c>
      <c r="G10" s="155" t="str">
        <f>_xll.qlIborIndex(,FamilyName,SUBSTITUTE(IF(RIGHT(B10,1)="N","1D",B10),"S","1"),2,Currency,Calendar,E10,D10,F10,,Permanent,Trigger,ObjectOverwrite)</f>
        <v>obj_0012c#0001</v>
      </c>
      <c r="H10" s="156" t="str">
        <f t="shared" si="0"/>
        <v>SEK4MD_SYNTH6M_Quote</v>
      </c>
      <c r="I10" s="154"/>
      <c r="J10" s="210" t="str">
        <f>IF(P10,_xll.qlDepositRateHelper(,H10,G10,Permanent,Trigger,ObjectOverwrite),"--")</f>
        <v>obj_00145#0001</v>
      </c>
      <c r="K10" s="48"/>
      <c r="L10" s="185" t="str">
        <f t="shared" ref="L10:L12" si="5">A10</f>
        <v>Dp</v>
      </c>
      <c r="M10" s="193" t="str">
        <f t="shared" si="3"/>
        <v>SEK4MD_SYNTH6M_Quote</v>
      </c>
      <c r="N10" s="187">
        <f>IFERROR(_xll.qlQuoteValue(H10,Trigger),"--")</f>
        <v>-3.4290000000000002E-3</v>
      </c>
      <c r="O10" s="188"/>
      <c r="P10" s="129" t="b">
        <v>1</v>
      </c>
      <c r="Q10" s="90">
        <v>10</v>
      </c>
      <c r="R10" s="90">
        <v>1</v>
      </c>
      <c r="S10" s="90" t="str">
        <f t="shared" si="4"/>
        <v>obj_00145#0001</v>
      </c>
      <c r="T10" s="94">
        <f>IFERROR(_xll.qlRateHelperEarliestDate(S10,Trigger),"--")</f>
        <v>42563</v>
      </c>
      <c r="U10" s="94">
        <f>IFERROR(_xll.qlRateHelperPillarDate(S10,Trigger),"--")</f>
        <v>42688</v>
      </c>
      <c r="W10" s="3" t="str">
        <f t="shared" si="1"/>
        <v>BasSw</v>
      </c>
      <c r="X10" s="3" t="str">
        <v>obj_0011e</v>
      </c>
      <c r="Y10" s="3" t="str">
        <f>IFERROR(_xll.qlRateHelperQuoteName(X10,Trigger),"")</f>
        <v>SEKSB6S2Y_3S6S_Quote</v>
      </c>
      <c r="Z10" s="67">
        <f>IFERROR(_xll.qlRateHelperRate(X10,Trigger),"")</f>
        <v>-3.4702208762755976E-3</v>
      </c>
      <c r="AA10" s="98">
        <f>IF(ISERROR(_xll.qlSwapRateHelperSpread($X10)),IF(ISERROR(_xll.qlFuturesRateHelperConvexityAdjustment($X10)),"",_xll.qlFuturesRateHelperConvexityAdjustment($X10)),_xll.qlSwapRateHelperSpread($X10))</f>
        <v>0</v>
      </c>
      <c r="AB10" s="4">
        <f>IFERROR(_xll.qlRateHelperEarliestDate(X10,Trigger),"")</f>
        <v>42563</v>
      </c>
      <c r="AC10" s="4">
        <f>IFERROR(_xll.qlRateHelperPillarDate(X10,Trigger),"")</f>
        <v>43293</v>
      </c>
      <c r="AD10" s="73">
        <v>1.0069835284056317</v>
      </c>
      <c r="AE10" s="163"/>
      <c r="AF10" s="69" t="s">
        <v>100</v>
      </c>
      <c r="AG10" s="69" t="s">
        <v>101</v>
      </c>
      <c r="AH10" s="69" t="s">
        <v>102</v>
      </c>
      <c r="AI10" s="69" t="s">
        <v>113</v>
      </c>
      <c r="AJ10" s="69" t="s">
        <v>103</v>
      </c>
      <c r="AK10" s="69" t="s">
        <v>114</v>
      </c>
      <c r="AL10" s="69" t="s">
        <v>104</v>
      </c>
      <c r="AM10" s="69" t="s">
        <v>105</v>
      </c>
    </row>
    <row r="11" spans="1:39" ht="11.25" customHeight="1" x14ac:dyDescent="0.2">
      <c r="A11" s="157" t="s">
        <v>27</v>
      </c>
      <c r="B11" s="158" t="s">
        <v>43</v>
      </c>
      <c r="C11" s="207"/>
      <c r="D11" s="159" t="b">
        <v>1</v>
      </c>
      <c r="E11" s="159" t="s">
        <v>7</v>
      </c>
      <c r="F11" s="159" t="s">
        <v>28</v>
      </c>
      <c r="G11" s="161" t="str">
        <f>_xll.qlIborIndex(,FamilyName,SUBSTITUTE(IF(RIGHT(B11,1)="N","1D",B11),"S","1"),2,Currency,Calendar,E11,D11,F11,,Permanent,Trigger,ObjectOverwrite)</f>
        <v>obj_00131#0001</v>
      </c>
      <c r="H11" s="162" t="str">
        <f t="shared" si="0"/>
        <v>SEK5MD_SYNTH6M_Quote</v>
      </c>
      <c r="I11" s="160"/>
      <c r="J11" s="196" t="str">
        <f>IF(P11,_xll.qlDepositRateHelper(,H11,G11,Permanent,Trigger,ObjectOverwrite),"--")</f>
        <v>obj_00144#0001</v>
      </c>
      <c r="K11" s="48"/>
      <c r="L11" s="185" t="str">
        <f t="shared" si="5"/>
        <v>Dp</v>
      </c>
      <c r="M11" s="193" t="str">
        <f t="shared" si="3"/>
        <v>SEK5MD_SYNTH6M_Quote</v>
      </c>
      <c r="N11" s="187">
        <f>IFERROR(_xll.qlQuoteValue(H11,Trigger),"--")</f>
        <v>-3.5820000000000001E-3</v>
      </c>
      <c r="O11" s="188"/>
      <c r="P11" s="129" t="b">
        <v>1</v>
      </c>
      <c r="Q11" s="90">
        <v>10</v>
      </c>
      <c r="R11" s="90">
        <v>1</v>
      </c>
      <c r="S11" s="90" t="str">
        <f t="shared" si="4"/>
        <v>obj_00144#0001</v>
      </c>
      <c r="T11" s="94">
        <f>IFERROR(_xll.qlRateHelperEarliestDate(S11,Trigger),"--")</f>
        <v>42563</v>
      </c>
      <c r="U11" s="94">
        <f>IFERROR(_xll.qlRateHelperPillarDate(S11,Trigger),"--")</f>
        <v>42716</v>
      </c>
      <c r="W11" s="3" t="str">
        <f t="shared" si="1"/>
        <v>BasSw</v>
      </c>
      <c r="X11" s="3" t="str">
        <v>obj_0010d</v>
      </c>
      <c r="Y11" s="3" t="str">
        <f>IFERROR(_xll.qlRateHelperQuoteName(X11,Trigger),"")</f>
        <v>SEKSB6S3Y_3S6S_Quote</v>
      </c>
      <c r="Z11" s="67">
        <f>IFERROR(_xll.qlRateHelperRate(X11,Trigger),"")</f>
        <v>-2.2689673774632874E-3</v>
      </c>
      <c r="AA11" s="98">
        <f>IF(ISERROR(_xll.qlSwapRateHelperSpread($X11)),IF(ISERROR(_xll.qlFuturesRateHelperConvexityAdjustment($X11)),"",_xll.qlFuturesRateHelperConvexityAdjustment($X11)),_xll.qlSwapRateHelperSpread($X11))</f>
        <v>0</v>
      </c>
      <c r="AB11" s="4">
        <f>IFERROR(_xll.qlRateHelperEarliestDate(X11,Trigger),"")</f>
        <v>42563</v>
      </c>
      <c r="AC11" s="4">
        <f>IFERROR(_xll.qlRateHelperPillarDate(X11,Trigger),"")</f>
        <v>43658</v>
      </c>
      <c r="AD11" s="73">
        <v>1.0068589160647106</v>
      </c>
      <c r="AE11" s="163"/>
      <c r="AF11" s="136">
        <v>1</v>
      </c>
      <c r="AG11" s="137">
        <f>_xll.qlCalendarEndOfMonth(Calendar,Settlementdate,Trigger)</f>
        <v>42580</v>
      </c>
      <c r="AH11" s="136" t="str">
        <f t="shared" ref="AH11:AH23" si="6">Currency&amp;$AH$9&amp;AF11&amp;JumpSuffix&amp;QuoteSuffix</f>
        <v>SEKJump1_SYNTHON_Quote</v>
      </c>
      <c r="AI11" s="167">
        <f>_xll.qlDayCounterYearFraction("actual/360",AG11,_xll.qlCalendarAdvance(Calendar,AG11,"1D",,,Trigger))</f>
        <v>8.3333333333333332E-3</v>
      </c>
      <c r="AJ11" s="138" t="e">
        <f>IF(_xll.qlQuoteIsValid(AH11,Trigger),_xll.qlQuoteValue(AH11,Trigger),1)</f>
        <v>#NUM!</v>
      </c>
      <c r="AK11" s="170" t="e">
        <f>-LN(AJ11)/AI11</f>
        <v>#NUM!</v>
      </c>
      <c r="AL11" s="175">
        <v>0</v>
      </c>
      <c r="AM11" s="138">
        <f>IF(ISBLANK(AL11),AH11,EXP(-AL11*AI11))</f>
        <v>1</v>
      </c>
    </row>
    <row r="12" spans="1:39" ht="11.25" customHeight="1" x14ac:dyDescent="0.2">
      <c r="A12" s="1" t="s">
        <v>27</v>
      </c>
      <c r="B12" s="7" t="s">
        <v>3</v>
      </c>
      <c r="C12" s="209"/>
      <c r="D12" s="119"/>
      <c r="E12" s="119"/>
      <c r="F12" s="119"/>
      <c r="G12" s="6" t="str">
        <f>PROPER(Currency)&amp;FamilyName&amp;B12</f>
        <v>Sekibor6M</v>
      </c>
      <c r="H12" s="116" t="str">
        <f t="shared" si="0"/>
        <v>SEK6MD_SYNTH6M_Quote</v>
      </c>
      <c r="I12" s="119"/>
      <c r="J12" s="183" t="str">
        <f>IF(P12,_xll.qlDepositRateHelper(,H12,G12,Permanent,Trigger,ObjectOverwrite),"--")</f>
        <v>obj_00122#0001</v>
      </c>
      <c r="K12" s="48" t="s">
        <v>37</v>
      </c>
      <c r="L12" s="189" t="str">
        <f t="shared" si="5"/>
        <v>Dp</v>
      </c>
      <c r="M12" s="190" t="str">
        <f t="shared" si="3"/>
        <v>SEK6MD_SYNTH6M_Quote</v>
      </c>
      <c r="N12" s="191">
        <f>IFERROR(_xll.qlQuoteValue(H12,Trigger),"--")</f>
        <v>-3.7000000000000002E-3</v>
      </c>
      <c r="O12" s="192"/>
      <c r="P12" s="131" t="b">
        <v>1</v>
      </c>
      <c r="Q12" s="91">
        <v>10</v>
      </c>
      <c r="R12" s="91">
        <v>1</v>
      </c>
      <c r="S12" s="91" t="str">
        <f t="shared" si="4"/>
        <v>obj_00122#0001</v>
      </c>
      <c r="T12" s="96">
        <f>IFERROR(_xll.qlRateHelperEarliestDate(S12,Trigger),"--")</f>
        <v>42563</v>
      </c>
      <c r="U12" s="96">
        <f>IFERROR(_xll.qlRateHelperPillarDate(S12,Trigger),"--")</f>
        <v>42747</v>
      </c>
      <c r="W12" s="3" t="str">
        <f t="shared" si="1"/>
        <v>BasSw</v>
      </c>
      <c r="X12" s="3" t="str">
        <v>obj_00133</v>
      </c>
      <c r="Y12" s="3" t="str">
        <f>IFERROR(_xll.qlRateHelperQuoteName(X12,Trigger),"")</f>
        <v>SEKSB6S4Y_3S6S_Quote</v>
      </c>
      <c r="Z12" s="67">
        <f>IFERROR(_xll.qlRateHelperRate(X12,Trigger),"")</f>
        <v>-8.5588728650778164E-4</v>
      </c>
      <c r="AA12" s="98">
        <f>IF(ISERROR(_xll.qlSwapRateHelperSpread($X12)),IF(ISERROR(_xll.qlFuturesRateHelperConvexityAdjustment($X12)),"",_xll.qlFuturesRateHelperConvexityAdjustment($X12)),_xll.qlSwapRateHelperSpread($X12))</f>
        <v>0</v>
      </c>
      <c r="AB12" s="4">
        <f>IFERROR(_xll.qlRateHelperEarliestDate(X12,Trigger),"")</f>
        <v>42563</v>
      </c>
      <c r="AC12" s="4">
        <f>IFERROR(_xll.qlRateHelperPillarDate(X12,Trigger),"")</f>
        <v>44025</v>
      </c>
      <c r="AD12" s="73">
        <v>1.0034700107022552</v>
      </c>
      <c r="AE12" s="163"/>
      <c r="AF12" s="139">
        <v>2</v>
      </c>
      <c r="AG12" s="140">
        <f>_xll.qlCalendarEndOfMonth(Calendar,_xll.qlCalendarAdvance(Calendar,AG11,"1m","mf",TRUE),Trigger)</f>
        <v>42613</v>
      </c>
      <c r="AH12" s="139" t="str">
        <f t="shared" si="6"/>
        <v>SEKJump2_SYNTHON_Quote</v>
      </c>
      <c r="AI12" s="168">
        <f>_xll.qlDayCounterYearFraction("actual/360",AG12,_xll.qlCalendarAdvance(Calendar,AG12,"1D",,,Trigger))</f>
        <v>2.7777777777777779E-3</v>
      </c>
      <c r="AJ12" s="141" t="e">
        <f>IF(_xll.qlQuoteIsValid(AH12,Trigger),_xll.qlQuoteValue(AH12,Trigger),1)</f>
        <v>#NUM!</v>
      </c>
      <c r="AK12" s="171" t="e">
        <f t="shared" ref="AK12:AK23" si="7">-LN(AJ12)/AI12</f>
        <v>#NUM!</v>
      </c>
      <c r="AL12" s="176">
        <v>0</v>
      </c>
      <c r="AM12" s="141">
        <f t="shared" ref="AM12:AM23" si="8">IF(ISBLANK(AL12),AH12,EXP(-AL12*AI12))</f>
        <v>1</v>
      </c>
    </row>
    <row r="13" spans="1:39" ht="11.25" customHeight="1" x14ac:dyDescent="0.2">
      <c r="B13" s="46"/>
      <c r="C13" s="46"/>
      <c r="D13" s="46"/>
      <c r="E13" s="46"/>
      <c r="F13" s="46" t="s">
        <v>136</v>
      </c>
      <c r="G13" s="46" t="s">
        <v>137</v>
      </c>
      <c r="H13" s="52" t="s">
        <v>138</v>
      </c>
      <c r="K13" s="48"/>
      <c r="L13" s="185" t="str">
        <f>A15</f>
        <v>BasSw</v>
      </c>
      <c r="M13" s="211" t="str">
        <f>H15</f>
        <v>SEKSB6S6M_3S6S_Quote</v>
      </c>
      <c r="N13" s="187" t="str">
        <f>IFERROR(_xll.qlQuoteValue(H15,Trigger),"--")</f>
        <v>--</v>
      </c>
      <c r="O13" s="187">
        <f>I15</f>
        <v>0</v>
      </c>
      <c r="P13" s="129" t="b">
        <v>0</v>
      </c>
      <c r="Q13" s="90">
        <v>50</v>
      </c>
      <c r="R13" s="90">
        <v>1</v>
      </c>
      <c r="S13" s="90" t="str">
        <f>J15</f>
        <v>--</v>
      </c>
      <c r="T13" s="94" t="str">
        <f>IFERROR(_xll.qlRateHelperEarliestDate(S13,Trigger),"--")</f>
        <v>--</v>
      </c>
      <c r="U13" s="94" t="str">
        <f>IFERROR(_xll.qlRateHelperPillarDate(S13,Trigger),"--")</f>
        <v>--</v>
      </c>
      <c r="W13" s="3" t="str">
        <f t="shared" si="1"/>
        <v>BasSw</v>
      </c>
      <c r="X13" s="3" t="str">
        <v>obj_00123</v>
      </c>
      <c r="Y13" s="3" t="str">
        <f>IFERROR(_xll.qlRateHelperQuoteName(X13,Trigger),"")</f>
        <v>SEKSB6S5Y_3S6S_Quote</v>
      </c>
      <c r="Z13" s="67">
        <f>IFERROR(_xll.qlRateHelperRate(X13,Trigger),"")</f>
        <v>6.6031271076769137E-4</v>
      </c>
      <c r="AA13" s="98">
        <f>IF(ISERROR(_xll.qlSwapRateHelperSpread($X13)),IF(ISERROR(_xll.qlFuturesRateHelperConvexityAdjustment($X13)),"",_xll.qlFuturesRateHelperConvexityAdjustment($X13)),_xll.qlSwapRateHelperSpread($X13))</f>
        <v>0</v>
      </c>
      <c r="AB13" s="4">
        <f>IFERROR(_xll.qlRateHelperEarliestDate(X13,Trigger),"")</f>
        <v>42563</v>
      </c>
      <c r="AC13" s="4">
        <f>IFERROR(_xll.qlRateHelperPillarDate(X13,Trigger),"")</f>
        <v>44389</v>
      </c>
      <c r="AD13" s="73">
        <v>0.99674680303647789</v>
      </c>
      <c r="AE13" s="163"/>
      <c r="AF13" s="139">
        <v>3</v>
      </c>
      <c r="AG13" s="140">
        <f>_xll.qlCalendarEndOfMonth(Calendar,_xll.qlCalendarAdvance(Calendar,AG12,"1m","mf",TRUE),Trigger)</f>
        <v>42643</v>
      </c>
      <c r="AH13" s="139" t="str">
        <f t="shared" si="6"/>
        <v>SEKJump3_SYNTHON_Quote</v>
      </c>
      <c r="AI13" s="168">
        <f>_xll.qlDayCounterYearFraction("actual/360",AG13,_xll.qlCalendarAdvance(Calendar,AG13,"1D",,,Trigger))</f>
        <v>8.3333333333333332E-3</v>
      </c>
      <c r="AJ13" s="141" t="e">
        <f>IF(_xll.qlQuoteIsValid(AH13,Trigger),_xll.qlQuoteValue(AH13,Trigger),1)</f>
        <v>#NUM!</v>
      </c>
      <c r="AK13" s="171" t="e">
        <f t="shared" si="7"/>
        <v>#NUM!</v>
      </c>
      <c r="AL13" s="176">
        <v>0</v>
      </c>
      <c r="AM13" s="141">
        <f t="shared" si="8"/>
        <v>1</v>
      </c>
    </row>
    <row r="14" spans="1:39" ht="11.25" customHeight="1" x14ac:dyDescent="0.2">
      <c r="A14" s="63" t="s">
        <v>9</v>
      </c>
      <c r="B14" s="63" t="s">
        <v>30</v>
      </c>
      <c r="C14" s="63" t="s">
        <v>95</v>
      </c>
      <c r="D14" s="63" t="s">
        <v>5</v>
      </c>
      <c r="E14" s="63" t="s">
        <v>35</v>
      </c>
      <c r="F14" s="63" t="s">
        <v>96</v>
      </c>
      <c r="G14" s="63" t="s">
        <v>4</v>
      </c>
      <c r="H14" s="63" t="s">
        <v>1</v>
      </c>
      <c r="I14" s="63" t="s">
        <v>94</v>
      </c>
      <c r="J14" s="63" t="s">
        <v>25</v>
      </c>
      <c r="K14" s="48"/>
      <c r="L14" s="185" t="str">
        <f t="shared" ref="L14:L39" si="9">A16</f>
        <v>BasSw</v>
      </c>
      <c r="M14" s="193" t="str">
        <f t="shared" ref="M14:M39" si="10">H16</f>
        <v>SEKSB6S1Y_3S6S_Quote</v>
      </c>
      <c r="N14" s="187">
        <f>IFERROR(_xll.qlQuoteValue(H16,Trigger),"--")</f>
        <v>-4.1768473967143012E-3</v>
      </c>
      <c r="O14" s="187">
        <f t="shared" ref="O14:O39" si="11">I16</f>
        <v>0</v>
      </c>
      <c r="P14" s="129" t="b">
        <v>1</v>
      </c>
      <c r="Q14" s="90">
        <v>50</v>
      </c>
      <c r="R14" s="90">
        <v>1</v>
      </c>
      <c r="S14" s="90" t="str">
        <f t="shared" ref="S14:S39" si="12">J16</f>
        <v>obj_00126#0001</v>
      </c>
      <c r="T14" s="94">
        <f>IFERROR(_xll.qlRateHelperEarliestDate(S14,Trigger),"--")</f>
        <v>42563</v>
      </c>
      <c r="U14" s="94">
        <f>IFERROR(_xll.qlRateHelperPillarDate(S14,Trigger),"--")</f>
        <v>42928</v>
      </c>
      <c r="W14" s="3" t="str">
        <f t="shared" si="1"/>
        <v>BasSw</v>
      </c>
      <c r="X14" s="3" t="str">
        <v>obj_0013d</v>
      </c>
      <c r="Y14" s="3" t="str">
        <f>IFERROR(_xll.qlRateHelperQuoteName(X14,Trigger),"")</f>
        <v>SEKSB6S6Y_3S6S_Quote</v>
      </c>
      <c r="Z14" s="67">
        <f>IFERROR(_xll.qlRateHelperRate(X14,Trigger),"")</f>
        <v>2.2537547731426178E-3</v>
      </c>
      <c r="AA14" s="98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42563</v>
      </c>
      <c r="AC14" s="4">
        <f>IFERROR(_xll.qlRateHelperPillarDate(X14,Trigger),"")</f>
        <v>44754</v>
      </c>
      <c r="AD14" s="73">
        <v>0.98658353187305436</v>
      </c>
      <c r="AE14" s="163"/>
      <c r="AF14" s="139">
        <v>4</v>
      </c>
      <c r="AG14" s="140">
        <f>_xll.qlCalendarEndOfMonth(Calendar,_xll.qlCalendarAdvance(Calendar,AG13,"1m","mf",TRUE),Trigger)</f>
        <v>42674</v>
      </c>
      <c r="AH14" s="139" t="str">
        <f t="shared" si="6"/>
        <v>SEKJump4_SYNTHON_Quote</v>
      </c>
      <c r="AI14" s="168">
        <f>_xll.qlDayCounterYearFraction("actual/360",AG14,_xll.qlCalendarAdvance(Calendar,AG14,"1D",,,Trigger))</f>
        <v>2.7777777777777779E-3</v>
      </c>
      <c r="AJ14" s="141" t="e">
        <f>IF(_xll.qlQuoteIsValid(AH14,Trigger),_xll.qlQuoteValue(AH14,Trigger),1)</f>
        <v>#NUM!</v>
      </c>
      <c r="AK14" s="171" t="e">
        <f t="shared" si="7"/>
        <v>#NUM!</v>
      </c>
      <c r="AL14" s="176">
        <v>0</v>
      </c>
      <c r="AM14" s="141">
        <f t="shared" si="8"/>
        <v>1</v>
      </c>
    </row>
    <row r="15" spans="1:39" ht="11.25" customHeight="1" x14ac:dyDescent="0.2">
      <c r="A15" s="53" t="s">
        <v>140</v>
      </c>
      <c r="B15" s="54" t="s">
        <v>3</v>
      </c>
      <c r="C15" s="55" t="s">
        <v>6</v>
      </c>
      <c r="D15" s="55" t="s">
        <v>8</v>
      </c>
      <c r="E15" s="55" t="s">
        <v>7</v>
      </c>
      <c r="F15" s="55" t="s">
        <v>111</v>
      </c>
      <c r="G15" s="55" t="str">
        <f t="shared" ref="G15:G41" si="13">PROPER(Currency)&amp;FamilyName&amp;$G$1</f>
        <v>Sekibor6M</v>
      </c>
      <c r="H15" s="53" t="str">
        <f t="shared" ref="H15:H41" si="14">Currency&amp;$F$13&amp;$G$13&amp;$B15&amp;$H$13&amp;QuoteSuffix</f>
        <v>SEKSB6S6M_3S6S_Quote</v>
      </c>
      <c r="I15" s="120">
        <v>0</v>
      </c>
      <c r="J15" s="184" t="str">
        <f>IF(P13,_xll.qlSwapRateHelper2(,H15,2,B15,Calendar,D15,E15,F15,G15,I15,C15,Discounting,PillarDate,,Permanent,Trigger,ObjectOverwrite),"--")</f>
        <v>--</v>
      </c>
      <c r="K15" s="48"/>
      <c r="L15" s="185" t="str">
        <f t="shared" si="9"/>
        <v>BasSw</v>
      </c>
      <c r="M15" s="193" t="str">
        <f t="shared" si="10"/>
        <v>SEKSB6S15M_3S6S_Quote</v>
      </c>
      <c r="N15" s="187" t="str">
        <f>IFERROR(_xll.qlQuoteValue(H17,Trigger),"--")</f>
        <v>--</v>
      </c>
      <c r="O15" s="187">
        <f t="shared" si="11"/>
        <v>0</v>
      </c>
      <c r="P15" s="129" t="b">
        <v>0</v>
      </c>
      <c r="Q15" s="90">
        <v>50</v>
      </c>
      <c r="R15" s="90">
        <v>1</v>
      </c>
      <c r="S15" s="90" t="str">
        <f t="shared" si="12"/>
        <v>--</v>
      </c>
      <c r="T15" s="94" t="str">
        <f>IFERROR(_xll.qlRateHelperEarliestDate(S15,Trigger),"--")</f>
        <v>--</v>
      </c>
      <c r="U15" s="94" t="str">
        <f>IFERROR(_xll.qlRateHelperPillarDate(S15,Trigger),"--")</f>
        <v>--</v>
      </c>
      <c r="W15" s="3" t="str">
        <f t="shared" si="1"/>
        <v>BasSw</v>
      </c>
      <c r="X15" s="3" t="str">
        <v>obj_00138</v>
      </c>
      <c r="Y15" s="3" t="str">
        <f>IFERROR(_xll.qlRateHelperQuoteName(X15,Trigger),"")</f>
        <v>SEKSB6S7Y_3S6S_Quote</v>
      </c>
      <c r="Z15" s="67">
        <f>IFERROR(_xll.qlRateHelperRate(X15,Trigger),"")</f>
        <v>3.8471700178023802E-3</v>
      </c>
      <c r="AA15" s="98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42563</v>
      </c>
      <c r="AC15" s="4">
        <f>IFERROR(_xll.qlRateHelperPillarDate(X15,Trigger),"")</f>
        <v>45119</v>
      </c>
      <c r="AD15" s="73">
        <v>0.97334898560298067</v>
      </c>
      <c r="AE15" s="163"/>
      <c r="AF15" s="139">
        <v>5</v>
      </c>
      <c r="AG15" s="140">
        <f>_xll.qlCalendarEndOfMonth(Calendar,_xll.qlCalendarAdvance(Calendar,AG14,"1m","mf",TRUE),Trigger)</f>
        <v>42704</v>
      </c>
      <c r="AH15" s="139" t="str">
        <f t="shared" si="6"/>
        <v>SEKJump5_SYNTHON_Quote</v>
      </c>
      <c r="AI15" s="168">
        <f>_xll.qlDayCounterYearFraction("actual/360",AG15,_xll.qlCalendarAdvance(Calendar,AG15,"1D",,,Trigger))</f>
        <v>2.7777777777777779E-3</v>
      </c>
      <c r="AJ15" s="141" t="e">
        <f>IF(_xll.qlQuoteIsValid(AH15,Trigger),_xll.qlQuoteValue(AH15,Trigger),1)</f>
        <v>#NUM!</v>
      </c>
      <c r="AK15" s="171" t="e">
        <f t="shared" si="7"/>
        <v>#NUM!</v>
      </c>
      <c r="AL15" s="176">
        <v>0</v>
      </c>
      <c r="AM15" s="141">
        <f t="shared" si="8"/>
        <v>1</v>
      </c>
    </row>
    <row r="16" spans="1:39" ht="11.25" customHeight="1" x14ac:dyDescent="0.2">
      <c r="A16" s="58" t="s">
        <v>140</v>
      </c>
      <c r="B16" s="59" t="s">
        <v>29</v>
      </c>
      <c r="C16" s="60" t="s">
        <v>6</v>
      </c>
      <c r="D16" s="60" t="s">
        <v>8</v>
      </c>
      <c r="E16" s="60" t="s">
        <v>7</v>
      </c>
      <c r="F16" s="60" t="s">
        <v>111</v>
      </c>
      <c r="G16" s="60" t="str">
        <f t="shared" si="13"/>
        <v>Sekibor6M</v>
      </c>
      <c r="H16" s="58" t="str">
        <f t="shared" si="14"/>
        <v>SEKSB6S1Y_3S6S_Quote</v>
      </c>
      <c r="I16" s="121">
        <v>0</v>
      </c>
      <c r="J16" s="184" t="str">
        <f>IF(P14,_xll.qlSwapRateHelper2(,H16,2,B16,Calendar,D16,E16,F16,G16,I16,C16,Discounting,PillarDate,,Permanent,Trigger,ObjectOverwrite),"--")</f>
        <v>obj_00126#0001</v>
      </c>
      <c r="K16" s="48"/>
      <c r="L16" s="185" t="str">
        <f t="shared" si="9"/>
        <v>BasSw</v>
      </c>
      <c r="M16" s="193" t="str">
        <f t="shared" si="10"/>
        <v>SEKSB6S18M_3S6S_Quote</v>
      </c>
      <c r="N16" s="187" t="str">
        <f>IFERROR(_xll.qlQuoteValue(H18,Trigger),"--")</f>
        <v>--</v>
      </c>
      <c r="O16" s="187">
        <f t="shared" si="11"/>
        <v>0</v>
      </c>
      <c r="P16" s="129" t="b">
        <v>0</v>
      </c>
      <c r="Q16" s="90">
        <v>50</v>
      </c>
      <c r="R16" s="90">
        <v>1</v>
      </c>
      <c r="S16" s="90" t="str">
        <f t="shared" si="12"/>
        <v>--</v>
      </c>
      <c r="T16" s="94" t="str">
        <f>IFERROR(_xll.qlRateHelperEarliestDate(S16,Trigger),"--")</f>
        <v>--</v>
      </c>
      <c r="U16" s="94" t="str">
        <f>IFERROR(_xll.qlRateHelperPillarDate(S16,Trigger),"--")</f>
        <v>--</v>
      </c>
      <c r="W16" s="3" t="str">
        <f t="shared" si="1"/>
        <v>BasSw</v>
      </c>
      <c r="X16" s="3" t="str">
        <v>obj_0011b</v>
      </c>
      <c r="Y16" s="3" t="str">
        <f>IFERROR(_xll.qlRateHelperQuoteName(X16,Trigger),"")</f>
        <v>SEKSB6S8Y_3S6S_Quote</v>
      </c>
      <c r="Z16" s="67">
        <f>IFERROR(_xll.qlRateHelperRate(X16,Trigger),"")</f>
        <v>5.2919164142272391E-3</v>
      </c>
      <c r="AA16" s="98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42563</v>
      </c>
      <c r="AC16" s="4">
        <f>IFERROR(_xll.qlRateHelperPillarDate(X16,Trigger),"")</f>
        <v>45485</v>
      </c>
      <c r="AD16" s="73">
        <v>0.95829020927039432</v>
      </c>
      <c r="AE16" s="163"/>
      <c r="AF16" s="139">
        <v>6</v>
      </c>
      <c r="AG16" s="140">
        <f>_xll.qlCalendarEndOfMonth(Calendar,_xll.qlCalendarAdvance(Calendar,AG15,"1m","mf",TRUE),Trigger)</f>
        <v>42734</v>
      </c>
      <c r="AH16" s="139" t="str">
        <f t="shared" si="6"/>
        <v>SEKJump6_SYNTHON_Quote</v>
      </c>
      <c r="AI16" s="168">
        <f>_xll.qlDayCounterYearFraction("actual/360",AG16,_xll.qlCalendarAdvance(Calendar,AG16,"1D",,,Trigger))</f>
        <v>8.3333333333333332E-3</v>
      </c>
      <c r="AJ16" s="141" t="e">
        <f>IF(_xll.qlQuoteIsValid(AH16,Trigger),_xll.qlQuoteValue(AH16,Trigger),1)</f>
        <v>#NUM!</v>
      </c>
      <c r="AK16" s="171" t="e">
        <f t="shared" si="7"/>
        <v>#NUM!</v>
      </c>
      <c r="AL16" s="176">
        <v>0</v>
      </c>
      <c r="AM16" s="141">
        <f t="shared" si="8"/>
        <v>1</v>
      </c>
    </row>
    <row r="17" spans="1:39" ht="11.25" customHeight="1" x14ac:dyDescent="0.2">
      <c r="A17" s="58" t="s">
        <v>140</v>
      </c>
      <c r="B17" s="59" t="s">
        <v>49</v>
      </c>
      <c r="C17" s="60" t="s">
        <v>6</v>
      </c>
      <c r="D17" s="60" t="s">
        <v>8</v>
      </c>
      <c r="E17" s="60" t="s">
        <v>7</v>
      </c>
      <c r="F17" s="60" t="s">
        <v>111</v>
      </c>
      <c r="G17" s="60" t="str">
        <f t="shared" si="13"/>
        <v>Sekibor6M</v>
      </c>
      <c r="H17" s="58" t="str">
        <f t="shared" si="14"/>
        <v>SEKSB6S15M_3S6S_Quote</v>
      </c>
      <c r="I17" s="121">
        <v>0</v>
      </c>
      <c r="J17" s="184" t="str">
        <f>IF(P15,_xll.qlSwapRateHelper2(,H17,2,B17,Calendar,D17,E17,F17,G17,I17,C17,Discounting,PillarDate,,Permanent,Trigger,ObjectOverwrite),"--")</f>
        <v>--</v>
      </c>
      <c r="K17" s="48"/>
      <c r="L17" s="185" t="str">
        <f t="shared" si="9"/>
        <v>BasSw</v>
      </c>
      <c r="M17" s="193" t="str">
        <f t="shared" si="10"/>
        <v>SEKSB6S21M_3S6S_Quote</v>
      </c>
      <c r="N17" s="187" t="str">
        <f>IFERROR(_xll.qlQuoteValue(H19,Trigger),"--")</f>
        <v>--</v>
      </c>
      <c r="O17" s="187">
        <f t="shared" si="11"/>
        <v>0</v>
      </c>
      <c r="P17" s="129" t="b">
        <v>0</v>
      </c>
      <c r="Q17" s="90">
        <v>50</v>
      </c>
      <c r="R17" s="90">
        <v>1</v>
      </c>
      <c r="S17" s="90" t="str">
        <f t="shared" si="12"/>
        <v>--</v>
      </c>
      <c r="T17" s="94" t="str">
        <f>IFERROR(_xll.qlRateHelperEarliestDate(S17,Trigger),"--")</f>
        <v>--</v>
      </c>
      <c r="U17" s="94" t="str">
        <f>IFERROR(_xll.qlRateHelperPillarDate(S17,Trigger),"--")</f>
        <v>--</v>
      </c>
      <c r="W17" s="3" t="str">
        <f t="shared" si="1"/>
        <v>BasSw</v>
      </c>
      <c r="X17" s="3" t="str">
        <v>obj_00117</v>
      </c>
      <c r="Y17" s="3" t="str">
        <f>IFERROR(_xll.qlRateHelperQuoteName(X17,Trigger),"")</f>
        <v>SEKSB6S9Y_3S6S_Quote</v>
      </c>
      <c r="Z17" s="67">
        <f>IFERROR(_xll.qlRateHelperRate(X17,Trigger),"")</f>
        <v>6.5872397288700927E-3</v>
      </c>
      <c r="AA17" s="98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42563</v>
      </c>
      <c r="AC17" s="4">
        <f>IFERROR(_xll.qlRateHelperPillarDate(X17,Trigger),"")</f>
        <v>45852</v>
      </c>
      <c r="AD17" s="73">
        <v>0.94187573970677629</v>
      </c>
      <c r="AE17" s="163"/>
      <c r="AF17" s="139">
        <v>7</v>
      </c>
      <c r="AG17" s="140">
        <f>_xll.qlCalendarEndOfMonth(Calendar,_xll.qlCalendarAdvance(Calendar,AG16,"1m","mf",TRUE),Trigger)</f>
        <v>42766</v>
      </c>
      <c r="AH17" s="139" t="str">
        <f t="shared" si="6"/>
        <v>SEKJump7_SYNTHON_Quote</v>
      </c>
      <c r="AI17" s="168">
        <f>_xll.qlDayCounterYearFraction("actual/360",AG17,_xll.qlCalendarAdvance(Calendar,AG17,"1D",,,Trigger))</f>
        <v>2.7777777777777779E-3</v>
      </c>
      <c r="AJ17" s="141" t="e">
        <f>IF(_xll.qlQuoteIsValid(AH17,Trigger),_xll.qlQuoteValue(AH17,Trigger),1)</f>
        <v>#NUM!</v>
      </c>
      <c r="AK17" s="171" t="e">
        <f t="shared" si="7"/>
        <v>#NUM!</v>
      </c>
      <c r="AL17" s="176">
        <v>0</v>
      </c>
      <c r="AM17" s="141">
        <f t="shared" si="8"/>
        <v>1</v>
      </c>
    </row>
    <row r="18" spans="1:39" ht="11.25" customHeight="1" x14ac:dyDescent="0.2">
      <c r="A18" s="58" t="s">
        <v>140</v>
      </c>
      <c r="B18" s="59" t="s">
        <v>50</v>
      </c>
      <c r="C18" s="60" t="s">
        <v>6</v>
      </c>
      <c r="D18" s="60" t="s">
        <v>8</v>
      </c>
      <c r="E18" s="60" t="s">
        <v>7</v>
      </c>
      <c r="F18" s="60" t="s">
        <v>111</v>
      </c>
      <c r="G18" s="60" t="str">
        <f t="shared" si="13"/>
        <v>Sekibor6M</v>
      </c>
      <c r="H18" s="58" t="str">
        <f t="shared" si="14"/>
        <v>SEKSB6S18M_3S6S_Quote</v>
      </c>
      <c r="I18" s="121">
        <v>0</v>
      </c>
      <c r="J18" s="184" t="str">
        <f>IF(P16,_xll.qlSwapRateHelper2(,H18,2,B18,Calendar,D18,E18,F18,G18,I18,C18,Discounting,PillarDate,,Permanent,Trigger,ObjectOverwrite),"--")</f>
        <v>--</v>
      </c>
      <c r="K18" s="48"/>
      <c r="L18" s="185" t="str">
        <f t="shared" si="9"/>
        <v>BasSw</v>
      </c>
      <c r="M18" s="193" t="str">
        <f t="shared" si="10"/>
        <v>SEKSB6S2Y_3S6S_Quote</v>
      </c>
      <c r="N18" s="187">
        <f>IFERROR(_xll.qlQuoteValue(H20,Trigger),"--")</f>
        <v>-3.4702208762755864E-3</v>
      </c>
      <c r="O18" s="187">
        <f t="shared" si="11"/>
        <v>0</v>
      </c>
      <c r="P18" s="129" t="b">
        <v>1</v>
      </c>
      <c r="Q18" s="90">
        <v>50</v>
      </c>
      <c r="R18" s="90">
        <v>1</v>
      </c>
      <c r="S18" s="90" t="str">
        <f t="shared" si="12"/>
        <v>obj_0011e#0001</v>
      </c>
      <c r="T18" s="94">
        <f>IFERROR(_xll.qlRateHelperEarliestDate(S18,Trigger),"--")</f>
        <v>42563</v>
      </c>
      <c r="U18" s="94">
        <f>IFERROR(_xll.qlRateHelperPillarDate(S18,Trigger),"--")</f>
        <v>43293</v>
      </c>
      <c r="W18" s="3" t="str">
        <f t="shared" si="1"/>
        <v>BasSw</v>
      </c>
      <c r="X18" s="3" t="str">
        <v>obj_00113</v>
      </c>
      <c r="Y18" s="3" t="str">
        <f>IFERROR(_xll.qlRateHelperQuoteName(X18,Trigger),"")</f>
        <v>SEKSB6S10Y_3S6S_Quote</v>
      </c>
      <c r="Z18" s="67">
        <f>IFERROR(_xll.qlRateHelperRate(X18,Trigger),"")</f>
        <v>7.7274562296372777E-3</v>
      </c>
      <c r="AA18" s="98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42563</v>
      </c>
      <c r="AC18" s="4">
        <f>IFERROR(_xll.qlRateHelperPillarDate(X18,Trigger),"")</f>
        <v>46216</v>
      </c>
      <c r="AD18" s="73">
        <v>0.92473479986835883</v>
      </c>
      <c r="AE18" s="163"/>
      <c r="AF18" s="139">
        <v>8</v>
      </c>
      <c r="AG18" s="140">
        <f>_xll.qlCalendarEndOfMonth(Calendar,_xll.qlCalendarAdvance(Calendar,AG17,"1m","mf",TRUE),Trigger)</f>
        <v>42794</v>
      </c>
      <c r="AH18" s="139" t="str">
        <f t="shared" si="6"/>
        <v>SEKJump8_SYNTHON_Quote</v>
      </c>
      <c r="AI18" s="168">
        <f>_xll.qlDayCounterYearFraction("actual/360",AG18,_xll.qlCalendarAdvance(Calendar,AG18,"1D",,,Trigger))</f>
        <v>2.7777777777777779E-3</v>
      </c>
      <c r="AJ18" s="141" t="e">
        <f>IF(_xll.qlQuoteIsValid(AH18,Trigger),_xll.qlQuoteValue(AH18,Trigger),1)</f>
        <v>#NUM!</v>
      </c>
      <c r="AK18" s="171" t="e">
        <f t="shared" si="7"/>
        <v>#NUM!</v>
      </c>
      <c r="AL18" s="176">
        <v>0</v>
      </c>
      <c r="AM18" s="141">
        <f t="shared" si="8"/>
        <v>1</v>
      </c>
    </row>
    <row r="19" spans="1:39" ht="11.25" customHeight="1" x14ac:dyDescent="0.2">
      <c r="A19" s="58" t="s">
        <v>140</v>
      </c>
      <c r="B19" s="59" t="s">
        <v>51</v>
      </c>
      <c r="C19" s="60" t="s">
        <v>6</v>
      </c>
      <c r="D19" s="60" t="s">
        <v>8</v>
      </c>
      <c r="E19" s="60" t="s">
        <v>7</v>
      </c>
      <c r="F19" s="60" t="s">
        <v>111</v>
      </c>
      <c r="G19" s="60" t="str">
        <f t="shared" si="13"/>
        <v>Sekibor6M</v>
      </c>
      <c r="H19" s="58" t="str">
        <f t="shared" si="14"/>
        <v>SEKSB6S21M_3S6S_Quote</v>
      </c>
      <c r="I19" s="121">
        <v>0</v>
      </c>
      <c r="J19" s="184" t="str">
        <f>IF(P17,_xll.qlSwapRateHelper2(,H19,2,B19,Calendar,D19,E19,F19,G19,I19,C19,Discounting,PillarDate,,Permanent,Trigger,ObjectOverwrite),"--")</f>
        <v>--</v>
      </c>
      <c r="K19" s="48"/>
      <c r="L19" s="185" t="str">
        <f t="shared" si="9"/>
        <v>BasSw</v>
      </c>
      <c r="M19" s="193" t="str">
        <f t="shared" si="10"/>
        <v>SEKSB6S27M_3S6S_Quote</v>
      </c>
      <c r="N19" s="187" t="str">
        <f>IFERROR(_xll.qlQuoteValue(H21,Trigger),"--")</f>
        <v>--</v>
      </c>
      <c r="O19" s="187">
        <f t="shared" si="11"/>
        <v>0</v>
      </c>
      <c r="P19" s="129" t="b">
        <v>0</v>
      </c>
      <c r="Q19" s="90">
        <v>50</v>
      </c>
      <c r="R19" s="90">
        <v>1</v>
      </c>
      <c r="S19" s="90" t="str">
        <f t="shared" si="12"/>
        <v>--</v>
      </c>
      <c r="T19" s="94" t="str">
        <f>IFERROR(_xll.qlRateHelperEarliestDate(S19,Trigger),"--")</f>
        <v>--</v>
      </c>
      <c r="U19" s="94" t="str">
        <f>IFERROR(_xll.qlRateHelperPillarDate(S19,Trigger),"--")</f>
        <v>--</v>
      </c>
      <c r="W19" s="3" t="str">
        <f t="shared" si="1"/>
        <v>BasSw</v>
      </c>
      <c r="X19" s="3" t="str">
        <v>obj_0014c</v>
      </c>
      <c r="Y19" s="3" t="str">
        <f>IFERROR(_xll.qlRateHelperQuoteName(X19,Trigger),"")</f>
        <v>SEKSB6S12Y_3S6S_Quote</v>
      </c>
      <c r="Z19" s="67">
        <f>IFERROR(_xll.qlRateHelperRate(X19,Trigger),"")</f>
        <v>9.645939289999822E-3</v>
      </c>
      <c r="AA19" s="98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42563</v>
      </c>
      <c r="AC19" s="4">
        <f>IFERROR(_xll.qlRateHelperPillarDate(X19,Trigger),"")</f>
        <v>46946</v>
      </c>
      <c r="AD19" s="73">
        <v>0.88880936695034229</v>
      </c>
      <c r="AE19" s="163"/>
      <c r="AF19" s="139">
        <v>9</v>
      </c>
      <c r="AG19" s="140">
        <f>_xll.qlCalendarEndOfMonth(Calendar,_xll.qlCalendarAdvance(Calendar,AG18,"1m","mf",TRUE),Trigger)</f>
        <v>42825</v>
      </c>
      <c r="AH19" s="139" t="str">
        <f t="shared" si="6"/>
        <v>SEKJump9_SYNTHON_Quote</v>
      </c>
      <c r="AI19" s="168">
        <f>_xll.qlDayCounterYearFraction("actual/360",AG19,_xll.qlCalendarAdvance(Calendar,AG19,"1D",,,Trigger))</f>
        <v>8.3333333333333332E-3</v>
      </c>
      <c r="AJ19" s="141" t="e">
        <f>IF(_xll.qlQuoteIsValid(AH19,Trigger),_xll.qlQuoteValue(AH19,Trigger),1)</f>
        <v>#NUM!</v>
      </c>
      <c r="AK19" s="171" t="e">
        <f t="shared" si="7"/>
        <v>#NUM!</v>
      </c>
      <c r="AL19" s="176">
        <v>0</v>
      </c>
      <c r="AM19" s="141">
        <f t="shared" si="8"/>
        <v>1</v>
      </c>
    </row>
    <row r="20" spans="1:39" ht="11.25" customHeight="1" x14ac:dyDescent="0.2">
      <c r="A20" s="58" t="s">
        <v>140</v>
      </c>
      <c r="B20" s="59" t="s">
        <v>52</v>
      </c>
      <c r="C20" s="60" t="s">
        <v>6</v>
      </c>
      <c r="D20" s="60" t="s">
        <v>8</v>
      </c>
      <c r="E20" s="60" t="s">
        <v>7</v>
      </c>
      <c r="F20" s="60" t="s">
        <v>111</v>
      </c>
      <c r="G20" s="60" t="str">
        <f t="shared" si="13"/>
        <v>Sekibor6M</v>
      </c>
      <c r="H20" s="58" t="str">
        <f t="shared" si="14"/>
        <v>SEKSB6S2Y_3S6S_Quote</v>
      </c>
      <c r="I20" s="121">
        <v>0</v>
      </c>
      <c r="J20" s="184" t="str">
        <f>IF(P18,_xll.qlSwapRateHelper2(,H20,2,B20,Calendar,D20,E20,F20,G20,I20,C20,Discounting,PillarDate,,Permanent,Trigger,ObjectOverwrite),"--")</f>
        <v>obj_0011e#0001</v>
      </c>
      <c r="K20" s="48"/>
      <c r="L20" s="185" t="str">
        <f t="shared" si="9"/>
        <v>BasSw</v>
      </c>
      <c r="M20" s="193" t="str">
        <f t="shared" si="10"/>
        <v>SEKSB6S30M_3S6S_Quote</v>
      </c>
      <c r="N20" s="187" t="str">
        <f>IFERROR(_xll.qlQuoteValue(H22,Trigger),"--")</f>
        <v>--</v>
      </c>
      <c r="O20" s="187">
        <f t="shared" si="11"/>
        <v>0</v>
      </c>
      <c r="P20" s="129" t="b">
        <v>0</v>
      </c>
      <c r="Q20" s="90">
        <v>50</v>
      </c>
      <c r="R20" s="90">
        <v>1</v>
      </c>
      <c r="S20" s="90" t="str">
        <f t="shared" si="12"/>
        <v>--</v>
      </c>
      <c r="T20" s="94" t="str">
        <f>IFERROR(_xll.qlRateHelperEarliestDate(S20,Trigger),"--")</f>
        <v>--</v>
      </c>
      <c r="U20" s="94" t="str">
        <f>IFERROR(_xll.qlRateHelperPillarDate(S20,Trigger),"--")</f>
        <v>--</v>
      </c>
      <c r="W20" s="3" t="str">
        <f t="shared" si="1"/>
        <v>BasSw</v>
      </c>
      <c r="X20" s="3" t="str">
        <v>obj_00130</v>
      </c>
      <c r="Y20" s="3" t="str">
        <f>IFERROR(_xll.qlRateHelperQuoteName(X20,Trigger),"")</f>
        <v>SEKSB6S15Y_3S6S_Quote</v>
      </c>
      <c r="Z20" s="67">
        <f>IFERROR(_xll.qlRateHelperRate(X20,Trigger),"")</f>
        <v>1.186921588876933E-2</v>
      </c>
      <c r="AA20" s="98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42563</v>
      </c>
      <c r="AC20" s="4">
        <f>IFERROR(_xll.qlRateHelperPillarDate(X20,Trigger),"")</f>
        <v>48043</v>
      </c>
      <c r="AD20" s="73">
        <v>0.83284354766125768</v>
      </c>
      <c r="AE20" s="163"/>
      <c r="AF20" s="139">
        <v>10</v>
      </c>
      <c r="AG20" s="140">
        <f>_xll.qlCalendarEndOfMonth(Calendar,_xll.qlCalendarAdvance(Calendar,AG19,"1m","mf",TRUE),Trigger)</f>
        <v>42853</v>
      </c>
      <c r="AH20" s="139" t="str">
        <f t="shared" si="6"/>
        <v>SEKJump10_SYNTHON_Quote</v>
      </c>
      <c r="AI20" s="168">
        <f>_xll.qlDayCounterYearFraction("actual/360",AG20,_xll.qlCalendarAdvance(Calendar,AG20,"1D",,,Trigger))</f>
        <v>1.1111111111111112E-2</v>
      </c>
      <c r="AJ20" s="141" t="e">
        <f>IF(_xll.qlQuoteIsValid(AH20,Trigger),_xll.qlQuoteValue(AH20,Trigger),1)</f>
        <v>#NUM!</v>
      </c>
      <c r="AK20" s="171" t="e">
        <f t="shared" si="7"/>
        <v>#NUM!</v>
      </c>
      <c r="AL20" s="176">
        <v>0</v>
      </c>
      <c r="AM20" s="141">
        <f t="shared" si="8"/>
        <v>1</v>
      </c>
    </row>
    <row r="21" spans="1:39" ht="11.25" customHeight="1" x14ac:dyDescent="0.2">
      <c r="A21" s="58" t="s">
        <v>140</v>
      </c>
      <c r="B21" s="59" t="s">
        <v>125</v>
      </c>
      <c r="C21" s="60" t="s">
        <v>6</v>
      </c>
      <c r="D21" s="60" t="s">
        <v>8</v>
      </c>
      <c r="E21" s="60" t="s">
        <v>7</v>
      </c>
      <c r="F21" s="60" t="s">
        <v>111</v>
      </c>
      <c r="G21" s="60" t="str">
        <f t="shared" si="13"/>
        <v>Sekibor6M</v>
      </c>
      <c r="H21" s="58" t="str">
        <f t="shared" si="14"/>
        <v>SEKSB6S27M_3S6S_Quote</v>
      </c>
      <c r="I21" s="121">
        <v>0</v>
      </c>
      <c r="J21" s="184" t="str">
        <f>IF(P19,_xll.qlSwapRateHelper2(,H21,2,B21,Calendar,D21,E21,F21,G21,I21,C21,Discounting,PillarDate,,Permanent,Trigger,ObjectOverwrite),"--")</f>
        <v>--</v>
      </c>
      <c r="K21" s="48"/>
      <c r="L21" s="185" t="str">
        <f t="shared" si="9"/>
        <v>BasSw</v>
      </c>
      <c r="M21" s="193" t="str">
        <f t="shared" si="10"/>
        <v>SEKSB6S33M_3S6S_Quote</v>
      </c>
      <c r="N21" s="187" t="str">
        <f>IFERROR(_xll.qlQuoteValue(H23,Trigger),"--")</f>
        <v>--</v>
      </c>
      <c r="O21" s="187">
        <f t="shared" si="11"/>
        <v>0</v>
      </c>
      <c r="P21" s="129" t="b">
        <v>0</v>
      </c>
      <c r="Q21" s="90">
        <v>50</v>
      </c>
      <c r="R21" s="90">
        <v>1</v>
      </c>
      <c r="S21" s="90" t="str">
        <f t="shared" si="12"/>
        <v>--</v>
      </c>
      <c r="T21" s="94" t="str">
        <f>IFERROR(_xll.qlRateHelperEarliestDate(S21,Trigger),"--")</f>
        <v>--</v>
      </c>
      <c r="U21" s="94" t="str">
        <f>IFERROR(_xll.qlRateHelperPillarDate(S21,Trigger),"--")</f>
        <v>--</v>
      </c>
      <c r="W21" s="3" t="str">
        <f t="shared" si="1"/>
        <v>BasSw</v>
      </c>
      <c r="X21" s="3" t="str">
        <v>obj_0013f</v>
      </c>
      <c r="Y21" s="3" t="str">
        <f>IFERROR(_xll.qlRateHelperQuoteName(X21,Trigger),"")</f>
        <v>SEKSB6S20Y_3S6S_Quote</v>
      </c>
      <c r="Z21" s="67">
        <f>IFERROR(_xll.qlRateHelperRate(X21,Trigger),"")</f>
        <v>1.4059958848902265E-2</v>
      </c>
      <c r="AA21" s="98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42563</v>
      </c>
      <c r="AC21" s="4">
        <f>IFERROR(_xll.qlRateHelperPillarDate(X21,Trigger),"")</f>
        <v>49870</v>
      </c>
      <c r="AD21" s="73">
        <v>0.74732001770954015</v>
      </c>
      <c r="AE21" s="163"/>
      <c r="AF21" s="139">
        <v>11</v>
      </c>
      <c r="AG21" s="140">
        <f>_xll.qlCalendarEndOfMonth(Calendar,_xll.qlCalendarAdvance(Calendar,AG20,"1m","mf",TRUE),Trigger)</f>
        <v>42886</v>
      </c>
      <c r="AH21" s="139" t="str">
        <f t="shared" si="6"/>
        <v>SEKJump11_SYNTHON_Quote</v>
      </c>
      <c r="AI21" s="168">
        <f>_xll.qlDayCounterYearFraction("actual/360",AG21,_xll.qlCalendarAdvance(Calendar,AG21,"1D",,,Trigger))</f>
        <v>2.7777777777777779E-3</v>
      </c>
      <c r="AJ21" s="141" t="e">
        <f>IF(_xll.qlQuoteIsValid(AH21,Trigger),_xll.qlQuoteValue(AH21,Trigger),1)</f>
        <v>#NUM!</v>
      </c>
      <c r="AK21" s="171" t="e">
        <f t="shared" si="7"/>
        <v>#NUM!</v>
      </c>
      <c r="AL21" s="176">
        <v>0</v>
      </c>
      <c r="AM21" s="141">
        <f t="shared" si="8"/>
        <v>1</v>
      </c>
    </row>
    <row r="22" spans="1:39" ht="11.25" customHeight="1" x14ac:dyDescent="0.2">
      <c r="A22" s="58" t="s">
        <v>140</v>
      </c>
      <c r="B22" s="59" t="s">
        <v>126</v>
      </c>
      <c r="C22" s="60" t="s">
        <v>6</v>
      </c>
      <c r="D22" s="60" t="s">
        <v>8</v>
      </c>
      <c r="E22" s="60" t="s">
        <v>7</v>
      </c>
      <c r="F22" s="60" t="s">
        <v>111</v>
      </c>
      <c r="G22" s="60" t="str">
        <f t="shared" si="13"/>
        <v>Sekibor6M</v>
      </c>
      <c r="H22" s="58" t="str">
        <f t="shared" si="14"/>
        <v>SEKSB6S30M_3S6S_Quote</v>
      </c>
      <c r="I22" s="121">
        <v>0</v>
      </c>
      <c r="J22" s="184" t="str">
        <f>IF(P20,_xll.qlSwapRateHelper2(,H22,2,B22,Calendar,D22,E22,F22,G22,I22,C22,Discounting,PillarDate,,Permanent,Trigger,ObjectOverwrite),"--")</f>
        <v>--</v>
      </c>
      <c r="K22" s="48"/>
      <c r="L22" s="185" t="str">
        <f t="shared" si="9"/>
        <v>BasSw</v>
      </c>
      <c r="M22" s="193" t="str">
        <f t="shared" si="10"/>
        <v>SEKSB6S3Y_3S6S_Quote</v>
      </c>
      <c r="N22" s="187">
        <f>IFERROR(_xll.qlQuoteValue(H24,Trigger),"--")</f>
        <v>-2.2689673774632822E-3</v>
      </c>
      <c r="O22" s="187">
        <f t="shared" si="11"/>
        <v>0</v>
      </c>
      <c r="P22" s="129" t="b">
        <v>1</v>
      </c>
      <c r="Q22" s="90">
        <v>50</v>
      </c>
      <c r="R22" s="90">
        <v>1</v>
      </c>
      <c r="S22" s="90" t="str">
        <f t="shared" si="12"/>
        <v>obj_0010d#0001</v>
      </c>
      <c r="T22" s="94">
        <f>IFERROR(_xll.qlRateHelperEarliestDate(S22,Trigger),"--")</f>
        <v>42563</v>
      </c>
      <c r="U22" s="94">
        <f>IFERROR(_xll.qlRateHelperPillarDate(S22,Trigger),"--")</f>
        <v>43658</v>
      </c>
      <c r="W22" s="3" t="str">
        <f t="shared" si="1"/>
        <v>BasSw</v>
      </c>
      <c r="X22" s="3" t="str">
        <v>obj_0013b</v>
      </c>
      <c r="Y22" s="3" t="str">
        <f>IFERROR(_xll.qlRateHelperQuoteName(X22,Trigger),"")</f>
        <v>SEKSB6S25Y_3S6S_Quote</v>
      </c>
      <c r="Z22" s="67">
        <f>IFERROR(_xll.qlRateHelperRate(X22,Trigger),"")</f>
        <v>1.5131751217329547E-2</v>
      </c>
      <c r="AA22" s="98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42563</v>
      </c>
      <c r="AC22" s="4">
        <f>IFERROR(_xll.qlRateHelperPillarDate(X22,Trigger),"")</f>
        <v>51694</v>
      </c>
      <c r="AD22" s="73">
        <v>0.67509850042282749</v>
      </c>
      <c r="AE22" s="163"/>
      <c r="AF22" s="139">
        <v>12</v>
      </c>
      <c r="AG22" s="140">
        <f>_xll.qlCalendarEndOfMonth(Calendar,_xll.qlCalendarAdvance(Calendar,AG21,"1m","mf",TRUE),Trigger)</f>
        <v>42916</v>
      </c>
      <c r="AH22" s="139" t="str">
        <f t="shared" si="6"/>
        <v>SEKJump12_SYNTHON_Quote</v>
      </c>
      <c r="AI22" s="168">
        <f>_xll.qlDayCounterYearFraction("actual/360",AG22,_xll.qlCalendarAdvance(Calendar,AG22,"1D",,,Trigger))</f>
        <v>8.3333333333333332E-3</v>
      </c>
      <c r="AJ22" s="141" t="e">
        <f>IF(_xll.qlQuoteIsValid(AH22,Trigger),_xll.qlQuoteValue(AH22,Trigger),1)</f>
        <v>#NUM!</v>
      </c>
      <c r="AK22" s="171" t="e">
        <f t="shared" si="7"/>
        <v>#NUM!</v>
      </c>
      <c r="AL22" s="176">
        <v>0</v>
      </c>
      <c r="AM22" s="141">
        <f t="shared" si="8"/>
        <v>1</v>
      </c>
    </row>
    <row r="23" spans="1:39" ht="11.25" customHeight="1" x14ac:dyDescent="0.2">
      <c r="A23" s="58" t="s">
        <v>140</v>
      </c>
      <c r="B23" s="59" t="s">
        <v>127</v>
      </c>
      <c r="C23" s="60" t="s">
        <v>6</v>
      </c>
      <c r="D23" s="60" t="s">
        <v>8</v>
      </c>
      <c r="E23" s="60" t="s">
        <v>7</v>
      </c>
      <c r="F23" s="60" t="s">
        <v>111</v>
      </c>
      <c r="G23" s="60" t="str">
        <f t="shared" si="13"/>
        <v>Sekibor6M</v>
      </c>
      <c r="H23" s="58" t="str">
        <f t="shared" si="14"/>
        <v>SEKSB6S33M_3S6S_Quote</v>
      </c>
      <c r="I23" s="121">
        <v>0</v>
      </c>
      <c r="J23" s="184" t="str">
        <f>IF(P21,_xll.qlSwapRateHelper2(,H23,2,B23,Calendar,D23,E23,F23,G23,I23,C23,Discounting,PillarDate,,Permanent,Trigger,ObjectOverwrite),"--")</f>
        <v>--</v>
      </c>
      <c r="K23" s="48"/>
      <c r="L23" s="185" t="str">
        <f t="shared" si="9"/>
        <v>BasSw</v>
      </c>
      <c r="M23" s="193" t="str">
        <f t="shared" si="10"/>
        <v>SEKSB6S4Y_3S6S_Quote</v>
      </c>
      <c r="N23" s="187">
        <f>IFERROR(_xll.qlQuoteValue(H25,Trigger),"--")</f>
        <v>-8.5588728650774445E-4</v>
      </c>
      <c r="O23" s="187">
        <f t="shared" si="11"/>
        <v>0</v>
      </c>
      <c r="P23" s="129" t="b">
        <v>1</v>
      </c>
      <c r="Q23" s="90">
        <v>50</v>
      </c>
      <c r="R23" s="90">
        <v>1</v>
      </c>
      <c r="S23" s="90" t="str">
        <f t="shared" si="12"/>
        <v>obj_00133#0001</v>
      </c>
      <c r="T23" s="94">
        <f>IFERROR(_xll.qlRateHelperEarliestDate(S23,Trigger),"--")</f>
        <v>42563</v>
      </c>
      <c r="U23" s="94">
        <f>IFERROR(_xll.qlRateHelperPillarDate(S23,Trigger),"--")</f>
        <v>44025</v>
      </c>
      <c r="W23" s="3" t="str">
        <f t="shared" si="1"/>
        <v>BasSw</v>
      </c>
      <c r="X23" s="3" t="str">
        <v>obj_0010e</v>
      </c>
      <c r="Y23" s="3" t="str">
        <f>IFERROR(_xll.qlRateHelperQuoteName(X23,Trigger),"")</f>
        <v>SEKSB6S30Y_3S6S_Quote</v>
      </c>
      <c r="Z23" s="67">
        <f>IFERROR(_xll.qlRateHelperRate(X23,Trigger),"")</f>
        <v>1.5519632021420215E-2</v>
      </c>
      <c r="AA23" s="98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42563</v>
      </c>
      <c r="AC23" s="4">
        <f>IFERROR(_xll.qlRateHelperPillarDate(X23,Trigger),"")</f>
        <v>53520</v>
      </c>
      <c r="AD23" s="73">
        <v>0.61721785226303594</v>
      </c>
      <c r="AE23" s="163"/>
      <c r="AF23" s="142">
        <v>13</v>
      </c>
      <c r="AG23" s="143">
        <f>_xll.qlCalendarAdjust(Calendar,DATE(YEAR(AG11)+1,12,31),"preceding",Trigger)</f>
        <v>43098</v>
      </c>
      <c r="AH23" s="142" t="str">
        <f t="shared" si="6"/>
        <v>SEKJump13_SYNTHON_Quote</v>
      </c>
      <c r="AI23" s="169">
        <f>_xll.qlDayCounterYearFraction("actual/360",AG23,_xll.qlCalendarAdvance(Calendar,AG23,"1D",,,Trigger))</f>
        <v>1.1111111111111112E-2</v>
      </c>
      <c r="AJ23" s="144" t="e">
        <f>IF(_xll.qlQuoteIsValid(AH23,Trigger),_xll.qlQuoteValue(AH23,Trigger),1)</f>
        <v>#NUM!</v>
      </c>
      <c r="AK23" s="172" t="e">
        <f t="shared" si="7"/>
        <v>#NUM!</v>
      </c>
      <c r="AL23" s="177">
        <v>0</v>
      </c>
      <c r="AM23" s="144">
        <f t="shared" si="8"/>
        <v>1</v>
      </c>
    </row>
    <row r="24" spans="1:39" ht="11.25" customHeight="1" x14ac:dyDescent="0.2">
      <c r="A24" s="58" t="s">
        <v>140</v>
      </c>
      <c r="B24" s="59" t="s">
        <v>53</v>
      </c>
      <c r="C24" s="60" t="s">
        <v>6</v>
      </c>
      <c r="D24" s="60" t="s">
        <v>8</v>
      </c>
      <c r="E24" s="60" t="s">
        <v>7</v>
      </c>
      <c r="F24" s="60" t="s">
        <v>111</v>
      </c>
      <c r="G24" s="60" t="str">
        <f t="shared" si="13"/>
        <v>Sekibor6M</v>
      </c>
      <c r="H24" s="58" t="str">
        <f t="shared" si="14"/>
        <v>SEKSB6S3Y_3S6S_Quote</v>
      </c>
      <c r="I24" s="121">
        <v>0</v>
      </c>
      <c r="J24" s="184" t="str">
        <f>IF(P22,_xll.qlSwapRateHelper2(,H24,2,B24,Calendar,D24,E24,F24,G24,I24,C24,Discounting,PillarDate,,Permanent,Trigger,ObjectOverwrite),"--")</f>
        <v>obj_0010d#0001</v>
      </c>
      <c r="K24" s="48"/>
      <c r="L24" s="185" t="str">
        <f t="shared" si="9"/>
        <v>BasSw</v>
      </c>
      <c r="M24" s="193" t="str">
        <f t="shared" si="10"/>
        <v>SEKSB6S5Y_3S6S_Quote</v>
      </c>
      <c r="N24" s="187">
        <f>IFERROR(_xll.qlQuoteValue(H26,Trigger),"--")</f>
        <v>6.6031271076766871E-4</v>
      </c>
      <c r="O24" s="187">
        <f t="shared" si="11"/>
        <v>0</v>
      </c>
      <c r="P24" s="129" t="b">
        <v>1</v>
      </c>
      <c r="Q24" s="90">
        <v>50</v>
      </c>
      <c r="R24" s="90">
        <v>1</v>
      </c>
      <c r="S24" s="90" t="str">
        <f t="shared" si="12"/>
        <v>obj_00123#0001</v>
      </c>
      <c r="T24" s="94">
        <f>IFERROR(_xll.qlRateHelperEarliestDate(S24,Trigger),"--")</f>
        <v>42563</v>
      </c>
      <c r="U24" s="94">
        <f>IFERROR(_xll.qlRateHelperPillarDate(S24,Trigger),"--")</f>
        <v>44389</v>
      </c>
      <c r="W24" s="3" t="str">
        <f t="shared" si="1"/>
        <v/>
      </c>
      <c r="X24" s="3" t="e">
        <v>#N/A</v>
      </c>
      <c r="Y24" s="3" t="str">
        <f>IFERROR(_xll.qlRateHelperQuoteName(X24,Trigger),"")</f>
        <v/>
      </c>
      <c r="Z24" s="67" t="str">
        <f>IFERROR(_xll.qlRateHelperRate(X24,Trigger),"")</f>
        <v/>
      </c>
      <c r="AA24" s="98" t="str">
        <f>IF(ISERROR(_xll.qlSwapRateHelperSpread($X24)),IF(ISERROR(_xll.qlFuturesRateHelperConvexityAdjustment($X24)),"",_xll.qlFuturesRateHelperConvexityAdjustment($X24)),_xll.qlSwapRateHelperSpread($X24))</f>
        <v/>
      </c>
      <c r="AB24" s="4" t="str">
        <f>IFERROR(_xll.qlRateHelperEarliestDate(X24,Trigger),"")</f>
        <v/>
      </c>
      <c r="AC24" s="4" t="str">
        <f>IFERROR(_xll.qlRateHelperPillarDate(X24,Trigger),"")</f>
        <v/>
      </c>
      <c r="AD24" s="73" t="e">
        <v>#N/A</v>
      </c>
      <c r="AE24" s="163"/>
    </row>
    <row r="25" spans="1:39" ht="11.25" customHeight="1" x14ac:dyDescent="0.2">
      <c r="A25" s="58" t="s">
        <v>140</v>
      </c>
      <c r="B25" s="59" t="s">
        <v>54</v>
      </c>
      <c r="C25" s="60" t="s">
        <v>6</v>
      </c>
      <c r="D25" s="60" t="s">
        <v>8</v>
      </c>
      <c r="E25" s="60" t="s">
        <v>7</v>
      </c>
      <c r="F25" s="60" t="s">
        <v>111</v>
      </c>
      <c r="G25" s="60" t="str">
        <f t="shared" si="13"/>
        <v>Sekibor6M</v>
      </c>
      <c r="H25" s="58" t="str">
        <f t="shared" si="14"/>
        <v>SEKSB6S4Y_3S6S_Quote</v>
      </c>
      <c r="I25" s="121">
        <v>0</v>
      </c>
      <c r="J25" s="184" t="str">
        <f>IF(P23,_xll.qlSwapRateHelper2(,H25,2,B25,Calendar,D25,E25,F25,G25,I25,C25,Discounting,PillarDate,,Permanent,Trigger,ObjectOverwrite),"--")</f>
        <v>obj_00133#0001</v>
      </c>
      <c r="K25" s="48"/>
      <c r="L25" s="185" t="str">
        <f t="shared" si="9"/>
        <v>BasSw</v>
      </c>
      <c r="M25" s="193" t="str">
        <f t="shared" si="10"/>
        <v>SEKSB6S6Y_3S6S_Quote</v>
      </c>
      <c r="N25" s="187">
        <f>IFERROR(_xll.qlQuoteValue(H27,Trigger),"--")</f>
        <v>2.2537547731425493E-3</v>
      </c>
      <c r="O25" s="187">
        <f t="shared" si="11"/>
        <v>0</v>
      </c>
      <c r="P25" s="129" t="b">
        <v>1</v>
      </c>
      <c r="Q25" s="90">
        <v>50</v>
      </c>
      <c r="R25" s="90">
        <v>1</v>
      </c>
      <c r="S25" s="90" t="str">
        <f t="shared" si="12"/>
        <v>obj_0013d#0001</v>
      </c>
      <c r="T25" s="94">
        <f>IFERROR(_xll.qlRateHelperEarliestDate(S25,Trigger),"--")</f>
        <v>42563</v>
      </c>
      <c r="U25" s="94">
        <f>IFERROR(_xll.qlRateHelperPillarDate(S25,Trigger),"--")</f>
        <v>44754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67" t="str">
        <f>IFERROR(_xll.qlRateHelperRate(X25,Trigger),"")</f>
        <v/>
      </c>
      <c r="AA25" s="98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3" t="e">
        <v>#N/A</v>
      </c>
      <c r="AE25" s="163"/>
    </row>
    <row r="26" spans="1:39" ht="11.25" customHeight="1" x14ac:dyDescent="0.2">
      <c r="A26" s="58" t="s">
        <v>140</v>
      </c>
      <c r="B26" s="59" t="s">
        <v>55</v>
      </c>
      <c r="C26" s="60" t="s">
        <v>6</v>
      </c>
      <c r="D26" s="60" t="s">
        <v>8</v>
      </c>
      <c r="E26" s="60" t="s">
        <v>7</v>
      </c>
      <c r="F26" s="60" t="s">
        <v>111</v>
      </c>
      <c r="G26" s="60" t="str">
        <f t="shared" si="13"/>
        <v>Sekibor6M</v>
      </c>
      <c r="H26" s="58" t="str">
        <f t="shared" si="14"/>
        <v>SEKSB6S5Y_3S6S_Quote</v>
      </c>
      <c r="I26" s="121">
        <v>0</v>
      </c>
      <c r="J26" s="184" t="str">
        <f>IF(P24,_xll.qlSwapRateHelper2(,H26,2,B26,Calendar,D26,E26,F26,G26,I26,C26,Discounting,PillarDate,,Permanent,Trigger,ObjectOverwrite),"--")</f>
        <v>obj_00123#0001</v>
      </c>
      <c r="K26" s="48"/>
      <c r="L26" s="185" t="str">
        <f t="shared" si="9"/>
        <v>BasSw</v>
      </c>
      <c r="M26" s="193" t="str">
        <f t="shared" si="10"/>
        <v>SEKSB6S7Y_3S6S_Quote</v>
      </c>
      <c r="N26" s="187">
        <f>IFERROR(_xll.qlQuoteValue(H28,Trigger),"--")</f>
        <v>3.8471700178024024E-3</v>
      </c>
      <c r="O26" s="187">
        <f t="shared" si="11"/>
        <v>0</v>
      </c>
      <c r="P26" s="129" t="b">
        <v>1</v>
      </c>
      <c r="Q26" s="90">
        <v>50</v>
      </c>
      <c r="R26" s="90">
        <v>1</v>
      </c>
      <c r="S26" s="90" t="str">
        <f t="shared" si="12"/>
        <v>obj_00138#0001</v>
      </c>
      <c r="T26" s="94">
        <f>IFERROR(_xll.qlRateHelperEarliestDate(S26,Trigger),"--")</f>
        <v>42563</v>
      </c>
      <c r="U26" s="94">
        <f>IFERROR(_xll.qlRateHelperPillarDate(S26,Trigger),"--")</f>
        <v>45119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67" t="str">
        <f>IFERROR(_xll.qlRateHelperRate(X26,Trigger),"")</f>
        <v/>
      </c>
      <c r="AA26" s="98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3" t="e">
        <v>#N/A</v>
      </c>
      <c r="AE26" s="163"/>
    </row>
    <row r="27" spans="1:39" ht="11.25" customHeight="1" x14ac:dyDescent="0.2">
      <c r="A27" s="58" t="s">
        <v>140</v>
      </c>
      <c r="B27" s="59" t="s">
        <v>56</v>
      </c>
      <c r="C27" s="60" t="s">
        <v>6</v>
      </c>
      <c r="D27" s="60" t="s">
        <v>8</v>
      </c>
      <c r="E27" s="60" t="s">
        <v>7</v>
      </c>
      <c r="F27" s="60" t="s">
        <v>111</v>
      </c>
      <c r="G27" s="60" t="str">
        <f t="shared" si="13"/>
        <v>Sekibor6M</v>
      </c>
      <c r="H27" s="58" t="str">
        <f t="shared" si="14"/>
        <v>SEKSB6S6Y_3S6S_Quote</v>
      </c>
      <c r="I27" s="121">
        <v>0</v>
      </c>
      <c r="J27" s="184" t="str">
        <f>IF(P25,_xll.qlSwapRateHelper2(,H27,2,B27,Calendar,D27,E27,F27,G27,I27,C27,Discounting,PillarDate,,Permanent,Trigger,ObjectOverwrite),"--")</f>
        <v>obj_0013d#0001</v>
      </c>
      <c r="K27" s="48"/>
      <c r="L27" s="185" t="str">
        <f t="shared" si="9"/>
        <v>BasSw</v>
      </c>
      <c r="M27" s="193" t="str">
        <f t="shared" si="10"/>
        <v>SEKSB6S8Y_3S6S_Quote</v>
      </c>
      <c r="N27" s="187">
        <f>IFERROR(_xll.qlQuoteValue(H29,Trigger),"--")</f>
        <v>5.2919164142272651E-3</v>
      </c>
      <c r="O27" s="187">
        <f t="shared" si="11"/>
        <v>0</v>
      </c>
      <c r="P27" s="129" t="b">
        <v>1</v>
      </c>
      <c r="Q27" s="90">
        <v>50</v>
      </c>
      <c r="R27" s="90">
        <v>1</v>
      </c>
      <c r="S27" s="90" t="str">
        <f t="shared" si="12"/>
        <v>obj_0011b#0001</v>
      </c>
      <c r="T27" s="94">
        <f>IFERROR(_xll.qlRateHelperEarliestDate(S27,Trigger),"--")</f>
        <v>42563</v>
      </c>
      <c r="U27" s="94">
        <f>IFERROR(_xll.qlRateHelperPillarDate(S27,Trigger),"--")</f>
        <v>45485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67" t="str">
        <f>IFERROR(_xll.qlRateHelperRate(X27,Trigger),"")</f>
        <v/>
      </c>
      <c r="AA27" s="98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3" t="e">
        <v>#N/A</v>
      </c>
      <c r="AE27" s="163"/>
    </row>
    <row r="28" spans="1:39" ht="11.25" customHeight="1" x14ac:dyDescent="0.2">
      <c r="A28" s="58" t="s">
        <v>140</v>
      </c>
      <c r="B28" s="59" t="s">
        <v>57</v>
      </c>
      <c r="C28" s="60" t="s">
        <v>6</v>
      </c>
      <c r="D28" s="60" t="s">
        <v>8</v>
      </c>
      <c r="E28" s="60" t="s">
        <v>7</v>
      </c>
      <c r="F28" s="60" t="s">
        <v>111</v>
      </c>
      <c r="G28" s="60" t="str">
        <f t="shared" si="13"/>
        <v>Sekibor6M</v>
      </c>
      <c r="H28" s="58" t="str">
        <f t="shared" si="14"/>
        <v>SEKSB6S7Y_3S6S_Quote</v>
      </c>
      <c r="I28" s="121">
        <v>0</v>
      </c>
      <c r="J28" s="184" t="str">
        <f>IF(P26,_xll.qlSwapRateHelper2(,H28,2,B28,Calendar,D28,E28,F28,G28,I28,C28,Discounting,PillarDate,,Permanent,Trigger,ObjectOverwrite),"--")</f>
        <v>obj_00138#0001</v>
      </c>
      <c r="K28" s="48"/>
      <c r="L28" s="185" t="str">
        <f t="shared" si="9"/>
        <v>BasSw</v>
      </c>
      <c r="M28" s="193" t="str">
        <f t="shared" si="10"/>
        <v>SEKSB6S9Y_3S6S_Quote</v>
      </c>
      <c r="N28" s="187">
        <f>IFERROR(_xll.qlQuoteValue(H30,Trigger),"--")</f>
        <v>6.5872397288701387E-3</v>
      </c>
      <c r="O28" s="187">
        <f t="shared" si="11"/>
        <v>0</v>
      </c>
      <c r="P28" s="129" t="b">
        <v>1</v>
      </c>
      <c r="Q28" s="90">
        <v>50</v>
      </c>
      <c r="R28" s="90">
        <v>1</v>
      </c>
      <c r="S28" s="90" t="str">
        <f t="shared" si="12"/>
        <v>obj_00117#0001</v>
      </c>
      <c r="T28" s="94">
        <f>IFERROR(_xll.qlRateHelperEarliestDate(S28,Trigger),"--")</f>
        <v>42563</v>
      </c>
      <c r="U28" s="94">
        <f>IFERROR(_xll.qlRateHelperPillarDate(S28,Trigger),"--")</f>
        <v>45852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67" t="str">
        <f>IFERROR(_xll.qlRateHelperRate(X28,Trigger),"")</f>
        <v/>
      </c>
      <c r="AA28" s="98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3" t="e">
        <v>#N/A</v>
      </c>
      <c r="AE28" s="163"/>
    </row>
    <row r="29" spans="1:39" ht="11.25" customHeight="1" x14ac:dyDescent="0.2">
      <c r="A29" s="58" t="s">
        <v>140</v>
      </c>
      <c r="B29" s="59" t="s">
        <v>58</v>
      </c>
      <c r="C29" s="60" t="s">
        <v>6</v>
      </c>
      <c r="D29" s="60" t="s">
        <v>8</v>
      </c>
      <c r="E29" s="60" t="s">
        <v>7</v>
      </c>
      <c r="F29" s="60" t="s">
        <v>111</v>
      </c>
      <c r="G29" s="60" t="str">
        <f t="shared" si="13"/>
        <v>Sekibor6M</v>
      </c>
      <c r="H29" s="58" t="str">
        <f t="shared" si="14"/>
        <v>SEKSB6S8Y_3S6S_Quote</v>
      </c>
      <c r="I29" s="121">
        <v>0</v>
      </c>
      <c r="J29" s="184" t="str">
        <f>IF(P27,_xll.qlSwapRateHelper2(,H29,2,B29,Calendar,D29,E29,F29,G29,I29,C29,Discounting,PillarDate,,Permanent,Trigger,ObjectOverwrite),"--")</f>
        <v>obj_0011b#0001</v>
      </c>
      <c r="K29" s="48"/>
      <c r="L29" s="185" t="str">
        <f t="shared" si="9"/>
        <v>BasSw</v>
      </c>
      <c r="M29" s="193" t="str">
        <f t="shared" si="10"/>
        <v>SEKSB6S10Y_3S6S_Quote</v>
      </c>
      <c r="N29" s="187">
        <f>IFERROR(_xll.qlQuoteValue(H31,Trigger),"--")</f>
        <v>7.7274562296374043E-3</v>
      </c>
      <c r="O29" s="187">
        <f t="shared" si="11"/>
        <v>0</v>
      </c>
      <c r="P29" s="129" t="b">
        <v>1</v>
      </c>
      <c r="Q29" s="90">
        <v>50</v>
      </c>
      <c r="R29" s="90">
        <v>1</v>
      </c>
      <c r="S29" s="90" t="str">
        <f t="shared" si="12"/>
        <v>obj_00113#0001</v>
      </c>
      <c r="T29" s="94">
        <f>IFERROR(_xll.qlRateHelperEarliestDate(S29,Trigger),"--")</f>
        <v>42563</v>
      </c>
      <c r="U29" s="94">
        <f>IFERROR(_xll.qlRateHelperPillarDate(S29,Trigger),"--")</f>
        <v>46216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67" t="str">
        <f>IFERROR(_xll.qlRateHelperRate(X29,Trigger),"")</f>
        <v/>
      </c>
      <c r="AA29" s="98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3" t="e">
        <v>#N/A</v>
      </c>
      <c r="AE29" s="163"/>
    </row>
    <row r="30" spans="1:39" ht="11.25" customHeight="1" x14ac:dyDescent="0.2">
      <c r="A30" s="58" t="s">
        <v>140</v>
      </c>
      <c r="B30" s="59" t="s">
        <v>59</v>
      </c>
      <c r="C30" s="60" t="s">
        <v>6</v>
      </c>
      <c r="D30" s="60" t="s">
        <v>8</v>
      </c>
      <c r="E30" s="60" t="s">
        <v>7</v>
      </c>
      <c r="F30" s="60" t="s">
        <v>111</v>
      </c>
      <c r="G30" s="60" t="str">
        <f t="shared" si="13"/>
        <v>Sekibor6M</v>
      </c>
      <c r="H30" s="58" t="str">
        <f t="shared" si="14"/>
        <v>SEKSB6S9Y_3S6S_Quote</v>
      </c>
      <c r="I30" s="121">
        <v>0</v>
      </c>
      <c r="J30" s="184" t="str">
        <f>IF(P28,_xll.qlSwapRateHelper2(,H30,2,B30,Calendar,D30,E30,F30,G30,I30,C30,Discounting,PillarDate,,Permanent,Trigger,ObjectOverwrite),"--")</f>
        <v>obj_00117#0001</v>
      </c>
      <c r="K30" s="48"/>
      <c r="L30" s="185" t="str">
        <f t="shared" si="9"/>
        <v>BasSw</v>
      </c>
      <c r="M30" s="193" t="str">
        <f t="shared" si="10"/>
        <v>SEKSB6S12Y_3S6S_Quote</v>
      </c>
      <c r="N30" s="187">
        <f>IFERROR(_xll.qlQuoteValue(H32,Trigger),"--")</f>
        <v>9.645939289999848E-3</v>
      </c>
      <c r="O30" s="187">
        <f t="shared" si="11"/>
        <v>0</v>
      </c>
      <c r="P30" s="129" t="b">
        <v>1</v>
      </c>
      <c r="Q30" s="90">
        <v>50</v>
      </c>
      <c r="R30" s="90">
        <v>1</v>
      </c>
      <c r="S30" s="90" t="str">
        <f t="shared" si="12"/>
        <v>obj_0014c#0001</v>
      </c>
      <c r="T30" s="94">
        <f>IFERROR(_xll.qlRateHelperEarliestDate(S30,Trigger),"--")</f>
        <v>42563</v>
      </c>
      <c r="U30" s="94">
        <f>IFERROR(_xll.qlRateHelperPillarDate(S30,Trigger),"--")</f>
        <v>46946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8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3" t="e">
        <v>#N/A</v>
      </c>
      <c r="AE30" s="163"/>
    </row>
    <row r="31" spans="1:39" ht="11.25" customHeight="1" x14ac:dyDescent="0.2">
      <c r="A31" s="58" t="s">
        <v>140</v>
      </c>
      <c r="B31" s="59" t="s">
        <v>60</v>
      </c>
      <c r="C31" s="60" t="s">
        <v>6</v>
      </c>
      <c r="D31" s="60" t="s">
        <v>8</v>
      </c>
      <c r="E31" s="60" t="s">
        <v>7</v>
      </c>
      <c r="F31" s="60" t="s">
        <v>111</v>
      </c>
      <c r="G31" s="60" t="str">
        <f t="shared" si="13"/>
        <v>Sekibor6M</v>
      </c>
      <c r="H31" s="58" t="str">
        <f t="shared" si="14"/>
        <v>SEKSB6S10Y_3S6S_Quote</v>
      </c>
      <c r="I31" s="121">
        <v>0</v>
      </c>
      <c r="J31" s="184" t="str">
        <f>IF(P29,_xll.qlSwapRateHelper2(,H31,2,B31,Calendar,D31,E31,F31,G31,I31,C31,Discounting,PillarDate,,Permanent,Trigger,ObjectOverwrite),"--")</f>
        <v>obj_00113#0001</v>
      </c>
      <c r="K31" s="48"/>
      <c r="L31" s="185" t="str">
        <f t="shared" si="9"/>
        <v>BasSw</v>
      </c>
      <c r="M31" s="193" t="str">
        <f t="shared" si="10"/>
        <v>SEKSB6S15Y_3S6S_Quote</v>
      </c>
      <c r="N31" s="187">
        <f>IFERROR(_xll.qlQuoteValue(H33,Trigger),"--")</f>
        <v>1.1869215888769312E-2</v>
      </c>
      <c r="O31" s="187">
        <f t="shared" si="11"/>
        <v>0</v>
      </c>
      <c r="P31" s="129" t="b">
        <v>1</v>
      </c>
      <c r="Q31" s="90">
        <v>50</v>
      </c>
      <c r="R31" s="90">
        <v>1</v>
      </c>
      <c r="S31" s="90" t="str">
        <f t="shared" si="12"/>
        <v>obj_00130#0001</v>
      </c>
      <c r="T31" s="94">
        <f>IFERROR(_xll.qlRateHelperEarliestDate(S31,Trigger),"--")</f>
        <v>42563</v>
      </c>
      <c r="U31" s="94">
        <f>IFERROR(_xll.qlRateHelperPillarDate(S31,Trigger),"--")</f>
        <v>48043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8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3" t="e">
        <v>#N/A</v>
      </c>
      <c r="AE31" s="163"/>
    </row>
    <row r="32" spans="1:39" ht="11.25" customHeight="1" x14ac:dyDescent="0.2">
      <c r="A32" s="58" t="s">
        <v>140</v>
      </c>
      <c r="B32" s="59" t="s">
        <v>61</v>
      </c>
      <c r="C32" s="60" t="s">
        <v>6</v>
      </c>
      <c r="D32" s="60" t="s">
        <v>8</v>
      </c>
      <c r="E32" s="60" t="s">
        <v>7</v>
      </c>
      <c r="F32" s="60" t="s">
        <v>111</v>
      </c>
      <c r="G32" s="60" t="str">
        <f t="shared" si="13"/>
        <v>Sekibor6M</v>
      </c>
      <c r="H32" s="58" t="str">
        <f t="shared" si="14"/>
        <v>SEKSB6S12Y_3S6S_Quote</v>
      </c>
      <c r="I32" s="121">
        <v>0</v>
      </c>
      <c r="J32" s="184" t="str">
        <f>IF(P30,_xll.qlSwapRateHelper2(,H32,2,B32,Calendar,D32,E32,F32,G32,I32,C32,Discounting,PillarDate,,Permanent,Trigger,ObjectOverwrite),"--")</f>
        <v>obj_0014c#0001</v>
      </c>
      <c r="K32" s="48"/>
      <c r="L32" s="185" t="str">
        <f t="shared" si="9"/>
        <v>BasSw</v>
      </c>
      <c r="M32" s="193" t="str">
        <f t="shared" si="10"/>
        <v>SEKSB6S20Y_3S6S_Quote</v>
      </c>
      <c r="N32" s="187">
        <f>IFERROR(_xll.qlQuoteValue(H34,Trigger),"--")</f>
        <v>1.4059958848902262E-2</v>
      </c>
      <c r="O32" s="187">
        <f t="shared" si="11"/>
        <v>0</v>
      </c>
      <c r="P32" s="129" t="b">
        <v>1</v>
      </c>
      <c r="Q32" s="90">
        <v>50</v>
      </c>
      <c r="R32" s="90">
        <v>1</v>
      </c>
      <c r="S32" s="90" t="str">
        <f t="shared" si="12"/>
        <v>obj_0013f#0001</v>
      </c>
      <c r="T32" s="94">
        <f>IFERROR(_xll.qlRateHelperEarliestDate(S32,Trigger),"--")</f>
        <v>42563</v>
      </c>
      <c r="U32" s="94">
        <f>IFERROR(_xll.qlRateHelperPillarDate(S32,Trigger),"--")</f>
        <v>49870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67" t="str">
        <f>IFERROR(_xll.qlRateHelperRate(X32,Trigger),"")</f>
        <v/>
      </c>
      <c r="AA32" s="98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3" t="e">
        <v>#N/A</v>
      </c>
      <c r="AE32" s="163"/>
    </row>
    <row r="33" spans="1:31" ht="11.25" customHeight="1" x14ac:dyDescent="0.2">
      <c r="A33" s="58" t="s">
        <v>140</v>
      </c>
      <c r="B33" s="59" t="s">
        <v>62</v>
      </c>
      <c r="C33" s="60" t="s">
        <v>6</v>
      </c>
      <c r="D33" s="60" t="s">
        <v>8</v>
      </c>
      <c r="E33" s="60" t="s">
        <v>7</v>
      </c>
      <c r="F33" s="60" t="s">
        <v>111</v>
      </c>
      <c r="G33" s="60" t="str">
        <f t="shared" si="13"/>
        <v>Sekibor6M</v>
      </c>
      <c r="H33" s="58" t="str">
        <f t="shared" si="14"/>
        <v>SEKSB6S15Y_3S6S_Quote</v>
      </c>
      <c r="I33" s="121">
        <v>0</v>
      </c>
      <c r="J33" s="184" t="str">
        <f>IF(P31,_xll.qlSwapRateHelper2(,H33,2,B33,Calendar,D33,E33,F33,G33,I33,C33,Discounting,PillarDate,,Permanent,Trigger,ObjectOverwrite),"--")</f>
        <v>obj_00130#0001</v>
      </c>
      <c r="K33" s="48"/>
      <c r="L33" s="185" t="str">
        <f t="shared" si="9"/>
        <v>BasSw</v>
      </c>
      <c r="M33" s="193" t="str">
        <f t="shared" si="10"/>
        <v>SEKSB6S25Y_3S6S_Quote</v>
      </c>
      <c r="N33" s="187">
        <f>IFERROR(_xll.qlQuoteValue(H35,Trigger),"--")</f>
        <v>1.5131751217329516E-2</v>
      </c>
      <c r="O33" s="187">
        <f t="shared" si="11"/>
        <v>0</v>
      </c>
      <c r="P33" s="129" t="b">
        <v>1</v>
      </c>
      <c r="Q33" s="90">
        <v>50</v>
      </c>
      <c r="R33" s="90">
        <v>1</v>
      </c>
      <c r="S33" s="90" t="str">
        <f t="shared" si="12"/>
        <v>obj_0013b#0001</v>
      </c>
      <c r="T33" s="94">
        <f>IFERROR(_xll.qlRateHelperEarliestDate(S33,Trigger),"--")</f>
        <v>42563</v>
      </c>
      <c r="U33" s="94">
        <f>IFERROR(_xll.qlRateHelperPillarDate(S33,Trigger),"--")</f>
        <v>51694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67" t="str">
        <f>IFERROR(_xll.qlRateHelperRate(X33,Trigger),"")</f>
        <v/>
      </c>
      <c r="AA33" s="98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3" t="e">
        <v>#N/A</v>
      </c>
      <c r="AE33" s="163"/>
    </row>
    <row r="34" spans="1:31" ht="11.25" customHeight="1" x14ac:dyDescent="0.2">
      <c r="A34" s="58" t="s">
        <v>140</v>
      </c>
      <c r="B34" s="59" t="s">
        <v>63</v>
      </c>
      <c r="C34" s="60" t="s">
        <v>6</v>
      </c>
      <c r="D34" s="60" t="s">
        <v>8</v>
      </c>
      <c r="E34" s="60" t="s">
        <v>7</v>
      </c>
      <c r="F34" s="60" t="s">
        <v>111</v>
      </c>
      <c r="G34" s="60" t="str">
        <f t="shared" si="13"/>
        <v>Sekibor6M</v>
      </c>
      <c r="H34" s="58" t="str">
        <f t="shared" si="14"/>
        <v>SEKSB6S20Y_3S6S_Quote</v>
      </c>
      <c r="I34" s="121">
        <v>0</v>
      </c>
      <c r="J34" s="184" t="str">
        <f>IF(P32,_xll.qlSwapRateHelper2(,H34,2,B34,Calendar,D34,E34,F34,G34,I34,C34,Discounting,PillarDate,,Permanent,Trigger,ObjectOverwrite),"--")</f>
        <v>obj_0013f#0001</v>
      </c>
      <c r="K34" s="48"/>
      <c r="L34" s="185" t="str">
        <f t="shared" si="9"/>
        <v>BasSw</v>
      </c>
      <c r="M34" s="193" t="str">
        <f t="shared" si="10"/>
        <v>SEKSB6S27Y_3S6S_Quote</v>
      </c>
      <c r="N34" s="187" t="str">
        <f>IFERROR(_xll.qlQuoteValue(H36,Trigger),"--")</f>
        <v>--</v>
      </c>
      <c r="O34" s="187">
        <f t="shared" si="11"/>
        <v>0</v>
      </c>
      <c r="P34" s="129" t="b">
        <v>0</v>
      </c>
      <c r="Q34" s="90">
        <v>50</v>
      </c>
      <c r="R34" s="90">
        <v>1</v>
      </c>
      <c r="S34" s="90" t="str">
        <f t="shared" si="12"/>
        <v>--</v>
      </c>
      <c r="T34" s="94" t="str">
        <f>IFERROR(_xll.qlRateHelperEarliestDate(S34,Trigger),"--")</f>
        <v>--</v>
      </c>
      <c r="U34" s="94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67" t="str">
        <f>IFERROR(_xll.qlRateHelperRate(X34,Trigger),"")</f>
        <v/>
      </c>
      <c r="AA34" s="98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3" t="e">
        <v>#N/A</v>
      </c>
      <c r="AE34" s="163"/>
    </row>
    <row r="35" spans="1:31" ht="11.25" customHeight="1" x14ac:dyDescent="0.2">
      <c r="A35" s="58" t="s">
        <v>140</v>
      </c>
      <c r="B35" s="59" t="s">
        <v>64</v>
      </c>
      <c r="C35" s="60" t="s">
        <v>6</v>
      </c>
      <c r="D35" s="60" t="s">
        <v>8</v>
      </c>
      <c r="E35" s="60" t="s">
        <v>7</v>
      </c>
      <c r="F35" s="60" t="s">
        <v>111</v>
      </c>
      <c r="G35" s="60" t="str">
        <f t="shared" si="13"/>
        <v>Sekibor6M</v>
      </c>
      <c r="H35" s="58" t="str">
        <f t="shared" si="14"/>
        <v>SEKSB6S25Y_3S6S_Quote</v>
      </c>
      <c r="I35" s="121">
        <v>0</v>
      </c>
      <c r="J35" s="184" t="str">
        <f>IF(P33,_xll.qlSwapRateHelper2(,H35,2,B35,Calendar,D35,E35,F35,G35,I35,C35,Discounting,PillarDate,,Permanent,Trigger,ObjectOverwrite),"--")</f>
        <v>obj_0013b#0001</v>
      </c>
      <c r="K35" s="48"/>
      <c r="L35" s="185" t="str">
        <f t="shared" si="9"/>
        <v>BasSw</v>
      </c>
      <c r="M35" s="193" t="str">
        <f t="shared" si="10"/>
        <v>SEKSB6S30Y_3S6S_Quote</v>
      </c>
      <c r="N35" s="187">
        <f>IFERROR(_xll.qlQuoteValue(H37,Trigger),"--")</f>
        <v>1.5519632021420243E-2</v>
      </c>
      <c r="O35" s="187">
        <f t="shared" si="11"/>
        <v>0</v>
      </c>
      <c r="P35" s="129" t="b">
        <v>1</v>
      </c>
      <c r="Q35" s="90">
        <v>50</v>
      </c>
      <c r="R35" s="90">
        <v>1</v>
      </c>
      <c r="S35" s="90" t="str">
        <f t="shared" si="12"/>
        <v>obj_0010e#0001</v>
      </c>
      <c r="T35" s="94">
        <f>IFERROR(_xll.qlRateHelperEarliestDate(S35,Trigger),"--")</f>
        <v>42563</v>
      </c>
      <c r="U35" s="94">
        <f>IFERROR(_xll.qlRateHelperPillarDate(S35,Trigger),"--")</f>
        <v>53520</v>
      </c>
      <c r="W35" s="3" t="str">
        <f t="shared" si="1"/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8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3" t="e">
        <v>#N/A</v>
      </c>
      <c r="AE35" s="163"/>
    </row>
    <row r="36" spans="1:31" ht="11.25" customHeight="1" x14ac:dyDescent="0.2">
      <c r="A36" s="58" t="s">
        <v>140</v>
      </c>
      <c r="B36" s="59" t="s">
        <v>65</v>
      </c>
      <c r="C36" s="60" t="s">
        <v>6</v>
      </c>
      <c r="D36" s="60" t="s">
        <v>8</v>
      </c>
      <c r="E36" s="60" t="s">
        <v>7</v>
      </c>
      <c r="F36" s="60" t="s">
        <v>111</v>
      </c>
      <c r="G36" s="60" t="str">
        <f t="shared" si="13"/>
        <v>Sekibor6M</v>
      </c>
      <c r="H36" s="58" t="str">
        <f t="shared" si="14"/>
        <v>SEKSB6S27Y_3S6S_Quote</v>
      </c>
      <c r="I36" s="121">
        <v>0</v>
      </c>
      <c r="J36" s="184" t="str">
        <f>IF(P34,_xll.qlSwapRateHelper2(,H36,2,B36,Calendar,D36,E36,F36,G36,I36,C36,Discounting,PillarDate,,Permanent,Trigger,ObjectOverwrite),"--")</f>
        <v>--</v>
      </c>
      <c r="K36" s="48"/>
      <c r="L36" s="185" t="str">
        <f t="shared" si="9"/>
        <v>BasSw</v>
      </c>
      <c r="M36" s="193" t="str">
        <f t="shared" si="10"/>
        <v>SEKSB6S35Y_3S6S_Quote</v>
      </c>
      <c r="N36" s="187" t="str">
        <f>IFERROR(_xll.qlQuoteValue(H38,Trigger),"--")</f>
        <v>--</v>
      </c>
      <c r="O36" s="187">
        <f t="shared" si="11"/>
        <v>0</v>
      </c>
      <c r="P36" s="129" t="b">
        <v>0</v>
      </c>
      <c r="Q36" s="90">
        <v>50</v>
      </c>
      <c r="R36" s="90">
        <v>1</v>
      </c>
      <c r="S36" s="90" t="str">
        <f t="shared" si="12"/>
        <v>--</v>
      </c>
      <c r="T36" s="94" t="str">
        <f>IFERROR(_xll.qlRateHelperEarliestDate(S36,Trigger),"--")</f>
        <v>--</v>
      </c>
      <c r="U36" s="94" t="str">
        <f>IFERROR(_xll.qlRateHelperPillarDate(S36,Trigger),"--")</f>
        <v>--</v>
      </c>
      <c r="W36" s="3" t="str">
        <f t="shared" si="1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8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3" t="e">
        <v>#N/A</v>
      </c>
      <c r="AE36" s="163"/>
    </row>
    <row r="37" spans="1:31" ht="11.25" customHeight="1" x14ac:dyDescent="0.2">
      <c r="A37" s="58" t="s">
        <v>140</v>
      </c>
      <c r="B37" s="59" t="s">
        <v>66</v>
      </c>
      <c r="C37" s="60" t="s">
        <v>6</v>
      </c>
      <c r="D37" s="60" t="s">
        <v>8</v>
      </c>
      <c r="E37" s="60" t="s">
        <v>7</v>
      </c>
      <c r="F37" s="60" t="s">
        <v>111</v>
      </c>
      <c r="G37" s="60" t="str">
        <f t="shared" si="13"/>
        <v>Sekibor6M</v>
      </c>
      <c r="H37" s="58" t="str">
        <f t="shared" si="14"/>
        <v>SEKSB6S30Y_3S6S_Quote</v>
      </c>
      <c r="I37" s="121">
        <v>0</v>
      </c>
      <c r="J37" s="184" t="str">
        <f>IF(P35,_xll.qlSwapRateHelper2(,H37,2,B37,Calendar,D37,E37,F37,G37,I37,C37,Discounting,PillarDate,,Permanent,Trigger,ObjectOverwrite),"--")</f>
        <v>obj_0010e#0001</v>
      </c>
      <c r="K37" s="48"/>
      <c r="L37" s="185" t="str">
        <f t="shared" si="9"/>
        <v>BasSw</v>
      </c>
      <c r="M37" s="193" t="str">
        <f t="shared" si="10"/>
        <v>SEKSB6S40Y_3S6S_Quote</v>
      </c>
      <c r="N37" s="187" t="str">
        <f>IFERROR(_xll.qlQuoteValue(H39,Trigger),"--")</f>
        <v>--</v>
      </c>
      <c r="O37" s="187">
        <f t="shared" si="11"/>
        <v>0</v>
      </c>
      <c r="P37" s="129" t="b">
        <v>0</v>
      </c>
      <c r="Q37" s="90">
        <v>50</v>
      </c>
      <c r="R37" s="90">
        <v>1</v>
      </c>
      <c r="S37" s="90" t="str">
        <f t="shared" si="12"/>
        <v>--</v>
      </c>
      <c r="T37" s="94" t="str">
        <f>IFERROR(_xll.qlRateHelperEarliestDate(S37,Trigger),"--")</f>
        <v>--</v>
      </c>
      <c r="U37" s="94" t="str">
        <f>IFERROR(_xll.qlRateHelperPillarDate(S37,Trigger),"--")</f>
        <v>--</v>
      </c>
      <c r="W37" s="3" t="str">
        <f t="shared" si="1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8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3" t="e">
        <v>#N/A</v>
      </c>
      <c r="AE37" s="163"/>
    </row>
    <row r="38" spans="1:31" ht="11.25" customHeight="1" x14ac:dyDescent="0.2">
      <c r="A38" s="58" t="s">
        <v>140</v>
      </c>
      <c r="B38" s="59" t="s">
        <v>67</v>
      </c>
      <c r="C38" s="60" t="s">
        <v>6</v>
      </c>
      <c r="D38" s="60" t="s">
        <v>8</v>
      </c>
      <c r="E38" s="60" t="s">
        <v>7</v>
      </c>
      <c r="F38" s="60" t="s">
        <v>111</v>
      </c>
      <c r="G38" s="60" t="str">
        <f t="shared" si="13"/>
        <v>Sekibor6M</v>
      </c>
      <c r="H38" s="58" t="str">
        <f t="shared" si="14"/>
        <v>SEKSB6S35Y_3S6S_Quote</v>
      </c>
      <c r="I38" s="121">
        <v>0</v>
      </c>
      <c r="J38" s="184" t="str">
        <f>IF(P36,_xll.qlSwapRateHelper2(,H38,2,B38,Calendar,D38,E38,F38,G38,I38,C38,Discounting,PillarDate,,Permanent,Trigger,ObjectOverwrite),"--")</f>
        <v>--</v>
      </c>
      <c r="K38" s="48"/>
      <c r="L38" s="185" t="str">
        <f t="shared" si="9"/>
        <v>BasSw</v>
      </c>
      <c r="M38" s="193" t="str">
        <f t="shared" si="10"/>
        <v>SEKSB6S45Y_3S6S_Quote</v>
      </c>
      <c r="N38" s="187" t="str">
        <f>IFERROR(_xll.qlQuoteValue(H40,Trigger),"--")</f>
        <v>--</v>
      </c>
      <c r="O38" s="187">
        <f t="shared" si="11"/>
        <v>0</v>
      </c>
      <c r="P38" s="129" t="b">
        <v>0</v>
      </c>
      <c r="Q38" s="90">
        <v>50</v>
      </c>
      <c r="R38" s="90">
        <v>1</v>
      </c>
      <c r="S38" s="90" t="str">
        <f t="shared" si="12"/>
        <v>--</v>
      </c>
      <c r="T38" s="94" t="str">
        <f>IFERROR(_xll.qlRateHelperEarliestDate(S38,Trigger),"--")</f>
        <v>--</v>
      </c>
      <c r="U38" s="94" t="str">
        <f>IFERROR(_xll.qlRateHelperPillarDate(S38,Trigger),"--")</f>
        <v>--</v>
      </c>
      <c r="W38" s="3" t="str">
        <f t="shared" si="1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8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3" t="e">
        <v>#N/A</v>
      </c>
      <c r="AE38" s="163"/>
    </row>
    <row r="39" spans="1:31" ht="11.25" customHeight="1" x14ac:dyDescent="0.2">
      <c r="A39" s="58" t="s">
        <v>140</v>
      </c>
      <c r="B39" s="59" t="s">
        <v>68</v>
      </c>
      <c r="C39" s="60" t="s">
        <v>6</v>
      </c>
      <c r="D39" s="60" t="s">
        <v>8</v>
      </c>
      <c r="E39" s="60" t="s">
        <v>7</v>
      </c>
      <c r="F39" s="60" t="s">
        <v>111</v>
      </c>
      <c r="G39" s="60" t="str">
        <f t="shared" si="13"/>
        <v>Sekibor6M</v>
      </c>
      <c r="H39" s="58" t="str">
        <f t="shared" si="14"/>
        <v>SEKSB6S40Y_3S6S_Quote</v>
      </c>
      <c r="I39" s="121">
        <v>0</v>
      </c>
      <c r="J39" s="184" t="str">
        <f>IF(P37,_xll.qlSwapRateHelper2(,H39,2,B39,Calendar,D39,E39,F39,G39,I39,C39,Discounting,PillarDate,,Permanent,Trigger,ObjectOverwrite),"--")</f>
        <v>--</v>
      </c>
      <c r="K39" s="48"/>
      <c r="L39" s="189" t="str">
        <f t="shared" si="9"/>
        <v>BasSw</v>
      </c>
      <c r="M39" s="190" t="str">
        <f t="shared" si="10"/>
        <v>SEKSB6S50Y_3S6S_Quote</v>
      </c>
      <c r="N39" s="191" t="str">
        <f>IFERROR(_xll.qlQuoteValue(H41,Trigger),"--")</f>
        <v>--</v>
      </c>
      <c r="O39" s="191">
        <f t="shared" si="11"/>
        <v>0</v>
      </c>
      <c r="P39" s="131" t="b">
        <v>0</v>
      </c>
      <c r="Q39" s="91">
        <v>50</v>
      </c>
      <c r="R39" s="91">
        <v>1</v>
      </c>
      <c r="S39" s="91" t="str">
        <f t="shared" si="12"/>
        <v>--</v>
      </c>
      <c r="T39" s="96" t="str">
        <f>IFERROR(_xll.qlRateHelperEarliestDate(S39,Trigger),"--")</f>
        <v>--</v>
      </c>
      <c r="U39" s="96" t="str">
        <f>IFERROR(_xll.qlRateHelperPillarDate(S39,Trigger),"--")</f>
        <v>--</v>
      </c>
      <c r="W39" s="5" t="str">
        <f t="shared" si="1"/>
        <v/>
      </c>
      <c r="X39" s="5" t="e">
        <v>#N/A</v>
      </c>
      <c r="Y39" s="5" t="str">
        <f>IFERROR(_xll.qlRateHelperQuoteName(X39,Trigger),"")</f>
        <v/>
      </c>
      <c r="Z39" s="75" t="str">
        <f>IFERROR(_xll.qlRateHelperRate(X39,Trigger),"")</f>
        <v/>
      </c>
      <c r="AA39" s="99" t="str">
        <f>IF(ISERROR(_xll.qlSwapRateHelperSpread($X39)),IF(ISERROR(_xll.qlFuturesRateHelperConvexityAdjustment($X39)),"",_xll.qlFuturesRateHelperConvexityAdjustment($X39)),_xll.qlSwapRateHelperSpread($X39))</f>
        <v/>
      </c>
      <c r="AB39" s="9" t="str">
        <f>IFERROR(_xll.qlRateHelperEarliestDate(X39,Trigger),"")</f>
        <v/>
      </c>
      <c r="AC39" s="9" t="str">
        <f>IFERROR(_xll.qlRateHelperPillarDate(X39,Trigger),"")</f>
        <v/>
      </c>
      <c r="AD39" s="74" t="e">
        <v>#N/A</v>
      </c>
      <c r="AE39" s="163"/>
    </row>
    <row r="40" spans="1:31" ht="11.25" customHeight="1" x14ac:dyDescent="0.2">
      <c r="A40" s="58" t="s">
        <v>140</v>
      </c>
      <c r="B40" s="59" t="s">
        <v>134</v>
      </c>
      <c r="C40" s="60" t="s">
        <v>6</v>
      </c>
      <c r="D40" s="60" t="s">
        <v>8</v>
      </c>
      <c r="E40" s="60" t="s">
        <v>7</v>
      </c>
      <c r="F40" s="60" t="s">
        <v>111</v>
      </c>
      <c r="G40" s="60" t="str">
        <f t="shared" si="13"/>
        <v>Sekibor6M</v>
      </c>
      <c r="H40" s="58" t="str">
        <f t="shared" si="14"/>
        <v>SEKSB6S45Y_3S6S_Quote</v>
      </c>
      <c r="I40" s="121">
        <v>0</v>
      </c>
      <c r="J40" s="184" t="str">
        <f>IF(P38,_xll.qlSwapRateHelper2(,H40,2,B40,Calendar,D40,E40,F40,G40,I40,C40,Discounting,PillarDate,,Permanent,Trigger,ObjectOverwrite),"--")</f>
        <v>--</v>
      </c>
      <c r="K40" s="48"/>
      <c r="Y40" s="194" t="str">
        <f>_xll.ohGroup("SEK6M_instruments",Y3:Y39,Permanent,Trigger,ObjectOverwrite)</f>
        <v>SEK6M_instruments#0003</v>
      </c>
      <c r="AE40" s="163"/>
    </row>
    <row r="41" spans="1:31" ht="11.25" customHeight="1" x14ac:dyDescent="0.2">
      <c r="A41" s="1" t="s">
        <v>140</v>
      </c>
      <c r="B41" s="7" t="s">
        <v>69</v>
      </c>
      <c r="C41" s="6" t="s">
        <v>6</v>
      </c>
      <c r="D41" s="6" t="s">
        <v>8</v>
      </c>
      <c r="E41" s="6" t="s">
        <v>7</v>
      </c>
      <c r="F41" s="6" t="s">
        <v>111</v>
      </c>
      <c r="G41" s="6" t="str">
        <f t="shared" si="13"/>
        <v>Sekibor6M</v>
      </c>
      <c r="H41" s="1" t="str">
        <f t="shared" si="14"/>
        <v>SEKSB6S50Y_3S6S_Quote</v>
      </c>
      <c r="I41" s="123">
        <v>0</v>
      </c>
      <c r="J41" s="183" t="str">
        <f>IF(P39,_xll.qlSwapRateHelper2(,H41,2,B41,Calendar,D41,E41,F41,G41,I41,C41,Discounting,PillarDate,,Permanent,Trigger,ObjectOverwrite),"--")</f>
        <v>--</v>
      </c>
      <c r="AE41" s="163"/>
    </row>
    <row r="42" spans="1:31" ht="11.25" customHeight="1" x14ac:dyDescent="0.2">
      <c r="AE42" s="163"/>
    </row>
    <row r="43" spans="1:31" ht="11.25" customHeight="1" x14ac:dyDescent="0.2">
      <c r="AE43" s="163"/>
    </row>
    <row r="44" spans="1:31" ht="11.25" customHeight="1" x14ac:dyDescent="0.2">
      <c r="AE44" s="163"/>
    </row>
    <row r="45" spans="1:31" ht="11.25" customHeight="1" x14ac:dyDescent="0.2">
      <c r="AE45" s="163"/>
    </row>
    <row r="46" spans="1:31" ht="11.25" customHeight="1" x14ac:dyDescent="0.2"/>
    <row r="47" spans="1:31" ht="11.25" customHeight="1" x14ac:dyDescent="0.2"/>
    <row r="48" spans="1:31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6" t="s">
        <v>37</v>
      </c>
    </row>
  </sheetData>
  <dataValidations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F3:F6 F15:F41 F10:F1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15:E41 E10:E11">
      <formula1>"Following,Modified Following,Preceding,Modified Preceding,Unadjusted,Half-Month Modified Following"</formula1>
    </dataValidation>
    <dataValidation type="list" allowBlank="1" showInputMessage="1" showErrorMessage="1" sqref="D15:D41">
      <formula1>"Annual,Semiannual,EveryFourthMonth,Quarterly,Bimonthly,Monthly,Biweekly,Weekly,Daily,Once,NoFrequency"</formula1>
    </dataValidation>
    <dataValidation type="list" allowBlank="1" showInputMessage="1" showErrorMessage="1" sqref="P3:P39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5.7109375" style="52" hidden="1" customWidth="1" outlineLevel="1"/>
    <col min="9" max="9" width="25.7109375" style="46" hidden="1" customWidth="1" outlineLevel="1"/>
    <col min="10" max="10" width="15.7109375" style="97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7" hidden="1" customWidth="1" outlineLevel="1"/>
    <col min="14" max="18" width="8.7109375" style="97" hidden="1" customWidth="1" outlineLevel="1"/>
    <col min="19" max="19" width="15.7109375" style="97" hidden="1" customWidth="1" outlineLevel="1"/>
    <col min="20" max="21" width="10.7109375" style="97" hidden="1" customWidth="1" outlineLevel="1"/>
    <col min="22" max="22" width="2.7109375" style="48" hidden="1" customWidth="1" outlineLevel="1"/>
    <col min="23" max="23" width="9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3.5703125" style="46" customWidth="1"/>
    <col min="32" max="32" width="2.7109375" style="46" customWidth="1"/>
    <col min="33" max="33" width="24.42578125" style="46" bestFit="1" customWidth="1"/>
    <col min="34" max="34" width="21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2</v>
      </c>
      <c r="H1" s="50" t="str">
        <f>"_SYNTH"&amp;$G$1</f>
        <v>_SYNTH1M</v>
      </c>
      <c r="L1" s="65" t="s">
        <v>144</v>
      </c>
      <c r="M1" s="100"/>
      <c r="N1" s="100"/>
      <c r="O1" s="92"/>
      <c r="P1" s="100" t="s">
        <v>25</v>
      </c>
      <c r="Q1" s="100"/>
      <c r="R1" s="100"/>
      <c r="S1" s="100"/>
      <c r="T1" s="100"/>
      <c r="U1" s="92"/>
      <c r="V1" s="89"/>
      <c r="W1" s="70" t="str">
        <f>Currency&amp;$G$1</f>
        <v>SEK1M</v>
      </c>
      <c r="X1" s="64"/>
      <c r="Y1" s="64"/>
      <c r="Z1" s="66"/>
      <c r="AA1" s="66"/>
      <c r="AB1" s="64"/>
      <c r="AC1" s="64"/>
      <c r="AD1" s="68" t="s">
        <v>33</v>
      </c>
    </row>
    <row r="2" spans="1:39" ht="21.75" customHeight="1" x14ac:dyDescent="0.2">
      <c r="A2" s="63" t="s">
        <v>9</v>
      </c>
      <c r="B2" s="63" t="s">
        <v>30</v>
      </c>
      <c r="C2" s="63"/>
      <c r="D2" s="63" t="s">
        <v>109</v>
      </c>
      <c r="E2" s="63" t="s">
        <v>35</v>
      </c>
      <c r="F2" s="63" t="s">
        <v>96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78</v>
      </c>
      <c r="N2" s="69" t="s">
        <v>81</v>
      </c>
      <c r="O2" s="69" t="s">
        <v>83</v>
      </c>
      <c r="P2" s="69" t="s">
        <v>79</v>
      </c>
      <c r="Q2" s="69" t="s">
        <v>80</v>
      </c>
      <c r="R2" s="69" t="s">
        <v>82</v>
      </c>
      <c r="S2" s="69" t="s">
        <v>25</v>
      </c>
      <c r="T2" s="69" t="s">
        <v>23</v>
      </c>
      <c r="U2" s="69" t="s">
        <v>75</v>
      </c>
      <c r="V2" s="89"/>
      <c r="W2" s="69" t="s">
        <v>9</v>
      </c>
      <c r="X2" s="69" t="s">
        <v>25</v>
      </c>
      <c r="Y2" s="69" t="s">
        <v>78</v>
      </c>
      <c r="Z2" s="71" t="s">
        <v>24</v>
      </c>
      <c r="AA2" s="71" t="s">
        <v>83</v>
      </c>
      <c r="AB2" s="69" t="s">
        <v>23</v>
      </c>
      <c r="AC2" s="69" t="s">
        <v>75</v>
      </c>
      <c r="AD2" s="72">
        <f t="array" ref="AD2:AD32">_xll.qlPiecewiseYieldCurveData(YieldCurve_1M,Trigger)</f>
        <v>1</v>
      </c>
      <c r="AG2" s="164" t="s">
        <v>84</v>
      </c>
      <c r="AH2" s="165"/>
      <c r="AI2" s="165"/>
      <c r="AJ2" s="165"/>
      <c r="AK2" s="166"/>
    </row>
    <row r="3" spans="1:39" ht="11.25" customHeight="1" x14ac:dyDescent="0.2">
      <c r="A3" s="104" t="s">
        <v>27</v>
      </c>
      <c r="B3" s="105" t="s">
        <v>74</v>
      </c>
      <c r="C3" s="117"/>
      <c r="D3" s="106" t="b">
        <v>0</v>
      </c>
      <c r="E3" s="106" t="s">
        <v>7</v>
      </c>
      <c r="F3" s="106" t="s">
        <v>28</v>
      </c>
      <c r="G3" s="107" t="str">
        <f>_xll.qlIborIndex(,FamilyName,SUBSTITUTE(IF(RIGHT(B3,1)="N","1D",B3),"S","1"),2,Currency,Calendar,E3,D3,F3,,Permanent,Trigger,ObjectOverwrite)</f>
        <v>obj_0012b#0001</v>
      </c>
      <c r="H3" s="114" t="str">
        <f t="shared" ref="H3:H7" si="0">Currency&amp;$B3&amp;"D"&amp;$H$1&amp;QuoteSuffix</f>
        <v>SEKSND_SYNTH1M_Quote</v>
      </c>
      <c r="I3" s="117"/>
      <c r="J3" s="195" t="str">
        <f>IF(P3,_xll.qlDepositRateHelper(,H3,G3,Permanent,Trigger,ObjectOverwrite),"--")</f>
        <v>--</v>
      </c>
      <c r="K3" s="49"/>
      <c r="L3" s="197" t="str">
        <f>A3</f>
        <v>Dp</v>
      </c>
      <c r="M3" s="198" t="str">
        <f>H3</f>
        <v>SEKSND_SYNTH1M_Quote</v>
      </c>
      <c r="N3" s="199">
        <f>IFERROR(_xll.qlQuoteValue(H3,Trigger),"--")</f>
        <v>-6.3169999999999997E-3</v>
      </c>
      <c r="O3" s="200"/>
      <c r="P3" s="127" t="b">
        <v>0</v>
      </c>
      <c r="Q3" s="124">
        <v>10</v>
      </c>
      <c r="R3" s="124">
        <v>1</v>
      </c>
      <c r="S3" s="124" t="str">
        <f>J3</f>
        <v>--</v>
      </c>
      <c r="T3" s="126" t="str">
        <f>IFERROR(_xll.qlRateHelperEarliestDate(S3,Trigger),"--")</f>
        <v>--</v>
      </c>
      <c r="U3" s="126" t="str">
        <f>IFERROR(_xll.qlRateHelperPillarDate(S3,Trigger),"--")</f>
        <v>--</v>
      </c>
      <c r="W3" s="3" t="str">
        <f t="shared" ref="W3:W32" si="1">IFERROR(INDEX($L$3:$L$32,MATCH(Y3,$M$3:$M$32,0),1),"")</f>
        <v>Dp</v>
      </c>
      <c r="X3" s="3" t="str">
        <f t="array" ref="X3:X32">_xll.qlRateHelperSelection(_xll.ohFilter(RateHelpers,IncludeFlag),_xll.ohFilter(Priority,IncludeFlag),$AK$3,$AK$4,$AK$5,$AK$6,_xll.ohFilter(MinDistance,IncludeFlag),Trigger)</f>
        <v>obj_00151</v>
      </c>
      <c r="Y3" s="3" t="str">
        <f>IFERROR(_xll.qlRateHelperQuoteName(X3,Trigger),"")</f>
        <v>SEKSWD_SYNTH1M_Quote</v>
      </c>
      <c r="Z3" s="67">
        <f>IFERROR(_xll.qlRateHelperRate(X3,Trigger),"")</f>
        <v>-6.3160000000000004E-3</v>
      </c>
      <c r="AA3" s="98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42570</v>
      </c>
      <c r="AD3" s="73">
        <v>1.0001228261955322</v>
      </c>
      <c r="AE3" s="76"/>
      <c r="AG3" s="173" t="s">
        <v>85</v>
      </c>
      <c r="AK3" s="174">
        <v>0</v>
      </c>
    </row>
    <row r="4" spans="1:39" ht="11.25" customHeight="1" x14ac:dyDescent="0.2">
      <c r="A4" s="53" t="s">
        <v>27</v>
      </c>
      <c r="B4" s="54" t="s">
        <v>90</v>
      </c>
      <c r="C4" s="205"/>
      <c r="D4" s="56" t="b">
        <v>0</v>
      </c>
      <c r="E4" s="56" t="s">
        <v>7</v>
      </c>
      <c r="F4" s="56" t="s">
        <v>28</v>
      </c>
      <c r="G4" s="55" t="str">
        <f>_xll.qlIborIndex(,FamilyName,SUBSTITUTE(IF(RIGHT(B4,1)="N","1D",B4),"S","1"),2,Currency,Calendar,E4,D4,F4,,Permanent,Trigger,ObjectOverwrite)</f>
        <v>obj_00150#0001</v>
      </c>
      <c r="H4" s="133" t="str">
        <f t="shared" si="0"/>
        <v>SEKSWD_SYNTH1M_Quote</v>
      </c>
      <c r="I4" s="122"/>
      <c r="J4" s="182" t="str">
        <f>IF(P4,_xll.qlDepositRateHelper(,H4,G4,Permanent,Trigger,ObjectOverwrite),"--")</f>
        <v>obj_00151#0001</v>
      </c>
      <c r="K4" s="48"/>
      <c r="L4" s="185" t="str">
        <f t="shared" ref="L4:L7" si="2">A4</f>
        <v>Dp</v>
      </c>
      <c r="M4" s="193" t="str">
        <f t="shared" ref="M4:M7" si="3">H4</f>
        <v>SEKSWD_SYNTH1M_Quote</v>
      </c>
      <c r="N4" s="187">
        <f>IFERROR(_xll.qlQuoteValue(H4,Trigger),"--")</f>
        <v>-6.3160000000000004E-3</v>
      </c>
      <c r="O4" s="188"/>
      <c r="P4" s="129" t="b">
        <v>1</v>
      </c>
      <c r="Q4" s="90">
        <v>10</v>
      </c>
      <c r="R4" s="90">
        <v>1</v>
      </c>
      <c r="S4" s="90" t="str">
        <f t="shared" ref="S4:S7" si="4">J4</f>
        <v>obj_00151#0001</v>
      </c>
      <c r="T4" s="94">
        <f>IFERROR(_xll.qlRateHelperEarliestDate(S4,Trigger),"--")</f>
        <v>42563</v>
      </c>
      <c r="U4" s="94">
        <f>IFERROR(_xll.qlRateHelperPillarDate(S4,Trigger),"--")</f>
        <v>42570</v>
      </c>
      <c r="W4" s="3" t="str">
        <f t="shared" si="1"/>
        <v>Dp</v>
      </c>
      <c r="X4" s="3" t="str">
        <v>obj_00148</v>
      </c>
      <c r="Y4" s="3" t="str">
        <f>IFERROR(_xll.qlRateHelperQuoteName(X4,Trigger),"")</f>
        <v>SEK2WD_SYNTH1M_Quote</v>
      </c>
      <c r="Z4" s="67">
        <f>IFERROR(_xll.qlRateHelperRate(X4,Trigger),"")</f>
        <v>-6.3150000000000003E-3</v>
      </c>
      <c r="AA4" s="98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42577</v>
      </c>
      <c r="AD4" s="73">
        <v>1.0002456436593219</v>
      </c>
      <c r="AE4" s="76"/>
      <c r="AG4" s="101" t="s">
        <v>86</v>
      </c>
      <c r="AK4" s="102">
        <v>0</v>
      </c>
    </row>
    <row r="5" spans="1:39" ht="11.25" customHeight="1" x14ac:dyDescent="0.2">
      <c r="A5" s="58" t="s">
        <v>27</v>
      </c>
      <c r="B5" s="59" t="s">
        <v>39</v>
      </c>
      <c r="C5" s="206"/>
      <c r="D5" s="61" t="b">
        <v>0</v>
      </c>
      <c r="E5" s="61" t="s">
        <v>7</v>
      </c>
      <c r="F5" s="61" t="s">
        <v>28</v>
      </c>
      <c r="G5" s="60" t="str">
        <f>_xll.qlIborIndex(,FamilyName,SUBSTITUTE(IF(RIGHT(B5,1)="N","1D",B5),"S","1"),2,Currency,Calendar,E5,D5,F5,,Permanent,Trigger,ObjectOverwrite)</f>
        <v>obj_00147#0001</v>
      </c>
      <c r="H5" s="115" t="str">
        <f t="shared" si="0"/>
        <v>SEK2WD_SYNTH1M_Quote</v>
      </c>
      <c r="I5" s="118"/>
      <c r="J5" s="184" t="str">
        <f>IF(P5,_xll.qlDepositRateHelper(,H5,G5,Permanent,Trigger,ObjectOverwrite),"--")</f>
        <v>obj_00148#0001</v>
      </c>
      <c r="K5" s="48"/>
      <c r="L5" s="185" t="str">
        <f t="shared" si="2"/>
        <v>Dp</v>
      </c>
      <c r="M5" s="193" t="str">
        <f t="shared" si="3"/>
        <v>SEK2WD_SYNTH1M_Quote</v>
      </c>
      <c r="N5" s="187">
        <f>IFERROR(_xll.qlQuoteValue(H5,Trigger),"--")</f>
        <v>-6.3150000000000003E-3</v>
      </c>
      <c r="O5" s="188"/>
      <c r="P5" s="129" t="b">
        <v>1</v>
      </c>
      <c r="Q5" s="90">
        <v>10</v>
      </c>
      <c r="R5" s="90">
        <v>1</v>
      </c>
      <c r="S5" s="90" t="str">
        <f t="shared" si="4"/>
        <v>obj_00148#0001</v>
      </c>
      <c r="T5" s="94">
        <f>IFERROR(_xll.qlRateHelperEarliestDate(S5,Trigger),"--")</f>
        <v>42563</v>
      </c>
      <c r="U5" s="94">
        <f>IFERROR(_xll.qlRateHelperPillarDate(S5,Trigger),"--")</f>
        <v>42577</v>
      </c>
      <c r="W5" s="3" t="str">
        <f t="shared" si="1"/>
        <v>Dp</v>
      </c>
      <c r="X5" s="3" t="str">
        <v>obj_00129</v>
      </c>
      <c r="Y5" s="3" t="str">
        <f>IFERROR(_xll.qlRateHelperQuoteName(X5,Trigger),"")</f>
        <v>SEK3WD_SYNTH1M_Quote</v>
      </c>
      <c r="Z5" s="67">
        <f>IFERROR(_xll.qlRateHelperRate(X5,Trigger),"")</f>
        <v>-6.313E-3</v>
      </c>
      <c r="AA5" s="98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42584</v>
      </c>
      <c r="AD5" s="73">
        <v>1.0003683939974928</v>
      </c>
      <c r="AE5" s="76"/>
      <c r="AF5" s="76"/>
      <c r="AG5" s="101" t="s">
        <v>87</v>
      </c>
      <c r="AK5" s="102">
        <v>0</v>
      </c>
    </row>
    <row r="6" spans="1:39" ht="11.25" customHeight="1" x14ac:dyDescent="0.2">
      <c r="A6" s="157" t="s">
        <v>27</v>
      </c>
      <c r="B6" s="158" t="s">
        <v>40</v>
      </c>
      <c r="C6" s="207"/>
      <c r="D6" s="8" t="b">
        <v>0</v>
      </c>
      <c r="E6" s="8" t="s">
        <v>7</v>
      </c>
      <c r="F6" s="8" t="s">
        <v>28</v>
      </c>
      <c r="G6" s="161" t="str">
        <f>_xll.qlIborIndex(,FamilyName,SUBSTITUTE(IF(RIGHT(B6,1)="N","1D",B6),"S","1"),2,Currency,Calendar,E6,D6,F6,,Permanent,Trigger,ObjectOverwrite)</f>
        <v>obj_00128#0001</v>
      </c>
      <c r="H6" s="162" t="str">
        <f t="shared" si="0"/>
        <v>SEK3WD_SYNTH1M_Quote</v>
      </c>
      <c r="I6" s="160"/>
      <c r="J6" s="196" t="str">
        <f>IF(P6,_xll.qlDepositRateHelper(,H6,G6,Permanent,Trigger,ObjectOverwrite),"--")</f>
        <v>obj_00129#0001</v>
      </c>
      <c r="K6" s="48"/>
      <c r="L6" s="185" t="str">
        <f t="shared" si="2"/>
        <v>Dp</v>
      </c>
      <c r="M6" s="193" t="str">
        <f t="shared" si="3"/>
        <v>SEK3WD_SYNTH1M_Quote</v>
      </c>
      <c r="N6" s="187">
        <f>IFERROR(_xll.qlQuoteValue(H6,Trigger),"--")</f>
        <v>-6.313E-3</v>
      </c>
      <c r="O6" s="188"/>
      <c r="P6" s="129" t="b">
        <v>1</v>
      </c>
      <c r="Q6" s="90">
        <v>10</v>
      </c>
      <c r="R6" s="90">
        <v>1</v>
      </c>
      <c r="S6" s="90" t="str">
        <f t="shared" si="4"/>
        <v>obj_00129#0001</v>
      </c>
      <c r="T6" s="94">
        <f>IFERROR(_xll.qlRateHelperEarliestDate(S6,Trigger),"--")</f>
        <v>42563</v>
      </c>
      <c r="U6" s="94">
        <f>IFERROR(_xll.qlRateHelperPillarDate(S6,Trigger),"--")</f>
        <v>42584</v>
      </c>
      <c r="W6" s="3" t="str">
        <f t="shared" si="1"/>
        <v>Dp</v>
      </c>
      <c r="X6" s="3" t="str">
        <v>obj_0013a</v>
      </c>
      <c r="Y6" s="3" t="str">
        <f>IFERROR(_xll.qlRateHelperQuoteName(X6,Trigger),"")</f>
        <v>SEK1MD_SYNTH1M_Quote</v>
      </c>
      <c r="Z6" s="67">
        <f>IFERROR(_xll.qlRateHelperRate(X6,Trigger),"")</f>
        <v>-6.3099999999999996E-3</v>
      </c>
      <c r="AA6" s="98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42563</v>
      </c>
      <c r="AC6" s="4">
        <f>IFERROR(_xll.qlRateHelperPillarDate(X6,Trigger),"")</f>
        <v>42594</v>
      </c>
      <c r="AD6" s="73">
        <v>1.000543656512918</v>
      </c>
      <c r="AE6" s="76"/>
      <c r="AG6" s="101" t="s">
        <v>88</v>
      </c>
      <c r="AK6" s="103" t="s">
        <v>89</v>
      </c>
    </row>
    <row r="7" spans="1:39" ht="11.25" customHeight="1" x14ac:dyDescent="0.2">
      <c r="A7" s="1" t="s">
        <v>27</v>
      </c>
      <c r="B7" s="7" t="s">
        <v>2</v>
      </c>
      <c r="C7" s="209"/>
      <c r="D7" s="119"/>
      <c r="E7" s="119"/>
      <c r="F7" s="119"/>
      <c r="G7" s="6" t="str">
        <f>PROPER(Currency)&amp;FamilyName&amp;B7</f>
        <v>Sekibor1M</v>
      </c>
      <c r="H7" s="116" t="str">
        <f t="shared" si="0"/>
        <v>SEK1MD_SYNTH1M_Quote</v>
      </c>
      <c r="I7" s="119"/>
      <c r="J7" s="183" t="str">
        <f>IF(P7,_xll.qlDepositRateHelper(,H7,G7,Permanent,Trigger,ObjectOverwrite),"--")</f>
        <v>obj_0013a#0001</v>
      </c>
      <c r="K7" s="48"/>
      <c r="L7" s="189" t="str">
        <f t="shared" si="2"/>
        <v>Dp</v>
      </c>
      <c r="M7" s="190" t="str">
        <f t="shared" si="3"/>
        <v>SEK1MD_SYNTH1M_Quote</v>
      </c>
      <c r="N7" s="191">
        <f>IFERROR(_xll.qlQuoteValue(H7,Trigger),"--")</f>
        <v>-6.3099999999999996E-3</v>
      </c>
      <c r="O7" s="192"/>
      <c r="P7" s="131" t="b">
        <v>1</v>
      </c>
      <c r="Q7" s="91">
        <v>10</v>
      </c>
      <c r="R7" s="91">
        <v>1</v>
      </c>
      <c r="S7" s="91" t="str">
        <f t="shared" si="4"/>
        <v>obj_0013a#0001</v>
      </c>
      <c r="T7" s="96">
        <f>IFERROR(_xll.qlRateHelperEarliestDate(S7,Trigger),"--")</f>
        <v>42563</v>
      </c>
      <c r="U7" s="96">
        <f>IFERROR(_xll.qlRateHelperPillarDate(S7,Trigger),"--")</f>
        <v>42594</v>
      </c>
      <c r="W7" s="3" t="str">
        <f t="shared" si="1"/>
        <v>BasSw</v>
      </c>
      <c r="X7" s="3" t="str">
        <v>obj_00137</v>
      </c>
      <c r="Y7" s="3" t="str">
        <f>IFERROR(_xll.qlRateHelperQuoteName(X7,Trigger),"")</f>
        <v>SEKAB3S1Y_Quote</v>
      </c>
      <c r="Z7" s="67">
        <f>IFERROR(_xll.qlRateHelperRate(X7,Trigger),"")</f>
        <v>-5.275000000000001E-3</v>
      </c>
      <c r="AA7" s="98">
        <f>IF(ISERROR(_xll.qlSwapRateHelperSpread($X7)),IF(ISERROR(_xll.qlFuturesRateHelperConvexityAdjustment($X7)),"",_xll.qlFuturesRateHelperConvexityAdjustment($X7)),_xll.qlSwapRateHelperSpread($X7))</f>
        <v>7.5593999999999998E-4</v>
      </c>
      <c r="AB7" s="4">
        <f>IFERROR(_xll.qlRateHelperEarliestDate(X7,Trigger),"")</f>
        <v>42563</v>
      </c>
      <c r="AC7" s="4">
        <f>IFERROR(_xll.qlRateHelperPillarDate(X7,Trigger),"")</f>
        <v>42928</v>
      </c>
      <c r="AD7" s="73">
        <v>1.0060761422707694</v>
      </c>
      <c r="AE7" s="76"/>
    </row>
    <row r="8" spans="1:39" ht="11.25" customHeight="1" x14ac:dyDescent="0.2">
      <c r="F8" s="50" t="s">
        <v>139</v>
      </c>
      <c r="G8" s="50" t="s">
        <v>112</v>
      </c>
      <c r="H8" s="50" t="s">
        <v>135</v>
      </c>
      <c r="K8" s="48"/>
      <c r="L8" s="197" t="str">
        <f t="shared" ref="L8:L32" si="5">A10</f>
        <v>BasSw</v>
      </c>
      <c r="M8" s="204" t="str">
        <f>H10</f>
        <v>SEKAB3S6M_Quote</v>
      </c>
      <c r="N8" s="199" t="str">
        <f>IFERROR(_xll.qlQuoteValue(H10,Trigger),"--")</f>
        <v>--</v>
      </c>
      <c r="O8" s="199" t="str">
        <f>IFERROR(_xll.qlQuoteValue(I10,Trigger),"--")</f>
        <v>--</v>
      </c>
      <c r="P8" s="127" t="b">
        <v>0</v>
      </c>
      <c r="Q8" s="124">
        <v>50</v>
      </c>
      <c r="R8" s="124">
        <v>1</v>
      </c>
      <c r="S8" s="124" t="str">
        <f>J10</f>
        <v>--</v>
      </c>
      <c r="T8" s="126" t="str">
        <f>IFERROR(_xll.qlRateHelperEarliestDate(S8,Trigger),"--")</f>
        <v>--</v>
      </c>
      <c r="U8" s="126" t="str">
        <f>IFERROR(_xll.qlRateHelperPillarDate(S8,Trigger),"--")</f>
        <v>--</v>
      </c>
      <c r="W8" s="3" t="str">
        <f t="shared" si="1"/>
        <v>BasSw</v>
      </c>
      <c r="X8" s="3" t="str">
        <v>obj_0011a</v>
      </c>
      <c r="Y8" s="3" t="str">
        <f>IFERROR(_xll.qlRateHelperQuoteName(X8,Trigger),"")</f>
        <v>SEKAB3S2Y_Quote</v>
      </c>
      <c r="Z8" s="67">
        <f>IFERROR(_xll.qlRateHelperRate(X8,Trigger),"")</f>
        <v>-4.5500000000000002E-3</v>
      </c>
      <c r="AA8" s="98">
        <f>IF(ISERROR(_xll.qlSwapRateHelperSpread($X8)),IF(ISERROR(_xll.qlFuturesRateHelperConvexityAdjustment($X8)),"",_xll.qlFuturesRateHelperConvexityAdjustment($X8)),_xll.qlSwapRateHelperSpread($X8))</f>
        <v>9.3420999999999999E-4</v>
      </c>
      <c r="AB8" s="4">
        <f>IFERROR(_xll.qlRateHelperEarliestDate(X8,Trigger),"")</f>
        <v>42563</v>
      </c>
      <c r="AC8" s="4">
        <f>IFERROR(_xll.qlRateHelperPillarDate(X8,Trigger),"")</f>
        <v>43293</v>
      </c>
      <c r="AD8" s="73">
        <v>1.011083190306814</v>
      </c>
      <c r="AE8" s="76"/>
    </row>
    <row r="9" spans="1:39" ht="11.25" customHeight="1" x14ac:dyDescent="0.2">
      <c r="A9" s="63" t="s">
        <v>9</v>
      </c>
      <c r="B9" s="63" t="s">
        <v>30</v>
      </c>
      <c r="C9" s="63" t="s">
        <v>95</v>
      </c>
      <c r="D9" s="63" t="s">
        <v>5</v>
      </c>
      <c r="E9" s="63" t="s">
        <v>35</v>
      </c>
      <c r="F9" s="63" t="s">
        <v>96</v>
      </c>
      <c r="G9" s="63" t="s">
        <v>4</v>
      </c>
      <c r="H9" s="63" t="s">
        <v>1</v>
      </c>
      <c r="I9" s="63" t="s">
        <v>94</v>
      </c>
      <c r="J9" s="63" t="s">
        <v>25</v>
      </c>
      <c r="K9" s="48"/>
      <c r="L9" s="185" t="str">
        <f t="shared" si="5"/>
        <v>BasSw</v>
      </c>
      <c r="M9" s="193" t="str">
        <f t="shared" ref="M9:M32" si="6">H11</f>
        <v>SEKAB3S1Y_Quote</v>
      </c>
      <c r="N9" s="187">
        <f>IFERROR(_xll.qlQuoteValue(H11,Trigger),"--")</f>
        <v>-5.275000000000001E-3</v>
      </c>
      <c r="O9" s="187">
        <f>IFERROR(_xll.qlQuoteValue(I11,Trigger),"--")</f>
        <v>7.5593999999999998E-4</v>
      </c>
      <c r="P9" s="129" t="b">
        <v>1</v>
      </c>
      <c r="Q9" s="90">
        <v>50</v>
      </c>
      <c r="R9" s="90">
        <v>1</v>
      </c>
      <c r="S9" s="90" t="str">
        <f t="shared" ref="S9:S32" si="7">J11</f>
        <v>obj_00137#0001</v>
      </c>
      <c r="T9" s="94">
        <f>IFERROR(_xll.qlRateHelperEarliestDate(S9,Trigger),"--")</f>
        <v>42563</v>
      </c>
      <c r="U9" s="94">
        <f>IFERROR(_xll.qlRateHelperPillarDate(S9,Trigger),"--")</f>
        <v>42928</v>
      </c>
      <c r="W9" s="3" t="str">
        <f t="shared" si="1"/>
        <v>BasSw</v>
      </c>
      <c r="X9" s="3" t="str">
        <v>obj_0011d</v>
      </c>
      <c r="Y9" s="3" t="str">
        <f>IFERROR(_xll.qlRateHelperQuoteName(X9,Trigger),"")</f>
        <v>SEKAB3S3Y_Quote</v>
      </c>
      <c r="Z9" s="67">
        <f>IFERROR(_xll.qlRateHelperRate(X9,Trigger),"")</f>
        <v>-3.3250000000000003E-3</v>
      </c>
      <c r="AA9" s="98">
        <f>IF(ISERROR(_xll.qlSwapRateHelperSpread($X9)),IF(ISERROR(_xll.qlFuturesRateHelperConvexityAdjustment($X9)),"",_xll.qlFuturesRateHelperConvexityAdjustment($X9)),_xll.qlSwapRateHelperSpread($X9))</f>
        <v>9.9281999999999994E-4</v>
      </c>
      <c r="AB9" s="4">
        <f>IFERROR(_xll.qlRateHelperEarliestDate(X9,Trigger),"")</f>
        <v>42563</v>
      </c>
      <c r="AC9" s="4">
        <f>IFERROR(_xll.qlRateHelperPillarDate(X9,Trigger),"")</f>
        <v>43658</v>
      </c>
      <c r="AD9" s="73">
        <v>1.0131180327706597</v>
      </c>
      <c r="AE9" s="76"/>
      <c r="AH9" s="46" t="s">
        <v>106</v>
      </c>
    </row>
    <row r="10" spans="1:39" ht="11.25" customHeight="1" x14ac:dyDescent="0.2">
      <c r="A10" s="53" t="s">
        <v>140</v>
      </c>
      <c r="B10" s="54" t="s">
        <v>3</v>
      </c>
      <c r="C10" s="55" t="s">
        <v>6</v>
      </c>
      <c r="D10" s="55" t="s">
        <v>8</v>
      </c>
      <c r="E10" s="55" t="s">
        <v>7</v>
      </c>
      <c r="F10" s="55" t="s">
        <v>111</v>
      </c>
      <c r="G10" s="55" t="str">
        <f t="shared" ref="G10:G34" si="8">PROPER(Currency)&amp;FamilyName&amp;Tenor</f>
        <v>Sekibor1M</v>
      </c>
      <c r="H10" s="53" t="str">
        <f t="shared" ref="H10:H34" si="9">Currency&amp;$G$8&amp;$H$8&amp;$B10&amp;QuoteSuffix</f>
        <v>SEKAB3S6M_Quote</v>
      </c>
      <c r="I10" s="179" t="str">
        <f t="shared" ref="I10:I34" si="10">Currency&amp;$F$8&amp;$H$8&amp;B10&amp;QuoteSuffix</f>
        <v>SEK1S3S6M_Quote</v>
      </c>
      <c r="J10" s="184" t="str">
        <f>IF(P8,_xll.qlSwapRateHelper2(,H10,2,B10,Calendar,D10,E10,F10,G10,I10,C10,Discounting,PillarDate,,Permanent,Trigger,ObjectOverwrite),"--")</f>
        <v>--</v>
      </c>
      <c r="K10" s="48"/>
      <c r="L10" s="185" t="str">
        <f t="shared" si="5"/>
        <v>BasSw</v>
      </c>
      <c r="M10" s="193" t="str">
        <f t="shared" si="6"/>
        <v>SEKAB3S18M_Quote</v>
      </c>
      <c r="N10" s="187" t="str">
        <f>IFERROR(_xll.qlQuoteValue(H12,Trigger),"--")</f>
        <v>--</v>
      </c>
      <c r="O10" s="187" t="str">
        <f>IFERROR(_xll.qlQuoteValue(I12,Trigger),"--")</f>
        <v>--</v>
      </c>
      <c r="P10" s="129" t="b">
        <v>0</v>
      </c>
      <c r="Q10" s="90">
        <v>50</v>
      </c>
      <c r="R10" s="90">
        <v>1</v>
      </c>
      <c r="S10" s="90" t="str">
        <f t="shared" si="7"/>
        <v>--</v>
      </c>
      <c r="T10" s="94" t="str">
        <f>IFERROR(_xll.qlRateHelperEarliestDate(S10,Trigger),"--")</f>
        <v>--</v>
      </c>
      <c r="U10" s="94" t="str">
        <f>IFERROR(_xll.qlRateHelperPillarDate(S10,Trigger),"--")</f>
        <v>--</v>
      </c>
      <c r="W10" s="3" t="str">
        <f t="shared" si="1"/>
        <v>BasSw</v>
      </c>
      <c r="X10" s="3" t="str">
        <v>obj_0010c</v>
      </c>
      <c r="Y10" s="3" t="str">
        <f>IFERROR(_xll.qlRateHelperQuoteName(X10,Trigger),"")</f>
        <v>SEKAB3S4Y_Quote</v>
      </c>
      <c r="Z10" s="67">
        <f>IFERROR(_xll.qlRateHelperRate(X10,Trigger),"")</f>
        <v>-1.9E-3</v>
      </c>
      <c r="AA10" s="98">
        <f>IF(ISERROR(_xll.qlSwapRateHelperSpread($X10)),IF(ISERROR(_xll.qlFuturesRateHelperConvexityAdjustment($X10)),"",_xll.qlFuturesRateHelperConvexityAdjustment($X10)),_xll.qlSwapRateHelperSpread($X10))</f>
        <v>1.0209500000000001E-3</v>
      </c>
      <c r="AB10" s="4">
        <f>IFERROR(_xll.qlRateHelperEarliestDate(X10,Trigger),"")</f>
        <v>42563</v>
      </c>
      <c r="AC10" s="4">
        <f>IFERROR(_xll.qlRateHelperPillarDate(X10,Trigger),"")</f>
        <v>44025</v>
      </c>
      <c r="AD10" s="73">
        <v>1.0118657836405731</v>
      </c>
      <c r="AE10" s="76"/>
      <c r="AF10" s="69" t="s">
        <v>100</v>
      </c>
      <c r="AG10" s="69" t="s">
        <v>101</v>
      </c>
      <c r="AH10" s="69" t="s">
        <v>102</v>
      </c>
      <c r="AI10" s="69" t="s">
        <v>113</v>
      </c>
      <c r="AJ10" s="69" t="s">
        <v>103</v>
      </c>
      <c r="AK10" s="69" t="s">
        <v>114</v>
      </c>
      <c r="AL10" s="69" t="s">
        <v>104</v>
      </c>
      <c r="AM10" s="69" t="s">
        <v>105</v>
      </c>
    </row>
    <row r="11" spans="1:39" ht="11.25" customHeight="1" x14ac:dyDescent="0.2">
      <c r="A11" s="58" t="s">
        <v>140</v>
      </c>
      <c r="B11" s="59" t="s">
        <v>29</v>
      </c>
      <c r="C11" s="60" t="s">
        <v>6</v>
      </c>
      <c r="D11" s="60" t="s">
        <v>8</v>
      </c>
      <c r="E11" s="60" t="s">
        <v>7</v>
      </c>
      <c r="F11" s="60" t="s">
        <v>111</v>
      </c>
      <c r="G11" s="60" t="str">
        <f t="shared" si="8"/>
        <v>Sekibor1M</v>
      </c>
      <c r="H11" s="58" t="str">
        <f t="shared" si="9"/>
        <v>SEKAB3S1Y_Quote</v>
      </c>
      <c r="I11" s="134" t="str">
        <f t="shared" si="10"/>
        <v>SEK1S3S1Y_Quote</v>
      </c>
      <c r="J11" s="184" t="str">
        <f>IF(P9,_xll.qlSwapRateHelper2(,H11,2,B11,Calendar,D11,E11,F11,G11,I11,C11,Discounting,PillarDate,,Permanent,Trigger,ObjectOverwrite),"--")</f>
        <v>obj_00137#0001</v>
      </c>
      <c r="K11" s="48"/>
      <c r="L11" s="185" t="str">
        <f t="shared" si="5"/>
        <v>BasSw</v>
      </c>
      <c r="M11" s="193" t="str">
        <f t="shared" si="6"/>
        <v>SEKAB3S2Y_Quote</v>
      </c>
      <c r="N11" s="187">
        <f>IFERROR(_xll.qlQuoteValue(H13,Trigger),"--")</f>
        <v>-4.5500000000000002E-3</v>
      </c>
      <c r="O11" s="187">
        <f>IFERROR(_xll.qlQuoteValue(I13,Trigger),"--")</f>
        <v>9.3420999999999999E-4</v>
      </c>
      <c r="P11" s="129" t="b">
        <v>1</v>
      </c>
      <c r="Q11" s="90">
        <v>50</v>
      </c>
      <c r="R11" s="90">
        <v>1</v>
      </c>
      <c r="S11" s="90" t="str">
        <f t="shared" si="7"/>
        <v>obj_0011a#0001</v>
      </c>
      <c r="T11" s="94">
        <f>IFERROR(_xll.qlRateHelperEarliestDate(S11,Trigger),"--")</f>
        <v>42563</v>
      </c>
      <c r="U11" s="94">
        <f>IFERROR(_xll.qlRateHelperPillarDate(S11,Trigger),"--")</f>
        <v>43293</v>
      </c>
      <c r="W11" s="3" t="str">
        <f t="shared" si="1"/>
        <v>BasSw</v>
      </c>
      <c r="X11" s="3" t="str">
        <v>obj_0012a</v>
      </c>
      <c r="Y11" s="3" t="str">
        <f>IFERROR(_xll.qlRateHelperQuoteName(X11,Trigger),"")</f>
        <v>SEKAB3S5Y_Quote</v>
      </c>
      <c r="Z11" s="67">
        <f>IFERROR(_xll.qlRateHelperRate(X11,Trigger),"")</f>
        <v>-3.7500000000000001E-4</v>
      </c>
      <c r="AA11" s="98">
        <f>IF(ISERROR(_xll.qlSwapRateHelperSpread($X11)),IF(ISERROR(_xll.qlFuturesRateHelperConvexityAdjustment($X11)),"",_xll.qlFuturesRateHelperConvexityAdjustment($X11)),_xll.qlSwapRateHelperSpread($X11))</f>
        <v>1.0260199999999999E-3</v>
      </c>
      <c r="AB11" s="4">
        <f>IFERROR(_xll.qlRateHelperEarliestDate(X11,Trigger),"")</f>
        <v>42563</v>
      </c>
      <c r="AC11" s="4">
        <f>IFERROR(_xll.qlRateHelperPillarDate(X11,Trigger),"")</f>
        <v>44389</v>
      </c>
      <c r="AD11" s="73">
        <v>1.0071463201249864</v>
      </c>
      <c r="AE11" s="76"/>
      <c r="AF11" s="136">
        <v>1</v>
      </c>
      <c r="AG11" s="137">
        <f>_xll.qlCalendarEndOfMonth(Calendar,Settlementdate,Trigger)</f>
        <v>42580</v>
      </c>
      <c r="AH11" s="136" t="str">
        <f t="shared" ref="AH11:AH23" si="11">Currency&amp;$AH$9&amp;AF11&amp;JumpSuffix&amp;QuoteSuffix</f>
        <v>SEKJump1_SYNTHON_Quote</v>
      </c>
      <c r="AI11" s="167">
        <f>_xll.qlDayCounterYearFraction("actual/360",AG11,_xll.qlCalendarAdvance(Calendar,AG11,"1D",,,Trigger))</f>
        <v>8.3333333333333332E-3</v>
      </c>
      <c r="AJ11" s="138" t="e">
        <f>IF(_xll.qlQuoteIsValid(AH11,Trigger),_xll.qlQuoteValue(AH11,Trigger),1)</f>
        <v>#NUM!</v>
      </c>
      <c r="AK11" s="170" t="e">
        <f>-LN(AJ11)/AI11</f>
        <v>#NUM!</v>
      </c>
      <c r="AL11" s="175">
        <v>0</v>
      </c>
      <c r="AM11" s="138">
        <f>IF(ISBLANK(AL11),AH11,EXP(-AL11*AI11))</f>
        <v>1</v>
      </c>
    </row>
    <row r="12" spans="1:39" ht="11.25" customHeight="1" x14ac:dyDescent="0.2">
      <c r="A12" s="58" t="s">
        <v>140</v>
      </c>
      <c r="B12" s="59" t="s">
        <v>50</v>
      </c>
      <c r="C12" s="60" t="s">
        <v>6</v>
      </c>
      <c r="D12" s="60" t="s">
        <v>8</v>
      </c>
      <c r="E12" s="60" t="s">
        <v>7</v>
      </c>
      <c r="F12" s="60" t="s">
        <v>111</v>
      </c>
      <c r="G12" s="60" t="str">
        <f t="shared" si="8"/>
        <v>Sekibor1M</v>
      </c>
      <c r="H12" s="58" t="str">
        <f t="shared" si="9"/>
        <v>SEKAB3S18M_Quote</v>
      </c>
      <c r="I12" s="134" t="str">
        <f t="shared" si="10"/>
        <v>SEK1S3S18M_Quote</v>
      </c>
      <c r="J12" s="184" t="str">
        <f>IF(P10,_xll.qlSwapRateHelper2(,H12,2,B12,Calendar,D12,E12,F12,G12,I12,C12,Discounting,PillarDate,,Permanent,Trigger,ObjectOverwrite),"--")</f>
        <v>--</v>
      </c>
      <c r="K12" s="48" t="s">
        <v>37</v>
      </c>
      <c r="L12" s="185" t="str">
        <f t="shared" si="5"/>
        <v>BasSw</v>
      </c>
      <c r="M12" s="193" t="str">
        <f t="shared" si="6"/>
        <v>SEKAB3S30M_Quote</v>
      </c>
      <c r="N12" s="187" t="str">
        <f>IFERROR(_xll.qlQuoteValue(H14,Trigger),"--")</f>
        <v>--</v>
      </c>
      <c r="O12" s="187" t="str">
        <f>IFERROR(_xll.qlQuoteValue(I14,Trigger),"--")</f>
        <v>--</v>
      </c>
      <c r="P12" s="129" t="b">
        <v>0</v>
      </c>
      <c r="Q12" s="90">
        <v>50</v>
      </c>
      <c r="R12" s="90">
        <v>1</v>
      </c>
      <c r="S12" s="90" t="str">
        <f t="shared" si="7"/>
        <v>--</v>
      </c>
      <c r="T12" s="94" t="str">
        <f>IFERROR(_xll.qlRateHelperEarliestDate(S12,Trigger),"--")</f>
        <v>--</v>
      </c>
      <c r="U12" s="94" t="str">
        <f>IFERROR(_xll.qlRateHelperPillarDate(S12,Trigger),"--")</f>
        <v>--</v>
      </c>
      <c r="W12" s="3" t="str">
        <f t="shared" si="1"/>
        <v>BasSw</v>
      </c>
      <c r="X12" s="3" t="str">
        <v>obj_00132</v>
      </c>
      <c r="Y12" s="3" t="str">
        <f>IFERROR(_xll.qlRateHelperQuoteName(X12,Trigger),"")</f>
        <v>SEKAB3S6Y_Quote</v>
      </c>
      <c r="Z12" s="67">
        <f>IFERROR(_xll.qlRateHelperRate(X12,Trigger),"")</f>
        <v>1.2250000000000002E-3</v>
      </c>
      <c r="AA12" s="98">
        <f>IF(ISERROR(_xll.qlSwapRateHelperSpread($X12)),IF(ISERROR(_xll.qlFuturesRateHelperConvexityAdjustment($X12)),"",_xll.qlFuturesRateHelperConvexityAdjustment($X12)),_xll.qlSwapRateHelperSpread($X12))</f>
        <v>1.02699E-3</v>
      </c>
      <c r="AB12" s="4">
        <f>IFERROR(_xll.qlRateHelperEarliestDate(X12,Trigger),"")</f>
        <v>42563</v>
      </c>
      <c r="AC12" s="4">
        <f>IFERROR(_xll.qlRateHelperPillarDate(X12,Trigger),"")</f>
        <v>44754</v>
      </c>
      <c r="AD12" s="73">
        <v>0.99890432275437391</v>
      </c>
      <c r="AE12" s="76"/>
      <c r="AF12" s="139">
        <v>2</v>
      </c>
      <c r="AG12" s="140">
        <f>_xll.qlCalendarEndOfMonth(Calendar,_xll.qlCalendarAdvance(Calendar,AG11,"1m","mf",TRUE),Trigger)</f>
        <v>42613</v>
      </c>
      <c r="AH12" s="139" t="str">
        <f t="shared" si="11"/>
        <v>SEKJump2_SYNTHON_Quote</v>
      </c>
      <c r="AI12" s="168">
        <f>_xll.qlDayCounterYearFraction("actual/360",AG12,_xll.qlCalendarAdvance(Calendar,AG12,"1D",,,Trigger))</f>
        <v>2.7777777777777779E-3</v>
      </c>
      <c r="AJ12" s="141" t="e">
        <f>IF(_xll.qlQuoteIsValid(AH12,Trigger),_xll.qlQuoteValue(AH12,Trigger),1)</f>
        <v>#NUM!</v>
      </c>
      <c r="AK12" s="171" t="e">
        <f t="shared" ref="AK12:AK23" si="12">-LN(AJ12)/AI12</f>
        <v>#NUM!</v>
      </c>
      <c r="AL12" s="176">
        <v>0</v>
      </c>
      <c r="AM12" s="141">
        <f t="shared" ref="AM12:AM23" si="13">IF(ISBLANK(AL12),AH12,EXP(-AL12*AI12))</f>
        <v>1</v>
      </c>
    </row>
    <row r="13" spans="1:39" ht="11.25" customHeight="1" x14ac:dyDescent="0.2">
      <c r="A13" s="58" t="s">
        <v>140</v>
      </c>
      <c r="B13" s="59" t="s">
        <v>52</v>
      </c>
      <c r="C13" s="60" t="s">
        <v>6</v>
      </c>
      <c r="D13" s="60" t="s">
        <v>8</v>
      </c>
      <c r="E13" s="60" t="s">
        <v>7</v>
      </c>
      <c r="F13" s="60" t="s">
        <v>111</v>
      </c>
      <c r="G13" s="60" t="str">
        <f t="shared" si="8"/>
        <v>Sekibor1M</v>
      </c>
      <c r="H13" s="58" t="str">
        <f t="shared" si="9"/>
        <v>SEKAB3S2Y_Quote</v>
      </c>
      <c r="I13" s="134" t="str">
        <f t="shared" si="10"/>
        <v>SEK1S3S2Y_Quote</v>
      </c>
      <c r="J13" s="184" t="str">
        <f>IF(P11,_xll.qlSwapRateHelper2(,H13,2,B13,Calendar,D13,E13,F13,G13,I13,C13,Discounting,PillarDate,,Permanent,Trigger,ObjectOverwrite),"--")</f>
        <v>obj_0011a#0001</v>
      </c>
      <c r="K13" s="48"/>
      <c r="L13" s="185" t="str">
        <f t="shared" si="5"/>
        <v>BasSw</v>
      </c>
      <c r="M13" s="193" t="str">
        <f t="shared" si="6"/>
        <v>SEKAB3S3Y_Quote</v>
      </c>
      <c r="N13" s="187">
        <f>IFERROR(_xll.qlQuoteValue(H15,Trigger),"--")</f>
        <v>-3.3250000000000003E-3</v>
      </c>
      <c r="O13" s="187">
        <f>IFERROR(_xll.qlQuoteValue(I15,Trigger),"--")</f>
        <v>9.9281999999999994E-4</v>
      </c>
      <c r="P13" s="129" t="b">
        <v>1</v>
      </c>
      <c r="Q13" s="90">
        <v>50</v>
      </c>
      <c r="R13" s="90">
        <v>1</v>
      </c>
      <c r="S13" s="90" t="str">
        <f t="shared" si="7"/>
        <v>obj_0011d#0001</v>
      </c>
      <c r="T13" s="94">
        <f>IFERROR(_xll.qlRateHelperEarliestDate(S13,Trigger),"--")</f>
        <v>42563</v>
      </c>
      <c r="U13" s="94">
        <f>IFERROR(_xll.qlRateHelperPillarDate(S13,Trigger),"--")</f>
        <v>43658</v>
      </c>
      <c r="W13" s="3" t="str">
        <f t="shared" si="1"/>
        <v>BasSw</v>
      </c>
      <c r="X13" s="3" t="str">
        <v>obj_0014e</v>
      </c>
      <c r="Y13" s="3" t="str">
        <f>IFERROR(_xll.qlRateHelperQuoteName(X13,Trigger),"")</f>
        <v>SEKAB3S7Y_Quote</v>
      </c>
      <c r="Z13" s="67">
        <f>IFERROR(_xll.qlRateHelperRate(X13,Trigger),"")</f>
        <v>2.8249999999999998E-3</v>
      </c>
      <c r="AA13" s="98">
        <f>IF(ISERROR(_xll.qlSwapRateHelperSpread($X13)),IF(ISERROR(_xll.qlFuturesRateHelperConvexityAdjustment($X13)),"",_xll.qlFuturesRateHelperConvexityAdjustment($X13)),_xll.qlSwapRateHelperSpread($X13))</f>
        <v>1.02787E-3</v>
      </c>
      <c r="AB13" s="4">
        <f>IFERROR(_xll.qlRateHelperEarliestDate(X13,Trigger),"")</f>
        <v>42563</v>
      </c>
      <c r="AC13" s="4">
        <f>IFERROR(_xll.qlRateHelperPillarDate(X13,Trigger),"")</f>
        <v>45119</v>
      </c>
      <c r="AD13" s="73">
        <v>0.9874921132158494</v>
      </c>
      <c r="AE13" s="76"/>
      <c r="AF13" s="139">
        <v>3</v>
      </c>
      <c r="AG13" s="140">
        <f>_xll.qlCalendarEndOfMonth(Calendar,_xll.qlCalendarAdvance(Calendar,AG12,"1m","mf",TRUE),Trigger)</f>
        <v>42643</v>
      </c>
      <c r="AH13" s="139" t="str">
        <f t="shared" si="11"/>
        <v>SEKJump3_SYNTHON_Quote</v>
      </c>
      <c r="AI13" s="168">
        <f>_xll.qlDayCounterYearFraction("actual/360",AG13,_xll.qlCalendarAdvance(Calendar,AG13,"1D",,,Trigger))</f>
        <v>8.3333333333333332E-3</v>
      </c>
      <c r="AJ13" s="141" t="e">
        <f>IF(_xll.qlQuoteIsValid(AH13,Trigger),_xll.qlQuoteValue(AH13,Trigger),1)</f>
        <v>#NUM!</v>
      </c>
      <c r="AK13" s="171" t="e">
        <f t="shared" si="12"/>
        <v>#NUM!</v>
      </c>
      <c r="AL13" s="176">
        <v>0</v>
      </c>
      <c r="AM13" s="141">
        <f t="shared" si="13"/>
        <v>1</v>
      </c>
    </row>
    <row r="14" spans="1:39" ht="11.25" customHeight="1" x14ac:dyDescent="0.2">
      <c r="A14" s="58" t="s">
        <v>140</v>
      </c>
      <c r="B14" s="59" t="s">
        <v>126</v>
      </c>
      <c r="C14" s="60" t="s">
        <v>6</v>
      </c>
      <c r="D14" s="60" t="s">
        <v>8</v>
      </c>
      <c r="E14" s="60" t="s">
        <v>7</v>
      </c>
      <c r="F14" s="60" t="s">
        <v>111</v>
      </c>
      <c r="G14" s="60" t="str">
        <f t="shared" si="8"/>
        <v>Sekibor1M</v>
      </c>
      <c r="H14" s="58" t="str">
        <f t="shared" si="9"/>
        <v>SEKAB3S30M_Quote</v>
      </c>
      <c r="I14" s="134" t="str">
        <f t="shared" si="10"/>
        <v>SEK1S3S30M_Quote</v>
      </c>
      <c r="J14" s="184" t="str">
        <f>IF(P12,_xll.qlSwapRateHelper2(,H14,2,B14,Calendar,D14,E14,F14,G14,I14,C14,Discounting,PillarDate,,Permanent,Trigger,ObjectOverwrite),"--")</f>
        <v>--</v>
      </c>
      <c r="K14" s="48"/>
      <c r="L14" s="185" t="str">
        <f t="shared" si="5"/>
        <v>BasSw</v>
      </c>
      <c r="M14" s="193" t="str">
        <f t="shared" si="6"/>
        <v>SEKAB3S42M_Quote</v>
      </c>
      <c r="N14" s="187" t="str">
        <f>IFERROR(_xll.qlQuoteValue(H16,Trigger),"--")</f>
        <v>--</v>
      </c>
      <c r="O14" s="187" t="str">
        <f>IFERROR(_xll.qlQuoteValue(I16,Trigger),"--")</f>
        <v>--</v>
      </c>
      <c r="P14" s="129" t="b">
        <v>0</v>
      </c>
      <c r="Q14" s="90">
        <v>50</v>
      </c>
      <c r="R14" s="90">
        <v>1</v>
      </c>
      <c r="S14" s="90" t="str">
        <f t="shared" si="7"/>
        <v>--</v>
      </c>
      <c r="T14" s="94" t="str">
        <f>IFERROR(_xll.qlRateHelperEarliestDate(S14,Trigger),"--")</f>
        <v>--</v>
      </c>
      <c r="U14" s="94" t="str">
        <f>IFERROR(_xll.qlRateHelperPillarDate(S14,Trigger),"--")</f>
        <v>--</v>
      </c>
      <c r="W14" s="3" t="str">
        <f t="shared" si="1"/>
        <v>BasSw</v>
      </c>
      <c r="X14" s="3" t="str">
        <v>obj_00124</v>
      </c>
      <c r="Y14" s="3" t="str">
        <f>IFERROR(_xll.qlRateHelperQuoteName(X14,Trigger),"")</f>
        <v>SEKAB3S8Y_Quote</v>
      </c>
      <c r="Z14" s="67">
        <f>IFERROR(_xll.qlRateHelperRate(X14,Trigger),"")</f>
        <v>4.2750000000000002E-3</v>
      </c>
      <c r="AA14" s="98">
        <f>IF(ISERROR(_xll.qlSwapRateHelperSpread($X14)),IF(ISERROR(_xll.qlFuturesRateHelperConvexityAdjustment($X14)),"",_xll.qlFuturesRateHelperConvexityAdjustment($X14)),_xll.qlSwapRateHelperSpread($X14))</f>
        <v>1.0269399999999998E-3</v>
      </c>
      <c r="AB14" s="4">
        <f>IFERROR(_xll.qlRateHelperEarliestDate(X14,Trigger),"")</f>
        <v>42563</v>
      </c>
      <c r="AC14" s="4">
        <f>IFERROR(_xll.qlRateHelperPillarDate(X14,Trigger),"")</f>
        <v>45485</v>
      </c>
      <c r="AD14" s="73">
        <v>0.97416134745919303</v>
      </c>
      <c r="AE14" s="76"/>
      <c r="AF14" s="139">
        <v>4</v>
      </c>
      <c r="AG14" s="140">
        <f>_xll.qlCalendarEndOfMonth(Calendar,_xll.qlCalendarAdvance(Calendar,AG13,"1m","mf",TRUE),Trigger)</f>
        <v>42674</v>
      </c>
      <c r="AH14" s="139" t="str">
        <f t="shared" si="11"/>
        <v>SEKJump4_SYNTHON_Quote</v>
      </c>
      <c r="AI14" s="168">
        <f>_xll.qlDayCounterYearFraction("actual/360",AG14,_xll.qlCalendarAdvance(Calendar,AG14,"1D",,,Trigger))</f>
        <v>2.7777777777777779E-3</v>
      </c>
      <c r="AJ14" s="141" t="e">
        <f>IF(_xll.qlQuoteIsValid(AH14,Trigger),_xll.qlQuoteValue(AH14,Trigger),1)</f>
        <v>#NUM!</v>
      </c>
      <c r="AK14" s="171" t="e">
        <f t="shared" si="12"/>
        <v>#NUM!</v>
      </c>
      <c r="AL14" s="176">
        <v>0</v>
      </c>
      <c r="AM14" s="141">
        <f t="shared" si="13"/>
        <v>1</v>
      </c>
    </row>
    <row r="15" spans="1:39" ht="11.25" customHeight="1" x14ac:dyDescent="0.2">
      <c r="A15" s="58" t="s">
        <v>140</v>
      </c>
      <c r="B15" s="59" t="s">
        <v>53</v>
      </c>
      <c r="C15" s="60" t="s">
        <v>6</v>
      </c>
      <c r="D15" s="60" t="s">
        <v>8</v>
      </c>
      <c r="E15" s="60" t="s">
        <v>7</v>
      </c>
      <c r="F15" s="60" t="s">
        <v>111</v>
      </c>
      <c r="G15" s="60" t="str">
        <f t="shared" si="8"/>
        <v>Sekibor1M</v>
      </c>
      <c r="H15" s="58" t="str">
        <f t="shared" si="9"/>
        <v>SEKAB3S3Y_Quote</v>
      </c>
      <c r="I15" s="134" t="str">
        <f t="shared" si="10"/>
        <v>SEK1S3S3Y_Quote</v>
      </c>
      <c r="J15" s="184" t="str">
        <f>IF(P13,_xll.qlSwapRateHelper2(,H15,2,B15,Calendar,D15,E15,F15,G15,I15,C15,Discounting,PillarDate,,Permanent,Trigger,ObjectOverwrite),"--")</f>
        <v>obj_0011d#0001</v>
      </c>
      <c r="K15" s="48"/>
      <c r="L15" s="185" t="str">
        <f t="shared" si="5"/>
        <v>BasSw</v>
      </c>
      <c r="M15" s="193" t="str">
        <f t="shared" si="6"/>
        <v>SEKAB3S4Y_Quote</v>
      </c>
      <c r="N15" s="187">
        <f>IFERROR(_xll.qlQuoteValue(H17,Trigger),"--")</f>
        <v>-1.9E-3</v>
      </c>
      <c r="O15" s="187">
        <f>IFERROR(_xll.qlQuoteValue(I17,Trigger),"--")</f>
        <v>1.0209500000000001E-3</v>
      </c>
      <c r="P15" s="129" t="b">
        <v>1</v>
      </c>
      <c r="Q15" s="90">
        <v>50</v>
      </c>
      <c r="R15" s="90">
        <v>1</v>
      </c>
      <c r="S15" s="90" t="str">
        <f t="shared" si="7"/>
        <v>obj_0010c#0001</v>
      </c>
      <c r="T15" s="94">
        <f>IFERROR(_xll.qlRateHelperEarliestDate(S15,Trigger),"--")</f>
        <v>42563</v>
      </c>
      <c r="U15" s="94">
        <f>IFERROR(_xll.qlRateHelperPillarDate(S15,Trigger),"--")</f>
        <v>44025</v>
      </c>
      <c r="W15" s="3" t="str">
        <f t="shared" si="1"/>
        <v>BasSw</v>
      </c>
      <c r="X15" s="3" t="str">
        <v>obj_00116</v>
      </c>
      <c r="Y15" s="3" t="str">
        <f>IFERROR(_xll.qlRateHelperQuoteName(X15,Trigger),"")</f>
        <v>SEKAB3S9Y_Quote</v>
      </c>
      <c r="Z15" s="67">
        <f>IFERROR(_xll.qlRateHelperRate(X15,Trigger),"")</f>
        <v>5.5750000000000001E-3</v>
      </c>
      <c r="AA15" s="98">
        <f>IF(ISERROR(_xll.qlSwapRateHelperSpread($X15)),IF(ISERROR(_xll.qlFuturesRateHelperConvexityAdjustment($X15)),"",_xll.qlFuturesRateHelperConvexityAdjustment($X15)),_xll.qlSwapRateHelperSpread($X15))</f>
        <v>1.0255100000000001E-3</v>
      </c>
      <c r="AB15" s="4">
        <f>IFERROR(_xll.qlRateHelperEarliestDate(X15,Trigger),"")</f>
        <v>42563</v>
      </c>
      <c r="AC15" s="4">
        <f>IFERROR(_xll.qlRateHelperPillarDate(X15,Trigger),"")</f>
        <v>45852</v>
      </c>
      <c r="AD15" s="73">
        <v>0.95938682618334648</v>
      </c>
      <c r="AE15" s="76"/>
      <c r="AF15" s="139">
        <v>5</v>
      </c>
      <c r="AG15" s="140">
        <f>_xll.qlCalendarEndOfMonth(Calendar,_xll.qlCalendarAdvance(Calendar,AG14,"1m","mf",TRUE),Trigger)</f>
        <v>42704</v>
      </c>
      <c r="AH15" s="139" t="str">
        <f t="shared" si="11"/>
        <v>SEKJump5_SYNTHON_Quote</v>
      </c>
      <c r="AI15" s="168">
        <f>_xll.qlDayCounterYearFraction("actual/360",AG15,_xll.qlCalendarAdvance(Calendar,AG15,"1D",,,Trigger))</f>
        <v>2.7777777777777779E-3</v>
      </c>
      <c r="AJ15" s="141" t="e">
        <f>IF(_xll.qlQuoteIsValid(AH15,Trigger),_xll.qlQuoteValue(AH15,Trigger),1)</f>
        <v>#NUM!</v>
      </c>
      <c r="AK15" s="171" t="e">
        <f t="shared" si="12"/>
        <v>#NUM!</v>
      </c>
      <c r="AL15" s="176">
        <v>0</v>
      </c>
      <c r="AM15" s="141">
        <f t="shared" si="13"/>
        <v>1</v>
      </c>
    </row>
    <row r="16" spans="1:39" ht="11.25" customHeight="1" x14ac:dyDescent="0.2">
      <c r="A16" s="58" t="s">
        <v>140</v>
      </c>
      <c r="B16" s="59" t="s">
        <v>129</v>
      </c>
      <c r="C16" s="60" t="s">
        <v>6</v>
      </c>
      <c r="D16" s="60" t="s">
        <v>8</v>
      </c>
      <c r="E16" s="60" t="s">
        <v>7</v>
      </c>
      <c r="F16" s="60" t="s">
        <v>111</v>
      </c>
      <c r="G16" s="60" t="str">
        <f t="shared" si="8"/>
        <v>Sekibor1M</v>
      </c>
      <c r="H16" s="58" t="str">
        <f t="shared" si="9"/>
        <v>SEKAB3S42M_Quote</v>
      </c>
      <c r="I16" s="134" t="str">
        <f t="shared" si="10"/>
        <v>SEK1S3S42M_Quote</v>
      </c>
      <c r="J16" s="184" t="str">
        <f>IF(P14,_xll.qlSwapRateHelper2(,H16,2,B16,Calendar,D16,E16,F16,G16,I16,C16,Discounting,PillarDate,,Permanent,Trigger,ObjectOverwrite),"--")</f>
        <v>--</v>
      </c>
      <c r="K16" s="48"/>
      <c r="L16" s="185" t="str">
        <f t="shared" si="5"/>
        <v>BasSw</v>
      </c>
      <c r="M16" s="193" t="str">
        <f t="shared" si="6"/>
        <v>SEKAB3S54M_Quote</v>
      </c>
      <c r="N16" s="187" t="str">
        <f>IFERROR(_xll.qlQuoteValue(H18,Trigger),"--")</f>
        <v>--</v>
      </c>
      <c r="O16" s="187" t="str">
        <f>IFERROR(_xll.qlQuoteValue(I18,Trigger),"--")</f>
        <v>--</v>
      </c>
      <c r="P16" s="129" t="b">
        <v>0</v>
      </c>
      <c r="Q16" s="90">
        <v>50</v>
      </c>
      <c r="R16" s="90">
        <v>1</v>
      </c>
      <c r="S16" s="90" t="str">
        <f t="shared" si="7"/>
        <v>--</v>
      </c>
      <c r="T16" s="94" t="str">
        <f>IFERROR(_xll.qlRateHelperEarliestDate(S16,Trigger),"--")</f>
        <v>--</v>
      </c>
      <c r="U16" s="94" t="str">
        <f>IFERROR(_xll.qlRateHelperPillarDate(S16,Trigger),"--")</f>
        <v>--</v>
      </c>
      <c r="W16" s="3" t="str">
        <f t="shared" si="1"/>
        <v>BasSw</v>
      </c>
      <c r="X16" s="3" t="str">
        <v>obj_0011c</v>
      </c>
      <c r="Y16" s="3" t="str">
        <f>IFERROR(_xll.qlRateHelperQuoteName(X16,Trigger),"")</f>
        <v>SEKAB3S10Y_Quote</v>
      </c>
      <c r="Z16" s="67">
        <f>IFERROR(_xll.qlRateHelperRate(X16,Trigger),"")</f>
        <v>6.7250000000000009E-3</v>
      </c>
      <c r="AA16" s="98">
        <f>IF(ISERROR(_xll.qlSwapRateHelperSpread($X16)),IF(ISERROR(_xll.qlFuturesRateHelperConvexityAdjustment($X16)),"",_xll.qlFuturesRateHelperConvexityAdjustment($X16)),_xll.qlSwapRateHelperSpread($X16))</f>
        <v>1.0240200000000001E-3</v>
      </c>
      <c r="AB16" s="4">
        <f>IFERROR(_xll.qlRateHelperEarliestDate(X16,Trigger),"")</f>
        <v>42563</v>
      </c>
      <c r="AC16" s="4">
        <f>IFERROR(_xll.qlRateHelperPillarDate(X16,Trigger),"")</f>
        <v>46216</v>
      </c>
      <c r="AD16" s="73">
        <v>0.94372869639883983</v>
      </c>
      <c r="AE16" s="76"/>
      <c r="AF16" s="139">
        <v>6</v>
      </c>
      <c r="AG16" s="140">
        <f>_xll.qlCalendarEndOfMonth(Calendar,_xll.qlCalendarAdvance(Calendar,AG15,"1m","mf",TRUE),Trigger)</f>
        <v>42734</v>
      </c>
      <c r="AH16" s="139" t="str">
        <f t="shared" si="11"/>
        <v>SEKJump6_SYNTHON_Quote</v>
      </c>
      <c r="AI16" s="168">
        <f>_xll.qlDayCounterYearFraction("actual/360",AG16,_xll.qlCalendarAdvance(Calendar,AG16,"1D",,,Trigger))</f>
        <v>8.3333333333333332E-3</v>
      </c>
      <c r="AJ16" s="141" t="e">
        <f>IF(_xll.qlQuoteIsValid(AH16,Trigger),_xll.qlQuoteValue(AH16,Trigger),1)</f>
        <v>#NUM!</v>
      </c>
      <c r="AK16" s="171" t="e">
        <f t="shared" si="12"/>
        <v>#NUM!</v>
      </c>
      <c r="AL16" s="176">
        <v>0</v>
      </c>
      <c r="AM16" s="141">
        <f t="shared" si="13"/>
        <v>1</v>
      </c>
    </row>
    <row r="17" spans="1:39" ht="11.25" customHeight="1" x14ac:dyDescent="0.2">
      <c r="A17" s="58" t="s">
        <v>140</v>
      </c>
      <c r="B17" s="59" t="s">
        <v>54</v>
      </c>
      <c r="C17" s="60" t="s">
        <v>6</v>
      </c>
      <c r="D17" s="60" t="s">
        <v>8</v>
      </c>
      <c r="E17" s="60" t="s">
        <v>7</v>
      </c>
      <c r="F17" s="60" t="s">
        <v>111</v>
      </c>
      <c r="G17" s="60" t="str">
        <f t="shared" si="8"/>
        <v>Sekibor1M</v>
      </c>
      <c r="H17" s="58" t="str">
        <f t="shared" si="9"/>
        <v>SEKAB3S4Y_Quote</v>
      </c>
      <c r="I17" s="134" t="str">
        <f t="shared" si="10"/>
        <v>SEK1S3S4Y_Quote</v>
      </c>
      <c r="J17" s="184" t="str">
        <f>IF(P15,_xll.qlSwapRateHelper2(,H17,2,B17,Calendar,D17,E17,F17,G17,I17,C17,Discounting,PillarDate,,Permanent,Trigger,ObjectOverwrite),"--")</f>
        <v>obj_0010c#0001</v>
      </c>
      <c r="K17" s="48"/>
      <c r="L17" s="185" t="str">
        <f t="shared" si="5"/>
        <v>BasSw</v>
      </c>
      <c r="M17" s="193" t="str">
        <f t="shared" si="6"/>
        <v>SEKAB3S5Y_Quote</v>
      </c>
      <c r="N17" s="187">
        <f>IFERROR(_xll.qlQuoteValue(H19,Trigger),"--")</f>
        <v>-3.7500000000000001E-4</v>
      </c>
      <c r="O17" s="187">
        <f>IFERROR(_xll.qlQuoteValue(I19,Trigger),"--")</f>
        <v>1.0260199999999999E-3</v>
      </c>
      <c r="P17" s="129" t="b">
        <v>1</v>
      </c>
      <c r="Q17" s="90">
        <v>50</v>
      </c>
      <c r="R17" s="90">
        <v>1</v>
      </c>
      <c r="S17" s="90" t="str">
        <f t="shared" si="7"/>
        <v>obj_0012a#0001</v>
      </c>
      <c r="T17" s="94">
        <f>IFERROR(_xll.qlRateHelperEarliestDate(S17,Trigger),"--")</f>
        <v>42563</v>
      </c>
      <c r="U17" s="94">
        <f>IFERROR(_xll.qlRateHelperPillarDate(S17,Trigger),"--")</f>
        <v>44389</v>
      </c>
      <c r="W17" s="3" t="str">
        <f t="shared" si="1"/>
        <v>BasSw</v>
      </c>
      <c r="X17" s="3" t="str">
        <v>obj_0012f</v>
      </c>
      <c r="Y17" s="3" t="str">
        <f>IFERROR(_xll.qlRateHelperQuoteName(X17,Trigger),"")</f>
        <v>SEKAB3S12Y_Quote</v>
      </c>
      <c r="Z17" s="67">
        <f>IFERROR(_xll.qlRateHelperRate(X17,Trigger),"")</f>
        <v>8.6750000000000004E-3</v>
      </c>
      <c r="AA17" s="98">
        <f>IF(ISERROR(_xll.qlSwapRateHelperSpread($X17)),IF(ISERROR(_xll.qlFuturesRateHelperConvexityAdjustment($X17)),"",_xll.qlFuturesRateHelperConvexityAdjustment($X17)),_xll.qlSwapRateHelperSpread($X17))</f>
        <v>1.02103E-3</v>
      </c>
      <c r="AB17" s="4">
        <f>IFERROR(_xll.qlRateHelperEarliestDate(X17,Trigger),"")</f>
        <v>42563</v>
      </c>
      <c r="AC17" s="4">
        <f>IFERROR(_xll.qlRateHelperPillarDate(X17,Trigger),"")</f>
        <v>46946</v>
      </c>
      <c r="AD17" s="73">
        <v>0.91035922230561117</v>
      </c>
      <c r="AE17" s="76"/>
      <c r="AF17" s="139">
        <v>7</v>
      </c>
      <c r="AG17" s="140">
        <f>_xll.qlCalendarEndOfMonth(Calendar,_xll.qlCalendarAdvance(Calendar,AG16,"1m","mf",TRUE),Trigger)</f>
        <v>42766</v>
      </c>
      <c r="AH17" s="139" t="str">
        <f t="shared" si="11"/>
        <v>SEKJump7_SYNTHON_Quote</v>
      </c>
      <c r="AI17" s="168">
        <f>_xll.qlDayCounterYearFraction("actual/360",AG17,_xll.qlCalendarAdvance(Calendar,AG17,"1D",,,Trigger))</f>
        <v>2.7777777777777779E-3</v>
      </c>
      <c r="AJ17" s="141" t="e">
        <f>IF(_xll.qlQuoteIsValid(AH17,Trigger),_xll.qlQuoteValue(AH17,Trigger),1)</f>
        <v>#NUM!</v>
      </c>
      <c r="AK17" s="171" t="e">
        <f t="shared" si="12"/>
        <v>#NUM!</v>
      </c>
      <c r="AL17" s="176">
        <v>0</v>
      </c>
      <c r="AM17" s="141">
        <f t="shared" si="13"/>
        <v>1</v>
      </c>
    </row>
    <row r="18" spans="1:39" ht="11.25" customHeight="1" x14ac:dyDescent="0.2">
      <c r="A18" s="58" t="s">
        <v>140</v>
      </c>
      <c r="B18" s="59" t="s">
        <v>132</v>
      </c>
      <c r="C18" s="60" t="s">
        <v>6</v>
      </c>
      <c r="D18" s="60" t="s">
        <v>8</v>
      </c>
      <c r="E18" s="60" t="s">
        <v>7</v>
      </c>
      <c r="F18" s="60" t="s">
        <v>111</v>
      </c>
      <c r="G18" s="60" t="str">
        <f t="shared" si="8"/>
        <v>Sekibor1M</v>
      </c>
      <c r="H18" s="58" t="str">
        <f t="shared" si="9"/>
        <v>SEKAB3S54M_Quote</v>
      </c>
      <c r="I18" s="134" t="str">
        <f t="shared" si="10"/>
        <v>SEK1S3S54M_Quote</v>
      </c>
      <c r="J18" s="184" t="str">
        <f>IF(P16,_xll.qlSwapRateHelper2(,H18,2,B18,Calendar,D18,E18,F18,G18,I18,C18,Discounting,PillarDate,,Permanent,Trigger,ObjectOverwrite),"--")</f>
        <v>--</v>
      </c>
      <c r="K18" s="48"/>
      <c r="L18" s="185" t="str">
        <f t="shared" si="5"/>
        <v>BasSw</v>
      </c>
      <c r="M18" s="193" t="str">
        <f t="shared" si="6"/>
        <v>SEKAB3S6Y_Quote</v>
      </c>
      <c r="N18" s="187">
        <f>IFERROR(_xll.qlQuoteValue(H20,Trigger),"--")</f>
        <v>1.2250000000000002E-3</v>
      </c>
      <c r="O18" s="187">
        <f>IFERROR(_xll.qlQuoteValue(I20,Trigger),"--")</f>
        <v>1.02699E-3</v>
      </c>
      <c r="P18" s="129" t="b">
        <v>1</v>
      </c>
      <c r="Q18" s="90">
        <v>50</v>
      </c>
      <c r="R18" s="90">
        <v>1</v>
      </c>
      <c r="S18" s="90" t="str">
        <f t="shared" si="7"/>
        <v>obj_00132#0001</v>
      </c>
      <c r="T18" s="94">
        <f>IFERROR(_xll.qlRateHelperEarliestDate(S18,Trigger),"--")</f>
        <v>42563</v>
      </c>
      <c r="U18" s="94">
        <f>IFERROR(_xll.qlRateHelperPillarDate(S18,Trigger),"--")</f>
        <v>44754</v>
      </c>
      <c r="W18" s="3" t="str">
        <f t="shared" si="1"/>
        <v>BasSw</v>
      </c>
      <c r="X18" s="3" t="str">
        <v>obj_0010b</v>
      </c>
      <c r="Y18" s="3" t="str">
        <f>IFERROR(_xll.qlRateHelperQuoteName(X18,Trigger),"")</f>
        <v>SEKAB3S15Y_Quote</v>
      </c>
      <c r="Z18" s="67">
        <f>IFERROR(_xll.qlRateHelperRate(X18,Trigger),"")</f>
        <v>1.0975000000000002E-2</v>
      </c>
      <c r="AA18" s="98">
        <f>IF(ISERROR(_xll.qlSwapRateHelperSpread($X18)),IF(ISERROR(_xll.qlFuturesRateHelperConvexityAdjustment($X18)),"",_xll.qlFuturesRateHelperConvexityAdjustment($X18)),_xll.qlSwapRateHelperSpread($X18))</f>
        <v>9.9648000000000011E-4</v>
      </c>
      <c r="AB18" s="4">
        <f>IFERROR(_xll.qlRateHelperEarliestDate(X18,Trigger),"")</f>
        <v>42563</v>
      </c>
      <c r="AC18" s="4">
        <f>IFERROR(_xll.qlRateHelperPillarDate(X18,Trigger),"")</f>
        <v>48043</v>
      </c>
      <c r="AD18" s="73">
        <v>0.85671869150261981</v>
      </c>
      <c r="AE18" s="76"/>
      <c r="AF18" s="139">
        <v>8</v>
      </c>
      <c r="AG18" s="140">
        <f>_xll.qlCalendarEndOfMonth(Calendar,_xll.qlCalendarAdvance(Calendar,AG17,"1m","mf",TRUE),Trigger)</f>
        <v>42794</v>
      </c>
      <c r="AH18" s="139" t="str">
        <f t="shared" si="11"/>
        <v>SEKJump8_SYNTHON_Quote</v>
      </c>
      <c r="AI18" s="168">
        <f>_xll.qlDayCounterYearFraction("actual/360",AG18,_xll.qlCalendarAdvance(Calendar,AG18,"1D",,,Trigger))</f>
        <v>2.7777777777777779E-3</v>
      </c>
      <c r="AJ18" s="141" t="e">
        <f>IF(_xll.qlQuoteIsValid(AH18,Trigger),_xll.qlQuoteValue(AH18,Trigger),1)</f>
        <v>#NUM!</v>
      </c>
      <c r="AK18" s="171" t="e">
        <f t="shared" si="12"/>
        <v>#NUM!</v>
      </c>
      <c r="AL18" s="176">
        <v>0</v>
      </c>
      <c r="AM18" s="141">
        <f t="shared" si="13"/>
        <v>1</v>
      </c>
    </row>
    <row r="19" spans="1:39" ht="11.25" customHeight="1" x14ac:dyDescent="0.2">
      <c r="A19" s="58" t="s">
        <v>140</v>
      </c>
      <c r="B19" s="59" t="s">
        <v>55</v>
      </c>
      <c r="C19" s="60" t="s">
        <v>6</v>
      </c>
      <c r="D19" s="60" t="s">
        <v>8</v>
      </c>
      <c r="E19" s="60" t="s">
        <v>7</v>
      </c>
      <c r="F19" s="60" t="s">
        <v>111</v>
      </c>
      <c r="G19" s="60" t="str">
        <f t="shared" si="8"/>
        <v>Sekibor1M</v>
      </c>
      <c r="H19" s="58" t="str">
        <f t="shared" si="9"/>
        <v>SEKAB3S5Y_Quote</v>
      </c>
      <c r="I19" s="134" t="str">
        <f t="shared" si="10"/>
        <v>SEK1S3S5Y_Quote</v>
      </c>
      <c r="J19" s="184" t="str">
        <f>IF(P17,_xll.qlSwapRateHelper2(,H19,2,B19,Calendar,D19,E19,F19,G19,I19,C19,Discounting,PillarDate,,Permanent,Trigger,ObjectOverwrite),"--")</f>
        <v>obj_0012a#0001</v>
      </c>
      <c r="K19" s="48"/>
      <c r="L19" s="185" t="str">
        <f t="shared" si="5"/>
        <v>BasSw</v>
      </c>
      <c r="M19" s="193" t="str">
        <f t="shared" si="6"/>
        <v>SEKAB3S7Y_Quote</v>
      </c>
      <c r="N19" s="187">
        <f>IFERROR(_xll.qlQuoteValue(H21,Trigger),"--")</f>
        <v>2.8249999999999998E-3</v>
      </c>
      <c r="O19" s="187">
        <f>IFERROR(_xll.qlQuoteValue(I21,Trigger),"--")</f>
        <v>1.02787E-3</v>
      </c>
      <c r="P19" s="129" t="b">
        <v>1</v>
      </c>
      <c r="Q19" s="90">
        <v>50</v>
      </c>
      <c r="R19" s="90">
        <v>1</v>
      </c>
      <c r="S19" s="90" t="str">
        <f t="shared" si="7"/>
        <v>obj_0014e#0001</v>
      </c>
      <c r="T19" s="94">
        <f>IFERROR(_xll.qlRateHelperEarliestDate(S19,Trigger),"--")</f>
        <v>42563</v>
      </c>
      <c r="U19" s="94">
        <f>IFERROR(_xll.qlRateHelperPillarDate(S19,Trigger),"--")</f>
        <v>45119</v>
      </c>
      <c r="W19" s="3" t="str">
        <f t="shared" si="1"/>
        <v>BasSw</v>
      </c>
      <c r="X19" s="3" t="str">
        <v>obj_00135</v>
      </c>
      <c r="Y19" s="3" t="str">
        <f>IFERROR(_xll.qlRateHelperQuoteName(X19,Trigger),"")</f>
        <v>SEKAB3S20Y_Quote</v>
      </c>
      <c r="Z19" s="67">
        <f>IFERROR(_xll.qlRateHelperRate(X19,Trigger),"")</f>
        <v>1.3275000000000002E-2</v>
      </c>
      <c r="AA19" s="98">
        <f>IF(ISERROR(_xll.qlSwapRateHelperSpread($X19)),IF(ISERROR(_xll.qlFuturesRateHelperConvexityAdjustment($X19)),"",_xll.qlFuturesRateHelperConvexityAdjustment($X19)),_xll.qlSwapRateHelperSpread($X19))</f>
        <v>9.4449000000000009E-4</v>
      </c>
      <c r="AB19" s="4">
        <f>IFERROR(_xll.qlRateHelperEarliestDate(X19,Trigger),"")</f>
        <v>42563</v>
      </c>
      <c r="AC19" s="4">
        <f>IFERROR(_xll.qlRateHelperPillarDate(X19,Trigger),"")</f>
        <v>49870</v>
      </c>
      <c r="AD19" s="73">
        <v>0.77318117694153699</v>
      </c>
      <c r="AE19" s="76"/>
      <c r="AF19" s="139">
        <v>9</v>
      </c>
      <c r="AG19" s="140">
        <f>_xll.qlCalendarEndOfMonth(Calendar,_xll.qlCalendarAdvance(Calendar,AG18,"1m","mf",TRUE),Trigger)</f>
        <v>42825</v>
      </c>
      <c r="AH19" s="139" t="str">
        <f t="shared" si="11"/>
        <v>SEKJump9_SYNTHON_Quote</v>
      </c>
      <c r="AI19" s="168">
        <f>_xll.qlDayCounterYearFraction("actual/360",AG19,_xll.qlCalendarAdvance(Calendar,AG19,"1D",,,Trigger))</f>
        <v>8.3333333333333332E-3</v>
      </c>
      <c r="AJ19" s="141" t="e">
        <f>IF(_xll.qlQuoteIsValid(AH19,Trigger),_xll.qlQuoteValue(AH19,Trigger),1)</f>
        <v>#NUM!</v>
      </c>
      <c r="AK19" s="171" t="e">
        <f t="shared" si="12"/>
        <v>#NUM!</v>
      </c>
      <c r="AL19" s="176">
        <v>0</v>
      </c>
      <c r="AM19" s="141">
        <f t="shared" si="13"/>
        <v>1</v>
      </c>
    </row>
    <row r="20" spans="1:39" ht="11.25" customHeight="1" x14ac:dyDescent="0.2">
      <c r="A20" s="58" t="s">
        <v>140</v>
      </c>
      <c r="B20" s="59" t="s">
        <v>56</v>
      </c>
      <c r="C20" s="60" t="s">
        <v>6</v>
      </c>
      <c r="D20" s="60" t="s">
        <v>8</v>
      </c>
      <c r="E20" s="60" t="s">
        <v>7</v>
      </c>
      <c r="F20" s="60" t="s">
        <v>111</v>
      </c>
      <c r="G20" s="60" t="str">
        <f t="shared" si="8"/>
        <v>Sekibor1M</v>
      </c>
      <c r="H20" s="58" t="str">
        <f t="shared" si="9"/>
        <v>SEKAB3S6Y_Quote</v>
      </c>
      <c r="I20" s="134" t="str">
        <f t="shared" si="10"/>
        <v>SEK1S3S6Y_Quote</v>
      </c>
      <c r="J20" s="184" t="str">
        <f>IF(P18,_xll.qlSwapRateHelper2(,H20,2,B20,Calendar,D20,E20,F20,G20,I20,C20,Discounting,PillarDate,,Permanent,Trigger,ObjectOverwrite),"--")</f>
        <v>obj_00132#0001</v>
      </c>
      <c r="K20" s="48"/>
      <c r="L20" s="185" t="str">
        <f t="shared" si="5"/>
        <v>BasSw</v>
      </c>
      <c r="M20" s="193" t="str">
        <f t="shared" si="6"/>
        <v>SEKAB3S8Y_Quote</v>
      </c>
      <c r="N20" s="187">
        <f>IFERROR(_xll.qlQuoteValue(H22,Trigger),"--")</f>
        <v>4.2750000000000002E-3</v>
      </c>
      <c r="O20" s="187">
        <f>IFERROR(_xll.qlQuoteValue(I22,Trigger),"--")</f>
        <v>1.0269399999999998E-3</v>
      </c>
      <c r="P20" s="129" t="b">
        <v>1</v>
      </c>
      <c r="Q20" s="90">
        <v>50</v>
      </c>
      <c r="R20" s="90">
        <v>1</v>
      </c>
      <c r="S20" s="90" t="str">
        <f t="shared" si="7"/>
        <v>obj_00124#0001</v>
      </c>
      <c r="T20" s="94">
        <f>IFERROR(_xll.qlRateHelperEarliestDate(S20,Trigger),"--")</f>
        <v>42563</v>
      </c>
      <c r="U20" s="94">
        <f>IFERROR(_xll.qlRateHelperPillarDate(S20,Trigger),"--")</f>
        <v>45485</v>
      </c>
      <c r="W20" s="3" t="str">
        <f t="shared" si="1"/>
        <v>BasSw</v>
      </c>
      <c r="X20" s="3" t="str">
        <v>obj_00149</v>
      </c>
      <c r="Y20" s="3" t="str">
        <f>IFERROR(_xll.qlRateHelperQuoteName(X20,Trigger),"")</f>
        <v>SEKAB3S25Y_Quote</v>
      </c>
      <c r="Z20" s="67">
        <f>IFERROR(_xll.qlRateHelperRate(X20,Trigger),"")</f>
        <v>1.4425E-2</v>
      </c>
      <c r="AA20" s="98">
        <f>IF(ISERROR(_xll.qlSwapRateHelperSpread($X20)),IF(ISERROR(_xll.qlFuturesRateHelperConvexityAdjustment($X20)),"",_xll.qlFuturesRateHelperConvexityAdjustment($X20)),_xll.qlSwapRateHelperSpread($X20))</f>
        <v>8.9804999999999996E-4</v>
      </c>
      <c r="AB20" s="4">
        <f>IFERROR(_xll.qlRateHelperEarliestDate(X20,Trigger),"")</f>
        <v>42563</v>
      </c>
      <c r="AC20" s="4">
        <f>IFERROR(_xll.qlRateHelperPillarDate(X20,Trigger),"")</f>
        <v>51694</v>
      </c>
      <c r="AD20" s="73">
        <v>0.70186824191449015</v>
      </c>
      <c r="AE20" s="76"/>
      <c r="AF20" s="139">
        <v>10</v>
      </c>
      <c r="AG20" s="140">
        <f>_xll.qlCalendarEndOfMonth(Calendar,_xll.qlCalendarAdvance(Calendar,AG19,"1m","mf",TRUE),Trigger)</f>
        <v>42853</v>
      </c>
      <c r="AH20" s="139" t="str">
        <f t="shared" si="11"/>
        <v>SEKJump10_SYNTHON_Quote</v>
      </c>
      <c r="AI20" s="168">
        <f>_xll.qlDayCounterYearFraction("actual/360",AG20,_xll.qlCalendarAdvance(Calendar,AG20,"1D",,,Trigger))</f>
        <v>1.1111111111111112E-2</v>
      </c>
      <c r="AJ20" s="141" t="e">
        <f>IF(_xll.qlQuoteIsValid(AH20,Trigger),_xll.qlQuoteValue(AH20,Trigger),1)</f>
        <v>#NUM!</v>
      </c>
      <c r="AK20" s="171" t="e">
        <f t="shared" si="12"/>
        <v>#NUM!</v>
      </c>
      <c r="AL20" s="176">
        <v>0</v>
      </c>
      <c r="AM20" s="141">
        <f t="shared" si="13"/>
        <v>1</v>
      </c>
    </row>
    <row r="21" spans="1:39" ht="11.25" customHeight="1" x14ac:dyDescent="0.2">
      <c r="A21" s="58" t="s">
        <v>140</v>
      </c>
      <c r="B21" s="59" t="s">
        <v>57</v>
      </c>
      <c r="C21" s="60" t="s">
        <v>6</v>
      </c>
      <c r="D21" s="60" t="s">
        <v>8</v>
      </c>
      <c r="E21" s="60" t="s">
        <v>7</v>
      </c>
      <c r="F21" s="60" t="s">
        <v>111</v>
      </c>
      <c r="G21" s="60" t="str">
        <f t="shared" si="8"/>
        <v>Sekibor1M</v>
      </c>
      <c r="H21" s="58" t="str">
        <f t="shared" si="9"/>
        <v>SEKAB3S7Y_Quote</v>
      </c>
      <c r="I21" s="134" t="str">
        <f t="shared" si="10"/>
        <v>SEK1S3S7Y_Quote</v>
      </c>
      <c r="J21" s="184" t="str">
        <f>IF(P19,_xll.qlSwapRateHelper2(,H21,2,B21,Calendar,D21,E21,F21,G21,I21,C21,Discounting,PillarDate,,Permanent,Trigger,ObjectOverwrite),"--")</f>
        <v>obj_0014e#0001</v>
      </c>
      <c r="K21" s="48"/>
      <c r="L21" s="185" t="str">
        <f t="shared" si="5"/>
        <v>BasSw</v>
      </c>
      <c r="M21" s="193" t="str">
        <f t="shared" si="6"/>
        <v>SEKAB3S9Y_Quote</v>
      </c>
      <c r="N21" s="187">
        <f>IFERROR(_xll.qlQuoteValue(H23,Trigger),"--")</f>
        <v>5.5750000000000001E-3</v>
      </c>
      <c r="O21" s="187">
        <f>IFERROR(_xll.qlQuoteValue(I23,Trigger),"--")</f>
        <v>1.0255100000000001E-3</v>
      </c>
      <c r="P21" s="129" t="b">
        <v>1</v>
      </c>
      <c r="Q21" s="90">
        <v>50</v>
      </c>
      <c r="R21" s="90">
        <v>1</v>
      </c>
      <c r="S21" s="90" t="str">
        <f t="shared" si="7"/>
        <v>obj_00116#0001</v>
      </c>
      <c r="T21" s="94">
        <f>IFERROR(_xll.qlRateHelperEarliestDate(S21,Trigger),"--")</f>
        <v>42563</v>
      </c>
      <c r="U21" s="94">
        <f>IFERROR(_xll.qlRateHelperPillarDate(S21,Trigger),"--")</f>
        <v>45852</v>
      </c>
      <c r="W21" s="3" t="str">
        <f t="shared" si="1"/>
        <v>BasSw</v>
      </c>
      <c r="X21" s="3" t="str">
        <v>obj_00121</v>
      </c>
      <c r="Y21" s="3" t="str">
        <f>IFERROR(_xll.qlRateHelperQuoteName(X21,Trigger),"")</f>
        <v>SEKAB3S30Y_Quote</v>
      </c>
      <c r="Z21" s="67">
        <f>IFERROR(_xll.qlRateHelperRate(X21,Trigger),"")</f>
        <v>1.4875000000000001E-2</v>
      </c>
      <c r="AA21" s="98">
        <f>IF(ISERROR(_xll.qlSwapRateHelperSpread($X21)),IF(ISERROR(_xll.qlFuturesRateHelperConvexityAdjustment($X21)),"",_xll.qlFuturesRateHelperConvexityAdjustment($X21)),_xll.qlSwapRateHelperSpread($X21))</f>
        <v>8.7262000000000006E-4</v>
      </c>
      <c r="AB21" s="4">
        <f>IFERROR(_xll.qlRateHelperEarliestDate(X21,Trigger),"")</f>
        <v>42563</v>
      </c>
      <c r="AC21" s="4">
        <f>IFERROR(_xll.qlRateHelperPillarDate(X21,Trigger),"")</f>
        <v>53520</v>
      </c>
      <c r="AD21" s="73">
        <v>0.64471405287632144</v>
      </c>
      <c r="AE21" s="76"/>
      <c r="AF21" s="139">
        <v>11</v>
      </c>
      <c r="AG21" s="140">
        <f>_xll.qlCalendarEndOfMonth(Calendar,_xll.qlCalendarAdvance(Calendar,AG20,"1m","mf",TRUE),Trigger)</f>
        <v>42886</v>
      </c>
      <c r="AH21" s="139" t="str">
        <f t="shared" si="11"/>
        <v>SEKJump11_SYNTHON_Quote</v>
      </c>
      <c r="AI21" s="168">
        <f>_xll.qlDayCounterYearFraction("actual/360",AG21,_xll.qlCalendarAdvance(Calendar,AG21,"1D",,,Trigger))</f>
        <v>2.7777777777777779E-3</v>
      </c>
      <c r="AJ21" s="141" t="e">
        <f>IF(_xll.qlQuoteIsValid(AH21,Trigger),_xll.qlQuoteValue(AH21,Trigger),1)</f>
        <v>#NUM!</v>
      </c>
      <c r="AK21" s="171" t="e">
        <f t="shared" si="12"/>
        <v>#NUM!</v>
      </c>
      <c r="AL21" s="176">
        <v>0</v>
      </c>
      <c r="AM21" s="141">
        <f t="shared" si="13"/>
        <v>1</v>
      </c>
    </row>
    <row r="22" spans="1:39" ht="11.25" customHeight="1" x14ac:dyDescent="0.2">
      <c r="A22" s="58" t="s">
        <v>140</v>
      </c>
      <c r="B22" s="59" t="s">
        <v>58</v>
      </c>
      <c r="C22" s="60" t="s">
        <v>6</v>
      </c>
      <c r="D22" s="60" t="s">
        <v>8</v>
      </c>
      <c r="E22" s="60" t="s">
        <v>7</v>
      </c>
      <c r="F22" s="60" t="s">
        <v>111</v>
      </c>
      <c r="G22" s="60" t="str">
        <f t="shared" si="8"/>
        <v>Sekibor1M</v>
      </c>
      <c r="H22" s="58" t="str">
        <f t="shared" si="9"/>
        <v>SEKAB3S8Y_Quote</v>
      </c>
      <c r="I22" s="134" t="str">
        <f t="shared" si="10"/>
        <v>SEK1S3S8Y_Quote</v>
      </c>
      <c r="J22" s="184" t="str">
        <f>IF(P20,_xll.qlSwapRateHelper2(,H22,2,B22,Calendar,D22,E22,F22,G22,I22,C22,Discounting,PillarDate,,Permanent,Trigger,ObjectOverwrite),"--")</f>
        <v>obj_00124#0001</v>
      </c>
      <c r="K22" s="48"/>
      <c r="L22" s="185" t="str">
        <f t="shared" si="5"/>
        <v>BasSw</v>
      </c>
      <c r="M22" s="193" t="str">
        <f t="shared" si="6"/>
        <v>SEKAB3S10Y_Quote</v>
      </c>
      <c r="N22" s="187">
        <f>IFERROR(_xll.qlQuoteValue(H24,Trigger),"--")</f>
        <v>6.7250000000000009E-3</v>
      </c>
      <c r="O22" s="187">
        <f>IFERROR(_xll.qlQuoteValue(I24,Trigger),"--")</f>
        <v>1.0240200000000001E-3</v>
      </c>
      <c r="P22" s="129" t="b">
        <v>1</v>
      </c>
      <c r="Q22" s="90">
        <v>50</v>
      </c>
      <c r="R22" s="90">
        <v>1</v>
      </c>
      <c r="S22" s="90" t="str">
        <f t="shared" si="7"/>
        <v>obj_0011c#0001</v>
      </c>
      <c r="T22" s="94">
        <f>IFERROR(_xll.qlRateHelperEarliestDate(S22,Trigger),"--")</f>
        <v>42563</v>
      </c>
      <c r="U22" s="94">
        <f>IFERROR(_xll.qlRateHelperPillarDate(S22,Trigger),"--")</f>
        <v>46216</v>
      </c>
      <c r="W22" s="3" t="str">
        <f t="shared" si="1"/>
        <v/>
      </c>
      <c r="X22" s="3" t="e">
        <v>#N/A</v>
      </c>
      <c r="Y22" s="3" t="str">
        <f>IFERROR(_xll.qlRateHelperQuoteName(X22,Trigger),"")</f>
        <v/>
      </c>
      <c r="Z22" s="67" t="str">
        <f>IFERROR(_xll.qlRateHelperRate(X22,Trigger),"")</f>
        <v/>
      </c>
      <c r="AA22" s="98" t="str">
        <f>IF(ISERROR(_xll.qlSwapRateHelperSpread($X22)),IF(ISERROR(_xll.qlFuturesRateHelperConvexityAdjustment($X22)),"",_xll.qlFuturesRateHelperConvexityAdjustment($X22)),_xll.qlSwapRateHelperSpread($X22))</f>
        <v/>
      </c>
      <c r="AB22" s="4" t="str">
        <f>IFERROR(_xll.qlRateHelperEarliestDate(X22,Trigger),"")</f>
        <v/>
      </c>
      <c r="AC22" s="4" t="str">
        <f>IFERROR(_xll.qlRateHelperPillarDate(X22,Trigger),"")</f>
        <v/>
      </c>
      <c r="AD22" s="73" t="e">
        <v>#N/A</v>
      </c>
      <c r="AE22" s="76"/>
      <c r="AF22" s="139">
        <v>12</v>
      </c>
      <c r="AG22" s="140">
        <f>_xll.qlCalendarEndOfMonth(Calendar,_xll.qlCalendarAdvance(Calendar,AG21,"1m","mf",TRUE),Trigger)</f>
        <v>42916</v>
      </c>
      <c r="AH22" s="139" t="str">
        <f t="shared" si="11"/>
        <v>SEKJump12_SYNTHON_Quote</v>
      </c>
      <c r="AI22" s="168">
        <f>_xll.qlDayCounterYearFraction("actual/360",AG22,_xll.qlCalendarAdvance(Calendar,AG22,"1D",,,Trigger))</f>
        <v>8.3333333333333332E-3</v>
      </c>
      <c r="AJ22" s="141" t="e">
        <f>IF(_xll.qlQuoteIsValid(AH22,Trigger),_xll.qlQuoteValue(AH22,Trigger),1)</f>
        <v>#NUM!</v>
      </c>
      <c r="AK22" s="171" t="e">
        <f t="shared" si="12"/>
        <v>#NUM!</v>
      </c>
      <c r="AL22" s="176">
        <v>0</v>
      </c>
      <c r="AM22" s="141">
        <f t="shared" si="13"/>
        <v>1</v>
      </c>
    </row>
    <row r="23" spans="1:39" ht="11.25" customHeight="1" x14ac:dyDescent="0.2">
      <c r="A23" s="58" t="s">
        <v>140</v>
      </c>
      <c r="B23" s="59" t="s">
        <v>59</v>
      </c>
      <c r="C23" s="60" t="s">
        <v>6</v>
      </c>
      <c r="D23" s="60" t="s">
        <v>8</v>
      </c>
      <c r="E23" s="60" t="s">
        <v>7</v>
      </c>
      <c r="F23" s="60" t="s">
        <v>111</v>
      </c>
      <c r="G23" s="60" t="str">
        <f t="shared" si="8"/>
        <v>Sekibor1M</v>
      </c>
      <c r="H23" s="58" t="str">
        <f t="shared" si="9"/>
        <v>SEKAB3S9Y_Quote</v>
      </c>
      <c r="I23" s="134" t="str">
        <f t="shared" si="10"/>
        <v>SEK1S3S9Y_Quote</v>
      </c>
      <c r="J23" s="184" t="str">
        <f>IF(P21,_xll.qlSwapRateHelper2(,H23,2,B23,Calendar,D23,E23,F23,G23,I23,C23,Discounting,PillarDate,,Permanent,Trigger,ObjectOverwrite),"--")</f>
        <v>obj_00116#0001</v>
      </c>
      <c r="K23" s="48"/>
      <c r="L23" s="185" t="str">
        <f t="shared" si="5"/>
        <v>BasSw</v>
      </c>
      <c r="M23" s="193" t="str">
        <f t="shared" si="6"/>
        <v>SEKAB3S12Y_Quote</v>
      </c>
      <c r="N23" s="187">
        <f>IFERROR(_xll.qlQuoteValue(H25,Trigger),"--")</f>
        <v>8.6750000000000004E-3</v>
      </c>
      <c r="O23" s="187">
        <f>IFERROR(_xll.qlQuoteValue(I25,Trigger),"--")</f>
        <v>1.02103E-3</v>
      </c>
      <c r="P23" s="129" t="b">
        <v>1</v>
      </c>
      <c r="Q23" s="90">
        <v>50</v>
      </c>
      <c r="R23" s="90">
        <v>1</v>
      </c>
      <c r="S23" s="90" t="str">
        <f t="shared" si="7"/>
        <v>obj_0012f#0001</v>
      </c>
      <c r="T23" s="94">
        <f>IFERROR(_xll.qlRateHelperEarliestDate(S23,Trigger),"--")</f>
        <v>42563</v>
      </c>
      <c r="U23" s="94">
        <f>IFERROR(_xll.qlRateHelperPillarDate(S23,Trigger),"--")</f>
        <v>46946</v>
      </c>
      <c r="W23" s="3" t="str">
        <f t="shared" si="1"/>
        <v/>
      </c>
      <c r="X23" s="3" t="e">
        <v>#N/A</v>
      </c>
      <c r="Y23" s="3" t="str">
        <f>IFERROR(_xll.qlRateHelperQuoteName(X23,Trigger),"")</f>
        <v/>
      </c>
      <c r="Z23" s="67" t="str">
        <f>IFERROR(_xll.qlRateHelperRate(X23,Trigger),"")</f>
        <v/>
      </c>
      <c r="AA23" s="98" t="str">
        <f>IF(ISERROR(_xll.qlSwapRateHelperSpread($X23)),IF(ISERROR(_xll.qlFuturesRateHelperConvexityAdjustment($X23)),"",_xll.qlFuturesRateHelperConvexityAdjustment($X23)),_xll.qlSwapRateHelperSpread($X23))</f>
        <v/>
      </c>
      <c r="AB23" s="4" t="str">
        <f>IFERROR(_xll.qlRateHelperEarliestDate(X23,Trigger),"")</f>
        <v/>
      </c>
      <c r="AC23" s="4" t="str">
        <f>IFERROR(_xll.qlRateHelperPillarDate(X23,Trigger),"")</f>
        <v/>
      </c>
      <c r="AD23" s="73" t="e">
        <v>#N/A</v>
      </c>
      <c r="AE23" s="76"/>
      <c r="AF23" s="142">
        <v>13</v>
      </c>
      <c r="AG23" s="143">
        <f>_xll.qlCalendarAdjust(Calendar,DATE(YEAR(AG11)+1,12,31),"preceding",Trigger)</f>
        <v>43098</v>
      </c>
      <c r="AH23" s="142" t="str">
        <f t="shared" si="11"/>
        <v>SEKJump13_SYNTHON_Quote</v>
      </c>
      <c r="AI23" s="169">
        <f>_xll.qlDayCounterYearFraction("actual/360",AG23,_xll.qlCalendarAdvance(Calendar,AG23,"1D",,,Trigger))</f>
        <v>1.1111111111111112E-2</v>
      </c>
      <c r="AJ23" s="144" t="e">
        <f>IF(_xll.qlQuoteIsValid(AH23,Trigger),_xll.qlQuoteValue(AH23,Trigger),1)</f>
        <v>#NUM!</v>
      </c>
      <c r="AK23" s="172" t="e">
        <f t="shared" si="12"/>
        <v>#NUM!</v>
      </c>
      <c r="AL23" s="177">
        <v>0</v>
      </c>
      <c r="AM23" s="144">
        <f t="shared" si="13"/>
        <v>1</v>
      </c>
    </row>
    <row r="24" spans="1:39" ht="11.25" customHeight="1" x14ac:dyDescent="0.2">
      <c r="A24" s="58" t="s">
        <v>140</v>
      </c>
      <c r="B24" s="59" t="s">
        <v>60</v>
      </c>
      <c r="C24" s="60" t="s">
        <v>6</v>
      </c>
      <c r="D24" s="60" t="s">
        <v>8</v>
      </c>
      <c r="E24" s="60" t="s">
        <v>7</v>
      </c>
      <c r="F24" s="60" t="s">
        <v>111</v>
      </c>
      <c r="G24" s="60" t="str">
        <f t="shared" si="8"/>
        <v>Sekibor1M</v>
      </c>
      <c r="H24" s="58" t="str">
        <f t="shared" si="9"/>
        <v>SEKAB3S10Y_Quote</v>
      </c>
      <c r="I24" s="134" t="str">
        <f t="shared" si="10"/>
        <v>SEK1S3S10Y_Quote</v>
      </c>
      <c r="J24" s="184" t="str">
        <f>IF(P22,_xll.qlSwapRateHelper2(,H24,2,B24,Calendar,D24,E24,F24,G24,I24,C24,Discounting,PillarDate,,Permanent,Trigger,ObjectOverwrite),"--")</f>
        <v>obj_0011c#0001</v>
      </c>
      <c r="K24" s="48"/>
      <c r="L24" s="185" t="str">
        <f t="shared" si="5"/>
        <v>BasSw</v>
      </c>
      <c r="M24" s="193" t="str">
        <f t="shared" si="6"/>
        <v>SEKAB3S15Y_Quote</v>
      </c>
      <c r="N24" s="187">
        <f>IFERROR(_xll.qlQuoteValue(H26,Trigger),"--")</f>
        <v>1.0975000000000002E-2</v>
      </c>
      <c r="O24" s="187">
        <f>IFERROR(_xll.qlQuoteValue(I26,Trigger),"--")</f>
        <v>9.9648000000000011E-4</v>
      </c>
      <c r="P24" s="129" t="b">
        <v>1</v>
      </c>
      <c r="Q24" s="90">
        <v>50</v>
      </c>
      <c r="R24" s="90">
        <v>1</v>
      </c>
      <c r="S24" s="90" t="str">
        <f t="shared" si="7"/>
        <v>obj_0010b#0001</v>
      </c>
      <c r="T24" s="94">
        <f>IFERROR(_xll.qlRateHelperEarliestDate(S24,Trigger),"--")</f>
        <v>42563</v>
      </c>
      <c r="U24" s="94">
        <f>IFERROR(_xll.qlRateHelperPillarDate(S24,Trigger),"--")</f>
        <v>48043</v>
      </c>
      <c r="W24" s="3" t="str">
        <f t="shared" si="1"/>
        <v/>
      </c>
      <c r="X24" s="3" t="e">
        <v>#N/A</v>
      </c>
      <c r="Y24" s="3" t="str">
        <f>IFERROR(_xll.qlRateHelperQuoteName(X24,Trigger),"")</f>
        <v/>
      </c>
      <c r="Z24" s="67" t="str">
        <f>IFERROR(_xll.qlRateHelperRate(X24,Trigger),"")</f>
        <v/>
      </c>
      <c r="AA24" s="98" t="str">
        <f>IF(ISERROR(_xll.qlSwapRateHelperSpread($X24)),IF(ISERROR(_xll.qlFuturesRateHelperConvexityAdjustment($X24)),"",_xll.qlFuturesRateHelperConvexityAdjustment($X24)),_xll.qlSwapRateHelperSpread($X24))</f>
        <v/>
      </c>
      <c r="AB24" s="4" t="str">
        <f>IFERROR(_xll.qlRateHelperEarliestDate(X24,Trigger),"")</f>
        <v/>
      </c>
      <c r="AC24" s="4" t="str">
        <f>IFERROR(_xll.qlRateHelperPillarDate(X24,Trigger),"")</f>
        <v/>
      </c>
      <c r="AD24" s="73" t="e">
        <v>#N/A</v>
      </c>
      <c r="AE24" s="76"/>
    </row>
    <row r="25" spans="1:39" ht="11.25" customHeight="1" x14ac:dyDescent="0.2">
      <c r="A25" s="58" t="s">
        <v>140</v>
      </c>
      <c r="B25" s="59" t="s">
        <v>61</v>
      </c>
      <c r="C25" s="60" t="s">
        <v>6</v>
      </c>
      <c r="D25" s="60" t="s">
        <v>8</v>
      </c>
      <c r="E25" s="60" t="s">
        <v>7</v>
      </c>
      <c r="F25" s="60" t="s">
        <v>111</v>
      </c>
      <c r="G25" s="60" t="str">
        <f t="shared" si="8"/>
        <v>Sekibor1M</v>
      </c>
      <c r="H25" s="58" t="str">
        <f t="shared" si="9"/>
        <v>SEKAB3S12Y_Quote</v>
      </c>
      <c r="I25" s="134" t="str">
        <f t="shared" si="10"/>
        <v>SEK1S3S12Y_Quote</v>
      </c>
      <c r="J25" s="184" t="str">
        <f>IF(P23,_xll.qlSwapRateHelper2(,H25,2,B25,Calendar,D25,E25,F25,G25,I25,C25,Discounting,PillarDate,,Permanent,Trigger,ObjectOverwrite),"--")</f>
        <v>obj_0012f#0001</v>
      </c>
      <c r="K25" s="48"/>
      <c r="L25" s="185" t="str">
        <f t="shared" si="5"/>
        <v>BasSw</v>
      </c>
      <c r="M25" s="193" t="str">
        <f t="shared" si="6"/>
        <v>SEKAB3S20Y_Quote</v>
      </c>
      <c r="N25" s="187">
        <f>IFERROR(_xll.qlQuoteValue(H27,Trigger),"--")</f>
        <v>1.3275000000000002E-2</v>
      </c>
      <c r="O25" s="187">
        <f>IFERROR(_xll.qlQuoteValue(I27,Trigger),"--")</f>
        <v>9.4449000000000009E-4</v>
      </c>
      <c r="P25" s="129" t="b">
        <v>1</v>
      </c>
      <c r="Q25" s="90">
        <v>50</v>
      </c>
      <c r="R25" s="90">
        <v>1</v>
      </c>
      <c r="S25" s="90" t="str">
        <f t="shared" si="7"/>
        <v>obj_00135#0001</v>
      </c>
      <c r="T25" s="94">
        <f>IFERROR(_xll.qlRateHelperEarliestDate(S25,Trigger),"--")</f>
        <v>42563</v>
      </c>
      <c r="U25" s="94">
        <f>IFERROR(_xll.qlRateHelperPillarDate(S25,Trigger),"--")</f>
        <v>49870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67" t="str">
        <f>IFERROR(_xll.qlRateHelperRate(X25,Trigger),"")</f>
        <v/>
      </c>
      <c r="AA25" s="98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3" t="e">
        <v>#N/A</v>
      </c>
      <c r="AE25" s="76"/>
    </row>
    <row r="26" spans="1:39" ht="11.25" customHeight="1" x14ac:dyDescent="0.2">
      <c r="A26" s="58" t="s">
        <v>140</v>
      </c>
      <c r="B26" s="59" t="s">
        <v>62</v>
      </c>
      <c r="C26" s="60" t="s">
        <v>6</v>
      </c>
      <c r="D26" s="60" t="s">
        <v>8</v>
      </c>
      <c r="E26" s="60" t="s">
        <v>7</v>
      </c>
      <c r="F26" s="60" t="s">
        <v>111</v>
      </c>
      <c r="G26" s="60" t="str">
        <f t="shared" si="8"/>
        <v>Sekibor1M</v>
      </c>
      <c r="H26" s="58" t="str">
        <f t="shared" si="9"/>
        <v>SEKAB3S15Y_Quote</v>
      </c>
      <c r="I26" s="134" t="str">
        <f t="shared" si="10"/>
        <v>SEK1S3S15Y_Quote</v>
      </c>
      <c r="J26" s="184" t="str">
        <f>IF(P24,_xll.qlSwapRateHelper2(,H26,2,B26,Calendar,D26,E26,F26,G26,I26,C26,Discounting,PillarDate,,Permanent,Trigger,ObjectOverwrite),"--")</f>
        <v>obj_0010b#0001</v>
      </c>
      <c r="K26" s="48"/>
      <c r="L26" s="185" t="str">
        <f t="shared" si="5"/>
        <v>BasSw</v>
      </c>
      <c r="M26" s="193" t="str">
        <f t="shared" si="6"/>
        <v>SEKAB3S25Y_Quote</v>
      </c>
      <c r="N26" s="187">
        <f>IFERROR(_xll.qlQuoteValue(H28,Trigger),"--")</f>
        <v>1.4425E-2</v>
      </c>
      <c r="O26" s="187">
        <f>IFERROR(_xll.qlQuoteValue(I28,Trigger),"--")</f>
        <v>8.9804999999999996E-4</v>
      </c>
      <c r="P26" s="129" t="b">
        <v>1</v>
      </c>
      <c r="Q26" s="90">
        <v>50</v>
      </c>
      <c r="R26" s="90">
        <v>1</v>
      </c>
      <c r="S26" s="90" t="str">
        <f t="shared" si="7"/>
        <v>obj_00149#0001</v>
      </c>
      <c r="T26" s="94">
        <f>IFERROR(_xll.qlRateHelperEarliestDate(S26,Trigger),"--")</f>
        <v>42563</v>
      </c>
      <c r="U26" s="94">
        <f>IFERROR(_xll.qlRateHelperPillarDate(S26,Trigger),"--")</f>
        <v>51694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67" t="str">
        <f>IFERROR(_xll.qlRateHelperRate(X26,Trigger),"")</f>
        <v/>
      </c>
      <c r="AA26" s="98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3" t="e">
        <v>#N/A</v>
      </c>
      <c r="AE26" s="76"/>
    </row>
    <row r="27" spans="1:39" ht="11.25" customHeight="1" x14ac:dyDescent="0.2">
      <c r="A27" s="58" t="s">
        <v>140</v>
      </c>
      <c r="B27" s="59" t="s">
        <v>63</v>
      </c>
      <c r="C27" s="60" t="s">
        <v>6</v>
      </c>
      <c r="D27" s="60" t="s">
        <v>8</v>
      </c>
      <c r="E27" s="60" t="s">
        <v>7</v>
      </c>
      <c r="F27" s="60" t="s">
        <v>111</v>
      </c>
      <c r="G27" s="60" t="str">
        <f t="shared" si="8"/>
        <v>Sekibor1M</v>
      </c>
      <c r="H27" s="58" t="str">
        <f t="shared" si="9"/>
        <v>SEKAB3S20Y_Quote</v>
      </c>
      <c r="I27" s="134" t="str">
        <f t="shared" si="10"/>
        <v>SEK1S3S20Y_Quote</v>
      </c>
      <c r="J27" s="184" t="str">
        <f>IF(P25,_xll.qlSwapRateHelper2(,H27,2,B27,Calendar,D27,E27,F27,G27,I27,C27,Discounting,PillarDate,,Permanent,Trigger,ObjectOverwrite),"--")</f>
        <v>obj_00135#0001</v>
      </c>
      <c r="K27" s="48"/>
      <c r="L27" s="185" t="str">
        <f t="shared" si="5"/>
        <v>BasSw</v>
      </c>
      <c r="M27" s="193" t="str">
        <f t="shared" si="6"/>
        <v>SEKAB3S27Y_Quote</v>
      </c>
      <c r="N27" s="187" t="str">
        <f>IFERROR(_xll.qlQuoteValue(H29,Trigger),"--")</f>
        <v>--</v>
      </c>
      <c r="O27" s="187" t="str">
        <f>IFERROR(_xll.qlQuoteValue(I29,Trigger),"--")</f>
        <v>--</v>
      </c>
      <c r="P27" s="129" t="b">
        <v>0</v>
      </c>
      <c r="Q27" s="90">
        <v>50</v>
      </c>
      <c r="R27" s="90">
        <v>1</v>
      </c>
      <c r="S27" s="90" t="str">
        <f t="shared" si="7"/>
        <v>--</v>
      </c>
      <c r="T27" s="94" t="str">
        <f>IFERROR(_xll.qlRateHelperEarliestDate(S27,Trigger),"--")</f>
        <v>--</v>
      </c>
      <c r="U27" s="94" t="str">
        <f>IFERROR(_xll.qlRateHelperPillarDate(S27,Trigger),"--")</f>
        <v>--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67" t="str">
        <f>IFERROR(_xll.qlRateHelperRate(X27,Trigger),"")</f>
        <v/>
      </c>
      <c r="AA27" s="98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3" t="e">
        <v>#N/A</v>
      </c>
      <c r="AE27" s="76"/>
    </row>
    <row r="28" spans="1:39" ht="11.25" customHeight="1" x14ac:dyDescent="0.2">
      <c r="A28" s="58" t="s">
        <v>140</v>
      </c>
      <c r="B28" s="59" t="s">
        <v>64</v>
      </c>
      <c r="C28" s="60" t="s">
        <v>6</v>
      </c>
      <c r="D28" s="60" t="s">
        <v>8</v>
      </c>
      <c r="E28" s="60" t="s">
        <v>7</v>
      </c>
      <c r="F28" s="60" t="s">
        <v>111</v>
      </c>
      <c r="G28" s="60" t="str">
        <f t="shared" si="8"/>
        <v>Sekibor1M</v>
      </c>
      <c r="H28" s="58" t="str">
        <f t="shared" si="9"/>
        <v>SEKAB3S25Y_Quote</v>
      </c>
      <c r="I28" s="134" t="str">
        <f t="shared" si="10"/>
        <v>SEK1S3S25Y_Quote</v>
      </c>
      <c r="J28" s="184" t="str">
        <f>IF(P26,_xll.qlSwapRateHelper2(,H28,2,B28,Calendar,D28,E28,F28,G28,I28,C28,Discounting,PillarDate,,Permanent,Trigger,ObjectOverwrite),"--")</f>
        <v>obj_00149#0001</v>
      </c>
      <c r="K28" s="48"/>
      <c r="L28" s="185" t="str">
        <f t="shared" si="5"/>
        <v>BasSw</v>
      </c>
      <c r="M28" s="193" t="str">
        <f t="shared" si="6"/>
        <v>SEKAB3S30Y_Quote</v>
      </c>
      <c r="N28" s="187">
        <f>IFERROR(_xll.qlQuoteValue(H30,Trigger),"--")</f>
        <v>1.4875000000000001E-2</v>
      </c>
      <c r="O28" s="187">
        <f>IFERROR(_xll.qlQuoteValue(I30,Trigger),"--")</f>
        <v>8.7262000000000006E-4</v>
      </c>
      <c r="P28" s="129" t="b">
        <v>1</v>
      </c>
      <c r="Q28" s="90">
        <v>50</v>
      </c>
      <c r="R28" s="90">
        <v>1</v>
      </c>
      <c r="S28" s="90" t="str">
        <f t="shared" si="7"/>
        <v>obj_00121#0001</v>
      </c>
      <c r="T28" s="94">
        <f>IFERROR(_xll.qlRateHelperEarliestDate(S28,Trigger),"--")</f>
        <v>42563</v>
      </c>
      <c r="U28" s="94">
        <f>IFERROR(_xll.qlRateHelperPillarDate(S28,Trigger),"--")</f>
        <v>53520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67" t="str">
        <f>IFERROR(_xll.qlRateHelperRate(X28,Trigger),"")</f>
        <v/>
      </c>
      <c r="AA28" s="98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3" t="e">
        <v>#N/A</v>
      </c>
      <c r="AE28" s="76"/>
    </row>
    <row r="29" spans="1:39" ht="11.25" customHeight="1" x14ac:dyDescent="0.2">
      <c r="A29" s="58" t="s">
        <v>140</v>
      </c>
      <c r="B29" s="59" t="s">
        <v>65</v>
      </c>
      <c r="C29" s="60" t="s">
        <v>6</v>
      </c>
      <c r="D29" s="60" t="s">
        <v>8</v>
      </c>
      <c r="E29" s="60" t="s">
        <v>7</v>
      </c>
      <c r="F29" s="60" t="s">
        <v>111</v>
      </c>
      <c r="G29" s="60" t="str">
        <f t="shared" si="8"/>
        <v>Sekibor1M</v>
      </c>
      <c r="H29" s="58" t="str">
        <f t="shared" si="9"/>
        <v>SEKAB3S27Y_Quote</v>
      </c>
      <c r="I29" s="134" t="str">
        <f t="shared" si="10"/>
        <v>SEK1S3S27Y_Quote</v>
      </c>
      <c r="J29" s="184" t="str">
        <f>IF(P27,_xll.qlSwapRateHelper2(,H29,2,B29,Calendar,D29,E29,F29,G29,I29,C29,Discounting,PillarDate,,Permanent,Trigger,ObjectOverwrite),"--")</f>
        <v>--</v>
      </c>
      <c r="K29" s="48"/>
      <c r="L29" s="185" t="str">
        <f t="shared" si="5"/>
        <v>BasSw</v>
      </c>
      <c r="M29" s="193" t="str">
        <f t="shared" si="6"/>
        <v>SEKAB3S35Y_Quote</v>
      </c>
      <c r="N29" s="187" t="str">
        <f>IFERROR(_xll.qlQuoteValue(H31,Trigger),"--")</f>
        <v>--</v>
      </c>
      <c r="O29" s="187" t="str">
        <f>IFERROR(_xll.qlQuoteValue(I31,Trigger),"--")</f>
        <v>--</v>
      </c>
      <c r="P29" s="129" t="b">
        <v>0</v>
      </c>
      <c r="Q29" s="90">
        <v>50</v>
      </c>
      <c r="R29" s="90">
        <v>1</v>
      </c>
      <c r="S29" s="90" t="str">
        <f t="shared" si="7"/>
        <v>--</v>
      </c>
      <c r="T29" s="94" t="str">
        <f>IFERROR(_xll.qlRateHelperEarliestDate(S29,Trigger),"--")</f>
        <v>--</v>
      </c>
      <c r="U29" s="94" t="str">
        <f>IFERROR(_xll.qlRateHelperPillarDate(S29,Trigger),"--")</f>
        <v>--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67" t="str">
        <f>IFERROR(_xll.qlRateHelperRate(X29,Trigger),"")</f>
        <v/>
      </c>
      <c r="AA29" s="98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3" t="e">
        <v>#N/A</v>
      </c>
      <c r="AE29" s="76"/>
    </row>
    <row r="30" spans="1:39" ht="11.25" customHeight="1" x14ac:dyDescent="0.2">
      <c r="A30" s="58" t="s">
        <v>140</v>
      </c>
      <c r="B30" s="59" t="s">
        <v>66</v>
      </c>
      <c r="C30" s="60" t="s">
        <v>6</v>
      </c>
      <c r="D30" s="60" t="s">
        <v>8</v>
      </c>
      <c r="E30" s="60" t="s">
        <v>7</v>
      </c>
      <c r="F30" s="60" t="s">
        <v>111</v>
      </c>
      <c r="G30" s="60" t="str">
        <f t="shared" si="8"/>
        <v>Sekibor1M</v>
      </c>
      <c r="H30" s="58" t="str">
        <f t="shared" si="9"/>
        <v>SEKAB3S30Y_Quote</v>
      </c>
      <c r="I30" s="134" t="str">
        <f t="shared" si="10"/>
        <v>SEK1S3S30Y_Quote</v>
      </c>
      <c r="J30" s="184" t="str">
        <f>IF(P28,_xll.qlSwapRateHelper2(,H30,2,B30,Calendar,D30,E30,F30,G30,I30,C30,Discounting,PillarDate,,Permanent,Trigger,ObjectOverwrite),"--")</f>
        <v>obj_00121#0001</v>
      </c>
      <c r="K30" s="48"/>
      <c r="L30" s="185" t="str">
        <f t="shared" si="5"/>
        <v>BasSw</v>
      </c>
      <c r="M30" s="193" t="str">
        <f t="shared" si="6"/>
        <v>SEKAB3S40Y_Quote</v>
      </c>
      <c r="N30" s="187" t="str">
        <f>IFERROR(_xll.qlQuoteValue(H32,Trigger),"--")</f>
        <v>--</v>
      </c>
      <c r="O30" s="187" t="str">
        <f>IFERROR(_xll.qlQuoteValue(I32,Trigger),"--")</f>
        <v>--</v>
      </c>
      <c r="P30" s="129" t="b">
        <v>0</v>
      </c>
      <c r="Q30" s="90">
        <v>50</v>
      </c>
      <c r="R30" s="90">
        <v>1</v>
      </c>
      <c r="S30" s="90" t="str">
        <f t="shared" si="7"/>
        <v>--</v>
      </c>
      <c r="T30" s="94" t="str">
        <f>IFERROR(_xll.qlRateHelperEarliestDate(S30,Trigger),"--")</f>
        <v>--</v>
      </c>
      <c r="U30" s="94" t="str">
        <f>IFERROR(_xll.qlRateHelperPillarDate(S30,Trigger),"--")</f>
        <v>--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8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3" t="e">
        <v>#N/A</v>
      </c>
      <c r="AE30" s="76"/>
    </row>
    <row r="31" spans="1:39" ht="11.25" customHeight="1" x14ac:dyDescent="0.2">
      <c r="A31" s="58" t="s">
        <v>140</v>
      </c>
      <c r="B31" s="59" t="s">
        <v>67</v>
      </c>
      <c r="C31" s="60" t="s">
        <v>6</v>
      </c>
      <c r="D31" s="60" t="s">
        <v>8</v>
      </c>
      <c r="E31" s="60" t="s">
        <v>7</v>
      </c>
      <c r="F31" s="60" t="s">
        <v>111</v>
      </c>
      <c r="G31" s="60" t="str">
        <f t="shared" si="8"/>
        <v>Sekibor1M</v>
      </c>
      <c r="H31" s="58" t="str">
        <f t="shared" si="9"/>
        <v>SEKAB3S35Y_Quote</v>
      </c>
      <c r="I31" s="134" t="str">
        <f t="shared" si="10"/>
        <v>SEK1S3S35Y_Quote</v>
      </c>
      <c r="J31" s="184" t="str">
        <f>IF(P29,_xll.qlSwapRateHelper2(,H31,2,B31,Calendar,D31,E31,F31,G31,I31,C31,Discounting,PillarDate,,Permanent,Trigger,ObjectOverwrite),"--")</f>
        <v>--</v>
      </c>
      <c r="K31" s="48"/>
      <c r="L31" s="185" t="str">
        <f t="shared" si="5"/>
        <v>BasSw</v>
      </c>
      <c r="M31" s="193" t="str">
        <f t="shared" si="6"/>
        <v>SEKAB3S45Y_Quote</v>
      </c>
      <c r="N31" s="187" t="str">
        <f>IFERROR(_xll.qlQuoteValue(H33,Trigger),"--")</f>
        <v>--</v>
      </c>
      <c r="O31" s="187" t="str">
        <f>IFERROR(_xll.qlQuoteValue(I33,Trigger),"--")</f>
        <v>--</v>
      </c>
      <c r="P31" s="129" t="b">
        <v>0</v>
      </c>
      <c r="Q31" s="90">
        <v>50</v>
      </c>
      <c r="R31" s="90">
        <v>1</v>
      </c>
      <c r="S31" s="90" t="str">
        <f t="shared" si="7"/>
        <v>--</v>
      </c>
      <c r="T31" s="94" t="str">
        <f>IFERROR(_xll.qlRateHelperEarliestDate(S31,Trigger),"--")</f>
        <v>--</v>
      </c>
      <c r="U31" s="94" t="str">
        <f>IFERROR(_xll.qlRateHelperPillarDate(S31,Trigger),"--")</f>
        <v>--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8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3" t="e">
        <v>#N/A</v>
      </c>
      <c r="AE31" s="76"/>
    </row>
    <row r="32" spans="1:39" ht="11.25" customHeight="1" x14ac:dyDescent="0.2">
      <c r="A32" s="58" t="s">
        <v>140</v>
      </c>
      <c r="B32" s="59" t="s">
        <v>68</v>
      </c>
      <c r="C32" s="60" t="s">
        <v>6</v>
      </c>
      <c r="D32" s="60" t="s">
        <v>8</v>
      </c>
      <c r="E32" s="60" t="s">
        <v>7</v>
      </c>
      <c r="F32" s="60" t="s">
        <v>111</v>
      </c>
      <c r="G32" s="60" t="str">
        <f t="shared" si="8"/>
        <v>Sekibor1M</v>
      </c>
      <c r="H32" s="58" t="str">
        <f t="shared" si="9"/>
        <v>SEKAB3S40Y_Quote</v>
      </c>
      <c r="I32" s="134" t="str">
        <f t="shared" si="10"/>
        <v>SEK1S3S40Y_Quote</v>
      </c>
      <c r="J32" s="184" t="str">
        <f>IF(P30,_xll.qlSwapRateHelper2(,H32,2,B32,Calendar,D32,E32,F32,G32,I32,C32,Discounting,PillarDate,,Permanent,Trigger,ObjectOverwrite),"--")</f>
        <v>--</v>
      </c>
      <c r="K32" s="48"/>
      <c r="L32" s="189" t="str">
        <f t="shared" si="5"/>
        <v>BasSw</v>
      </c>
      <c r="M32" s="190" t="str">
        <f t="shared" si="6"/>
        <v>SEKAB3S50Y_Quote</v>
      </c>
      <c r="N32" s="191" t="str">
        <f>IFERROR(_xll.qlQuoteValue(H34,Trigger),"--")</f>
        <v>--</v>
      </c>
      <c r="O32" s="191" t="str">
        <f>IFERROR(_xll.qlQuoteValue(I34,Trigger),"--")</f>
        <v>--</v>
      </c>
      <c r="P32" s="131" t="b">
        <v>0</v>
      </c>
      <c r="Q32" s="91">
        <v>50</v>
      </c>
      <c r="R32" s="91">
        <v>1</v>
      </c>
      <c r="S32" s="91" t="str">
        <f t="shared" si="7"/>
        <v>--</v>
      </c>
      <c r="T32" s="96" t="str">
        <f>IFERROR(_xll.qlRateHelperEarliestDate(S32,Trigger),"--")</f>
        <v>--</v>
      </c>
      <c r="U32" s="96" t="str">
        <f>IFERROR(_xll.qlRateHelperPillarDate(S32,Trigger),"--")</f>
        <v>--</v>
      </c>
      <c r="W32" s="5" t="str">
        <f t="shared" si="1"/>
        <v/>
      </c>
      <c r="X32" s="5" t="e">
        <v>#N/A</v>
      </c>
      <c r="Y32" s="5" t="str">
        <f>IFERROR(_xll.qlRateHelperQuoteName(X32,Trigger),"")</f>
        <v/>
      </c>
      <c r="Z32" s="75" t="str">
        <f>IFERROR(_xll.qlRateHelperRate(X32,Trigger),"")</f>
        <v/>
      </c>
      <c r="AA32" s="99" t="str">
        <f>IF(ISERROR(_xll.qlSwapRateHelperSpread($X32)),IF(ISERROR(_xll.qlFuturesRateHelperConvexityAdjustment($X32)),"",_xll.qlFuturesRateHelperConvexityAdjustment($X32)),_xll.qlSwapRateHelperSpread($X32))</f>
        <v/>
      </c>
      <c r="AB32" s="9" t="str">
        <f>IFERROR(_xll.qlRateHelperEarliestDate(X32,Trigger),"")</f>
        <v/>
      </c>
      <c r="AC32" s="9" t="str">
        <f>IFERROR(_xll.qlRateHelperPillarDate(X32,Trigger),"")</f>
        <v/>
      </c>
      <c r="AD32" s="74" t="e">
        <v>#N/A</v>
      </c>
      <c r="AE32" s="76"/>
    </row>
    <row r="33" spans="1:31" ht="11.25" customHeight="1" x14ac:dyDescent="0.2">
      <c r="A33" s="58" t="s">
        <v>140</v>
      </c>
      <c r="B33" s="59" t="s">
        <v>134</v>
      </c>
      <c r="C33" s="60" t="s">
        <v>6</v>
      </c>
      <c r="D33" s="60" t="s">
        <v>8</v>
      </c>
      <c r="E33" s="60" t="s">
        <v>7</v>
      </c>
      <c r="F33" s="60" t="s">
        <v>111</v>
      </c>
      <c r="G33" s="60" t="str">
        <f t="shared" si="8"/>
        <v>Sekibor1M</v>
      </c>
      <c r="H33" s="58" t="str">
        <f t="shared" si="9"/>
        <v>SEKAB3S45Y_Quote</v>
      </c>
      <c r="I33" s="134" t="str">
        <f t="shared" si="10"/>
        <v>SEK1S3S45Y_Quote</v>
      </c>
      <c r="J33" s="184" t="str">
        <f>IF(P31,_xll.qlSwapRateHelper2(,H33,2,B33,Calendar,D33,E33,F33,G33,I33,C33,Discounting,PillarDate,,Permanent,Trigger,ObjectOverwrite),"--")</f>
        <v>--</v>
      </c>
      <c r="K33" s="48"/>
      <c r="L33" s="150"/>
      <c r="Y33" s="194" t="str">
        <f>_xll.ohGroup("SEK1M_instruments",Y3:Y32,Permanent,Trigger,ObjectOverwrite)</f>
        <v>SEK1M_instruments#0003</v>
      </c>
      <c r="AE33" s="76"/>
    </row>
    <row r="34" spans="1:31" ht="11.25" customHeight="1" x14ac:dyDescent="0.2">
      <c r="A34" s="1" t="s">
        <v>140</v>
      </c>
      <c r="B34" s="7" t="s">
        <v>69</v>
      </c>
      <c r="C34" s="6" t="s">
        <v>6</v>
      </c>
      <c r="D34" s="6" t="s">
        <v>8</v>
      </c>
      <c r="E34" s="6" t="s">
        <v>7</v>
      </c>
      <c r="F34" s="6" t="s">
        <v>111</v>
      </c>
      <c r="G34" s="6" t="str">
        <f t="shared" si="8"/>
        <v>Sekibor1M</v>
      </c>
      <c r="H34" s="1" t="str">
        <f t="shared" si="9"/>
        <v>SEKAB3S50Y_Quote</v>
      </c>
      <c r="I34" s="135" t="str">
        <f t="shared" si="10"/>
        <v>SEK1S3S50Y_Quote</v>
      </c>
      <c r="J34" s="183" t="str">
        <f>IF(P32,_xll.qlSwapRateHelper2(,H34,2,B34,Calendar,D34,E34,F34,G34,I34,C34,Discounting,PillarDate,,Permanent,Trigger,ObjectOverwrite),"--")</f>
        <v>--</v>
      </c>
      <c r="K34" s="48"/>
      <c r="AE34" s="76"/>
    </row>
    <row r="35" spans="1:31" ht="11.25" customHeight="1" x14ac:dyDescent="0.2">
      <c r="K35" s="48"/>
    </row>
    <row r="36" spans="1:31" ht="11.25" customHeight="1" x14ac:dyDescent="0.2">
      <c r="K36" s="48"/>
    </row>
    <row r="37" spans="1:31" ht="11.25" customHeight="1" x14ac:dyDescent="0.2">
      <c r="K37" s="48"/>
    </row>
    <row r="38" spans="1:31" ht="11.25" customHeight="1" x14ac:dyDescent="0.2">
      <c r="K38" s="48"/>
    </row>
    <row r="39" spans="1:31" ht="11.25" customHeight="1" x14ac:dyDescent="0.2">
      <c r="K39" s="48"/>
    </row>
    <row r="40" spans="1:31" ht="11.25" customHeight="1" x14ac:dyDescent="0.2">
      <c r="K40" s="48"/>
    </row>
    <row r="41" spans="1:31" ht="11.25" customHeight="1" x14ac:dyDescent="0.2"/>
    <row r="42" spans="1:31" ht="11.25" customHeight="1" x14ac:dyDescent="0.2"/>
    <row r="43" spans="1:31" ht="11.25" customHeight="1" x14ac:dyDescent="0.2"/>
    <row r="44" spans="1:31" ht="11.25" customHeight="1" x14ac:dyDescent="0.2"/>
    <row r="45" spans="1:31" ht="11.25" customHeight="1" x14ac:dyDescent="0.2"/>
    <row r="46" spans="1:31" ht="11.25" customHeight="1" x14ac:dyDescent="0.2"/>
    <row r="47" spans="1:31" ht="11.25" customHeight="1" x14ac:dyDescent="0.2"/>
    <row r="48" spans="1:31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6" t="s">
        <v>37</v>
      </c>
    </row>
  </sheetData>
  <dataValidations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D10:D34">
      <formula1>"Annual,Semiannual,EveryFourthMonth,Quarterly,Bimonthly,Monthly,Biweekly,Weekly,Daily,Once,NoFrequency"</formula1>
    </dataValidation>
    <dataValidation type="list" allowBlank="1" showInputMessage="1" showErrorMessage="1" sqref="E3:E6 E10:E34">
      <formula1>"Following,Modified Following,Preceding,Modified Preceding,Unadjusted,Half-Month Modified Following"</formula1>
    </dataValidation>
    <dataValidation type="list" allowBlank="1" showInputMessage="1" showErrorMessage="1" sqref="F3:F6 F10:F3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3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SEKON</vt:lpstr>
      <vt:lpstr>SEK3M</vt:lpstr>
      <vt:lpstr>SEK6M</vt:lpstr>
      <vt:lpstr>SEK1M</vt:lpstr>
      <vt:lpstr>Calendar</vt:lpstr>
      <vt:lpstr>Currency</vt:lpstr>
      <vt:lpstr>Discounting</vt:lpstr>
      <vt:lpstr>Evaluationdate</vt:lpstr>
      <vt:lpstr>FamilyName</vt:lpstr>
      <vt:lpstr>SEK1M!IncludeFlag</vt:lpstr>
      <vt:lpstr>SEK3M!IncludeFlag</vt:lpstr>
      <vt:lpstr>SEK6M!IncludeFlag</vt:lpstr>
      <vt:lpstr>SEKON!IncludeFlag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SEK1M!MinDistance</vt:lpstr>
      <vt:lpstr>SEK3M!MinDistance</vt:lpstr>
      <vt:lpstr>SEK6M!MinDistance</vt:lpstr>
      <vt:lpstr>SEKON!MinDistance</vt:lpstr>
      <vt:lpstr>ObjectOverwrite</vt:lpstr>
      <vt:lpstr>Permanent</vt:lpstr>
      <vt:lpstr>PillarDate</vt:lpstr>
      <vt:lpstr>SEK1M!Priority</vt:lpstr>
      <vt:lpstr>SEK3M!Priority</vt:lpstr>
      <vt:lpstr>SEK6M!Priority</vt:lpstr>
      <vt:lpstr>SEKON!Priority</vt:lpstr>
      <vt:lpstr>QuoteSuffix</vt:lpstr>
      <vt:lpstr>SEK1M!RateHelpers</vt:lpstr>
      <vt:lpstr>SEK3M!RateHelpers</vt:lpstr>
      <vt:lpstr>SEK6M!RateHelpers</vt:lpstr>
      <vt:lpstr>SEKON!RateHelpers</vt:lpstr>
      <vt:lpstr>RateHelpers1M</vt:lpstr>
      <vt:lpstr>RateHelpers3M</vt:lpstr>
      <vt:lpstr>RateHelpers6M</vt:lpstr>
      <vt:lpstr>RateHelpersON</vt:lpstr>
      <vt:lpstr>Settlementdate</vt:lpstr>
      <vt:lpstr>SEK1M!Tenor</vt:lpstr>
      <vt:lpstr>SEK3M!Tenor</vt:lpstr>
      <vt:lpstr>SEK6M!Tenor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2016-07-08T16:23:55Z</dcterms:modified>
</cp:coreProperties>
</file>