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150" windowWidth="18945" windowHeight="1053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urrency">GeneralSettings!$D$3</definedName>
    <definedName name="CurveCalendar">GeneralSettings!$I$11</definedName>
    <definedName name="Discounting">GeneralSettings!$D$7</definedName>
    <definedName name="Evaluationdate">GeneralSettings!$I$3</definedName>
    <definedName name="FamilyName">GeneralSettings!$D$8</definedName>
    <definedName name="FirstLiborFixingDate">GeneralSettings!$I$5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USDON!$P$3:$P$59</definedName>
    <definedName name="JoinCalendar">GeneralSettings!$I$10</definedName>
    <definedName name="LiborCalendar">GeneralSettings!$I$8</definedName>
    <definedName name="LiborSettlementDate">GeneralSettings!$I$6</definedName>
    <definedName name="LocalCalendar">GeneralSettings!$I$9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USDON!$R$3:$R$59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USDON!$Q$3:$Q$59</definedName>
    <definedName name="QuoteSuffix">GeneralSettings!$D$9</definedName>
    <definedName name="RateHelpers" localSheetId="4">USD1M!$S$3:$S$55</definedName>
    <definedName name="RateHelpers" localSheetId="5">USD1Y!$S$3:$S$78</definedName>
    <definedName name="RateHelpers" localSheetId="2">USD3M!$S$3:$S$88</definedName>
    <definedName name="RateHelpers" localSheetId="3">USD6M!$S$3:$S$66</definedName>
    <definedName name="RateHelpers" localSheetId="1">USDON!$S$3:$S$59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USDON!$G$1</definedName>
    <definedName name="Trigger">GeneralSettings!$D$5</definedName>
    <definedName name="YieldCurve_1M">GeneralSettings!$I$31</definedName>
    <definedName name="YieldCurve_1Y">GeneralSettings!$D$47</definedName>
    <definedName name="YieldCurve_3M">GeneralSettings!$I$15</definedName>
    <definedName name="YieldCurve_6M">GeneralSettings!$D$31</definedName>
    <definedName name="YieldCurve_ON">GeneralSettings!$D$15</definedName>
    <definedName name="YieldCurve_STD">GeneralSettings!$I$47</definedName>
  </definedNames>
  <calcPr calcId="145621"/>
</workbook>
</file>

<file path=xl/calcChain.xml><?xml version="1.0" encoding="utf-8"?>
<calcChain xmlns="http://schemas.openxmlformats.org/spreadsheetml/2006/main">
  <c r="H20" i="17" l="1"/>
  <c r="H19" i="17"/>
  <c r="H18" i="17"/>
  <c r="H17" i="17"/>
  <c r="H16" i="17"/>
  <c r="H15" i="17"/>
  <c r="H14" i="17"/>
  <c r="H13" i="17"/>
  <c r="H12" i="17"/>
  <c r="H11" i="17"/>
  <c r="H10" i="17"/>
  <c r="J3" i="18" l="1"/>
  <c r="J3" i="17"/>
  <c r="J3" i="16"/>
  <c r="J3" i="15"/>
  <c r="J5" i="14"/>
  <c r="J4" i="14"/>
  <c r="H1" i="14"/>
  <c r="G3" i="18"/>
  <c r="G5" i="14"/>
  <c r="G3" i="17"/>
  <c r="G3" i="16"/>
  <c r="G3" i="15"/>
  <c r="G4" i="14"/>
  <c r="O78" i="18" l="1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1" i="18"/>
  <c r="S77" i="18" s="1"/>
  <c r="J79" i="18"/>
  <c r="S75" i="18" s="1"/>
  <c r="J75" i="18"/>
  <c r="S71" i="18" s="1"/>
  <c r="J74" i="18"/>
  <c r="S70" i="18" s="1"/>
  <c r="J73" i="18"/>
  <c r="S69" i="18" s="1"/>
  <c r="J72" i="18"/>
  <c r="S68" i="18" s="1"/>
  <c r="J70" i="18"/>
  <c r="S66" i="18" s="1"/>
  <c r="J69" i="18"/>
  <c r="S65" i="18" s="1"/>
  <c r="J68" i="18"/>
  <c r="S64" i="18" s="1"/>
  <c r="J67" i="18"/>
  <c r="S63" i="18" s="1"/>
  <c r="J65" i="18"/>
  <c r="S61" i="18" s="1"/>
  <c r="J64" i="18"/>
  <c r="S60" i="18" s="1"/>
  <c r="J63" i="18"/>
  <c r="S59" i="18" s="1"/>
  <c r="J62" i="18"/>
  <c r="S58" i="18" s="1"/>
  <c r="J47" i="18"/>
  <c r="S43" i="18" s="1"/>
  <c r="J44" i="18"/>
  <c r="S42" i="18" s="1"/>
  <c r="J43" i="18"/>
  <c r="S41" i="18" s="1"/>
  <c r="J42" i="18"/>
  <c r="S40" i="18" s="1"/>
  <c r="J41" i="18"/>
  <c r="S39" i="18" s="1"/>
  <c r="J40" i="18"/>
  <c r="S38" i="18" s="1"/>
  <c r="J39" i="18"/>
  <c r="S37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31" i="18"/>
  <c r="S29" i="18" s="1"/>
  <c r="J30" i="18"/>
  <c r="S28" i="18" s="1"/>
  <c r="J28" i="18"/>
  <c r="S26" i="18" s="1"/>
  <c r="J27" i="18"/>
  <c r="S25" i="18" s="1"/>
  <c r="J17" i="18"/>
  <c r="S17" i="18" s="1"/>
  <c r="J16" i="18"/>
  <c r="S16" i="18" s="1"/>
  <c r="J14" i="18"/>
  <c r="S14" i="18" s="1"/>
  <c r="J13" i="18"/>
  <c r="S13" i="18" s="1"/>
  <c r="J6" i="18"/>
  <c r="S6" i="18" s="1"/>
  <c r="J5" i="18"/>
  <c r="S5" i="18" s="1"/>
  <c r="O18" i="17"/>
  <c r="O17" i="17"/>
  <c r="O16" i="17"/>
  <c r="O15" i="17"/>
  <c r="O14" i="17"/>
  <c r="O13" i="17"/>
  <c r="O12" i="17"/>
  <c r="O11" i="17"/>
  <c r="O10" i="17"/>
  <c r="O9" i="17"/>
  <c r="O8" i="17"/>
  <c r="J59" i="17"/>
  <c r="S55" i="17" s="1"/>
  <c r="J56" i="17"/>
  <c r="S52" i="17" s="1"/>
  <c r="J54" i="17"/>
  <c r="S50" i="17" s="1"/>
  <c r="J53" i="17"/>
  <c r="S49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4" i="17"/>
  <c r="S20" i="17" s="1"/>
  <c r="J23" i="17"/>
  <c r="S19" i="17" s="1"/>
  <c r="J18" i="17"/>
  <c r="S16" i="17" s="1"/>
  <c r="J13" i="17"/>
  <c r="S11" i="17" s="1"/>
  <c r="J12" i="17"/>
  <c r="S10" i="17" s="1"/>
  <c r="J10" i="17"/>
  <c r="S8" i="17" s="1"/>
  <c r="J6" i="17"/>
  <c r="S6" i="17" s="1"/>
  <c r="J5" i="17"/>
  <c r="S5" i="17" s="1"/>
  <c r="S3" i="17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69" i="16"/>
  <c r="S65" i="16" s="1"/>
  <c r="J67" i="16"/>
  <c r="S63" i="16" s="1"/>
  <c r="J63" i="16"/>
  <c r="S59" i="16" s="1"/>
  <c r="J62" i="16"/>
  <c r="S58" i="16" s="1"/>
  <c r="J61" i="16"/>
  <c r="S57" i="16" s="1"/>
  <c r="J60" i="16"/>
  <c r="S56" i="16" s="1"/>
  <c r="J58" i="16"/>
  <c r="S54" i="16" s="1"/>
  <c r="J57" i="16"/>
  <c r="S53" i="16" s="1"/>
  <c r="J56" i="16"/>
  <c r="S52" i="16" s="1"/>
  <c r="J53" i="16"/>
  <c r="S49" i="16" s="1"/>
  <c r="J52" i="16"/>
  <c r="S48" i="16" s="1"/>
  <c r="J51" i="16"/>
  <c r="S47" i="16" s="1"/>
  <c r="J50" i="16"/>
  <c r="S46" i="16" s="1"/>
  <c r="J48" i="16"/>
  <c r="S44" i="16" s="1"/>
  <c r="J47" i="16"/>
  <c r="S43" i="16" s="1"/>
  <c r="J45" i="16"/>
  <c r="S41" i="16" s="1"/>
  <c r="J35" i="16"/>
  <c r="S31" i="16" s="1"/>
  <c r="J31" i="16"/>
  <c r="S29" i="16" s="1"/>
  <c r="J30" i="16"/>
  <c r="S28" i="16" s="1"/>
  <c r="J29" i="16"/>
  <c r="S27" i="16" s="1"/>
  <c r="J28" i="16"/>
  <c r="S26" i="16" s="1"/>
  <c r="J25" i="16"/>
  <c r="S23" i="16" s="1"/>
  <c r="J16" i="17"/>
  <c r="J19" i="17"/>
  <c r="J25" i="17"/>
  <c r="J15" i="17"/>
  <c r="S13" i="17" s="1"/>
  <c r="J55" i="16"/>
  <c r="S51" i="16" s="1"/>
  <c r="J32" i="16"/>
  <c r="S30" i="16" s="1"/>
  <c r="J4" i="18"/>
  <c r="G14" i="18"/>
  <c r="G17" i="18"/>
  <c r="G6" i="17"/>
  <c r="G5" i="18"/>
  <c r="G13" i="18"/>
  <c r="G10" i="18"/>
  <c r="G16" i="18"/>
  <c r="G15" i="18"/>
  <c r="G5" i="17"/>
  <c r="G6" i="18"/>
  <c r="G11" i="18"/>
  <c r="S4" i="18" l="1"/>
  <c r="S3" i="18"/>
  <c r="S14" i="17"/>
  <c r="S17" i="17"/>
  <c r="S21" i="17"/>
  <c r="J6" i="16"/>
  <c r="S6" i="16" s="1"/>
  <c r="J5" i="16"/>
  <c r="S5" i="16" s="1"/>
  <c r="S3" i="16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6" i="15"/>
  <c r="J95" i="15"/>
  <c r="J94" i="15"/>
  <c r="J93" i="15"/>
  <c r="J92" i="15"/>
  <c r="J91" i="15"/>
  <c r="J90" i="15"/>
  <c r="J87" i="15"/>
  <c r="J85" i="15"/>
  <c r="J83" i="15"/>
  <c r="J81" i="15"/>
  <c r="J80" i="15"/>
  <c r="J79" i="15"/>
  <c r="J78" i="15"/>
  <c r="J76" i="15"/>
  <c r="J75" i="15"/>
  <c r="J74" i="15"/>
  <c r="J73" i="15"/>
  <c r="J71" i="15"/>
  <c r="J70" i="15"/>
  <c r="J69" i="15"/>
  <c r="J68" i="15"/>
  <c r="J66" i="15"/>
  <c r="J65" i="15"/>
  <c r="J63" i="15"/>
  <c r="J54" i="15"/>
  <c r="J53" i="15"/>
  <c r="J52" i="15"/>
  <c r="J51" i="15"/>
  <c r="J50" i="15"/>
  <c r="J23" i="15"/>
  <c r="J22" i="15"/>
  <c r="J21" i="15"/>
  <c r="J20" i="15"/>
  <c r="J19" i="15"/>
  <c r="J17" i="15"/>
  <c r="J16" i="15"/>
  <c r="J15" i="15"/>
  <c r="J14" i="15"/>
  <c r="J13" i="15"/>
  <c r="J12" i="15"/>
  <c r="J6" i="15"/>
  <c r="J5" i="15"/>
  <c r="J60" i="14"/>
  <c r="S58" i="14" s="1"/>
  <c r="J58" i="14"/>
  <c r="S56" i="14" s="1"/>
  <c r="J56" i="14"/>
  <c r="S54" i="14" s="1"/>
  <c r="J45" i="14"/>
  <c r="S43" i="14" s="1"/>
  <c r="J44" i="14"/>
  <c r="S42" i="14" s="1"/>
  <c r="J43" i="14"/>
  <c r="S41" i="14" s="1"/>
  <c r="J41" i="14"/>
  <c r="S39" i="14" s="1"/>
  <c r="J40" i="14"/>
  <c r="S38" i="14" s="1"/>
  <c r="J39" i="14"/>
  <c r="S37" i="14" s="1"/>
  <c r="J37" i="14"/>
  <c r="S35" i="14" s="1"/>
  <c r="J36" i="14"/>
  <c r="S34" i="14" s="1"/>
  <c r="J35" i="14"/>
  <c r="S33" i="14" s="1"/>
  <c r="J33" i="14"/>
  <c r="S31" i="14" s="1"/>
  <c r="J32" i="14"/>
  <c r="S30" i="14" s="1"/>
  <c r="J30" i="14"/>
  <c r="S28" i="14" s="1"/>
  <c r="J29" i="14"/>
  <c r="S27" i="14" s="1"/>
  <c r="J27" i="14"/>
  <c r="S25" i="14" s="1"/>
  <c r="J26" i="14"/>
  <c r="S24" i="14" s="1"/>
  <c r="J24" i="14"/>
  <c r="S22" i="14" s="1"/>
  <c r="J23" i="14"/>
  <c r="S21" i="14" s="1"/>
  <c r="J10" i="14"/>
  <c r="S8" i="14" s="1"/>
  <c r="J9" i="14"/>
  <c r="S7" i="14" s="1"/>
  <c r="J8" i="14"/>
  <c r="S6" i="14" s="1"/>
  <c r="S5" i="14"/>
  <c r="J18" i="15"/>
  <c r="S4" i="14"/>
  <c r="J4" i="16"/>
  <c r="J4" i="15"/>
  <c r="G5" i="16"/>
  <c r="G11" i="16"/>
  <c r="G6" i="15"/>
  <c r="J61" i="14"/>
  <c r="G5" i="15"/>
  <c r="G10" i="16"/>
  <c r="G6" i="16"/>
  <c r="S4" i="16" l="1"/>
  <c r="S59" i="14"/>
  <c r="H87" i="15" l="1"/>
  <c r="N81" i="15"/>
  <c r="M81" i="15" l="1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W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W1" i="17"/>
  <c r="G7" i="17"/>
  <c r="G4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W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9" i="15"/>
  <c r="G8" i="15"/>
  <c r="G7" i="15"/>
  <c r="G4" i="15"/>
  <c r="W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1" i="15"/>
  <c r="H3" i="15" s="1"/>
  <c r="W1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3" i="14"/>
  <c r="N3" i="15"/>
  <c r="M3" i="15" l="1"/>
  <c r="D49" i="1"/>
  <c r="I33" i="1"/>
  <c r="D33" i="1"/>
  <c r="I17" i="1"/>
  <c r="D17" i="1"/>
  <c r="L56" i="14" l="1"/>
  <c r="L57" i="14"/>
  <c r="L58" i="14"/>
  <c r="L59" i="14"/>
  <c r="U58" i="14"/>
  <c r="T58" i="14"/>
  <c r="U56" i="14"/>
  <c r="T56" i="14"/>
  <c r="L76" i="18" l="1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L10" i="18"/>
  <c r="L9" i="18"/>
  <c r="L8" i="18"/>
  <c r="L7" i="18"/>
  <c r="L6" i="18"/>
  <c r="L5" i="18"/>
  <c r="L4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H8" i="16"/>
  <c r="O46" i="17"/>
  <c r="O33" i="17"/>
  <c r="N58" i="16"/>
  <c r="N24" i="18"/>
  <c r="N68" i="18"/>
  <c r="N27" i="16"/>
  <c r="N86" i="15"/>
  <c r="N51" i="17"/>
  <c r="J24" i="16"/>
  <c r="O21" i="17"/>
  <c r="O41" i="17"/>
  <c r="N61" i="18"/>
  <c r="N19" i="17"/>
  <c r="N37" i="16"/>
  <c r="N65" i="16"/>
  <c r="N53" i="16"/>
  <c r="N10" i="17"/>
  <c r="N35" i="16"/>
  <c r="N53" i="17"/>
  <c r="N37" i="18"/>
  <c r="J16" i="16"/>
  <c r="O28" i="17"/>
  <c r="J22" i="18"/>
  <c r="N27" i="18"/>
  <c r="N46" i="17"/>
  <c r="N24" i="17"/>
  <c r="N46" i="16"/>
  <c r="N20" i="17"/>
  <c r="N47" i="16"/>
  <c r="N17" i="16"/>
  <c r="N44" i="18"/>
  <c r="J19" i="16"/>
  <c r="N47" i="18"/>
  <c r="N69" i="18"/>
  <c r="N42" i="18"/>
  <c r="N36" i="18"/>
  <c r="N35" i="18"/>
  <c r="N76" i="18"/>
  <c r="N34" i="16"/>
  <c r="N54" i="16"/>
  <c r="N32" i="17"/>
  <c r="N55" i="16"/>
  <c r="J25" i="18"/>
  <c r="O52" i="17"/>
  <c r="J32" i="18"/>
  <c r="O34" i="17"/>
  <c r="N52" i="18"/>
  <c r="N43" i="17"/>
  <c r="O37" i="17"/>
  <c r="N23" i="17"/>
  <c r="N83" i="15"/>
  <c r="N57" i="16"/>
  <c r="J7" i="17"/>
  <c r="O48" i="17"/>
  <c r="N74" i="18"/>
  <c r="N21" i="18"/>
  <c r="N75" i="18"/>
  <c r="N33" i="16"/>
  <c r="N8" i="16"/>
  <c r="O35" i="17"/>
  <c r="O26" i="17"/>
  <c r="N48" i="18"/>
  <c r="N43" i="16"/>
  <c r="N21" i="17"/>
  <c r="N39" i="17"/>
  <c r="O53" i="17"/>
  <c r="N24" i="16"/>
  <c r="N15" i="16"/>
  <c r="O42" i="17"/>
  <c r="N9" i="17"/>
  <c r="N47" i="17"/>
  <c r="N34" i="18"/>
  <c r="N88" i="15"/>
  <c r="N58" i="18"/>
  <c r="N60" i="18"/>
  <c r="N7" i="17"/>
  <c r="J17" i="16"/>
  <c r="J24" i="18"/>
  <c r="N41" i="16"/>
  <c r="N34" i="17"/>
  <c r="J12" i="18"/>
  <c r="N54" i="17"/>
  <c r="N49" i="16"/>
  <c r="O49" i="17"/>
  <c r="J15" i="16"/>
  <c r="J26" i="18"/>
  <c r="N25" i="16"/>
  <c r="N38" i="17"/>
  <c r="N65" i="18"/>
  <c r="N78" i="18"/>
  <c r="N8" i="17"/>
  <c r="N40" i="16"/>
  <c r="N43" i="18"/>
  <c r="J23" i="16"/>
  <c r="N39" i="16"/>
  <c r="N85" i="15"/>
  <c r="N62" i="18"/>
  <c r="N63" i="16"/>
  <c r="N25" i="18"/>
  <c r="N32" i="18"/>
  <c r="N38" i="18"/>
  <c r="N31" i="16"/>
  <c r="N26" i="16"/>
  <c r="N33" i="18"/>
  <c r="N23" i="18"/>
  <c r="N59" i="18"/>
  <c r="O32" i="17"/>
  <c r="O40" i="17"/>
  <c r="N59" i="16"/>
  <c r="N77" i="18"/>
  <c r="O43" i="17"/>
  <c r="N66" i="16"/>
  <c r="N32" i="16"/>
  <c r="N25" i="17"/>
  <c r="N55" i="17"/>
  <c r="N66" i="18"/>
  <c r="N45" i="17"/>
  <c r="J8" i="16"/>
  <c r="N31" i="17"/>
  <c r="N71" i="18"/>
  <c r="N11" i="17"/>
  <c r="N44" i="16"/>
  <c r="N55" i="18"/>
  <c r="N45" i="16"/>
  <c r="J23" i="18"/>
  <c r="N42" i="17"/>
  <c r="O25" i="17"/>
  <c r="N40" i="17"/>
  <c r="N27" i="17"/>
  <c r="N28" i="17"/>
  <c r="O29" i="17"/>
  <c r="N51" i="18"/>
  <c r="N38" i="16"/>
  <c r="N26" i="18"/>
  <c r="J21" i="18"/>
  <c r="N30" i="18"/>
  <c r="N57" i="18"/>
  <c r="N21" i="16"/>
  <c r="N22" i="18"/>
  <c r="O27" i="17"/>
  <c r="N18" i="17"/>
  <c r="N44" i="17"/>
  <c r="N52" i="17"/>
  <c r="O19" i="17"/>
  <c r="N53" i="18"/>
  <c r="N29" i="18"/>
  <c r="N30" i="16"/>
  <c r="N14" i="17"/>
  <c r="N61" i="16"/>
  <c r="N50" i="18"/>
  <c r="O20" i="17"/>
  <c r="N48" i="16"/>
  <c r="N39" i="18"/>
  <c r="N30" i="17"/>
  <c r="N72" i="18"/>
  <c r="N20" i="18"/>
  <c r="N16" i="16"/>
  <c r="J18" i="16"/>
  <c r="N18" i="16"/>
  <c r="O23" i="17"/>
  <c r="N42" i="16"/>
  <c r="N29" i="17"/>
  <c r="N20" i="16"/>
  <c r="N50" i="16"/>
  <c r="O24" i="17"/>
  <c r="N45" i="18"/>
  <c r="N50" i="17"/>
  <c r="N33" i="17"/>
  <c r="N63" i="18"/>
  <c r="N29" i="16"/>
  <c r="N56" i="18"/>
  <c r="N48" i="17"/>
  <c r="N19" i="18"/>
  <c r="N31" i="18"/>
  <c r="N82" i="15"/>
  <c r="N37" i="17"/>
  <c r="N22" i="17"/>
  <c r="N87" i="15"/>
  <c r="N36" i="16"/>
  <c r="N16" i="17"/>
  <c r="N56" i="16"/>
  <c r="O54" i="17"/>
  <c r="N14" i="16"/>
  <c r="N12" i="18"/>
  <c r="N22" i="16"/>
  <c r="N28" i="16"/>
  <c r="N64" i="18"/>
  <c r="N62" i="16"/>
  <c r="N40" i="18"/>
  <c r="N13" i="17"/>
  <c r="N26" i="17"/>
  <c r="N60" i="16"/>
  <c r="N15" i="17"/>
  <c r="O22" i="17"/>
  <c r="O30" i="17"/>
  <c r="O39" i="17"/>
  <c r="N17" i="17"/>
  <c r="N49" i="17"/>
  <c r="N70" i="18"/>
  <c r="N13" i="16"/>
  <c r="N36" i="17"/>
  <c r="O45" i="17"/>
  <c r="O38" i="17"/>
  <c r="O31" i="17"/>
  <c r="O50" i="17"/>
  <c r="N73" i="18"/>
  <c r="N46" i="18"/>
  <c r="N41" i="18"/>
  <c r="J26" i="16"/>
  <c r="N12" i="17"/>
  <c r="O44" i="17"/>
  <c r="J20" i="16"/>
  <c r="N49" i="18"/>
  <c r="O47" i="17"/>
  <c r="O51" i="17"/>
  <c r="N23" i="16"/>
  <c r="N41" i="17"/>
  <c r="O55" i="17"/>
  <c r="N51" i="16"/>
  <c r="N19" i="16"/>
  <c r="N64" i="16"/>
  <c r="N28" i="18"/>
  <c r="N35" i="17"/>
  <c r="J29" i="18"/>
  <c r="N67" i="18"/>
  <c r="O36" i="17"/>
  <c r="N54" i="18"/>
  <c r="N52" i="16"/>
  <c r="N84" i="15"/>
  <c r="S15" i="16" l="1"/>
  <c r="S20" i="18"/>
  <c r="S22" i="18"/>
  <c r="S17" i="16"/>
  <c r="S27" i="18"/>
  <c r="S30" i="18"/>
  <c r="S7" i="17"/>
  <c r="S24" i="16"/>
  <c r="S19" i="18"/>
  <c r="S16" i="16"/>
  <c r="S21" i="18"/>
  <c r="S18" i="16"/>
  <c r="S8" i="16"/>
  <c r="S21" i="16"/>
  <c r="S13" i="16"/>
  <c r="S24" i="18"/>
  <c r="S14" i="16"/>
  <c r="S22" i="16"/>
  <c r="S12" i="18"/>
  <c r="S23" i="18"/>
  <c r="M50" i="16"/>
  <c r="M11" i="17"/>
  <c r="M15" i="16"/>
  <c r="M82" i="15"/>
  <c r="M29" i="16"/>
  <c r="M31" i="16"/>
  <c r="M59" i="16"/>
  <c r="M51" i="16"/>
  <c r="M43" i="16"/>
  <c r="M35" i="16"/>
  <c r="M10" i="17"/>
  <c r="M18" i="17"/>
  <c r="M49" i="17"/>
  <c r="M41" i="17"/>
  <c r="M33" i="17"/>
  <c r="M25" i="17"/>
  <c r="M20" i="18"/>
  <c r="M50" i="18"/>
  <c r="M58" i="18"/>
  <c r="M66" i="18"/>
  <c r="M74" i="18"/>
  <c r="M34" i="18"/>
  <c r="M22" i="18"/>
  <c r="M32" i="18"/>
  <c r="M40" i="17"/>
  <c r="M83" i="15"/>
  <c r="M48" i="17"/>
  <c r="M67" i="18"/>
  <c r="M17" i="16"/>
  <c r="M12" i="17"/>
  <c r="M76" i="18"/>
  <c r="M46" i="17"/>
  <c r="M69" i="18"/>
  <c r="M29" i="18"/>
  <c r="M58" i="16"/>
  <c r="M75" i="18"/>
  <c r="M57" i="16"/>
  <c r="M55" i="17"/>
  <c r="M23" i="17"/>
  <c r="M68" i="18"/>
  <c r="M26" i="16"/>
  <c r="M54" i="17"/>
  <c r="M22" i="17"/>
  <c r="M45" i="18"/>
  <c r="M27" i="18"/>
  <c r="M86" i="15"/>
  <c r="M55" i="16"/>
  <c r="M39" i="16"/>
  <c r="M45" i="17"/>
  <c r="M21" i="17"/>
  <c r="M54" i="18"/>
  <c r="M70" i="18"/>
  <c r="M78" i="18"/>
  <c r="M26" i="18"/>
  <c r="M41" i="18"/>
  <c r="M28" i="16"/>
  <c r="M34" i="16"/>
  <c r="M24" i="17"/>
  <c r="M51" i="18"/>
  <c r="M33" i="18"/>
  <c r="M65" i="16"/>
  <c r="M41" i="16"/>
  <c r="M47" i="17"/>
  <c r="M60" i="18"/>
  <c r="M30" i="18"/>
  <c r="M85" i="15"/>
  <c r="M56" i="16"/>
  <c r="M48" i="16"/>
  <c r="M40" i="16"/>
  <c r="M32" i="16"/>
  <c r="M13" i="17"/>
  <c r="M38" i="17"/>
  <c r="M30" i="17"/>
  <c r="M53" i="18"/>
  <c r="M61" i="18"/>
  <c r="M77" i="18"/>
  <c r="M38" i="18"/>
  <c r="M19" i="16"/>
  <c r="M25" i="16"/>
  <c r="M63" i="16"/>
  <c r="M47" i="16"/>
  <c r="M7" i="17"/>
  <c r="M14" i="17"/>
  <c r="M53" i="17"/>
  <c r="M37" i="17"/>
  <c r="M29" i="17"/>
  <c r="M46" i="18"/>
  <c r="M62" i="18"/>
  <c r="M20" i="16"/>
  <c r="M87" i="15"/>
  <c r="M24" i="16"/>
  <c r="M62" i="16"/>
  <c r="M54" i="16"/>
  <c r="M46" i="16"/>
  <c r="M38" i="16"/>
  <c r="M15" i="17"/>
  <c r="M52" i="17"/>
  <c r="M44" i="17"/>
  <c r="M36" i="17"/>
  <c r="M28" i="17"/>
  <c r="M20" i="17"/>
  <c r="M47" i="18"/>
  <c r="M55" i="18"/>
  <c r="M63" i="18"/>
  <c r="M71" i="18"/>
  <c r="M19" i="18"/>
  <c r="M25" i="18"/>
  <c r="M42" i="18"/>
  <c r="M16" i="16"/>
  <c r="M42" i="16"/>
  <c r="M19" i="17"/>
  <c r="M43" i="18"/>
  <c r="M21" i="18"/>
  <c r="M27" i="16"/>
  <c r="M33" i="16"/>
  <c r="M39" i="17"/>
  <c r="M52" i="18"/>
  <c r="M37" i="18"/>
  <c r="M18" i="16"/>
  <c r="M8" i="16"/>
  <c r="M21" i="16"/>
  <c r="M23" i="16"/>
  <c r="M45" i="16"/>
  <c r="M8" i="17"/>
  <c r="M51" i="17"/>
  <c r="M35" i="17"/>
  <c r="M48" i="18"/>
  <c r="M64" i="18"/>
  <c r="M72" i="18"/>
  <c r="M36" i="18"/>
  <c r="M40" i="18"/>
  <c r="M66" i="16"/>
  <c r="M32" i="17"/>
  <c r="M59" i="18"/>
  <c r="M31" i="18"/>
  <c r="M84" i="15"/>
  <c r="M49" i="16"/>
  <c r="M31" i="17"/>
  <c r="M44" i="18"/>
  <c r="M28" i="18"/>
  <c r="M64" i="16"/>
  <c r="M13" i="16"/>
  <c r="M88" i="15"/>
  <c r="M61" i="16"/>
  <c r="M53" i="16"/>
  <c r="M37" i="16"/>
  <c r="M16" i="17"/>
  <c r="M43" i="17"/>
  <c r="M27" i="17"/>
  <c r="M56" i="18"/>
  <c r="M24" i="18"/>
  <c r="M14" i="16"/>
  <c r="M22" i="16"/>
  <c r="M30" i="16"/>
  <c r="M60" i="16"/>
  <c r="M52" i="16"/>
  <c r="M44" i="16"/>
  <c r="M36" i="16"/>
  <c r="M9" i="17"/>
  <c r="M17" i="17"/>
  <c r="M50" i="17"/>
  <c r="M42" i="17"/>
  <c r="M34" i="17"/>
  <c r="M26" i="17"/>
  <c r="M12" i="18"/>
  <c r="M49" i="18"/>
  <c r="M57" i="18"/>
  <c r="M65" i="18"/>
  <c r="M73" i="18"/>
  <c r="M35" i="18"/>
  <c r="M23" i="18"/>
  <c r="M39" i="18"/>
  <c r="H17" i="18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H6" i="17"/>
  <c r="H3" i="17"/>
  <c r="H4" i="17"/>
  <c r="H5" i="17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L3" i="15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6" i="14"/>
  <c r="L4" i="14"/>
  <c r="L5" i="14"/>
  <c r="L3" i="14"/>
  <c r="H5" i="14"/>
  <c r="H4" i="14"/>
  <c r="H3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J51" i="14"/>
  <c r="J20" i="14"/>
  <c r="N38" i="14"/>
  <c r="J13" i="14"/>
  <c r="N13" i="18"/>
  <c r="N35" i="14"/>
  <c r="N12" i="14"/>
  <c r="N80" i="15"/>
  <c r="N56" i="15"/>
  <c r="N67" i="15"/>
  <c r="N12" i="15"/>
  <c r="J15" i="14"/>
  <c r="N5" i="16"/>
  <c r="N61" i="15"/>
  <c r="J50" i="14"/>
  <c r="J46" i="14"/>
  <c r="N69" i="15"/>
  <c r="N37" i="14"/>
  <c r="N24" i="14"/>
  <c r="N5" i="14"/>
  <c r="N32" i="14"/>
  <c r="N74" i="15"/>
  <c r="J52" i="14"/>
  <c r="J9" i="18"/>
  <c r="J22" i="14"/>
  <c r="N17" i="14"/>
  <c r="N66" i="15"/>
  <c r="N57" i="14"/>
  <c r="N13" i="15"/>
  <c r="N6" i="16"/>
  <c r="N72" i="15"/>
  <c r="N8" i="18"/>
  <c r="N51" i="14"/>
  <c r="N3" i="17"/>
  <c r="N34" i="14"/>
  <c r="N15" i="15"/>
  <c r="J31" i="14"/>
  <c r="N12" i="16"/>
  <c r="J28" i="14"/>
  <c r="N9" i="14"/>
  <c r="J49" i="14"/>
  <c r="N58" i="15"/>
  <c r="N17" i="18"/>
  <c r="J12" i="14"/>
  <c r="N56" i="14"/>
  <c r="N51" i="15"/>
  <c r="J9" i="15"/>
  <c r="N18" i="14"/>
  <c r="N48" i="15"/>
  <c r="N10" i="14"/>
  <c r="N39" i="14"/>
  <c r="N4" i="15"/>
  <c r="J11" i="16"/>
  <c r="N54" i="15"/>
  <c r="N54" i="14"/>
  <c r="N47" i="14"/>
  <c r="J11" i="18"/>
  <c r="N75" i="15"/>
  <c r="N71" i="15"/>
  <c r="J10" i="16"/>
  <c r="N11" i="15"/>
  <c r="N11" i="16"/>
  <c r="N3" i="16"/>
  <c r="N16" i="15"/>
  <c r="N10" i="15"/>
  <c r="N65" i="15"/>
  <c r="N48" i="14"/>
  <c r="J21" i="14"/>
  <c r="J4" i="17"/>
  <c r="J53" i="14"/>
  <c r="J10" i="18"/>
  <c r="J19" i="14"/>
  <c r="N4" i="17"/>
  <c r="N62" i="15"/>
  <c r="N10" i="16"/>
  <c r="J18" i="14"/>
  <c r="N31" i="14"/>
  <c r="J17" i="14"/>
  <c r="N60" i="15"/>
  <c r="N50" i="15"/>
  <c r="J57" i="14"/>
  <c r="N20" i="14"/>
  <c r="N76" i="15"/>
  <c r="J25" i="14"/>
  <c r="J8" i="18"/>
  <c r="N4" i="16"/>
  <c r="N9" i="15"/>
  <c r="N3" i="18"/>
  <c r="N59" i="15"/>
  <c r="J15" i="18"/>
  <c r="J11" i="14"/>
  <c r="N19" i="15"/>
  <c r="N44" i="14"/>
  <c r="N55" i="14"/>
  <c r="N21" i="15"/>
  <c r="N7" i="14"/>
  <c r="J55" i="14"/>
  <c r="N16" i="14"/>
  <c r="N17" i="15"/>
  <c r="N52" i="14"/>
  <c r="N20" i="15"/>
  <c r="N46" i="14"/>
  <c r="J38" i="14"/>
  <c r="N5" i="18"/>
  <c r="J34" i="14"/>
  <c r="N6" i="18"/>
  <c r="J54" i="14"/>
  <c r="N68" i="15"/>
  <c r="N4" i="14"/>
  <c r="N14" i="15"/>
  <c r="N26" i="14"/>
  <c r="N22" i="14"/>
  <c r="J42" i="14"/>
  <c r="N55" i="15"/>
  <c r="N5" i="17"/>
  <c r="N7" i="18"/>
  <c r="N7" i="16"/>
  <c r="N53" i="14"/>
  <c r="J16" i="14"/>
  <c r="N3" i="14"/>
  <c r="N42" i="14"/>
  <c r="N19" i="14"/>
  <c r="N18" i="18"/>
  <c r="N28" i="14"/>
  <c r="N11" i="18"/>
  <c r="N46" i="15"/>
  <c r="N6" i="17"/>
  <c r="N57" i="15"/>
  <c r="N21" i="14"/>
  <c r="N13" i="14"/>
  <c r="N53" i="15"/>
  <c r="J3" i="14"/>
  <c r="N43" i="14"/>
  <c r="N45" i="15"/>
  <c r="J18" i="18"/>
  <c r="N47" i="15"/>
  <c r="N14" i="14"/>
  <c r="N14" i="18"/>
  <c r="N4" i="18"/>
  <c r="N49" i="14"/>
  <c r="N9" i="18"/>
  <c r="N50" i="14"/>
  <c r="N10" i="18"/>
  <c r="N30" i="14"/>
  <c r="N79" i="15"/>
  <c r="J9" i="16"/>
  <c r="N40" i="14"/>
  <c r="N18" i="15"/>
  <c r="N15" i="14"/>
  <c r="N6" i="14"/>
  <c r="N77" i="15"/>
  <c r="N27" i="14"/>
  <c r="J12" i="16"/>
  <c r="N8" i="14"/>
  <c r="N58" i="14"/>
  <c r="N23" i="14"/>
  <c r="N78" i="15"/>
  <c r="N73" i="15"/>
  <c r="N52" i="15"/>
  <c r="N49" i="15"/>
  <c r="N36" i="14"/>
  <c r="N9" i="16"/>
  <c r="N16" i="18"/>
  <c r="N33" i="14"/>
  <c r="J7" i="16"/>
  <c r="N15" i="18"/>
  <c r="N29" i="14"/>
  <c r="N70" i="15"/>
  <c r="N44" i="15"/>
  <c r="J47" i="14"/>
  <c r="J14" i="14"/>
  <c r="N11" i="14"/>
  <c r="N41" i="14"/>
  <c r="N63" i="15"/>
  <c r="J48" i="14"/>
  <c r="J59" i="14"/>
  <c r="N64" i="15"/>
  <c r="N25" i="14"/>
  <c r="N45" i="14"/>
  <c r="J7" i="18"/>
  <c r="N59" i="14"/>
  <c r="S17" i="14" l="1"/>
  <c r="S57" i="14"/>
  <c r="S50" i="14"/>
  <c r="S51" i="14"/>
  <c r="S10" i="18"/>
  <c r="S18" i="14"/>
  <c r="S52" i="14"/>
  <c r="S15" i="18"/>
  <c r="S11" i="14"/>
  <c r="S11" i="18"/>
  <c r="S10" i="16"/>
  <c r="S3" i="14"/>
  <c r="S13" i="14"/>
  <c r="S45" i="14"/>
  <c r="S14" i="14"/>
  <c r="S18" i="18"/>
  <c r="S26" i="14"/>
  <c r="S20" i="14"/>
  <c r="S36" i="14"/>
  <c r="S8" i="18"/>
  <c r="S46" i="14"/>
  <c r="S15" i="14"/>
  <c r="S47" i="14"/>
  <c r="S4" i="17"/>
  <c r="S9" i="14"/>
  <c r="S49" i="14"/>
  <c r="S9" i="16"/>
  <c r="S10" i="14"/>
  <c r="S7" i="18"/>
  <c r="S19" i="14"/>
  <c r="S12" i="14"/>
  <c r="S44" i="14"/>
  <c r="S12" i="16"/>
  <c r="S29" i="14"/>
  <c r="S53" i="14"/>
  <c r="S11" i="16"/>
  <c r="S23" i="14"/>
  <c r="S55" i="14"/>
  <c r="S7" i="16"/>
  <c r="S9" i="18"/>
  <c r="S16" i="14"/>
  <c r="S32" i="14"/>
  <c r="S40" i="14"/>
  <c r="S48" i="14"/>
  <c r="M50" i="15"/>
  <c r="M6" i="18"/>
  <c r="M59" i="15"/>
  <c r="M58" i="15"/>
  <c r="M4" i="16"/>
  <c r="M76" i="15"/>
  <c r="M10" i="18"/>
  <c r="M14" i="18"/>
  <c r="M12" i="15"/>
  <c r="M67" i="15"/>
  <c r="M15" i="18"/>
  <c r="M20" i="15"/>
  <c r="M13" i="15"/>
  <c r="M44" i="15"/>
  <c r="M70" i="15"/>
  <c r="M74" i="15"/>
  <c r="M6" i="17"/>
  <c r="M21" i="15"/>
  <c r="M11" i="18"/>
  <c r="M14" i="15"/>
  <c r="M52" i="15"/>
  <c r="M10" i="16"/>
  <c r="M53" i="15"/>
  <c r="M77" i="15"/>
  <c r="M9" i="15"/>
  <c r="M54" i="15"/>
  <c r="M78" i="15"/>
  <c r="M4" i="18"/>
  <c r="M4" i="15"/>
  <c r="M17" i="15"/>
  <c r="M47" i="15"/>
  <c r="M55" i="15"/>
  <c r="M63" i="15"/>
  <c r="M71" i="15"/>
  <c r="M79" i="15"/>
  <c r="M6" i="16"/>
  <c r="M5" i="17"/>
  <c r="M3" i="18"/>
  <c r="M18" i="18"/>
  <c r="M66" i="15"/>
  <c r="M75" i="15"/>
  <c r="M60" i="15"/>
  <c r="M15" i="15"/>
  <c r="M69" i="15"/>
  <c r="M8" i="18"/>
  <c r="M46" i="15"/>
  <c r="M5" i="16"/>
  <c r="M10" i="15"/>
  <c r="M56" i="15"/>
  <c r="M72" i="15"/>
  <c r="M4" i="17"/>
  <c r="M13" i="18"/>
  <c r="M9" i="16"/>
  <c r="M51" i="15"/>
  <c r="M7" i="18"/>
  <c r="M68" i="15"/>
  <c r="M45" i="15"/>
  <c r="M61" i="15"/>
  <c r="M12" i="16"/>
  <c r="M16" i="15"/>
  <c r="M62" i="15"/>
  <c r="M11" i="16"/>
  <c r="M16" i="18"/>
  <c r="M18" i="15"/>
  <c r="M48" i="15"/>
  <c r="M64" i="15"/>
  <c r="M80" i="15"/>
  <c r="M7" i="16"/>
  <c r="M9" i="18"/>
  <c r="M11" i="15"/>
  <c r="M19" i="15"/>
  <c r="M49" i="15"/>
  <c r="M57" i="15"/>
  <c r="M65" i="15"/>
  <c r="M73" i="15"/>
  <c r="M3" i="16"/>
  <c r="M3" i="17"/>
  <c r="M5" i="18"/>
  <c r="M17" i="18"/>
  <c r="M13" i="14"/>
  <c r="M12" i="14"/>
  <c r="M36" i="14"/>
  <c r="M3" i="14"/>
  <c r="M21" i="14"/>
  <c r="M45" i="14"/>
  <c r="M6" i="14"/>
  <c r="M30" i="14"/>
  <c r="M54" i="14"/>
  <c r="M23" i="14"/>
  <c r="M20" i="14"/>
  <c r="M44" i="14"/>
  <c r="M29" i="14"/>
  <c r="M53" i="14"/>
  <c r="M14" i="14"/>
  <c r="M46" i="14"/>
  <c r="M15" i="14"/>
  <c r="M28" i="14"/>
  <c r="M52" i="14"/>
  <c r="M37" i="14"/>
  <c r="M4" i="14"/>
  <c r="M22" i="14"/>
  <c r="M38" i="14"/>
  <c r="M5" i="14"/>
  <c r="M7" i="14"/>
  <c r="M31" i="14"/>
  <c r="M39" i="14"/>
  <c r="M47" i="14"/>
  <c r="M55" i="14"/>
  <c r="M8" i="14"/>
  <c r="M16" i="14"/>
  <c r="M24" i="14"/>
  <c r="M32" i="14"/>
  <c r="M40" i="14"/>
  <c r="M48" i="14"/>
  <c r="M56" i="14"/>
  <c r="M9" i="14"/>
  <c r="M17" i="14"/>
  <c r="M25" i="14"/>
  <c r="M33" i="14"/>
  <c r="M41" i="14"/>
  <c r="M49" i="14"/>
  <c r="M57" i="14"/>
  <c r="M10" i="14"/>
  <c r="M18" i="14"/>
  <c r="M26" i="14"/>
  <c r="M34" i="14"/>
  <c r="M42" i="14"/>
  <c r="M50" i="14"/>
  <c r="M58" i="14"/>
  <c r="M11" i="14"/>
  <c r="M19" i="14"/>
  <c r="M27" i="14"/>
  <c r="M35" i="14"/>
  <c r="M43" i="14"/>
  <c r="M51" i="14"/>
  <c r="M59" i="14"/>
  <c r="S4" i="15"/>
  <c r="S10" i="15"/>
  <c r="S17" i="15"/>
  <c r="S15" i="15"/>
  <c r="S14" i="15"/>
  <c r="S13" i="15"/>
  <c r="S20" i="15"/>
  <c r="S12" i="15"/>
  <c r="S18" i="15"/>
  <c r="S16" i="15"/>
  <c r="S21" i="15"/>
  <c r="S19" i="15"/>
  <c r="S11" i="15"/>
  <c r="S44" i="15"/>
  <c r="S45" i="15"/>
  <c r="S46" i="15"/>
  <c r="S47" i="15"/>
  <c r="S48" i="15"/>
  <c r="S57" i="15"/>
  <c r="S75" i="15"/>
  <c r="S59" i="15"/>
  <c r="S74" i="15"/>
  <c r="S73" i="15"/>
  <c r="S65" i="15"/>
  <c r="S72" i="15"/>
  <c r="S64" i="15"/>
  <c r="S79" i="15"/>
  <c r="S63" i="15"/>
  <c r="S70" i="15"/>
  <c r="S62" i="15"/>
  <c r="S77" i="15"/>
  <c r="S69" i="15"/>
  <c r="S68" i="15"/>
  <c r="S60" i="15"/>
  <c r="S67" i="15"/>
  <c r="S84" i="15"/>
  <c r="S86" i="15"/>
  <c r="S87" i="15"/>
  <c r="S83" i="15"/>
  <c r="S85" i="15"/>
  <c r="S88" i="15"/>
  <c r="H8" i="15"/>
  <c r="H7" i="15"/>
  <c r="H5" i="15"/>
  <c r="H6" i="15"/>
  <c r="I10" i="1"/>
  <c r="U44" i="15"/>
  <c r="T4" i="15"/>
  <c r="T28" i="14"/>
  <c r="T67" i="15"/>
  <c r="T77" i="18"/>
  <c r="U34" i="14"/>
  <c r="T73" i="15"/>
  <c r="T3" i="16"/>
  <c r="U38" i="14"/>
  <c r="U65" i="18"/>
  <c r="T54" i="16"/>
  <c r="U11" i="15"/>
  <c r="U64" i="15"/>
  <c r="T49" i="17"/>
  <c r="T41" i="18"/>
  <c r="U74" i="15"/>
  <c r="T51" i="16"/>
  <c r="U35" i="14"/>
  <c r="T46" i="15"/>
  <c r="U88" i="15"/>
  <c r="U14" i="15"/>
  <c r="U3" i="17"/>
  <c r="U61" i="18"/>
  <c r="U4" i="18"/>
  <c r="T87" i="15"/>
  <c r="U21" i="14"/>
  <c r="T64" i="15"/>
  <c r="T47" i="17"/>
  <c r="U59" i="15"/>
  <c r="T6" i="18"/>
  <c r="T43" i="18"/>
  <c r="T75" i="18"/>
  <c r="T86" i="15"/>
  <c r="T28" i="18"/>
  <c r="T29" i="18"/>
  <c r="U49" i="16"/>
  <c r="U43" i="18"/>
  <c r="N8" i="15"/>
  <c r="U21" i="15"/>
  <c r="U5" i="18"/>
  <c r="U23" i="16"/>
  <c r="U69" i="18"/>
  <c r="U47" i="17"/>
  <c r="T31" i="18"/>
  <c r="T61" i="18"/>
  <c r="U46" i="15"/>
  <c r="T49" i="16"/>
  <c r="T57" i="16"/>
  <c r="T14" i="15"/>
  <c r="T63" i="18"/>
  <c r="U72" i="15"/>
  <c r="U63" i="15"/>
  <c r="U21" i="17"/>
  <c r="U27" i="16"/>
  <c r="U52" i="17"/>
  <c r="T13" i="15"/>
  <c r="U83" i="15"/>
  <c r="T48" i="17"/>
  <c r="T17" i="15"/>
  <c r="T44" i="16"/>
  <c r="T84" i="15"/>
  <c r="U86" i="15"/>
  <c r="J22" i="16"/>
  <c r="U15" i="15"/>
  <c r="T88" i="15"/>
  <c r="T19" i="15"/>
  <c r="T60" i="15"/>
  <c r="U16" i="18"/>
  <c r="T47" i="15"/>
  <c r="U5" i="17"/>
  <c r="U5" i="16"/>
  <c r="T65" i="18"/>
  <c r="U59" i="16"/>
  <c r="U57" i="15"/>
  <c r="U59" i="18"/>
  <c r="T59" i="18"/>
  <c r="T28" i="16"/>
  <c r="J8" i="15"/>
  <c r="U31" i="14"/>
  <c r="T8" i="17"/>
  <c r="T27" i="14"/>
  <c r="T4" i="16"/>
  <c r="U26" i="16"/>
  <c r="T35" i="14"/>
  <c r="T25" i="14"/>
  <c r="U28" i="14"/>
  <c r="U8" i="17"/>
  <c r="T16" i="15"/>
  <c r="T31" i="14"/>
  <c r="T62" i="15"/>
  <c r="U75" i="18"/>
  <c r="U13" i="18"/>
  <c r="T59" i="16"/>
  <c r="T3" i="17"/>
  <c r="U70" i="15"/>
  <c r="U16" i="15"/>
  <c r="U17" i="15"/>
  <c r="U3" i="16"/>
  <c r="T75" i="15"/>
  <c r="U20" i="15"/>
  <c r="J7" i="15"/>
  <c r="U14" i="18"/>
  <c r="U27" i="14"/>
  <c r="T85" i="15"/>
  <c r="T64" i="18"/>
  <c r="T31" i="16"/>
  <c r="T21" i="14"/>
  <c r="T74" i="15"/>
  <c r="U6" i="18"/>
  <c r="T29" i="16"/>
  <c r="T30" i="14"/>
  <c r="U58" i="18"/>
  <c r="J21" i="16"/>
  <c r="T68" i="15"/>
  <c r="T60" i="18"/>
  <c r="U28" i="18"/>
  <c r="U12" i="15"/>
  <c r="T77" i="15"/>
  <c r="T13" i="18"/>
  <c r="T34" i="14"/>
  <c r="U60" i="15"/>
  <c r="U24" i="14"/>
  <c r="J27" i="16"/>
  <c r="U18" i="15"/>
  <c r="T47" i="16"/>
  <c r="U10" i="15"/>
  <c r="T83" i="15"/>
  <c r="T6" i="16"/>
  <c r="T24" i="14"/>
  <c r="T72" i="15"/>
  <c r="U56" i="16"/>
  <c r="T16" i="18"/>
  <c r="T58" i="18"/>
  <c r="T27" i="16"/>
  <c r="T65" i="15"/>
  <c r="T14" i="18"/>
  <c r="T6" i="17"/>
  <c r="U73" i="15"/>
  <c r="U48" i="17"/>
  <c r="T21" i="17"/>
  <c r="U79" i="15"/>
  <c r="U4" i="15"/>
  <c r="U67" i="15"/>
  <c r="T71" i="18"/>
  <c r="T22" i="14"/>
  <c r="T17" i="18"/>
  <c r="U31" i="18"/>
  <c r="U22" i="14"/>
  <c r="U46" i="16"/>
  <c r="U3" i="18"/>
  <c r="U28" i="16"/>
  <c r="T25" i="18"/>
  <c r="T69" i="18"/>
  <c r="U6" i="16"/>
  <c r="U68" i="18"/>
  <c r="U25" i="18"/>
  <c r="T18" i="15"/>
  <c r="T3" i="18"/>
  <c r="U69" i="15"/>
  <c r="U39" i="14"/>
  <c r="U70" i="18"/>
  <c r="T11" i="15"/>
  <c r="U63" i="18"/>
  <c r="T66" i="18"/>
  <c r="N5" i="15"/>
  <c r="U62" i="15"/>
  <c r="T59" i="15"/>
  <c r="T68" i="18"/>
  <c r="T20" i="17"/>
  <c r="T5" i="17"/>
  <c r="U29" i="18"/>
  <c r="T79" i="15"/>
  <c r="T21" i="15"/>
  <c r="T56" i="16"/>
  <c r="U49" i="17"/>
  <c r="U47" i="15"/>
  <c r="T23" i="16"/>
  <c r="U65" i="15"/>
  <c r="U41" i="18"/>
  <c r="U19" i="15"/>
  <c r="T10" i="15"/>
  <c r="U52" i="16"/>
  <c r="U51" i="16"/>
  <c r="U44" i="17"/>
  <c r="T70" i="18"/>
  <c r="U77" i="18"/>
  <c r="T63" i="15"/>
  <c r="U26" i="18"/>
  <c r="T57" i="15"/>
  <c r="U66" i="18"/>
  <c r="T46" i="16"/>
  <c r="U13" i="15"/>
  <c r="U30" i="16"/>
  <c r="T26" i="16"/>
  <c r="T12" i="15"/>
  <c r="U60" i="18"/>
  <c r="T52" i="16"/>
  <c r="U45" i="15"/>
  <c r="T70" i="15"/>
  <c r="U71" i="18"/>
  <c r="U75" i="15"/>
  <c r="T4" i="18"/>
  <c r="N6" i="15"/>
  <c r="T69" i="15"/>
  <c r="T26" i="18"/>
  <c r="T44" i="17"/>
  <c r="U29" i="16"/>
  <c r="T39" i="14"/>
  <c r="U85" i="15"/>
  <c r="T48" i="15"/>
  <c r="T45" i="15"/>
  <c r="U6" i="17"/>
  <c r="U48" i="15"/>
  <c r="U25" i="14"/>
  <c r="U44" i="16"/>
  <c r="U77" i="15"/>
  <c r="U68" i="15"/>
  <c r="T20" i="15"/>
  <c r="U84" i="15"/>
  <c r="U54" i="16"/>
  <c r="T30" i="16"/>
  <c r="U87" i="15"/>
  <c r="T5" i="18"/>
  <c r="U17" i="18"/>
  <c r="U30" i="14"/>
  <c r="T44" i="15"/>
  <c r="U4" i="16"/>
  <c r="T52" i="17"/>
  <c r="T5" i="16"/>
  <c r="U64" i="18"/>
  <c r="T38" i="14"/>
  <c r="N7" i="15"/>
  <c r="U57" i="16"/>
  <c r="T15" i="15"/>
  <c r="U20" i="17"/>
  <c r="U47" i="16"/>
  <c r="U31" i="16"/>
  <c r="M6" i="15" l="1"/>
  <c r="M5" i="15"/>
  <c r="M7" i="15"/>
  <c r="M8" i="15"/>
  <c r="S20" i="16"/>
  <c r="S19" i="16"/>
  <c r="S25" i="16"/>
  <c r="S9" i="15"/>
  <c r="S6" i="15"/>
  <c r="S3" i="15"/>
  <c r="S5" i="15"/>
  <c r="S7" i="15"/>
  <c r="S8" i="15"/>
  <c r="D7" i="1"/>
  <c r="T24" i="18"/>
  <c r="J86" i="15"/>
  <c r="T17" i="16"/>
  <c r="T27" i="18"/>
  <c r="J35" i="17"/>
  <c r="T7" i="18"/>
  <c r="J57" i="18"/>
  <c r="T21" i="18"/>
  <c r="J50" i="18"/>
  <c r="J70" i="16"/>
  <c r="T12" i="16"/>
  <c r="J57" i="17"/>
  <c r="U16" i="16"/>
  <c r="U14" i="16"/>
  <c r="T13" i="16"/>
  <c r="J49" i="18"/>
  <c r="U6" i="15"/>
  <c r="J36" i="16"/>
  <c r="U12" i="18"/>
  <c r="J78" i="18"/>
  <c r="T22" i="18"/>
  <c r="U18" i="18"/>
  <c r="J11" i="17"/>
  <c r="U9" i="18"/>
  <c r="J32" i="17"/>
  <c r="T18" i="18"/>
  <c r="U20" i="16"/>
  <c r="T8" i="15"/>
  <c r="J38" i="16"/>
  <c r="U24" i="18"/>
  <c r="U23" i="18"/>
  <c r="J37" i="17"/>
  <c r="T16" i="16"/>
  <c r="U8" i="18"/>
  <c r="J49" i="16"/>
  <c r="U12" i="16"/>
  <c r="J43" i="16"/>
  <c r="U22" i="18"/>
  <c r="T9" i="15"/>
  <c r="J17" i="17"/>
  <c r="J58" i="17"/>
  <c r="J82" i="18"/>
  <c r="J46" i="16"/>
  <c r="U30" i="18"/>
  <c r="J55" i="18"/>
  <c r="U8" i="15"/>
  <c r="T8" i="18"/>
  <c r="J34" i="17"/>
  <c r="T12" i="18"/>
  <c r="J80" i="18"/>
  <c r="T9" i="16"/>
  <c r="J31" i="17"/>
  <c r="J28" i="17"/>
  <c r="J27" i="17"/>
  <c r="T7" i="15"/>
  <c r="U21" i="18"/>
  <c r="J64" i="15"/>
  <c r="J40" i="17"/>
  <c r="J59" i="18"/>
  <c r="J40" i="16"/>
  <c r="J37" i="16"/>
  <c r="J45" i="17"/>
  <c r="J72" i="15"/>
  <c r="T19" i="18"/>
  <c r="J64" i="16"/>
  <c r="J55" i="15"/>
  <c r="J60" i="15"/>
  <c r="U13" i="16"/>
  <c r="T9" i="18"/>
  <c r="J67" i="15"/>
  <c r="U19" i="18"/>
  <c r="J76" i="18"/>
  <c r="U21" i="16"/>
  <c r="T25" i="16"/>
  <c r="J65" i="16"/>
  <c r="J54" i="18"/>
  <c r="J20" i="17"/>
  <c r="U27" i="18"/>
  <c r="T18" i="16"/>
  <c r="U19" i="16"/>
  <c r="J39" i="16"/>
  <c r="J61" i="15"/>
  <c r="J44" i="16"/>
  <c r="J52" i="18"/>
  <c r="U15" i="16"/>
  <c r="J50" i="17"/>
  <c r="U5" i="15"/>
  <c r="T21" i="16"/>
  <c r="J68" i="16"/>
  <c r="J58" i="15"/>
  <c r="J51" i="18"/>
  <c r="J48" i="18"/>
  <c r="U10" i="16"/>
  <c r="J56" i="18"/>
  <c r="T23" i="18"/>
  <c r="T10" i="16"/>
  <c r="J54" i="16"/>
  <c r="U24" i="16"/>
  <c r="T15" i="16"/>
  <c r="J60" i="18"/>
  <c r="J53" i="18"/>
  <c r="T30" i="18"/>
  <c r="J56" i="15"/>
  <c r="J33" i="17"/>
  <c r="T6" i="15"/>
  <c r="J42" i="16"/>
  <c r="J66" i="16"/>
  <c r="U9" i="15"/>
  <c r="J41" i="16"/>
  <c r="J71" i="18"/>
  <c r="T14" i="16"/>
  <c r="T3" i="15"/>
  <c r="T20" i="18"/>
  <c r="J61" i="18"/>
  <c r="J58" i="18"/>
  <c r="U25" i="16"/>
  <c r="U7" i="18"/>
  <c r="T19" i="16"/>
  <c r="T5" i="15"/>
  <c r="J59" i="16"/>
  <c r="J77" i="18"/>
  <c r="T20" i="16"/>
  <c r="U9" i="16"/>
  <c r="J55" i="17"/>
  <c r="T24" i="16"/>
  <c r="J59" i="15"/>
  <c r="J30" i="17"/>
  <c r="J77" i="15"/>
  <c r="J82" i="15"/>
  <c r="U3" i="15"/>
  <c r="U18" i="16"/>
  <c r="U20" i="18"/>
  <c r="U17" i="16"/>
  <c r="J84" i="15"/>
  <c r="J57" i="15"/>
  <c r="J62" i="15"/>
  <c r="J66" i="18"/>
  <c r="J14" i="17"/>
  <c r="U7" i="15"/>
  <c r="J29" i="17"/>
  <c r="S73" i="18" l="1"/>
  <c r="S57" i="18"/>
  <c r="S49" i="18"/>
  <c r="S26" i="17"/>
  <c r="S9" i="17"/>
  <c r="S36" i="16"/>
  <c r="S60" i="16"/>
  <c r="S56" i="18"/>
  <c r="S27" i="17"/>
  <c r="S37" i="16"/>
  <c r="S61" i="16"/>
  <c r="S64" i="16"/>
  <c r="S44" i="18"/>
  <c r="S31" i="17"/>
  <c r="S66" i="16"/>
  <c r="S72" i="18"/>
  <c r="S48" i="18"/>
  <c r="S51" i="17"/>
  <c r="S45" i="16"/>
  <c r="S52" i="18"/>
  <c r="S33" i="16"/>
  <c r="S42" i="16"/>
  <c r="S55" i="18"/>
  <c r="S47" i="18"/>
  <c r="S28" i="17"/>
  <c r="S36" i="17"/>
  <c r="S15" i="17"/>
  <c r="S38" i="16"/>
  <c r="S62" i="16"/>
  <c r="S62" i="18"/>
  <c r="S46" i="18"/>
  <c r="S29" i="17"/>
  <c r="S53" i="18"/>
  <c r="S30" i="17"/>
  <c r="S32" i="16"/>
  <c r="S40" i="16"/>
  <c r="S51" i="18"/>
  <c r="S24" i="17"/>
  <c r="S34" i="16"/>
  <c r="S78" i="18"/>
  <c r="S54" i="18"/>
  <c r="S39" i="16"/>
  <c r="S55" i="16"/>
  <c r="S45" i="18"/>
  <c r="S23" i="17"/>
  <c r="S46" i="17"/>
  <c r="S76" i="18"/>
  <c r="S12" i="17"/>
  <c r="S67" i="18"/>
  <c r="S74" i="18"/>
  <c r="S50" i="18"/>
  <c r="S25" i="17"/>
  <c r="S33" i="17"/>
  <c r="S41" i="17"/>
  <c r="S35" i="16"/>
  <c r="S50" i="16"/>
  <c r="S18" i="17"/>
  <c r="S54" i="17"/>
  <c r="S53" i="17"/>
  <c r="S58" i="15"/>
  <c r="S51" i="15"/>
  <c r="S76" i="15"/>
  <c r="S50" i="15"/>
  <c r="S61" i="15"/>
  <c r="S49" i="15"/>
  <c r="S55" i="15"/>
  <c r="S81" i="15"/>
  <c r="S66" i="15"/>
  <c r="S56" i="15"/>
  <c r="S71" i="15"/>
  <c r="S54" i="15"/>
  <c r="S53" i="15"/>
  <c r="S52" i="15"/>
  <c r="P25" i="16"/>
  <c r="P20" i="16"/>
  <c r="P19" i="16"/>
  <c r="U11" i="16"/>
  <c r="U7" i="16"/>
  <c r="T11" i="18"/>
  <c r="T7" i="16"/>
  <c r="T11" i="16"/>
  <c r="T10" i="18"/>
  <c r="U8" i="16"/>
  <c r="T8" i="16"/>
  <c r="U10" i="18"/>
  <c r="U4" i="17"/>
  <c r="T15" i="18"/>
  <c r="T4" i="17"/>
  <c r="U11" i="18"/>
  <c r="U15" i="18"/>
  <c r="T7" i="17"/>
  <c r="U7" i="17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C11" i="14" l="1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S82" i="15" l="1"/>
  <c r="C25" i="1" l="1"/>
  <c r="C57" i="1"/>
  <c r="H41" i="1"/>
  <c r="H25" i="1"/>
  <c r="C41" i="1"/>
  <c r="P53" i="17"/>
  <c r="U30" i="17"/>
  <c r="U34" i="16"/>
  <c r="U4" i="14"/>
  <c r="T43" i="17"/>
  <c r="X3" i="18" a="1"/>
  <c r="T67" i="18"/>
  <c r="T54" i="18"/>
  <c r="U36" i="17"/>
  <c r="T54" i="15"/>
  <c r="U43" i="14"/>
  <c r="T50" i="16"/>
  <c r="U54" i="17"/>
  <c r="T46" i="17"/>
  <c r="U45" i="16"/>
  <c r="T48" i="18"/>
  <c r="U41" i="17"/>
  <c r="U50" i="17"/>
  <c r="U44" i="18"/>
  <c r="T41" i="17"/>
  <c r="U36" i="18"/>
  <c r="U25" i="17"/>
  <c r="U51" i="15"/>
  <c r="T41" i="16"/>
  <c r="T54" i="14"/>
  <c r="T71" i="15"/>
  <c r="T82" i="15"/>
  <c r="U74" i="18"/>
  <c r="T19" i="17"/>
  <c r="T37" i="18"/>
  <c r="T81" i="15"/>
  <c r="T56" i="18"/>
  <c r="T53" i="16"/>
  <c r="U42" i="14"/>
  <c r="T35" i="18"/>
  <c r="U61" i="16"/>
  <c r="T45" i="18"/>
  <c r="U63" i="16"/>
  <c r="T39" i="17"/>
  <c r="U55" i="15"/>
  <c r="U61" i="15"/>
  <c r="T52" i="15"/>
  <c r="U73" i="18"/>
  <c r="T9" i="17"/>
  <c r="T66" i="15"/>
  <c r="T51" i="15"/>
  <c r="U10" i="17"/>
  <c r="T45" i="17"/>
  <c r="T60" i="16"/>
  <c r="U42" i="17"/>
  <c r="T38" i="17"/>
  <c r="T58" i="16"/>
  <c r="T31" i="17"/>
  <c r="T53" i="15"/>
  <c r="T35" i="17"/>
  <c r="T28" i="17"/>
  <c r="T36" i="18"/>
  <c r="U40" i="16"/>
  <c r="T38" i="18"/>
  <c r="T46" i="18"/>
  <c r="U52" i="18"/>
  <c r="U53" i="18"/>
  <c r="T36" i="17"/>
  <c r="T11" i="17"/>
  <c r="U29" i="17"/>
  <c r="T33" i="18"/>
  <c r="U54" i="15"/>
  <c r="T25" i="17"/>
  <c r="T41" i="14"/>
  <c r="U53" i="15"/>
  <c r="U35" i="18"/>
  <c r="T37" i="17"/>
  <c r="T10" i="17"/>
  <c r="U53" i="16"/>
  <c r="T62" i="18"/>
  <c r="U71" i="15"/>
  <c r="U27" i="17"/>
  <c r="U32" i="18"/>
  <c r="T50" i="17"/>
  <c r="U58" i="15"/>
  <c r="T55" i="16"/>
  <c r="U3" i="14"/>
  <c r="U58" i="16"/>
  <c r="U5" i="14"/>
  <c r="T18" i="17"/>
  <c r="T52" i="18"/>
  <c r="T39" i="16"/>
  <c r="T32" i="16"/>
  <c r="T64" i="16"/>
  <c r="U35" i="16"/>
  <c r="T57" i="18"/>
  <c r="T40" i="16"/>
  <c r="U38" i="18"/>
  <c r="T56" i="15"/>
  <c r="T22" i="17"/>
  <c r="U55" i="17"/>
  <c r="T42" i="17"/>
  <c r="T40" i="17"/>
  <c r="T49" i="18"/>
  <c r="T55" i="17"/>
  <c r="T49" i="15"/>
  <c r="U33" i="16"/>
  <c r="U32" i="16"/>
  <c r="U41" i="14"/>
  <c r="T53" i="17"/>
  <c r="T12" i="17"/>
  <c r="U54" i="18"/>
  <c r="T15" i="17"/>
  <c r="T50" i="18"/>
  <c r="T55" i="15"/>
  <c r="T43" i="14"/>
  <c r="U37" i="17"/>
  <c r="T27" i="17"/>
  <c r="U50" i="16"/>
  <c r="T24" i="17"/>
  <c r="U39" i="17"/>
  <c r="U49" i="18"/>
  <c r="T50" i="15"/>
  <c r="T63" i="16"/>
  <c r="U43" i="16"/>
  <c r="T17" i="17"/>
  <c r="T65" i="16"/>
  <c r="U31" i="17"/>
  <c r="T78" i="18"/>
  <c r="U78" i="18"/>
  <c r="U36" i="16"/>
  <c r="U9" i="17"/>
  <c r="T54" i="17"/>
  <c r="U12" i="17"/>
  <c r="T34" i="18"/>
  <c r="T53" i="18"/>
  <c r="T33" i="14"/>
  <c r="U38" i="16"/>
  <c r="T76" i="18"/>
  <c r="T37" i="14"/>
  <c r="T13" i="17"/>
  <c r="T14" i="17"/>
  <c r="U40" i="17"/>
  <c r="U40" i="18"/>
  <c r="U64" i="16"/>
  <c r="U15" i="17"/>
  <c r="U76" i="18"/>
  <c r="T38" i="16"/>
  <c r="T47" i="18"/>
  <c r="T35" i="16"/>
  <c r="U66" i="16"/>
  <c r="T36" i="16"/>
  <c r="T55" i="18"/>
  <c r="U32" i="17"/>
  <c r="U50" i="15"/>
  <c r="T61" i="16"/>
  <c r="U23" i="17"/>
  <c r="U82" i="15"/>
  <c r="T58" i="15"/>
  <c r="T32" i="17"/>
  <c r="U48" i="18"/>
  <c r="U45" i="18"/>
  <c r="U19" i="17"/>
  <c r="T30" i="17"/>
  <c r="T62" i="16"/>
  <c r="T61" i="15"/>
  <c r="U22" i="17"/>
  <c r="T43" i="16"/>
  <c r="U34" i="17"/>
  <c r="U51" i="18"/>
  <c r="T32" i="18"/>
  <c r="U28" i="17"/>
  <c r="T42" i="14"/>
  <c r="U56" i="18"/>
  <c r="U54" i="14"/>
  <c r="U62" i="16"/>
  <c r="T45" i="16"/>
  <c r="U17" i="17"/>
  <c r="U66" i="15"/>
  <c r="U81" i="15"/>
  <c r="U52" i="15"/>
  <c r="U38" i="17"/>
  <c r="U65" i="16"/>
  <c r="U37" i="14"/>
  <c r="U13" i="17"/>
  <c r="U47" i="18"/>
  <c r="U67" i="18"/>
  <c r="T51" i="17"/>
  <c r="U55" i="18"/>
  <c r="U14" i="17"/>
  <c r="U46" i="17"/>
  <c r="U60" i="16"/>
  <c r="U24" i="17"/>
  <c r="T33" i="17"/>
  <c r="T44" i="18"/>
  <c r="T40" i="18"/>
  <c r="U16" i="17"/>
  <c r="T48" i="16"/>
  <c r="U57" i="18"/>
  <c r="U33" i="17"/>
  <c r="U35" i="17"/>
  <c r="U51" i="17"/>
  <c r="T34" i="17"/>
  <c r="T42" i="18"/>
  <c r="T26" i="17"/>
  <c r="U41" i="16"/>
  <c r="T74" i="18"/>
  <c r="T37" i="16"/>
  <c r="U45" i="17"/>
  <c r="U56" i="15"/>
  <c r="T34" i="16"/>
  <c r="U18" i="17"/>
  <c r="I3" i="1"/>
  <c r="T72" i="18"/>
  <c r="T39" i="18"/>
  <c r="U33" i="14"/>
  <c r="T51" i="18"/>
  <c r="T3" i="14"/>
  <c r="U42" i="18"/>
  <c r="U50" i="18"/>
  <c r="U43" i="17"/>
  <c r="U37" i="16"/>
  <c r="U48" i="16"/>
  <c r="T66" i="16"/>
  <c r="U53" i="17"/>
  <c r="U62" i="18"/>
  <c r="U76" i="15"/>
  <c r="T23" i="17"/>
  <c r="T42" i="16"/>
  <c r="U34" i="18"/>
  <c r="T33" i="16"/>
  <c r="T29" i="17"/>
  <c r="U46" i="18"/>
  <c r="T73" i="18"/>
  <c r="U11" i="17"/>
  <c r="U37" i="18"/>
  <c r="T76" i="15"/>
  <c r="U39" i="18"/>
  <c r="U55" i="16"/>
  <c r="U42" i="16"/>
  <c r="T5" i="14"/>
  <c r="U49" i="15"/>
  <c r="U33" i="18"/>
  <c r="T16" i="17"/>
  <c r="U39" i="16"/>
  <c r="U72" i="18"/>
  <c r="T4" i="14"/>
  <c r="U26" i="17"/>
  <c r="I4" i="1"/>
  <c r="I5" i="1"/>
  <c r="X43" i="18" l="1"/>
  <c r="X34" i="18"/>
  <c r="X41" i="18"/>
  <c r="X21" i="18"/>
  <c r="X67" i="18"/>
  <c r="X66" i="18"/>
  <c r="X36" i="18"/>
  <c r="X75" i="18"/>
  <c r="X23" i="18"/>
  <c r="X16" i="18"/>
  <c r="X13" i="18"/>
  <c r="X39" i="18"/>
  <c r="X31" i="18"/>
  <c r="X72" i="18"/>
  <c r="X77" i="18"/>
  <c r="X30" i="18"/>
  <c r="X15" i="18"/>
  <c r="X18" i="18"/>
  <c r="X68" i="18"/>
  <c r="X27" i="18"/>
  <c r="X51" i="18"/>
  <c r="X10" i="18"/>
  <c r="X28" i="18"/>
  <c r="X42" i="18"/>
  <c r="X71" i="18"/>
  <c r="X11" i="18"/>
  <c r="X24" i="18"/>
  <c r="X55" i="18"/>
  <c r="X59" i="18"/>
  <c r="X7" i="18"/>
  <c r="X63" i="18"/>
  <c r="X9" i="18"/>
  <c r="X57" i="18"/>
  <c r="X8" i="18"/>
  <c r="X53" i="18"/>
  <c r="X73" i="18"/>
  <c r="X64" i="18"/>
  <c r="X49" i="18"/>
  <c r="X69" i="18"/>
  <c r="X61" i="18"/>
  <c r="X5" i="18"/>
  <c r="X6" i="18"/>
  <c r="X17" i="18"/>
  <c r="X20" i="18"/>
  <c r="X44" i="18"/>
  <c r="X48" i="18"/>
  <c r="X46" i="18"/>
  <c r="X74" i="18"/>
  <c r="X47" i="18"/>
  <c r="X12" i="18"/>
  <c r="X78" i="18"/>
  <c r="X54" i="18"/>
  <c r="X45" i="18"/>
  <c r="X58" i="18"/>
  <c r="X37" i="18"/>
  <c r="X70" i="18"/>
  <c r="X3" i="18"/>
  <c r="X60" i="18"/>
  <c r="X50" i="18"/>
  <c r="X4" i="18"/>
  <c r="X19" i="18"/>
  <c r="X38" i="18"/>
  <c r="X35" i="18"/>
  <c r="X52" i="18"/>
  <c r="X76" i="18"/>
  <c r="X56" i="18"/>
  <c r="X33" i="18"/>
  <c r="X40" i="18"/>
  <c r="X62" i="18"/>
  <c r="X25" i="18"/>
  <c r="X14" i="18"/>
  <c r="X22" i="18"/>
  <c r="X32" i="18"/>
  <c r="X29" i="18"/>
  <c r="X26" i="18"/>
  <c r="X65" i="18"/>
  <c r="P54" i="17"/>
  <c r="P18" i="17"/>
  <c r="AA56" i="18"/>
  <c r="AA70" i="18"/>
  <c r="AA15" i="18"/>
  <c r="AB33" i="18"/>
  <c r="AB17" i="18"/>
  <c r="AB34" i="18"/>
  <c r="AB41" i="18"/>
  <c r="Y16" i="18"/>
  <c r="Z49" i="18"/>
  <c r="AA64" i="18"/>
  <c r="Z3" i="18"/>
  <c r="AA62" i="18"/>
  <c r="AA48" i="18"/>
  <c r="AC45" i="18"/>
  <c r="T18" i="14"/>
  <c r="AB19" i="18"/>
  <c r="AC53" i="18"/>
  <c r="Z9" i="18"/>
  <c r="Z68" i="18"/>
  <c r="Y62" i="18"/>
  <c r="AB47" i="18"/>
  <c r="Y33" i="18"/>
  <c r="AB28" i="18"/>
  <c r="AC10" i="18"/>
  <c r="C26" i="15"/>
  <c r="Z8" i="18"/>
  <c r="Z44" i="18"/>
  <c r="Y29" i="18"/>
  <c r="U49" i="14"/>
  <c r="Z77" i="18"/>
  <c r="T44" i="14"/>
  <c r="U10" i="14"/>
  <c r="AC57" i="18"/>
  <c r="AC4" i="18"/>
  <c r="X3" i="17" a="1"/>
  <c r="Y7" i="18"/>
  <c r="Y68" i="18"/>
  <c r="AA57" i="18"/>
  <c r="AB51" i="18"/>
  <c r="Y34" i="18"/>
  <c r="U13" i="14"/>
  <c r="AB16" i="18"/>
  <c r="Z66" i="18"/>
  <c r="Y43" i="18"/>
  <c r="AB3" i="18"/>
  <c r="Y66" i="18"/>
  <c r="AC33" i="18"/>
  <c r="Z22" i="18"/>
  <c r="AA39" i="18"/>
  <c r="Y4" i="18"/>
  <c r="U15" i="14"/>
  <c r="AC26" i="18"/>
  <c r="U44" i="14"/>
  <c r="Z74" i="18"/>
  <c r="Y8" i="18"/>
  <c r="Y48" i="18"/>
  <c r="Y10" i="18"/>
  <c r="Y61" i="18"/>
  <c r="T57" i="14"/>
  <c r="AC3" i="18"/>
  <c r="AA35" i="18"/>
  <c r="AC41" i="18"/>
  <c r="AC69" i="18"/>
  <c r="Y59" i="18"/>
  <c r="Y46" i="18"/>
  <c r="Y37" i="18"/>
  <c r="AC21" i="18"/>
  <c r="Z40" i="18"/>
  <c r="AB27" i="18"/>
  <c r="AA61" i="18"/>
  <c r="AB8" i="18"/>
  <c r="AA31" i="18"/>
  <c r="Z50" i="18"/>
  <c r="I6" i="1"/>
  <c r="AA26" i="18"/>
  <c r="Z5" i="18"/>
  <c r="AC49" i="18"/>
  <c r="U47" i="14"/>
  <c r="Y6" i="18"/>
  <c r="AA36" i="18"/>
  <c r="AB36" i="18"/>
  <c r="Y21" i="18"/>
  <c r="Y53" i="18"/>
  <c r="Y44" i="18"/>
  <c r="AA52" i="18"/>
  <c r="U11" i="14"/>
  <c r="AB53" i="18"/>
  <c r="AA19" i="18"/>
  <c r="Y42" i="18"/>
  <c r="AA50" i="18"/>
  <c r="U23" i="14"/>
  <c r="AC40" i="18"/>
  <c r="AB59" i="18"/>
  <c r="AC36" i="18"/>
  <c r="T15" i="14"/>
  <c r="AB50" i="18"/>
  <c r="Y13" i="18"/>
  <c r="AC17" i="18"/>
  <c r="AB7" i="18"/>
  <c r="AB55" i="18"/>
  <c r="T51" i="14"/>
  <c r="AB22" i="18"/>
  <c r="AB42" i="18"/>
  <c r="AC54" i="18"/>
  <c r="T59" i="14"/>
  <c r="T49" i="14"/>
  <c r="AB49" i="18"/>
  <c r="Y41" i="18"/>
  <c r="Z28" i="18"/>
  <c r="U40" i="14"/>
  <c r="AB73" i="18"/>
  <c r="Y30" i="18"/>
  <c r="AC73" i="18"/>
  <c r="AB72" i="18"/>
  <c r="Z29" i="18"/>
  <c r="AC59" i="18"/>
  <c r="Y22" i="18"/>
  <c r="AA3" i="18"/>
  <c r="Z46" i="18"/>
  <c r="Y47" i="18"/>
  <c r="T10" i="14"/>
  <c r="AA8" i="18"/>
  <c r="AC11" i="18"/>
  <c r="AA34" i="18"/>
  <c r="AB69" i="18"/>
  <c r="AA30" i="18"/>
  <c r="Z65" i="18"/>
  <c r="AC16" i="18"/>
  <c r="Z14" i="18"/>
  <c r="AA58" i="18"/>
  <c r="Z55" i="18"/>
  <c r="T20" i="14"/>
  <c r="AA27" i="18"/>
  <c r="U12" i="14"/>
  <c r="AC50" i="18"/>
  <c r="AA25" i="18"/>
  <c r="AA45" i="18"/>
  <c r="T32" i="14"/>
  <c r="AC70" i="18"/>
  <c r="Z7" i="18"/>
  <c r="AA72" i="18"/>
  <c r="Y69" i="18"/>
  <c r="Z61" i="18"/>
  <c r="Z69" i="18"/>
  <c r="Y17" i="18"/>
  <c r="AA17" i="18"/>
  <c r="Z13" i="18"/>
  <c r="AA78" i="18"/>
  <c r="Y28" i="18"/>
  <c r="AA4" i="18"/>
  <c r="Z37" i="18"/>
  <c r="AA6" i="18"/>
  <c r="AA75" i="18"/>
  <c r="AC62" i="18"/>
  <c r="Y15" i="18"/>
  <c r="AA59" i="18"/>
  <c r="Z76" i="18"/>
  <c r="AA24" i="18"/>
  <c r="Z27" i="18"/>
  <c r="T6" i="14"/>
  <c r="AC74" i="18"/>
  <c r="U14" i="14"/>
  <c r="Z64" i="18"/>
  <c r="AC66" i="18"/>
  <c r="Z36" i="18"/>
  <c r="AC51" i="18"/>
  <c r="AA69" i="18"/>
  <c r="AA11" i="18"/>
  <c r="Z60" i="18"/>
  <c r="Y50" i="18"/>
  <c r="AC29" i="18"/>
  <c r="AC47" i="18"/>
  <c r="Z54" i="18"/>
  <c r="AC72" i="18"/>
  <c r="Z34" i="18"/>
  <c r="AA73" i="18"/>
  <c r="T26" i="14"/>
  <c r="AB67" i="18"/>
  <c r="AC77" i="18"/>
  <c r="AC75" i="18"/>
  <c r="T7" i="14"/>
  <c r="U46" i="14"/>
  <c r="AC37" i="18"/>
  <c r="AC52" i="18"/>
  <c r="Y9" i="18"/>
  <c r="AB66" i="18"/>
  <c r="Y70" i="18"/>
  <c r="Y55" i="18"/>
  <c r="T55" i="14"/>
  <c r="AC78" i="18"/>
  <c r="U48" i="14"/>
  <c r="AC60" i="18"/>
  <c r="AA21" i="18"/>
  <c r="AA54" i="18"/>
  <c r="AA51" i="18"/>
  <c r="Y12" i="18"/>
  <c r="Y63" i="18"/>
  <c r="AC12" i="18"/>
  <c r="Y32" i="18"/>
  <c r="AC25" i="18"/>
  <c r="AB25" i="18"/>
  <c r="U9" i="14"/>
  <c r="AB54" i="18"/>
  <c r="AC20" i="18"/>
  <c r="AC44" i="18"/>
  <c r="Y60" i="18"/>
  <c r="AB44" i="18"/>
  <c r="U18" i="14"/>
  <c r="AB30" i="18"/>
  <c r="AC76" i="18"/>
  <c r="AB76" i="18"/>
  <c r="Z48" i="18"/>
  <c r="U32" i="14"/>
  <c r="U29" i="14"/>
  <c r="Y67" i="18"/>
  <c r="AA14" i="18"/>
  <c r="T9" i="14"/>
  <c r="Z71" i="18"/>
  <c r="U36" i="14"/>
  <c r="AC8" i="18"/>
  <c r="U55" i="14"/>
  <c r="AB61" i="18"/>
  <c r="Y24" i="18"/>
  <c r="Z30" i="18"/>
  <c r="T47" i="14"/>
  <c r="AA32" i="18"/>
  <c r="AA77" i="18"/>
  <c r="AB40" i="18"/>
  <c r="Z73" i="18"/>
  <c r="AA63" i="18"/>
  <c r="AA68" i="18"/>
  <c r="Z6" i="18"/>
  <c r="Z15" i="18"/>
  <c r="AB52" i="18"/>
  <c r="T36" i="14"/>
  <c r="AB43" i="18"/>
  <c r="Y64" i="18"/>
  <c r="Y72" i="18"/>
  <c r="T8" i="14"/>
  <c r="Z53" i="18"/>
  <c r="Z47" i="18"/>
  <c r="Y51" i="18"/>
  <c r="Z12" i="18"/>
  <c r="Y38" i="18"/>
  <c r="Z35" i="18"/>
  <c r="AA13" i="18"/>
  <c r="AB35" i="18"/>
  <c r="AB11" i="18"/>
  <c r="AC34" i="18"/>
  <c r="AC18" i="18"/>
  <c r="AB5" i="18"/>
  <c r="AC9" i="18"/>
  <c r="AA23" i="18"/>
  <c r="Z33" i="18"/>
  <c r="AB12" i="18"/>
  <c r="AA43" i="18"/>
  <c r="AB58" i="18"/>
  <c r="T12" i="14"/>
  <c r="Y26" i="18"/>
  <c r="AC27" i="18"/>
  <c r="AB26" i="18"/>
  <c r="Z17" i="18"/>
  <c r="AC32" i="18"/>
  <c r="Z72" i="18"/>
  <c r="Z18" i="18"/>
  <c r="AB63" i="18"/>
  <c r="AC58" i="18"/>
  <c r="AB13" i="18"/>
  <c r="AA67" i="18"/>
  <c r="AA28" i="18"/>
  <c r="AC38" i="18"/>
  <c r="Y49" i="18"/>
  <c r="U7" i="14"/>
  <c r="AC63" i="18"/>
  <c r="AA55" i="18"/>
  <c r="AA5" i="18"/>
  <c r="AA71" i="18"/>
  <c r="AA9" i="18"/>
  <c r="AC7" i="18"/>
  <c r="Y71" i="18"/>
  <c r="AA33" i="18"/>
  <c r="AA20" i="18"/>
  <c r="AA65" i="18"/>
  <c r="Z78" i="18"/>
  <c r="Y3" i="18"/>
  <c r="AC23" i="18"/>
  <c r="T53" i="14"/>
  <c r="Z11" i="18"/>
  <c r="U20" i="14"/>
  <c r="U53" i="14"/>
  <c r="Y19" i="18"/>
  <c r="AC30" i="18"/>
  <c r="Z21" i="18"/>
  <c r="AB9" i="18"/>
  <c r="Z24" i="18"/>
  <c r="AC15" i="18"/>
  <c r="AA12" i="18"/>
  <c r="Y57" i="18"/>
  <c r="AB56" i="18"/>
  <c r="AA7" i="18"/>
  <c r="Z43" i="18"/>
  <c r="AB62" i="18"/>
  <c r="AC46" i="18"/>
  <c r="AC22" i="18"/>
  <c r="AA66" i="18"/>
  <c r="AB10" i="18"/>
  <c r="AC42" i="18"/>
  <c r="Z59" i="18"/>
  <c r="U51" i="14"/>
  <c r="AB38" i="18"/>
  <c r="U6" i="14"/>
  <c r="Y20" i="18"/>
  <c r="Z67" i="18"/>
  <c r="AB14" i="18"/>
  <c r="T14" i="14"/>
  <c r="AC24" i="18"/>
  <c r="Z20" i="18"/>
  <c r="AC5" i="18"/>
  <c r="AA22" i="18"/>
  <c r="T52" i="14"/>
  <c r="Y25" i="18"/>
  <c r="U8" i="14"/>
  <c r="Z16" i="18"/>
  <c r="U59" i="14"/>
  <c r="Y5" i="18"/>
  <c r="Y31" i="18"/>
  <c r="Y45" i="18"/>
  <c r="AA40" i="18"/>
  <c r="U26" i="14"/>
  <c r="Y23" i="18"/>
  <c r="AA38" i="18"/>
  <c r="AA37" i="18"/>
  <c r="AB46" i="18"/>
  <c r="T48" i="14"/>
  <c r="AB74" i="18"/>
  <c r="T16" i="14"/>
  <c r="AA18" i="18"/>
  <c r="Y74" i="18"/>
  <c r="AB71" i="18"/>
  <c r="AC61" i="18"/>
  <c r="AA42" i="18"/>
  <c r="AB20" i="18"/>
  <c r="Z63" i="18"/>
  <c r="AC28" i="18"/>
  <c r="AC48" i="18"/>
  <c r="T19" i="14"/>
  <c r="AC43" i="18"/>
  <c r="Y58" i="18"/>
  <c r="T45" i="14"/>
  <c r="U52" i="14"/>
  <c r="AA29" i="18"/>
  <c r="AB77" i="18"/>
  <c r="AC6" i="18"/>
  <c r="AC14" i="18"/>
  <c r="AC56" i="18"/>
  <c r="Z56" i="18"/>
  <c r="AA16" i="18"/>
  <c r="AA60" i="18"/>
  <c r="Z42" i="18"/>
  <c r="AB24" i="18"/>
  <c r="AB32" i="18"/>
  <c r="AC65" i="18"/>
  <c r="U50" i="14"/>
  <c r="Y77" i="18"/>
  <c r="AC71" i="18"/>
  <c r="AC67" i="18"/>
  <c r="T29" i="14"/>
  <c r="Y39" i="18"/>
  <c r="Z39" i="18"/>
  <c r="Z32" i="18"/>
  <c r="Z38" i="18"/>
  <c r="AB31" i="18"/>
  <c r="Y65" i="18"/>
  <c r="AB57" i="18"/>
  <c r="Z58" i="18"/>
  <c r="Y78" i="18"/>
  <c r="AA44" i="18"/>
  <c r="AC31" i="18"/>
  <c r="AA41" i="18"/>
  <c r="T50" i="14"/>
  <c r="Z4" i="18"/>
  <c r="Z45" i="18"/>
  <c r="AB45" i="18"/>
  <c r="AB15" i="18"/>
  <c r="Y27" i="18"/>
  <c r="Y36" i="18"/>
  <c r="Y18" i="18"/>
  <c r="AB64" i="18"/>
  <c r="AB4" i="18"/>
  <c r="T23" i="14"/>
  <c r="AC35" i="18"/>
  <c r="Z51" i="18"/>
  <c r="AA46" i="18"/>
  <c r="AB70" i="18"/>
  <c r="AA76" i="18"/>
  <c r="T46" i="14"/>
  <c r="AA74" i="18"/>
  <c r="AC19" i="18"/>
  <c r="T17" i="14"/>
  <c r="T40" i="14"/>
  <c r="Y40" i="18"/>
  <c r="Y75" i="18"/>
  <c r="AA47" i="18"/>
  <c r="AB68" i="18"/>
  <c r="AB75" i="18"/>
  <c r="Y14" i="18"/>
  <c r="Z10" i="18"/>
  <c r="Z75" i="18"/>
  <c r="AB37" i="18"/>
  <c r="Y54" i="18"/>
  <c r="Z57" i="18"/>
  <c r="AB21" i="18"/>
  <c r="Y35" i="18"/>
  <c r="Z70" i="18"/>
  <c r="AB29" i="18"/>
  <c r="Z41" i="18"/>
  <c r="AA10" i="18"/>
  <c r="AA49" i="18"/>
  <c r="AC13" i="18"/>
  <c r="U17" i="14"/>
  <c r="Y73" i="18"/>
  <c r="AB18" i="18"/>
  <c r="AB23" i="18"/>
  <c r="Y11" i="18"/>
  <c r="U57" i="14"/>
  <c r="AB78" i="18"/>
  <c r="AC39" i="18"/>
  <c r="T11" i="14"/>
  <c r="U45" i="14"/>
  <c r="AC68" i="18"/>
  <c r="Z23" i="18"/>
  <c r="AC55" i="18"/>
  <c r="T13" i="14"/>
  <c r="AB48" i="18"/>
  <c r="U16" i="14"/>
  <c r="Y76" i="18"/>
  <c r="AC64" i="18"/>
  <c r="Z26" i="18"/>
  <c r="Y52" i="18"/>
  <c r="Z62" i="18"/>
  <c r="Z52" i="18"/>
  <c r="AB6" i="18"/>
  <c r="Z19" i="18"/>
  <c r="AB65" i="18"/>
  <c r="AB60" i="18"/>
  <c r="AB39" i="18"/>
  <c r="U19" i="14"/>
  <c r="Z25" i="18"/>
  <c r="AA53" i="18"/>
  <c r="Z31" i="18"/>
  <c r="Y56" i="18"/>
  <c r="D50" i="1" l="1"/>
  <c r="I34" i="1"/>
  <c r="D34" i="1"/>
  <c r="I18" i="1"/>
  <c r="W25" i="18"/>
  <c r="W62" i="18"/>
  <c r="W19" i="18"/>
  <c r="W45" i="18"/>
  <c r="W44" i="18"/>
  <c r="W64" i="18"/>
  <c r="W59" i="18"/>
  <c r="W51" i="18"/>
  <c r="W31" i="18"/>
  <c r="W67" i="18"/>
  <c r="W65" i="18"/>
  <c r="W40" i="18"/>
  <c r="W4" i="18"/>
  <c r="W54" i="18"/>
  <c r="W20" i="18"/>
  <c r="W73" i="18"/>
  <c r="W55" i="18"/>
  <c r="W27" i="18"/>
  <c r="W39" i="18"/>
  <c r="W21" i="18"/>
  <c r="W26" i="18"/>
  <c r="W33" i="18"/>
  <c r="W50" i="18"/>
  <c r="W78" i="18"/>
  <c r="W17" i="18"/>
  <c r="W53" i="18"/>
  <c r="W24" i="18"/>
  <c r="W68" i="18"/>
  <c r="W13" i="18"/>
  <c r="W41" i="18"/>
  <c r="W29" i="18"/>
  <c r="W56" i="18"/>
  <c r="W60" i="18"/>
  <c r="W12" i="18"/>
  <c r="W6" i="18"/>
  <c r="W8" i="18"/>
  <c r="W11" i="18"/>
  <c r="W18" i="18"/>
  <c r="W16" i="18"/>
  <c r="W34" i="18"/>
  <c r="H26" i="15"/>
  <c r="I26" i="15"/>
  <c r="W32" i="18"/>
  <c r="W76" i="18"/>
  <c r="W3" i="18"/>
  <c r="W47" i="18"/>
  <c r="W5" i="18"/>
  <c r="W57" i="18"/>
  <c r="W71" i="18"/>
  <c r="W15" i="18"/>
  <c r="W23" i="18"/>
  <c r="W43" i="18"/>
  <c r="W22" i="18"/>
  <c r="W52" i="18"/>
  <c r="W70" i="18"/>
  <c r="W74" i="18"/>
  <c r="W61" i="18"/>
  <c r="W9" i="18"/>
  <c r="W42" i="18"/>
  <c r="W30" i="18"/>
  <c r="W75" i="18"/>
  <c r="W14" i="18"/>
  <c r="W35" i="18"/>
  <c r="W37" i="18"/>
  <c r="W46" i="18"/>
  <c r="W69" i="18"/>
  <c r="W63" i="18"/>
  <c r="W28" i="18"/>
  <c r="W77" i="18"/>
  <c r="W36" i="18"/>
  <c r="W38" i="18"/>
  <c r="W58" i="18"/>
  <c r="W48" i="18"/>
  <c r="W49" i="18"/>
  <c r="W7" i="18"/>
  <c r="W10" i="18"/>
  <c r="W72" i="18"/>
  <c r="W66" i="18"/>
  <c r="X51" i="17"/>
  <c r="X32" i="17"/>
  <c r="X7" i="17"/>
  <c r="X24" i="17"/>
  <c r="X33" i="17"/>
  <c r="X48" i="17"/>
  <c r="X45" i="17"/>
  <c r="X43" i="17"/>
  <c r="X40" i="17"/>
  <c r="X8" i="17"/>
  <c r="X31" i="17"/>
  <c r="X55" i="17"/>
  <c r="X42" i="17"/>
  <c r="X44" i="17"/>
  <c r="X25" i="17"/>
  <c r="X26" i="17"/>
  <c r="X54" i="17"/>
  <c r="X20" i="17"/>
  <c r="X4" i="17"/>
  <c r="X27" i="17"/>
  <c r="X9" i="17"/>
  <c r="X19" i="17"/>
  <c r="X11" i="17"/>
  <c r="X50" i="17"/>
  <c r="X38" i="17"/>
  <c r="X30" i="17"/>
  <c r="X6" i="17"/>
  <c r="X3" i="17"/>
  <c r="X29" i="17"/>
  <c r="X52" i="17"/>
  <c r="X49" i="17"/>
  <c r="X17" i="17"/>
  <c r="X36" i="17"/>
  <c r="X39" i="17"/>
  <c r="X5" i="17"/>
  <c r="X34" i="17"/>
  <c r="X22" i="17"/>
  <c r="X35" i="17"/>
  <c r="X18" i="17"/>
  <c r="X53" i="17"/>
  <c r="X13" i="17"/>
  <c r="X10" i="17"/>
  <c r="X41" i="17"/>
  <c r="X47" i="17"/>
  <c r="X28" i="17"/>
  <c r="X37" i="17"/>
  <c r="X14" i="17"/>
  <c r="X12" i="17"/>
  <c r="X23" i="17"/>
  <c r="X46" i="17"/>
  <c r="X21" i="17"/>
  <c r="X15" i="17"/>
  <c r="X16" i="17"/>
  <c r="AB4" i="17"/>
  <c r="AB45" i="17"/>
  <c r="AA10" i="17"/>
  <c r="AB18" i="17"/>
  <c r="AB41" i="17"/>
  <c r="AA51" i="17"/>
  <c r="AC31" i="17"/>
  <c r="AA6" i="17"/>
  <c r="AB48" i="17"/>
  <c r="AB10" i="17"/>
  <c r="Y6" i="17"/>
  <c r="AC34" i="17"/>
  <c r="AC46" i="17"/>
  <c r="Y54" i="17"/>
  <c r="Z5" i="17"/>
  <c r="O22" i="15"/>
  <c r="AC41" i="17"/>
  <c r="AA38" i="17"/>
  <c r="AA54" i="17"/>
  <c r="AC26" i="17"/>
  <c r="AC45" i="17"/>
  <c r="Y14" i="17"/>
  <c r="Y26" i="17"/>
  <c r="Z4" i="17"/>
  <c r="AB24" i="17"/>
  <c r="Z15" i="17"/>
  <c r="AC20" i="17"/>
  <c r="AC21" i="17"/>
  <c r="Z9" i="17"/>
  <c r="Z44" i="17"/>
  <c r="Z23" i="17"/>
  <c r="AC12" i="17"/>
  <c r="Z22" i="17"/>
  <c r="AB3" i="17"/>
  <c r="Z53" i="17"/>
  <c r="Y8" i="17"/>
  <c r="Z40" i="17"/>
  <c r="Y28" i="17"/>
  <c r="Y17" i="17"/>
  <c r="AC18" i="17"/>
  <c r="AB13" i="17"/>
  <c r="Y51" i="17"/>
  <c r="AB38" i="17"/>
  <c r="AC32" i="17"/>
  <c r="Y45" i="17"/>
  <c r="Z38" i="17"/>
  <c r="AC36" i="17"/>
  <c r="AB5" i="17"/>
  <c r="AA45" i="17"/>
  <c r="AB33" i="17"/>
  <c r="Z50" i="17"/>
  <c r="Z11" i="17"/>
  <c r="AB40" i="17"/>
  <c r="AC11" i="17"/>
  <c r="AC17" i="17"/>
  <c r="AC33" i="17"/>
  <c r="AC42" i="17"/>
  <c r="AC4" i="17"/>
  <c r="Z52" i="17"/>
  <c r="AA39" i="17"/>
  <c r="AB44" i="17"/>
  <c r="AA40" i="17"/>
  <c r="AA9" i="17"/>
  <c r="AA22" i="17"/>
  <c r="Z16" i="17"/>
  <c r="Z54" i="17"/>
  <c r="AB42" i="17"/>
  <c r="AA53" i="17"/>
  <c r="Y20" i="17"/>
  <c r="Z31" i="17"/>
  <c r="Z30" i="17"/>
  <c r="AB8" i="17"/>
  <c r="AA37" i="17"/>
  <c r="AA43" i="17"/>
  <c r="Y25" i="17"/>
  <c r="Z7" i="17"/>
  <c r="D47" i="1"/>
  <c r="AD2" i="18" s="1" a="1"/>
  <c r="AC13" i="17"/>
  <c r="AB25" i="17"/>
  <c r="J26" i="15"/>
  <c r="Y3" i="17"/>
  <c r="AC48" i="17"/>
  <c r="Y34" i="17"/>
  <c r="Z36" i="17"/>
  <c r="AB37" i="17"/>
  <c r="Y15" i="17"/>
  <c r="Z55" i="17"/>
  <c r="AA5" i="17"/>
  <c r="Y9" i="17"/>
  <c r="AB36" i="17"/>
  <c r="AC29" i="17"/>
  <c r="AC15" i="17"/>
  <c r="AA49" i="17"/>
  <c r="AA34" i="17"/>
  <c r="AC53" i="17"/>
  <c r="AA26" i="17"/>
  <c r="AB50" i="17"/>
  <c r="AA12" i="17"/>
  <c r="AC3" i="17"/>
  <c r="AA16" i="17"/>
  <c r="AA19" i="17"/>
  <c r="AB30" i="17"/>
  <c r="Y44" i="17"/>
  <c r="AC52" i="17"/>
  <c r="AA44" i="17"/>
  <c r="AA17" i="17"/>
  <c r="Z8" i="17"/>
  <c r="AB17" i="17"/>
  <c r="AC30" i="17"/>
  <c r="AA29" i="17"/>
  <c r="Z14" i="17"/>
  <c r="AB11" i="17"/>
  <c r="Y10" i="17"/>
  <c r="AC7" i="17"/>
  <c r="AC54" i="17"/>
  <c r="AB46" i="17"/>
  <c r="AA33" i="17"/>
  <c r="AA30" i="17"/>
  <c r="Y4" i="17"/>
  <c r="AA15" i="17"/>
  <c r="AB47" i="17"/>
  <c r="AB32" i="17"/>
  <c r="Y16" i="17"/>
  <c r="Z19" i="17"/>
  <c r="Y18" i="17"/>
  <c r="AA28" i="17"/>
  <c r="AB53" i="17"/>
  <c r="Z21" i="17"/>
  <c r="Z33" i="17"/>
  <c r="Y48" i="17"/>
  <c r="AB14" i="17"/>
  <c r="AC27" i="17"/>
  <c r="AC14" i="17"/>
  <c r="AB19" i="17"/>
  <c r="Y11" i="17"/>
  <c r="Y37" i="17"/>
  <c r="AA23" i="17"/>
  <c r="AC35" i="17"/>
  <c r="Z47" i="17"/>
  <c r="AB27" i="17"/>
  <c r="AA13" i="17"/>
  <c r="AB21" i="17"/>
  <c r="Y31" i="17"/>
  <c r="AC28" i="17"/>
  <c r="Z18" i="17"/>
  <c r="Z41" i="17"/>
  <c r="AB52" i="17"/>
  <c r="AB54" i="17"/>
  <c r="AC19" i="17"/>
  <c r="Y52" i="17"/>
  <c r="Y39" i="17"/>
  <c r="AC9" i="17"/>
  <c r="AA41" i="17"/>
  <c r="AC25" i="17"/>
  <c r="AB55" i="17"/>
  <c r="Y41" i="17"/>
  <c r="Y29" i="17"/>
  <c r="Y40" i="17"/>
  <c r="AA35" i="17"/>
  <c r="Z3" i="17"/>
  <c r="Z39" i="17"/>
  <c r="AA27" i="17"/>
  <c r="AA36" i="17"/>
  <c r="AC8" i="17"/>
  <c r="AC44" i="17"/>
  <c r="AC10" i="17"/>
  <c r="Z42" i="17"/>
  <c r="Y43" i="17"/>
  <c r="AC5" i="17"/>
  <c r="AC43" i="17"/>
  <c r="Z13" i="17"/>
  <c r="AB9" i="17"/>
  <c r="Y35" i="17"/>
  <c r="AA8" i="17"/>
  <c r="AA7" i="17"/>
  <c r="AC39" i="17"/>
  <c r="AA24" i="17"/>
  <c r="AB35" i="17"/>
  <c r="AC50" i="17"/>
  <c r="AB51" i="17"/>
  <c r="Y5" i="17"/>
  <c r="Z35" i="17"/>
  <c r="Y46" i="17"/>
  <c r="Z28" i="17"/>
  <c r="AB49" i="17"/>
  <c r="AA11" i="17"/>
  <c r="Y32" i="17"/>
  <c r="Y47" i="17"/>
  <c r="AB16" i="17"/>
  <c r="AC22" i="17"/>
  <c r="Z29" i="17"/>
  <c r="AB31" i="17"/>
  <c r="Z45" i="17"/>
  <c r="AA4" i="17"/>
  <c r="Y7" i="17"/>
  <c r="Y50" i="17"/>
  <c r="AB15" i="17"/>
  <c r="AB43" i="17"/>
  <c r="Y38" i="17"/>
  <c r="AC38" i="17"/>
  <c r="AA42" i="17"/>
  <c r="AB39" i="17"/>
  <c r="AC40" i="17"/>
  <c r="AB22" i="17"/>
  <c r="AB12" i="17"/>
  <c r="AA18" i="17"/>
  <c r="AA31" i="17"/>
  <c r="AA14" i="17"/>
  <c r="AB28" i="17"/>
  <c r="AC6" i="17"/>
  <c r="AA25" i="17"/>
  <c r="Z27" i="17"/>
  <c r="N22" i="15"/>
  <c r="AA20" i="17"/>
  <c r="Z37" i="17"/>
  <c r="AC51" i="17"/>
  <c r="Z10" i="17"/>
  <c r="AA3" i="17"/>
  <c r="AB34" i="17"/>
  <c r="AA55" i="17"/>
  <c r="AB20" i="17"/>
  <c r="Y19" i="17"/>
  <c r="Y53" i="17"/>
  <c r="AB29" i="17"/>
  <c r="AA46" i="17"/>
  <c r="Y12" i="17"/>
  <c r="Z24" i="17"/>
  <c r="Z26" i="17"/>
  <c r="AC37" i="17"/>
  <c r="AC47" i="17"/>
  <c r="Y30" i="17"/>
  <c r="Z25" i="17"/>
  <c r="Y22" i="17"/>
  <c r="Z34" i="17"/>
  <c r="AB23" i="17"/>
  <c r="D48" i="1"/>
  <c r="Y24" i="17"/>
  <c r="Z12" i="17"/>
  <c r="AB7" i="17"/>
  <c r="AA48" i="17"/>
  <c r="Y23" i="17"/>
  <c r="AC49" i="17"/>
  <c r="Z51" i="17"/>
  <c r="Y13" i="17"/>
  <c r="C55" i="1"/>
  <c r="AC23" i="17"/>
  <c r="AA50" i="17"/>
  <c r="Z20" i="17"/>
  <c r="Z43" i="17"/>
  <c r="Y36" i="17"/>
  <c r="Z46" i="17"/>
  <c r="Z48" i="17"/>
  <c r="AA32" i="17"/>
  <c r="Z6" i="17"/>
  <c r="C27" i="15"/>
  <c r="AA21" i="17"/>
  <c r="Z32" i="17"/>
  <c r="AC16" i="17"/>
  <c r="C56" i="1"/>
  <c r="AA47" i="17"/>
  <c r="Z49" i="17"/>
  <c r="AA52" i="17"/>
  <c r="Y27" i="17"/>
  <c r="AC55" i="17"/>
  <c r="Y33" i="17"/>
  <c r="Y55" i="17"/>
  <c r="Z17" i="17"/>
  <c r="AC24" i="17"/>
  <c r="AB26" i="17"/>
  <c r="AB6" i="17"/>
  <c r="Y49" i="17"/>
  <c r="Y21" i="17"/>
  <c r="Y42" i="17"/>
  <c r="D57" i="1"/>
  <c r="I27" i="15" l="1"/>
  <c r="H27" i="15"/>
  <c r="M22" i="15"/>
  <c r="AD29" i="18"/>
  <c r="AD74" i="18"/>
  <c r="AD68" i="18"/>
  <c r="AD18" i="18"/>
  <c r="AD24" i="18"/>
  <c r="AD28" i="18"/>
  <c r="AD69" i="18"/>
  <c r="AD5" i="18"/>
  <c r="AD2" i="18"/>
  <c r="AD23" i="18"/>
  <c r="AD42" i="18"/>
  <c r="AD60" i="18"/>
  <c r="AD48" i="18"/>
  <c r="AD44" i="18"/>
  <c r="AD75" i="18"/>
  <c r="AD49" i="18"/>
  <c r="AD72" i="18"/>
  <c r="AD40" i="18"/>
  <c r="AD45" i="18"/>
  <c r="AD31" i="18"/>
  <c r="AD58" i="18"/>
  <c r="AD57" i="18"/>
  <c r="AD63" i="18"/>
  <c r="AD41" i="18"/>
  <c r="AD47" i="18"/>
  <c r="AD78" i="18"/>
  <c r="AD37" i="18"/>
  <c r="AD39" i="18"/>
  <c r="AD17" i="18"/>
  <c r="AD13" i="18"/>
  <c r="AD4" i="18"/>
  <c r="AD77" i="18"/>
  <c r="AD51" i="18"/>
  <c r="AD12" i="18"/>
  <c r="AD73" i="18"/>
  <c r="AD34" i="18"/>
  <c r="AD35" i="18"/>
  <c r="AD14" i="18"/>
  <c r="AD53" i="18"/>
  <c r="AD59" i="18"/>
  <c r="AD6" i="18"/>
  <c r="AD46" i="18"/>
  <c r="AD76" i="18"/>
  <c r="AD21" i="18"/>
  <c r="AD55" i="18"/>
  <c r="AD9" i="18"/>
  <c r="AD22" i="18"/>
  <c r="AD56" i="18"/>
  <c r="AD62" i="18"/>
  <c r="AD19" i="18"/>
  <c r="AD32" i="18"/>
  <c r="AD64" i="18"/>
  <c r="AD26" i="18"/>
  <c r="AD7" i="18"/>
  <c r="AD67" i="18"/>
  <c r="AD61" i="18"/>
  <c r="AD33" i="18"/>
  <c r="AD36" i="18"/>
  <c r="AD30" i="18"/>
  <c r="AD65" i="18"/>
  <c r="AD54" i="18"/>
  <c r="AD10" i="18"/>
  <c r="AD50" i="18"/>
  <c r="AD43" i="18"/>
  <c r="AD27" i="18"/>
  <c r="AD52" i="18"/>
  <c r="AD71" i="18"/>
  <c r="AD70" i="18"/>
  <c r="AD38" i="18"/>
  <c r="AD3" i="18"/>
  <c r="AD15" i="18"/>
  <c r="AD16" i="18"/>
  <c r="AD8" i="18"/>
  <c r="AD66" i="18"/>
  <c r="AD11" i="18"/>
  <c r="AD25" i="18"/>
  <c r="AD20" i="18"/>
  <c r="W53" i="17"/>
  <c r="W14" i="17"/>
  <c r="W35" i="17"/>
  <c r="W18" i="17"/>
  <c r="W45" i="17"/>
  <c r="W37" i="17"/>
  <c r="W52" i="17"/>
  <c r="W48" i="17"/>
  <c r="W13" i="17"/>
  <c r="W54" i="17"/>
  <c r="W49" i="17"/>
  <c r="W11" i="17"/>
  <c r="W25" i="17"/>
  <c r="W44" i="17"/>
  <c r="W15" i="17"/>
  <c r="W34" i="17"/>
  <c r="W27" i="17"/>
  <c r="W24" i="17"/>
  <c r="S22" i="15"/>
  <c r="W23" i="17"/>
  <c r="W36" i="17"/>
  <c r="W38" i="17"/>
  <c r="W40" i="17"/>
  <c r="W51" i="17"/>
  <c r="W12" i="17"/>
  <c r="W17" i="17"/>
  <c r="W50" i="17"/>
  <c r="W26" i="17"/>
  <c r="W43" i="17"/>
  <c r="W19" i="17"/>
  <c r="W22" i="17"/>
  <c r="W42" i="17"/>
  <c r="W47" i="17"/>
  <c r="W3" i="17"/>
  <c r="W55" i="17"/>
  <c r="W16" i="17"/>
  <c r="W28" i="17"/>
  <c r="W29" i="17"/>
  <c r="W9" i="17"/>
  <c r="W33" i="17"/>
  <c r="W21" i="17"/>
  <c r="W41" i="17"/>
  <c r="W5" i="17"/>
  <c r="W6" i="17"/>
  <c r="W4" i="17"/>
  <c r="W31" i="17"/>
  <c r="W7" i="17"/>
  <c r="W46" i="17"/>
  <c r="W10" i="17"/>
  <c r="W39" i="17"/>
  <c r="W30" i="17"/>
  <c r="W20" i="17"/>
  <c r="W8" i="17"/>
  <c r="W32" i="17"/>
  <c r="T22" i="15"/>
  <c r="N23" i="15"/>
  <c r="O23" i="15"/>
  <c r="U22" i="15"/>
  <c r="D59" i="1"/>
  <c r="J27" i="15"/>
  <c r="D56" i="1"/>
  <c r="D55" i="1"/>
  <c r="C28" i="15"/>
  <c r="S23" i="15" l="1"/>
  <c r="H28" i="15"/>
  <c r="I28" i="15"/>
  <c r="M23" i="15"/>
  <c r="U23" i="15"/>
  <c r="T23" i="15"/>
  <c r="C29" i="15"/>
  <c r="N24" i="15"/>
  <c r="O24" i="15"/>
  <c r="J28" i="15"/>
  <c r="I31" i="1"/>
  <c r="I32" i="1"/>
  <c r="H39" i="1"/>
  <c r="I39" i="1"/>
  <c r="I41" i="1"/>
  <c r="H40" i="1"/>
  <c r="AD2" i="17" a="1"/>
  <c r="S24" i="15" l="1"/>
  <c r="H29" i="15"/>
  <c r="I29" i="15"/>
  <c r="M24" i="15"/>
  <c r="AD17" i="17"/>
  <c r="AD51" i="17"/>
  <c r="AD32" i="17"/>
  <c r="AD27" i="17"/>
  <c r="AD23" i="17"/>
  <c r="AD19" i="17"/>
  <c r="AD26" i="17"/>
  <c r="AD22" i="17"/>
  <c r="AD52" i="17"/>
  <c r="AD42" i="17"/>
  <c r="AD31" i="17"/>
  <c r="AD34" i="17"/>
  <c r="AD14" i="17"/>
  <c r="AD54" i="17"/>
  <c r="AD53" i="17"/>
  <c r="AD25" i="17"/>
  <c r="AD2" i="17"/>
  <c r="AD45" i="17"/>
  <c r="AD3" i="17"/>
  <c r="AD35" i="17"/>
  <c r="AD10" i="17"/>
  <c r="AD12" i="17"/>
  <c r="AD44" i="17"/>
  <c r="AD43" i="17"/>
  <c r="AD47" i="17"/>
  <c r="AD49" i="17"/>
  <c r="AD21" i="17"/>
  <c r="AD39" i="17"/>
  <c r="AD30" i="17"/>
  <c r="AD48" i="17"/>
  <c r="AD7" i="17"/>
  <c r="AD11" i="17"/>
  <c r="AD5" i="17"/>
  <c r="AD46" i="17"/>
  <c r="AD4" i="17"/>
  <c r="AD33" i="17"/>
  <c r="AD41" i="17"/>
  <c r="AD28" i="17"/>
  <c r="AD9" i="17"/>
  <c r="AD13" i="17"/>
  <c r="AD40" i="17"/>
  <c r="AD36" i="17"/>
  <c r="AD16" i="17"/>
  <c r="AD29" i="17"/>
  <c r="AD6" i="17"/>
  <c r="AD18" i="17"/>
  <c r="AD20" i="17"/>
  <c r="AD37" i="17"/>
  <c r="AD55" i="17"/>
  <c r="AD8" i="17"/>
  <c r="AD38" i="17"/>
  <c r="AD50" i="17"/>
  <c r="AD24" i="17"/>
  <c r="AD15" i="17"/>
  <c r="C30" i="15"/>
  <c r="T24" i="15"/>
  <c r="U24" i="15"/>
  <c r="J29" i="15"/>
  <c r="N25" i="15"/>
  <c r="I40" i="1"/>
  <c r="C31" i="15"/>
  <c r="C32" i="15" s="1"/>
  <c r="O25" i="15"/>
  <c r="I43" i="1"/>
  <c r="I30" i="15" l="1"/>
  <c r="H30" i="15"/>
  <c r="M26" i="15" s="1"/>
  <c r="H32" i="15"/>
  <c r="I32" i="15"/>
  <c r="S25" i="15"/>
  <c r="I31" i="15"/>
  <c r="H31" i="15"/>
  <c r="M25" i="15"/>
  <c r="S80" i="15"/>
  <c r="S78" i="15"/>
  <c r="P80" i="15"/>
  <c r="P78" i="15"/>
  <c r="C33" i="15"/>
  <c r="T25" i="15"/>
  <c r="J31" i="15"/>
  <c r="O26" i="15"/>
  <c r="N27" i="15"/>
  <c r="J32" i="15"/>
  <c r="J30" i="15"/>
  <c r="N26" i="15"/>
  <c r="O28" i="15"/>
  <c r="T80" i="15"/>
  <c r="O27" i="15"/>
  <c r="U78" i="15"/>
  <c r="U80" i="15"/>
  <c r="T78" i="15"/>
  <c r="C34" i="15"/>
  <c r="U25" i="15"/>
  <c r="N28" i="15"/>
  <c r="S26" i="15" l="1"/>
  <c r="I33" i="15"/>
  <c r="H33" i="15"/>
  <c r="S28" i="15"/>
  <c r="S27" i="15"/>
  <c r="H34" i="15"/>
  <c r="I34" i="15"/>
  <c r="M28" i="15"/>
  <c r="M27" i="15"/>
  <c r="O29" i="15"/>
  <c r="C35" i="15"/>
  <c r="J33" i="15"/>
  <c r="N29" i="15"/>
  <c r="N30" i="15"/>
  <c r="J34" i="15"/>
  <c r="U28" i="15"/>
  <c r="T27" i="15"/>
  <c r="T26" i="15"/>
  <c r="U26" i="15"/>
  <c r="U27" i="15"/>
  <c r="T28" i="15"/>
  <c r="O30" i="15"/>
  <c r="S29" i="15" l="1"/>
  <c r="M29" i="15"/>
  <c r="S30" i="15"/>
  <c r="I35" i="15"/>
  <c r="H35" i="15"/>
  <c r="M30" i="15"/>
  <c r="U29" i="15"/>
  <c r="T29" i="15"/>
  <c r="U30" i="15"/>
  <c r="T30" i="15"/>
  <c r="C36" i="15"/>
  <c r="O31" i="15"/>
  <c r="J35" i="15"/>
  <c r="N31" i="15"/>
  <c r="S31" i="15" l="1"/>
  <c r="I36" i="15"/>
  <c r="H36" i="15"/>
  <c r="M31" i="15"/>
  <c r="P22" i="16"/>
  <c r="T22" i="16"/>
  <c r="U22" i="16"/>
  <c r="U31" i="15"/>
  <c r="X3" i="16" a="1"/>
  <c r="T31" i="15"/>
  <c r="O32" i="15"/>
  <c r="C37" i="15"/>
  <c r="N32" i="15"/>
  <c r="J36" i="15"/>
  <c r="S32" i="15" l="1"/>
  <c r="H37" i="15"/>
  <c r="I37" i="15"/>
  <c r="M32" i="15"/>
  <c r="X56" i="16"/>
  <c r="X66" i="16"/>
  <c r="X14" i="16"/>
  <c r="X47" i="16"/>
  <c r="X57" i="16"/>
  <c r="X40" i="16"/>
  <c r="X10" i="16"/>
  <c r="X32" i="16"/>
  <c r="X17" i="16"/>
  <c r="X29" i="16"/>
  <c r="X33" i="16"/>
  <c r="X50" i="16"/>
  <c r="X37" i="16"/>
  <c r="X52" i="16"/>
  <c r="X16" i="16"/>
  <c r="X21" i="16"/>
  <c r="X9" i="16"/>
  <c r="X65" i="16"/>
  <c r="X64" i="16"/>
  <c r="X26" i="16"/>
  <c r="X34" i="16"/>
  <c r="X51" i="16"/>
  <c r="X24" i="16"/>
  <c r="X12" i="16"/>
  <c r="X58" i="16"/>
  <c r="X6" i="16"/>
  <c r="X19" i="16"/>
  <c r="X25" i="16"/>
  <c r="X18" i="16"/>
  <c r="X5" i="16"/>
  <c r="X55" i="16"/>
  <c r="X28" i="16"/>
  <c r="X7" i="16"/>
  <c r="X8" i="16"/>
  <c r="X15" i="16"/>
  <c r="X54" i="16"/>
  <c r="X61" i="16"/>
  <c r="X11" i="16"/>
  <c r="X63" i="16"/>
  <c r="X46" i="16"/>
  <c r="X41" i="16"/>
  <c r="X45" i="16"/>
  <c r="X49" i="16"/>
  <c r="X36" i="16"/>
  <c r="X60" i="16"/>
  <c r="X39" i="16"/>
  <c r="X22" i="16"/>
  <c r="X4" i="16"/>
  <c r="X42" i="16"/>
  <c r="X44" i="16"/>
  <c r="X43" i="16"/>
  <c r="X62" i="16"/>
  <c r="X53" i="16"/>
  <c r="X59" i="16"/>
  <c r="X13" i="16"/>
  <c r="X48" i="16"/>
  <c r="X20" i="16"/>
  <c r="X27" i="16"/>
  <c r="X30" i="16"/>
  <c r="X35" i="16"/>
  <c r="X3" i="16"/>
  <c r="X23" i="16"/>
  <c r="X31" i="16"/>
  <c r="X38" i="16"/>
  <c r="Y32" i="16"/>
  <c r="AC51" i="16"/>
  <c r="Z30" i="16"/>
  <c r="Y11" i="16"/>
  <c r="AB66" i="16"/>
  <c r="AA21" i="16"/>
  <c r="AC14" i="16"/>
  <c r="AC38" i="16"/>
  <c r="Y8" i="16"/>
  <c r="AC19" i="16"/>
  <c r="AA30" i="16"/>
  <c r="Z19" i="16"/>
  <c r="Y5" i="16"/>
  <c r="AA50" i="16"/>
  <c r="Z48" i="16"/>
  <c r="AC25" i="16"/>
  <c r="Z3" i="16"/>
  <c r="Y59" i="16"/>
  <c r="Z61" i="16"/>
  <c r="Z39" i="16"/>
  <c r="Y64" i="16"/>
  <c r="AC63" i="16"/>
  <c r="Y45" i="16"/>
  <c r="Z62" i="16"/>
  <c r="Z35" i="16"/>
  <c r="AB45" i="16"/>
  <c r="AA29" i="16"/>
  <c r="AC11" i="16"/>
  <c r="AB43" i="16"/>
  <c r="AB57" i="16"/>
  <c r="AB54" i="16"/>
  <c r="Y61" i="16"/>
  <c r="AC32" i="16"/>
  <c r="AA62" i="16"/>
  <c r="Z17" i="16"/>
  <c r="Z6" i="16"/>
  <c r="AC44" i="16"/>
  <c r="AA6" i="16"/>
  <c r="AA53" i="16"/>
  <c r="AC56" i="16"/>
  <c r="AC40" i="16"/>
  <c r="Z9" i="16"/>
  <c r="Y13" i="16"/>
  <c r="Y28" i="16"/>
  <c r="AB10" i="16"/>
  <c r="Y21" i="16"/>
  <c r="Y7" i="16"/>
  <c r="AA12" i="16"/>
  <c r="Z22" i="16"/>
  <c r="AB35" i="16"/>
  <c r="AA66" i="16"/>
  <c r="Y57" i="16"/>
  <c r="Z24" i="16"/>
  <c r="Y39" i="16"/>
  <c r="Z47" i="16"/>
  <c r="AC27" i="16"/>
  <c r="Z54" i="16"/>
  <c r="AB62" i="16"/>
  <c r="AC22" i="16"/>
  <c r="AB50" i="16"/>
  <c r="AA18" i="16"/>
  <c r="AA33" i="16"/>
  <c r="AA56" i="16"/>
  <c r="AC41" i="16"/>
  <c r="Z40" i="16"/>
  <c r="AC57" i="16"/>
  <c r="AB27" i="16"/>
  <c r="AA47" i="16"/>
  <c r="AC61" i="16"/>
  <c r="AA52" i="16"/>
  <c r="Y36" i="16"/>
  <c r="AA64" i="16"/>
  <c r="AB9" i="16"/>
  <c r="AA5" i="16"/>
  <c r="AA13" i="16"/>
  <c r="Z56" i="16"/>
  <c r="J37" i="15"/>
  <c r="AA31" i="16"/>
  <c r="Y34" i="16"/>
  <c r="AB52" i="16"/>
  <c r="Y58" i="16"/>
  <c r="AB36" i="16"/>
  <c r="AC54" i="16"/>
  <c r="Z64" i="16"/>
  <c r="AB58" i="16"/>
  <c r="AA27" i="16"/>
  <c r="Y10" i="16"/>
  <c r="Y55" i="16"/>
  <c r="Z4" i="16"/>
  <c r="Z29" i="16"/>
  <c r="Y62" i="16"/>
  <c r="Z44" i="16"/>
  <c r="AB29" i="16"/>
  <c r="Z41" i="16"/>
  <c r="AA32" i="16"/>
  <c r="AB19" i="16"/>
  <c r="AC53" i="16"/>
  <c r="Z34" i="16"/>
  <c r="AC18" i="16"/>
  <c r="AA8" i="16"/>
  <c r="Z7" i="16"/>
  <c r="AA42" i="16"/>
  <c r="AC50" i="16"/>
  <c r="AC34" i="16"/>
  <c r="AB46" i="16"/>
  <c r="Y65" i="16"/>
  <c r="AA40" i="16"/>
  <c r="AC6" i="16"/>
  <c r="AB42" i="16"/>
  <c r="Y33" i="16"/>
  <c r="AA41" i="16"/>
  <c r="Z13" i="16"/>
  <c r="Y17" i="16"/>
  <c r="AB63" i="16"/>
  <c r="AC12" i="16"/>
  <c r="Y54" i="16"/>
  <c r="Y15" i="16"/>
  <c r="Y24" i="16"/>
  <c r="AA9" i="16"/>
  <c r="Y18" i="16"/>
  <c r="AC28" i="16"/>
  <c r="AC64" i="16"/>
  <c r="Y38" i="16"/>
  <c r="AA49" i="16"/>
  <c r="AC43" i="16"/>
  <c r="AC55" i="16"/>
  <c r="AC26" i="16"/>
  <c r="AB60" i="16"/>
  <c r="AA63" i="16"/>
  <c r="AB64" i="16"/>
  <c r="AB11" i="16"/>
  <c r="AA22" i="16"/>
  <c r="Z51" i="16"/>
  <c r="Y31" i="16"/>
  <c r="AA7" i="16"/>
  <c r="AB3" i="16"/>
  <c r="Y3" i="16"/>
  <c r="Z26" i="16"/>
  <c r="Z45" i="16"/>
  <c r="AB55" i="16"/>
  <c r="AC13" i="16"/>
  <c r="Y37" i="16"/>
  <c r="Y25" i="16"/>
  <c r="AC23" i="16"/>
  <c r="AB56" i="16"/>
  <c r="AB16" i="16"/>
  <c r="AC24" i="16"/>
  <c r="AA51" i="16"/>
  <c r="Y23" i="16"/>
  <c r="AB7" i="16"/>
  <c r="AC45" i="16"/>
  <c r="Y60" i="16"/>
  <c r="AC17" i="16"/>
  <c r="AA37" i="16"/>
  <c r="Y22" i="16"/>
  <c r="AA23" i="16"/>
  <c r="Z57" i="16"/>
  <c r="AC33" i="16"/>
  <c r="AA26" i="16"/>
  <c r="Z36" i="16"/>
  <c r="Z63" i="16"/>
  <c r="AB41" i="16"/>
  <c r="AC9" i="16"/>
  <c r="Z5" i="16"/>
  <c r="Y63" i="16"/>
  <c r="AC20" i="16"/>
  <c r="Y12" i="16"/>
  <c r="N33" i="15"/>
  <c r="AC66" i="16"/>
  <c r="AB37" i="16"/>
  <c r="AC36" i="16"/>
  <c r="Z65" i="16"/>
  <c r="Y9" i="16"/>
  <c r="AC39" i="16"/>
  <c r="Y42" i="16"/>
  <c r="Y47" i="16"/>
  <c r="AA61" i="16"/>
  <c r="Z11" i="16"/>
  <c r="Y30" i="16"/>
  <c r="AC42" i="16"/>
  <c r="Z8" i="16"/>
  <c r="AA19" i="16"/>
  <c r="AB23" i="16"/>
  <c r="AA10" i="16"/>
  <c r="AB38" i="16"/>
  <c r="Z14" i="16"/>
  <c r="AA45" i="16"/>
  <c r="AA4" i="16"/>
  <c r="AC62" i="16"/>
  <c r="Z50" i="16"/>
  <c r="AB32" i="16"/>
  <c r="Z55" i="16"/>
  <c r="AC30" i="16"/>
  <c r="AA46" i="16"/>
  <c r="AB34" i="16"/>
  <c r="AB5" i="16"/>
  <c r="AB49" i="16"/>
  <c r="O33" i="15"/>
  <c r="AA35" i="16"/>
  <c r="Z27" i="16"/>
  <c r="Z18" i="16"/>
  <c r="Y48" i="16"/>
  <c r="Z20" i="16"/>
  <c r="Z49" i="16"/>
  <c r="Z33" i="16"/>
  <c r="Y50" i="16"/>
  <c r="AA60" i="16"/>
  <c r="AB31" i="16"/>
  <c r="Y27" i="16"/>
  <c r="AB8" i="16"/>
  <c r="Y19" i="16"/>
  <c r="AB65" i="16"/>
  <c r="Z37" i="16"/>
  <c r="AB28" i="16"/>
  <c r="AB30" i="16"/>
  <c r="AA55" i="16"/>
  <c r="AC8" i="16"/>
  <c r="Z23" i="16"/>
  <c r="Z43" i="16"/>
  <c r="AC4" i="16"/>
  <c r="Z42" i="16"/>
  <c r="AB24" i="16"/>
  <c r="AB20" i="16"/>
  <c r="Z21" i="16"/>
  <c r="AB40" i="16"/>
  <c r="AB21" i="16"/>
  <c r="AA43" i="16"/>
  <c r="AA34" i="16"/>
  <c r="AC31" i="16"/>
  <c r="Y44" i="16"/>
  <c r="AA58" i="16"/>
  <c r="AC29" i="16"/>
  <c r="Z31" i="16"/>
  <c r="Z58" i="16"/>
  <c r="AC3" i="16"/>
  <c r="AB14" i="16"/>
  <c r="AA14" i="16"/>
  <c r="AA38" i="16"/>
  <c r="AB33" i="16"/>
  <c r="AA15" i="16"/>
  <c r="Z66" i="16"/>
  <c r="AB59" i="16"/>
  <c r="AC52" i="16"/>
  <c r="Z32" i="16"/>
  <c r="AB18" i="16"/>
  <c r="Y52" i="16"/>
  <c r="Z15" i="16"/>
  <c r="AC65" i="16"/>
  <c r="AB22" i="16"/>
  <c r="Z60" i="16"/>
  <c r="C38" i="15"/>
  <c r="AC58" i="16"/>
  <c r="Y56" i="16"/>
  <c r="Y43" i="16"/>
  <c r="AB13" i="16"/>
  <c r="AC49" i="16"/>
  <c r="Z46" i="16"/>
  <c r="Y49" i="16"/>
  <c r="AC35" i="16"/>
  <c r="AC37" i="16"/>
  <c r="AC5" i="16"/>
  <c r="AB44" i="16"/>
  <c r="T32" i="15"/>
  <c r="AC21" i="16"/>
  <c r="AA28" i="16"/>
  <c r="AA11" i="16"/>
  <c r="AA16" i="16"/>
  <c r="AA65" i="16"/>
  <c r="AB4" i="16"/>
  <c r="AC60" i="16"/>
  <c r="Z28" i="16"/>
  <c r="AA44" i="16"/>
  <c r="AA24" i="16"/>
  <c r="AB61" i="16"/>
  <c r="AA3" i="16"/>
  <c r="Y20" i="16"/>
  <c r="AB39" i="16"/>
  <c r="AA54" i="16"/>
  <c r="Z52" i="16"/>
  <c r="Y16" i="16"/>
  <c r="AB17" i="16"/>
  <c r="Z59" i="16"/>
  <c r="Y66" i="16"/>
  <c r="Z53" i="16"/>
  <c r="Y35" i="16"/>
  <c r="AC47" i="16"/>
  <c r="AB12" i="16"/>
  <c r="AB26" i="16"/>
  <c r="AA39" i="16"/>
  <c r="AB48" i="16"/>
  <c r="Y46" i="16"/>
  <c r="AC10" i="16"/>
  <c r="U32" i="15"/>
  <c r="AC59" i="16"/>
  <c r="AA20" i="16"/>
  <c r="Y4" i="16"/>
  <c r="AB47" i="16"/>
  <c r="Z12" i="16"/>
  <c r="AC48" i="16"/>
  <c r="AB25" i="16"/>
  <c r="Y14" i="16"/>
  <c r="AA59" i="16"/>
  <c r="Y6" i="16"/>
  <c r="AC16" i="16"/>
  <c r="AB15" i="16"/>
  <c r="AC15" i="16"/>
  <c r="AA36" i="16"/>
  <c r="Y51" i="16"/>
  <c r="AB6" i="16"/>
  <c r="AA25" i="16"/>
  <c r="Z16" i="16"/>
  <c r="AC7" i="16"/>
  <c r="Y53" i="16"/>
  <c r="AB51" i="16"/>
  <c r="Z38" i="16"/>
  <c r="Y29" i="16"/>
  <c r="Z10" i="16"/>
  <c r="Z25" i="16"/>
  <c r="AB53" i="16"/>
  <c r="Y26" i="16"/>
  <c r="AA17" i="16"/>
  <c r="Y40" i="16"/>
  <c r="Y41" i="16"/>
  <c r="AA57" i="16"/>
  <c r="AC46" i="16"/>
  <c r="AA48" i="16"/>
  <c r="S33" i="15" l="1"/>
  <c r="H38" i="15"/>
  <c r="I38" i="15"/>
  <c r="M33" i="15"/>
  <c r="W16" i="16"/>
  <c r="W38" i="16"/>
  <c r="W48" i="16"/>
  <c r="W4" i="16"/>
  <c r="W46" i="16"/>
  <c r="W28" i="16"/>
  <c r="W12" i="16"/>
  <c r="W21" i="16"/>
  <c r="W32" i="16"/>
  <c r="W13" i="16"/>
  <c r="W39" i="16"/>
  <c r="W52" i="16"/>
  <c r="W40" i="16"/>
  <c r="W31" i="16"/>
  <c r="W10" i="16"/>
  <c r="W53" i="16"/>
  <c r="W57" i="16"/>
  <c r="W24" i="16"/>
  <c r="W62" i="16"/>
  <c r="W63" i="16"/>
  <c r="W5" i="16"/>
  <c r="W34" i="16"/>
  <c r="W35" i="16"/>
  <c r="W36" i="16"/>
  <c r="W25" i="16"/>
  <c r="W50" i="16"/>
  <c r="W43" i="16"/>
  <c r="W49" i="16"/>
  <c r="W15" i="16"/>
  <c r="W19" i="16"/>
  <c r="W64" i="16"/>
  <c r="W33" i="16"/>
  <c r="W14" i="16"/>
  <c r="W55" i="16"/>
  <c r="W59" i="16"/>
  <c r="W51" i="16"/>
  <c r="W3" i="16"/>
  <c r="W61" i="16"/>
  <c r="W18" i="16"/>
  <c r="W54" i="16"/>
  <c r="W47" i="16"/>
  <c r="W30" i="16"/>
  <c r="W27" i="16"/>
  <c r="W44" i="16"/>
  <c r="W45" i="16"/>
  <c r="W8" i="16"/>
  <c r="W6" i="16"/>
  <c r="W65" i="16"/>
  <c r="W29" i="16"/>
  <c r="W66" i="16"/>
  <c r="W22" i="16"/>
  <c r="W23" i="16"/>
  <c r="W11" i="16"/>
  <c r="W60" i="16"/>
  <c r="W37" i="16"/>
  <c r="W26" i="16"/>
  <c r="W20" i="16"/>
  <c r="W42" i="16"/>
  <c r="W41" i="16"/>
  <c r="W7" i="16"/>
  <c r="W58" i="16"/>
  <c r="W9" i="16"/>
  <c r="W17" i="16"/>
  <c r="W56" i="16"/>
  <c r="T33" i="15"/>
  <c r="D31" i="1"/>
  <c r="U33" i="15"/>
  <c r="N34" i="15"/>
  <c r="AD2" i="16" a="1"/>
  <c r="C39" i="15"/>
  <c r="J38" i="15"/>
  <c r="O34" i="15"/>
  <c r="D41" i="1"/>
  <c r="C40" i="1"/>
  <c r="D32" i="1"/>
  <c r="C39" i="1"/>
  <c r="D39" i="1" s="1"/>
  <c r="I39" i="15" l="1"/>
  <c r="H39" i="15"/>
  <c r="S34" i="15"/>
  <c r="M34" i="15"/>
  <c r="AD39" i="16"/>
  <c r="AD33" i="16"/>
  <c r="AD60" i="16"/>
  <c r="AD54" i="16"/>
  <c r="AD10" i="16"/>
  <c r="AD5" i="16"/>
  <c r="AD62" i="16"/>
  <c r="AD49" i="16"/>
  <c r="AD27" i="16"/>
  <c r="AD8" i="16"/>
  <c r="AD3" i="16"/>
  <c r="AD7" i="16"/>
  <c r="AD32" i="16"/>
  <c r="AD43" i="16"/>
  <c r="AD44" i="16"/>
  <c r="AD22" i="16"/>
  <c r="AD42" i="16"/>
  <c r="AD15" i="16"/>
  <c r="AD9" i="16"/>
  <c r="AD16" i="16"/>
  <c r="AD18" i="16"/>
  <c r="AD37" i="16"/>
  <c r="AD57" i="16"/>
  <c r="AD50" i="16"/>
  <c r="AD51" i="16"/>
  <c r="AD65" i="16"/>
  <c r="AD40" i="16"/>
  <c r="AD58" i="16"/>
  <c r="AD4" i="16"/>
  <c r="AD63" i="16"/>
  <c r="AD35" i="16"/>
  <c r="AD11" i="16"/>
  <c r="AD2" i="16"/>
  <c r="AD66" i="16"/>
  <c r="AD26" i="16"/>
  <c r="AD53" i="16"/>
  <c r="AD45" i="16"/>
  <c r="AD29" i="16"/>
  <c r="AD6" i="16"/>
  <c r="AD38" i="16"/>
  <c r="AD19" i="16"/>
  <c r="AD56" i="16"/>
  <c r="AD17" i="16"/>
  <c r="AD52" i="16"/>
  <c r="AD12" i="16"/>
  <c r="AD31" i="16"/>
  <c r="AD14" i="16"/>
  <c r="AD59" i="16"/>
  <c r="AD20" i="16"/>
  <c r="AD48" i="16"/>
  <c r="AD34" i="16"/>
  <c r="AD47" i="16"/>
  <c r="AD55" i="16"/>
  <c r="AD46" i="16"/>
  <c r="AD24" i="16"/>
  <c r="AD64" i="16"/>
  <c r="AD61" i="16"/>
  <c r="AD23" i="16"/>
  <c r="AD36" i="16"/>
  <c r="AD30" i="16"/>
  <c r="AD25" i="16"/>
  <c r="AD21" i="16"/>
  <c r="AD13" i="16"/>
  <c r="AD41" i="16"/>
  <c r="AD28" i="16"/>
  <c r="J39" i="15"/>
  <c r="T34" i="15"/>
  <c r="U34" i="15"/>
  <c r="Y67" i="16"/>
  <c r="D40" i="1"/>
  <c r="C40" i="15"/>
  <c r="O35" i="15"/>
  <c r="D43" i="1"/>
  <c r="N35" i="15"/>
  <c r="S35" i="15" l="1"/>
  <c r="H40" i="15"/>
  <c r="I40" i="15"/>
  <c r="M35" i="15"/>
  <c r="C41" i="15"/>
  <c r="T35" i="15"/>
  <c r="U35" i="15"/>
  <c r="N36" i="15"/>
  <c r="J40" i="15"/>
  <c r="C42" i="15"/>
  <c r="C43" i="15" s="1"/>
  <c r="O36" i="15"/>
  <c r="I41" i="15" l="1"/>
  <c r="H41" i="15"/>
  <c r="M37" i="15" s="1"/>
  <c r="H43" i="15"/>
  <c r="I43" i="15"/>
  <c r="S36" i="15"/>
  <c r="I42" i="15"/>
  <c r="H42" i="15"/>
  <c r="M36" i="15"/>
  <c r="C44" i="15"/>
  <c r="O39" i="15"/>
  <c r="O37" i="15"/>
  <c r="N38" i="15"/>
  <c r="N37" i="15"/>
  <c r="J41" i="15"/>
  <c r="T36" i="15"/>
  <c r="O38" i="15"/>
  <c r="J42" i="15"/>
  <c r="U36" i="15"/>
  <c r="N39" i="15"/>
  <c r="J43" i="15"/>
  <c r="C45" i="15"/>
  <c r="S37" i="15" l="1"/>
  <c r="H44" i="15"/>
  <c r="M40" i="15" s="1"/>
  <c r="I44" i="15"/>
  <c r="S39" i="15"/>
  <c r="S38" i="15"/>
  <c r="H45" i="15"/>
  <c r="I45" i="15"/>
  <c r="M39" i="15"/>
  <c r="M38" i="15"/>
  <c r="U37" i="15"/>
  <c r="T37" i="15"/>
  <c r="N40" i="15"/>
  <c r="J44" i="15"/>
  <c r="T38" i="15"/>
  <c r="O40" i="15"/>
  <c r="U38" i="15"/>
  <c r="U39" i="15"/>
  <c r="C46" i="15"/>
  <c r="N41" i="15"/>
  <c r="J45" i="15"/>
  <c r="T39" i="15"/>
  <c r="O41" i="15"/>
  <c r="S40" i="15" l="1"/>
  <c r="S41" i="15"/>
  <c r="I46" i="15"/>
  <c r="H46" i="15"/>
  <c r="M41" i="15"/>
  <c r="U40" i="15"/>
  <c r="T40" i="15"/>
  <c r="T41" i="15"/>
  <c r="C47" i="15"/>
  <c r="O42" i="15"/>
  <c r="J46" i="15"/>
  <c r="N42" i="15"/>
  <c r="U41" i="15"/>
  <c r="S42" i="15" l="1"/>
  <c r="I47" i="15"/>
  <c r="H47" i="15"/>
  <c r="M42" i="15"/>
  <c r="N43" i="15"/>
  <c r="J47" i="15"/>
  <c r="T42" i="15"/>
  <c r="U42" i="15"/>
  <c r="O43" i="15"/>
  <c r="S43" i="15" l="1"/>
  <c r="M43" i="15"/>
  <c r="X3" i="15" a="1"/>
  <c r="T43" i="15"/>
  <c r="U43" i="15"/>
  <c r="X24" i="15" l="1"/>
  <c r="X72" i="15"/>
  <c r="X41" i="15"/>
  <c r="X30" i="15"/>
  <c r="X78" i="15"/>
  <c r="X71" i="15"/>
  <c r="X84" i="15"/>
  <c r="X49" i="15"/>
  <c r="X37" i="15"/>
  <c r="X44" i="15"/>
  <c r="X74" i="15"/>
  <c r="X12" i="15"/>
  <c r="X39" i="15"/>
  <c r="X17" i="15"/>
  <c r="X3" i="15"/>
  <c r="X83" i="15"/>
  <c r="X85" i="15"/>
  <c r="X47" i="15"/>
  <c r="X50" i="15"/>
  <c r="X18" i="15"/>
  <c r="X23" i="15"/>
  <c r="X40" i="15"/>
  <c r="X14" i="15"/>
  <c r="X60" i="15"/>
  <c r="X21" i="15"/>
  <c r="X70" i="15"/>
  <c r="X77" i="15"/>
  <c r="X25" i="15"/>
  <c r="X5" i="15"/>
  <c r="X79" i="15"/>
  <c r="X59" i="15"/>
  <c r="X38" i="15"/>
  <c r="X28" i="15"/>
  <c r="X35" i="15"/>
  <c r="X42" i="15"/>
  <c r="X63" i="15"/>
  <c r="X20" i="15"/>
  <c r="X15" i="15"/>
  <c r="X26" i="15"/>
  <c r="X34" i="15"/>
  <c r="X67" i="15"/>
  <c r="X31" i="15"/>
  <c r="X55" i="15"/>
  <c r="X13" i="15"/>
  <c r="X73" i="15"/>
  <c r="X88" i="15"/>
  <c r="X75" i="15"/>
  <c r="X27" i="15"/>
  <c r="X76" i="15"/>
  <c r="X29" i="15"/>
  <c r="X61" i="15"/>
  <c r="X19" i="15"/>
  <c r="X9" i="15"/>
  <c r="X51" i="15"/>
  <c r="X8" i="15"/>
  <c r="X80" i="15"/>
  <c r="X64" i="15"/>
  <c r="X81" i="15"/>
  <c r="X82" i="15"/>
  <c r="X7" i="15"/>
  <c r="X48" i="15"/>
  <c r="X86" i="15"/>
  <c r="X4" i="15"/>
  <c r="X57" i="15"/>
  <c r="X54" i="15"/>
  <c r="X58" i="15"/>
  <c r="X22" i="15"/>
  <c r="X10" i="15"/>
  <c r="X69" i="15"/>
  <c r="X6" i="15"/>
  <c r="X33" i="15"/>
  <c r="X68" i="15"/>
  <c r="X87" i="15"/>
  <c r="X53" i="15"/>
  <c r="X65" i="15"/>
  <c r="X45" i="15"/>
  <c r="X43" i="15"/>
  <c r="X52" i="15"/>
  <c r="X62" i="15"/>
  <c r="X36" i="15"/>
  <c r="X46" i="15"/>
  <c r="X32" i="15"/>
  <c r="X66" i="15"/>
  <c r="X16" i="15"/>
  <c r="X56" i="15"/>
  <c r="X11" i="15"/>
  <c r="AB24" i="15"/>
  <c r="Y47" i="15"/>
  <c r="AC42" i="15"/>
  <c r="Y13" i="15"/>
  <c r="Y48" i="15"/>
  <c r="AB52" i="15"/>
  <c r="AA83" i="15"/>
  <c r="AA67" i="15"/>
  <c r="AB32" i="15"/>
  <c r="AC7" i="15"/>
  <c r="AC51" i="15"/>
  <c r="Z80" i="15"/>
  <c r="Z53" i="15"/>
  <c r="AA39" i="15"/>
  <c r="AA75" i="15"/>
  <c r="AA87" i="15"/>
  <c r="Z12" i="15"/>
  <c r="AA88" i="15"/>
  <c r="AA76" i="15"/>
  <c r="AC45" i="15"/>
  <c r="Y38" i="15"/>
  <c r="Z65" i="15"/>
  <c r="Z14" i="15"/>
  <c r="AB53" i="15"/>
  <c r="Y88" i="15"/>
  <c r="AB70" i="15"/>
  <c r="AC24" i="15"/>
  <c r="AB5" i="15"/>
  <c r="Y34" i="15"/>
  <c r="Z32" i="15"/>
  <c r="AC5" i="15"/>
  <c r="AA33" i="15"/>
  <c r="AA47" i="15"/>
  <c r="Y19" i="15"/>
  <c r="AA59" i="15"/>
  <c r="AC77" i="15"/>
  <c r="AA14" i="15"/>
  <c r="AA29" i="15"/>
  <c r="Y15" i="15"/>
  <c r="AC58" i="15"/>
  <c r="Y40" i="15"/>
  <c r="Y31" i="15"/>
  <c r="AA11" i="15"/>
  <c r="AB41" i="15"/>
  <c r="AA79" i="15"/>
  <c r="Z70" i="15"/>
  <c r="AC48" i="15"/>
  <c r="AA24" i="15"/>
  <c r="Z13" i="15"/>
  <c r="AB34" i="15"/>
  <c r="AA55" i="15"/>
  <c r="AC50" i="15"/>
  <c r="Z40" i="15"/>
  <c r="AB86" i="15"/>
  <c r="I15" i="1"/>
  <c r="AB58" i="15"/>
  <c r="AB9" i="15"/>
  <c r="Z29" i="15"/>
  <c r="AC33" i="15"/>
  <c r="AC22" i="15"/>
  <c r="Z41" i="15"/>
  <c r="Y3" i="15"/>
  <c r="AC86" i="15"/>
  <c r="AC4" i="15"/>
  <c r="Y42" i="15"/>
  <c r="AA58" i="15"/>
  <c r="AA28" i="15"/>
  <c r="AA16" i="15"/>
  <c r="AB66" i="15"/>
  <c r="AC16" i="15"/>
  <c r="AC62" i="15"/>
  <c r="AC82" i="15"/>
  <c r="AA42" i="15"/>
  <c r="AC84" i="15"/>
  <c r="AC69" i="15"/>
  <c r="AB45" i="15"/>
  <c r="AC70" i="15"/>
  <c r="Y16" i="15"/>
  <c r="AB8" i="15"/>
  <c r="Z17" i="15"/>
  <c r="AB61" i="15"/>
  <c r="AC34" i="15"/>
  <c r="Y12" i="15"/>
  <c r="AB75" i="15"/>
  <c r="Z82" i="15"/>
  <c r="AB84" i="15"/>
  <c r="Y86" i="15"/>
  <c r="Y37" i="15"/>
  <c r="Z57" i="15"/>
  <c r="AB67" i="15"/>
  <c r="AB16" i="15"/>
  <c r="AC59" i="15"/>
  <c r="Y55" i="15"/>
  <c r="Y28" i="15"/>
  <c r="AB39" i="15"/>
  <c r="AA53" i="15"/>
  <c r="Z5" i="15"/>
  <c r="AC18" i="15"/>
  <c r="Z50" i="15"/>
  <c r="AA65" i="15"/>
  <c r="AA77" i="15"/>
  <c r="Z10" i="15"/>
  <c r="AC49" i="15"/>
  <c r="Y30" i="15"/>
  <c r="AC75" i="15"/>
  <c r="AA70" i="15"/>
  <c r="Z67" i="15"/>
  <c r="AA15" i="15"/>
  <c r="Z76" i="15"/>
  <c r="Y79" i="15"/>
  <c r="Y57" i="15"/>
  <c r="Z9" i="15"/>
  <c r="Z66" i="15"/>
  <c r="AC53" i="15"/>
  <c r="AC74" i="15"/>
  <c r="Y69" i="15"/>
  <c r="Y27" i="15"/>
  <c r="AC6" i="15"/>
  <c r="AC88" i="15"/>
  <c r="Z28" i="15"/>
  <c r="AC19" i="15"/>
  <c r="AC13" i="15"/>
  <c r="Z49" i="15"/>
  <c r="AC29" i="15"/>
  <c r="Z23" i="15"/>
  <c r="Y56" i="17"/>
  <c r="AA12" i="15"/>
  <c r="AC8" i="15"/>
  <c r="Y43" i="15"/>
  <c r="Y25" i="15"/>
  <c r="AB74" i="15"/>
  <c r="AC61" i="15"/>
  <c r="AA40" i="15"/>
  <c r="Z24" i="15"/>
  <c r="Z3" i="15"/>
  <c r="Z6" i="15"/>
  <c r="AC79" i="15"/>
  <c r="Y76" i="15"/>
  <c r="AB57" i="15"/>
  <c r="Z78" i="15"/>
  <c r="Y62" i="15"/>
  <c r="Z47" i="15"/>
  <c r="AB60" i="15"/>
  <c r="AC41" i="15"/>
  <c r="Z33" i="15"/>
  <c r="AC31" i="15"/>
  <c r="AA62" i="15"/>
  <c r="Y85" i="15"/>
  <c r="AC68" i="15"/>
  <c r="AB88" i="15"/>
  <c r="AB76" i="15"/>
  <c r="Y8" i="15"/>
  <c r="Z84" i="15"/>
  <c r="AA51" i="15"/>
  <c r="AB40" i="15"/>
  <c r="AB20" i="15"/>
  <c r="AB44" i="15"/>
  <c r="AA38" i="15"/>
  <c r="AA23" i="15"/>
  <c r="Z51" i="15"/>
  <c r="Z72" i="15"/>
  <c r="Z21" i="15"/>
  <c r="Z79" i="15"/>
  <c r="Z31" i="15"/>
  <c r="AC67" i="15"/>
  <c r="Z85" i="15"/>
  <c r="Y70" i="15"/>
  <c r="AC55" i="15"/>
  <c r="Z7" i="15"/>
  <c r="Z43" i="15"/>
  <c r="AA84" i="15"/>
  <c r="Y60" i="15"/>
  <c r="AB64" i="15"/>
  <c r="Z74" i="15"/>
  <c r="Z16" i="15"/>
  <c r="Z52" i="15"/>
  <c r="AC57" i="15"/>
  <c r="AA74" i="15"/>
  <c r="Y20" i="15"/>
  <c r="AA8" i="15"/>
  <c r="AA44" i="15"/>
  <c r="AB63" i="15"/>
  <c r="AB6" i="15"/>
  <c r="AB87" i="15"/>
  <c r="AC23" i="15"/>
  <c r="AA68" i="15"/>
  <c r="AC25" i="15"/>
  <c r="AA4" i="15"/>
  <c r="AB77" i="15"/>
  <c r="AB11" i="15"/>
  <c r="Y72" i="15"/>
  <c r="AB48" i="15"/>
  <c r="AA36" i="15"/>
  <c r="Y50" i="15"/>
  <c r="Y83" i="15"/>
  <c r="AC78" i="15"/>
  <c r="AB4" i="15"/>
  <c r="AA50" i="15"/>
  <c r="Y32" i="15"/>
  <c r="AA6" i="15"/>
  <c r="AC71" i="15"/>
  <c r="AB68" i="15"/>
  <c r="Y26" i="15"/>
  <c r="AD2" i="15" a="1"/>
  <c r="Z56" i="15"/>
  <c r="Y24" i="15"/>
  <c r="Y49" i="15"/>
  <c r="AC14" i="15"/>
  <c r="AB28" i="15"/>
  <c r="Z22" i="15"/>
  <c r="Y77" i="15"/>
  <c r="AB85" i="15"/>
  <c r="AA32" i="15"/>
  <c r="Z38" i="15"/>
  <c r="AA22" i="15"/>
  <c r="AB3" i="15"/>
  <c r="Z83" i="15"/>
  <c r="Y74" i="15"/>
  <c r="AB73" i="15"/>
  <c r="Y56" i="15"/>
  <c r="I16" i="1"/>
  <c r="AC81" i="15"/>
  <c r="AB17" i="15"/>
  <c r="AC46" i="15"/>
  <c r="Z59" i="15"/>
  <c r="AB38" i="15"/>
  <c r="Z75" i="15"/>
  <c r="Y64" i="15"/>
  <c r="AB49" i="15"/>
  <c r="AB15" i="15"/>
  <c r="Y68" i="15"/>
  <c r="Y36" i="15"/>
  <c r="Y18" i="15"/>
  <c r="Z4" i="15"/>
  <c r="AA25" i="15"/>
  <c r="Z11" i="15"/>
  <c r="Y7" i="15"/>
  <c r="AB83" i="15"/>
  <c r="Y58" i="15"/>
  <c r="AC39" i="15"/>
  <c r="AC26" i="15"/>
  <c r="AC65" i="15"/>
  <c r="AA64" i="15"/>
  <c r="AB79" i="15"/>
  <c r="Z73" i="15"/>
  <c r="Z88" i="15"/>
  <c r="Y21" i="15"/>
  <c r="AA18" i="15"/>
  <c r="Y54" i="15"/>
  <c r="Z42" i="15"/>
  <c r="Y5" i="15"/>
  <c r="AB25" i="15"/>
  <c r="AB37" i="15"/>
  <c r="AC30" i="15"/>
  <c r="AC15" i="15"/>
  <c r="AA34" i="15"/>
  <c r="Y11" i="15"/>
  <c r="AA54" i="15"/>
  <c r="AB23" i="15"/>
  <c r="Z15" i="15"/>
  <c r="AA35" i="15"/>
  <c r="AB33" i="15"/>
  <c r="AB51" i="15"/>
  <c r="AC11" i="15"/>
  <c r="AC76" i="15"/>
  <c r="AC10" i="15"/>
  <c r="Z44" i="15"/>
  <c r="AC28" i="15"/>
  <c r="Y46" i="15"/>
  <c r="AB78" i="15"/>
  <c r="Y39" i="15"/>
  <c r="AA13" i="15"/>
  <c r="AA52" i="15"/>
  <c r="AC17" i="15"/>
  <c r="AA46" i="15"/>
  <c r="Y51" i="15"/>
  <c r="Z18" i="15"/>
  <c r="Y52" i="15"/>
  <c r="Z71" i="15"/>
  <c r="Z77" i="15"/>
  <c r="AC20" i="15"/>
  <c r="Z64" i="15"/>
  <c r="AB35" i="15"/>
  <c r="AB54" i="15"/>
  <c r="AC73" i="15"/>
  <c r="AA10" i="15"/>
  <c r="AB29" i="15"/>
  <c r="X3" i="14" a="1"/>
  <c r="Z63" i="15"/>
  <c r="Z62" i="15"/>
  <c r="Y63" i="15"/>
  <c r="Y14" i="15"/>
  <c r="AA21" i="15"/>
  <c r="AB31" i="15"/>
  <c r="Y45" i="15"/>
  <c r="AC3" i="15"/>
  <c r="Z34" i="15"/>
  <c r="Z54" i="15"/>
  <c r="Z39" i="15"/>
  <c r="AB42" i="15"/>
  <c r="AC35" i="15"/>
  <c r="Y9" i="15"/>
  <c r="AA60" i="15"/>
  <c r="Z58" i="15"/>
  <c r="AA43" i="15"/>
  <c r="AA5" i="15"/>
  <c r="AC60" i="15"/>
  <c r="Y61" i="15"/>
  <c r="AB65" i="15"/>
  <c r="Y87" i="15"/>
  <c r="AC63" i="15"/>
  <c r="AC52" i="15"/>
  <c r="Y22" i="15"/>
  <c r="AA80" i="15"/>
  <c r="Z20" i="15"/>
  <c r="AA82" i="15"/>
  <c r="AB81" i="15"/>
  <c r="Y71" i="15"/>
  <c r="AB27" i="15"/>
  <c r="AB22" i="15"/>
  <c r="Y67" i="15"/>
  <c r="Y17" i="15"/>
  <c r="AC9" i="15"/>
  <c r="AB80" i="15"/>
  <c r="AA30" i="15"/>
  <c r="AC80" i="15"/>
  <c r="Z55" i="15"/>
  <c r="AC56" i="15"/>
  <c r="AA3" i="15"/>
  <c r="Y79" i="18"/>
  <c r="AC66" i="15"/>
  <c r="AB47" i="15"/>
  <c r="Y75" i="15"/>
  <c r="Y80" i="15"/>
  <c r="AA49" i="15"/>
  <c r="Y35" i="15"/>
  <c r="AA7" i="15"/>
  <c r="Y82" i="15"/>
  <c r="AC12" i="15"/>
  <c r="AA37" i="15"/>
  <c r="AC43" i="15"/>
  <c r="AB21" i="15"/>
  <c r="AA57" i="15"/>
  <c r="Z60" i="15"/>
  <c r="AA19" i="15"/>
  <c r="AA26" i="15"/>
  <c r="AC54" i="15"/>
  <c r="Z8" i="15"/>
  <c r="AC32" i="15"/>
  <c r="AC36" i="15"/>
  <c r="AA66" i="15"/>
  <c r="Z46" i="15"/>
  <c r="Z36" i="15"/>
  <c r="AA27" i="15"/>
  <c r="Y53" i="15"/>
  <c r="AA78" i="15"/>
  <c r="AB12" i="15"/>
  <c r="AA63" i="15"/>
  <c r="AB82" i="15"/>
  <c r="AB69" i="15"/>
  <c r="Y10" i="15"/>
  <c r="AC64" i="15"/>
  <c r="Z27" i="15"/>
  <c r="Y41" i="15"/>
  <c r="Z48" i="15"/>
  <c r="H24" i="1"/>
  <c r="AB18" i="15"/>
  <c r="AC85" i="15"/>
  <c r="AB71" i="15"/>
  <c r="Z19" i="15"/>
  <c r="Z61" i="15"/>
  <c r="Z30" i="15"/>
  <c r="AB72" i="15"/>
  <c r="AB19" i="15"/>
  <c r="AB7" i="15"/>
  <c r="AB30" i="15"/>
  <c r="AA72" i="15"/>
  <c r="AC21" i="15"/>
  <c r="AA73" i="15"/>
  <c r="AB55" i="15"/>
  <c r="AB59" i="15"/>
  <c r="I24" i="1"/>
  <c r="AB50" i="15"/>
  <c r="Z81" i="15"/>
  <c r="AC38" i="15"/>
  <c r="Z45" i="15"/>
  <c r="Y65" i="15"/>
  <c r="AA71" i="15"/>
  <c r="Z69" i="15"/>
  <c r="AC37" i="15"/>
  <c r="AB36" i="15"/>
  <c r="AA20" i="15"/>
  <c r="AC47" i="15"/>
  <c r="Z26" i="15"/>
  <c r="Z35" i="15"/>
  <c r="Y73" i="15"/>
  <c r="AB14" i="15"/>
  <c r="AA9" i="15"/>
  <c r="AA48" i="15"/>
  <c r="Z37" i="15"/>
  <c r="Z86" i="15"/>
  <c r="AA85" i="15"/>
  <c r="AB43" i="15"/>
  <c r="Y84" i="15"/>
  <c r="AB10" i="15"/>
  <c r="AA41" i="15"/>
  <c r="Y33" i="15"/>
  <c r="AB56" i="15"/>
  <c r="AA61" i="15"/>
  <c r="AC44" i="15"/>
  <c r="Y4" i="15"/>
  <c r="Y78" i="15"/>
  <c r="Y23" i="15"/>
  <c r="AA31" i="15"/>
  <c r="Y59" i="15"/>
  <c r="Y44" i="15"/>
  <c r="Z68" i="15"/>
  <c r="AA17" i="15"/>
  <c r="AA69" i="15"/>
  <c r="Y66" i="15"/>
  <c r="AC72" i="15"/>
  <c r="Z87" i="15"/>
  <c r="AB13" i="15"/>
  <c r="AA45" i="15"/>
  <c r="Y81" i="15"/>
  <c r="Y29" i="15"/>
  <c r="AB26" i="15"/>
  <c r="AC83" i="15"/>
  <c r="AA86" i="15"/>
  <c r="AC27" i="15"/>
  <c r="AA81" i="15"/>
  <c r="AC87" i="15"/>
  <c r="Y6" i="15"/>
  <c r="AA56" i="15"/>
  <c r="Y89" i="15"/>
  <c r="H23" i="1"/>
  <c r="I23" i="1" s="1"/>
  <c r="AB46" i="15"/>
  <c r="AC40" i="15"/>
  <c r="Z25" i="15"/>
  <c r="AB62" i="15"/>
  <c r="I25" i="1"/>
  <c r="AD46" i="15" l="1"/>
  <c r="AD68" i="15"/>
  <c r="AD72" i="15"/>
  <c r="AD49" i="15"/>
  <c r="AD64" i="15"/>
  <c r="AD36" i="15"/>
  <c r="AD27" i="15"/>
  <c r="AD3" i="15"/>
  <c r="AD45" i="15"/>
  <c r="AD8" i="15"/>
  <c r="AD44" i="15"/>
  <c r="AD76" i="15"/>
  <c r="AD47" i="15"/>
  <c r="AD87" i="15"/>
  <c r="AD58" i="15"/>
  <c r="AD26" i="15"/>
  <c r="AD30" i="15"/>
  <c r="AD54" i="15"/>
  <c r="AD25" i="15"/>
  <c r="AD53" i="15"/>
  <c r="AD63" i="15"/>
  <c r="AD11" i="15"/>
  <c r="AD2" i="15"/>
  <c r="AD84" i="15"/>
  <c r="AD41" i="15"/>
  <c r="AD18" i="15"/>
  <c r="AD59" i="15"/>
  <c r="AD15" i="15"/>
  <c r="AD34" i="15"/>
  <c r="AD4" i="15"/>
  <c r="AD21" i="15"/>
  <c r="AD50" i="15"/>
  <c r="AD65" i="15"/>
  <c r="AD33" i="15"/>
  <c r="AD6" i="15"/>
  <c r="AD31" i="15"/>
  <c r="AD9" i="15"/>
  <c r="AD7" i="15"/>
  <c r="AD40" i="15"/>
  <c r="AD35" i="15"/>
  <c r="AD5" i="15"/>
  <c r="AD69" i="15"/>
  <c r="AD10" i="15"/>
  <c r="AD48" i="15"/>
  <c r="AD32" i="15"/>
  <c r="AD29" i="15"/>
  <c r="AD79" i="15"/>
  <c r="AD67" i="15"/>
  <c r="AD12" i="15"/>
  <c r="AD74" i="15"/>
  <c r="AD20" i="15"/>
  <c r="AD16" i="15"/>
  <c r="AD73" i="15"/>
  <c r="AD22" i="15"/>
  <c r="AD13" i="15"/>
  <c r="AD60" i="15"/>
  <c r="AD51" i="15"/>
  <c r="AD19" i="15"/>
  <c r="AD85" i="15"/>
  <c r="AD42" i="15"/>
  <c r="AD81" i="15"/>
  <c r="AD14" i="15"/>
  <c r="AD86" i="15"/>
  <c r="AD71" i="15"/>
  <c r="AD28" i="15"/>
  <c r="AD80" i="15"/>
  <c r="AD88" i="15"/>
  <c r="AD55" i="15"/>
  <c r="AD78" i="15"/>
  <c r="AD56" i="15"/>
  <c r="AD39" i="15"/>
  <c r="AD57" i="15"/>
  <c r="AD24" i="15"/>
  <c r="AD77" i="15"/>
  <c r="AD17" i="15"/>
  <c r="AD83" i="15"/>
  <c r="AD62" i="15"/>
  <c r="AD43" i="15"/>
  <c r="AD38" i="15"/>
  <c r="AD23" i="15"/>
  <c r="AD66" i="15"/>
  <c r="AD61" i="15"/>
  <c r="AD82" i="15"/>
  <c r="AD37" i="15"/>
  <c r="AD52" i="15"/>
  <c r="AD70" i="15"/>
  <c r="AD75" i="15"/>
  <c r="X50" i="14"/>
  <c r="X45" i="14"/>
  <c r="X18" i="14"/>
  <c r="X22" i="14"/>
  <c r="X34" i="14"/>
  <c r="X30" i="14"/>
  <c r="X59" i="14"/>
  <c r="X43" i="14"/>
  <c r="X37" i="14"/>
  <c r="X39" i="14"/>
  <c r="X4" i="14"/>
  <c r="X55" i="14"/>
  <c r="X10" i="14"/>
  <c r="X46" i="14"/>
  <c r="X44" i="14"/>
  <c r="X32" i="14"/>
  <c r="X16" i="14"/>
  <c r="X56" i="14"/>
  <c r="X52" i="14"/>
  <c r="X54" i="14"/>
  <c r="X7" i="14"/>
  <c r="X25" i="14"/>
  <c r="X35" i="14"/>
  <c r="X57" i="14"/>
  <c r="X13" i="14"/>
  <c r="X9" i="14"/>
  <c r="X12" i="14"/>
  <c r="X58" i="14"/>
  <c r="X33" i="14"/>
  <c r="X24" i="14"/>
  <c r="X27" i="14"/>
  <c r="X21" i="14"/>
  <c r="X3" i="14"/>
  <c r="X28" i="14"/>
  <c r="X41" i="14"/>
  <c r="X15" i="14"/>
  <c r="X11" i="14"/>
  <c r="X53" i="14"/>
  <c r="X26" i="14"/>
  <c r="X6" i="14"/>
  <c r="X49" i="14"/>
  <c r="X17" i="14"/>
  <c r="X23" i="14"/>
  <c r="X29" i="14"/>
  <c r="X19" i="14"/>
  <c r="X47" i="14"/>
  <c r="X38" i="14"/>
  <c r="X42" i="14"/>
  <c r="X40" i="14"/>
  <c r="X14" i="14"/>
  <c r="X51" i="14"/>
  <c r="X48" i="14"/>
  <c r="X8" i="14"/>
  <c r="X31" i="14"/>
  <c r="X5" i="14"/>
  <c r="X20" i="14"/>
  <c r="X36" i="14"/>
  <c r="W11" i="15"/>
  <c r="W4" i="15"/>
  <c r="W26" i="15"/>
  <c r="W56" i="15"/>
  <c r="W7" i="15"/>
  <c r="W37" i="15"/>
  <c r="W66" i="15"/>
  <c r="W41" i="15"/>
  <c r="W87" i="15"/>
  <c r="W62" i="15"/>
  <c r="W86" i="15"/>
  <c r="W23" i="15"/>
  <c r="W74" i="15"/>
  <c r="W42" i="15"/>
  <c r="W29" i="15"/>
  <c r="W39" i="15"/>
  <c r="W30" i="15"/>
  <c r="W32" i="15"/>
  <c r="W31" i="15"/>
  <c r="W40" i="15"/>
  <c r="W10" i="15"/>
  <c r="W61" i="15"/>
  <c r="W44" i="15"/>
  <c r="W3" i="15"/>
  <c r="W15" i="15"/>
  <c r="W73" i="15"/>
  <c r="W18" i="15"/>
  <c r="W76" i="15"/>
  <c r="W5" i="15"/>
  <c r="W12" i="15"/>
  <c r="W81" i="15"/>
  <c r="W46" i="15"/>
  <c r="W36" i="15"/>
  <c r="W84" i="15"/>
  <c r="W19" i="15"/>
  <c r="W68" i="15"/>
  <c r="W83" i="15"/>
  <c r="W59" i="15"/>
  <c r="W17" i="15"/>
  <c r="W78" i="15"/>
  <c r="W50" i="15"/>
  <c r="W54" i="15"/>
  <c r="W67" i="15"/>
  <c r="W34" i="15"/>
  <c r="W8" i="15"/>
  <c r="W82" i="15"/>
  <c r="W72" i="15"/>
  <c r="W77" i="15"/>
  <c r="W27" i="15"/>
  <c r="W88" i="15"/>
  <c r="W21" i="15"/>
  <c r="W6" i="15"/>
  <c r="W69" i="15"/>
  <c r="W16" i="15"/>
  <c r="W53" i="15"/>
  <c r="W35" i="15"/>
  <c r="W64" i="15"/>
  <c r="W38" i="15"/>
  <c r="W33" i="15"/>
  <c r="W71" i="15"/>
  <c r="W9" i="15"/>
  <c r="W65" i="15"/>
  <c r="W85" i="15"/>
  <c r="W80" i="15"/>
  <c r="W49" i="15"/>
  <c r="W14" i="15"/>
  <c r="W52" i="15"/>
  <c r="W20" i="15"/>
  <c r="W25" i="15"/>
  <c r="W28" i="15"/>
  <c r="W24" i="15"/>
  <c r="W75" i="15"/>
  <c r="W43" i="15"/>
  <c r="W63" i="15"/>
  <c r="W55" i="15"/>
  <c r="W57" i="15"/>
  <c r="W60" i="15"/>
  <c r="W51" i="15"/>
  <c r="W79" i="15"/>
  <c r="W48" i="15"/>
  <c r="W45" i="15"/>
  <c r="W13" i="15"/>
  <c r="W22" i="15"/>
  <c r="W58" i="15"/>
  <c r="W70" i="15"/>
  <c r="W47" i="15"/>
  <c r="AC50" i="14"/>
  <c r="AC16" i="14"/>
  <c r="Y13" i="14"/>
  <c r="AC49" i="14"/>
  <c r="AA40" i="14"/>
  <c r="AB59" i="14"/>
  <c r="AA38" i="14"/>
  <c r="AC32" i="14"/>
  <c r="AB39" i="14"/>
  <c r="Y56" i="14"/>
  <c r="Y28" i="14"/>
  <c r="AB14" i="14"/>
  <c r="AA18" i="14"/>
  <c r="Z52" i="14"/>
  <c r="AB12" i="14"/>
  <c r="Z23" i="14"/>
  <c r="Y22" i="14"/>
  <c r="AB55" i="14"/>
  <c r="Z58" i="14"/>
  <c r="AC15" i="14"/>
  <c r="Y48" i="14"/>
  <c r="AA10" i="14"/>
  <c r="Y7" i="14"/>
  <c r="Z11" i="14"/>
  <c r="Y19" i="14"/>
  <c r="Z44" i="14"/>
  <c r="AB57" i="14"/>
  <c r="AC42" i="14"/>
  <c r="Z43" i="14"/>
  <c r="Z21" i="14"/>
  <c r="AC20" i="14"/>
  <c r="AA46" i="14"/>
  <c r="AA25" i="14"/>
  <c r="AB53" i="14"/>
  <c r="AC47" i="14"/>
  <c r="Z5" i="14"/>
  <c r="Y16" i="14"/>
  <c r="Z49" i="14"/>
  <c r="AC59" i="14"/>
  <c r="Y32" i="14"/>
  <c r="AB9" i="14"/>
  <c r="AC28" i="14"/>
  <c r="AB18" i="14"/>
  <c r="AB41" i="14"/>
  <c r="AB23" i="14"/>
  <c r="Z55" i="14"/>
  <c r="AB29" i="14"/>
  <c r="AC48" i="14"/>
  <c r="Z7" i="14"/>
  <c r="AC11" i="14"/>
  <c r="AC44" i="14"/>
  <c r="AA42" i="14"/>
  <c r="AC6" i="14"/>
  <c r="Y46" i="14"/>
  <c r="Y25" i="14"/>
  <c r="Z31" i="14"/>
  <c r="AB38" i="14"/>
  <c r="AC4" i="14"/>
  <c r="AA23" i="14"/>
  <c r="AB58" i="14"/>
  <c r="AC10" i="14"/>
  <c r="AA8" i="14"/>
  <c r="AA26" i="14"/>
  <c r="Y20" i="14"/>
  <c r="AC53" i="14"/>
  <c r="AA3" i="14"/>
  <c r="AA36" i="14"/>
  <c r="AB45" i="14"/>
  <c r="AB17" i="14"/>
  <c r="AA52" i="14"/>
  <c r="AB22" i="14"/>
  <c r="AC29" i="14"/>
  <c r="AB33" i="14"/>
  <c r="Z8" i="14"/>
  <c r="AC26" i="14"/>
  <c r="Z30" i="14"/>
  <c r="Z53" i="14"/>
  <c r="AA50" i="14"/>
  <c r="AC37" i="14"/>
  <c r="Y40" i="14"/>
  <c r="Z59" i="14"/>
  <c r="Z35" i="14"/>
  <c r="Z17" i="14"/>
  <c r="Y18" i="14"/>
  <c r="Y23" i="14"/>
  <c r="AA55" i="14"/>
  <c r="AB7" i="14"/>
  <c r="AB19" i="14"/>
  <c r="Z42" i="14"/>
  <c r="AB30" i="14"/>
  <c r="Y5" i="14"/>
  <c r="Y50" i="14"/>
  <c r="AB13" i="14"/>
  <c r="Z36" i="14"/>
  <c r="Y38" i="14"/>
  <c r="Z39" i="14"/>
  <c r="Z14" i="14"/>
  <c r="AB52" i="14"/>
  <c r="Z22" i="14"/>
  <c r="Y58" i="14"/>
  <c r="Z10" i="14"/>
  <c r="AB8" i="14"/>
  <c r="Y57" i="14"/>
  <c r="AC43" i="14"/>
  <c r="Z20" i="14"/>
  <c r="AA53" i="14"/>
  <c r="AB5" i="14"/>
  <c r="AA16" i="14"/>
  <c r="Z3" i="14"/>
  <c r="AA49" i="14"/>
  <c r="AA59" i="14"/>
  <c r="AC45" i="14"/>
  <c r="Y9" i="14"/>
  <c r="Z28" i="14"/>
  <c r="AC52" i="14"/>
  <c r="AC22" i="14"/>
  <c r="Y29" i="14"/>
  <c r="Y33" i="14"/>
  <c r="Y44" i="14"/>
  <c r="AA43" i="14"/>
  <c r="AB46" i="14"/>
  <c r="AB31" i="14"/>
  <c r="AA5" i="14"/>
  <c r="Z38" i="14"/>
  <c r="AA14" i="14"/>
  <c r="AC41" i="14"/>
  <c r="Y54" i="14"/>
  <c r="AB10" i="14"/>
  <c r="Y27" i="14"/>
  <c r="AB43" i="14"/>
  <c r="Z46" i="14"/>
  <c r="I27" i="1"/>
  <c r="Y37" i="14"/>
  <c r="AB16" i="14"/>
  <c r="Y3" i="14"/>
  <c r="AC40" i="14"/>
  <c r="AB35" i="14"/>
  <c r="AA45" i="14"/>
  <c r="AA9" i="14"/>
  <c r="AB4" i="14"/>
  <c r="Y41" i="14"/>
  <c r="Z54" i="14"/>
  <c r="Z29" i="14"/>
  <c r="Z33" i="14"/>
  <c r="AC8" i="14"/>
  <c r="AC21" i="14"/>
  <c r="AC46" i="14"/>
  <c r="Z47" i="14"/>
  <c r="AA37" i="14"/>
  <c r="Z40" i="14"/>
  <c r="AB36" i="14"/>
  <c r="AB32" i="14"/>
  <c r="AA56" i="14"/>
  <c r="AA17" i="14"/>
  <c r="AA4" i="14"/>
  <c r="Z41" i="14"/>
  <c r="AC54" i="14"/>
  <c r="AA29" i="14"/>
  <c r="AC7" i="14"/>
  <c r="Y8" i="14"/>
  <c r="Y26" i="14"/>
  <c r="Y30" i="14"/>
  <c r="AB47" i="14"/>
  <c r="AC3" i="14"/>
  <c r="Y45" i="14"/>
  <c r="AA28" i="14"/>
  <c r="AC18" i="14"/>
  <c r="AC23" i="14"/>
  <c r="AB54" i="14"/>
  <c r="AA7" i="14"/>
  <c r="AA44" i="14"/>
  <c r="AA20" i="14"/>
  <c r="AB25" i="14"/>
  <c r="AC5" i="14"/>
  <c r="AA32" i="14"/>
  <c r="Y52" i="14"/>
  <c r="AB48" i="14"/>
  <c r="AB44" i="14"/>
  <c r="AB20" i="14"/>
  <c r="Z50" i="14"/>
  <c r="AC36" i="14"/>
  <c r="Y39" i="14"/>
  <c r="AC14" i="14"/>
  <c r="AA41" i="14"/>
  <c r="AA54" i="14"/>
  <c r="Z48" i="14"/>
  <c r="AA11" i="14"/>
  <c r="AA57" i="14"/>
  <c r="Z6" i="14"/>
  <c r="AC24" i="14"/>
  <c r="Z16" i="14"/>
  <c r="Y49" i="14"/>
  <c r="Y35" i="14"/>
  <c r="AA39" i="14"/>
  <c r="AC9" i="14"/>
  <c r="Y4" i="14"/>
  <c r="Z51" i="14"/>
  <c r="AC58" i="14"/>
  <c r="AC34" i="14"/>
  <c r="Y11" i="14"/>
  <c r="AC57" i="14"/>
  <c r="AB6" i="14"/>
  <c r="AB24" i="14"/>
  <c r="Y31" i="14"/>
  <c r="AC38" i="14"/>
  <c r="Y17" i="14"/>
  <c r="AC12" i="14"/>
  <c r="AB51" i="14"/>
  <c r="Z15" i="14"/>
  <c r="AA34" i="14"/>
  <c r="AA19" i="14"/>
  <c r="Z27" i="14"/>
  <c r="Y6" i="14"/>
  <c r="AA24" i="14"/>
  <c r="AB3" i="14"/>
  <c r="AA35" i="14"/>
  <c r="Z45" i="14"/>
  <c r="Z9" i="14"/>
  <c r="Z18" i="14"/>
  <c r="AC55" i="14"/>
  <c r="AA15" i="14"/>
  <c r="Y34" i="14"/>
  <c r="AA33" i="14"/>
  <c r="Z19" i="14"/>
  <c r="AA27" i="14"/>
  <c r="AB21" i="14"/>
  <c r="Z25" i="14"/>
  <c r="AC31" i="14"/>
  <c r="AC35" i="14"/>
  <c r="AC17" i="14"/>
  <c r="Z12" i="14"/>
  <c r="AB15" i="14"/>
  <c r="AC33" i="14"/>
  <c r="AC19" i="14"/>
  <c r="Z26" i="14"/>
  <c r="AC30" i="14"/>
  <c r="Z24" i="14"/>
  <c r="AC39" i="14"/>
  <c r="AA12" i="14"/>
  <c r="AA58" i="14"/>
  <c r="AB11" i="14"/>
  <c r="AB27" i="14"/>
  <c r="AA21" i="14"/>
  <c r="AA47" i="14"/>
  <c r="Z37" i="14"/>
  <c r="Y36" i="14"/>
  <c r="Y14" i="14"/>
  <c r="AA22" i="14"/>
  <c r="Y10" i="14"/>
  <c r="AB26" i="14"/>
  <c r="AA30" i="14"/>
  <c r="AA31" i="14"/>
  <c r="Y51" i="14"/>
  <c r="Y24" i="14"/>
  <c r="AB50" i="14"/>
  <c r="AB37" i="14"/>
  <c r="Z13" i="14"/>
  <c r="Y59" i="14"/>
  <c r="AB56" i="14"/>
  <c r="Z4" i="14"/>
  <c r="AA48" i="14"/>
  <c r="Y42" i="14"/>
  <c r="AB28" i="14"/>
  <c r="AB34" i="14"/>
  <c r="Y53" i="14"/>
  <c r="AC56" i="14"/>
  <c r="Z57" i="14"/>
  <c r="Y12" i="14"/>
  <c r="AA6" i="14"/>
  <c r="Z32" i="14"/>
  <c r="AA51" i="14"/>
  <c r="Z34" i="14"/>
  <c r="Y21" i="14"/>
  <c r="AC13" i="14"/>
  <c r="Z56" i="14"/>
  <c r="Y15" i="14"/>
  <c r="AC25" i="14"/>
  <c r="AA13" i="14"/>
  <c r="AB42" i="14"/>
  <c r="AB40" i="14"/>
  <c r="Y55" i="14"/>
  <c r="AC27" i="14"/>
  <c r="Y47" i="14"/>
  <c r="AB49" i="14"/>
  <c r="AC51" i="14"/>
  <c r="Y43" i="14"/>
  <c r="W5" i="14" l="1"/>
  <c r="W31" i="14"/>
  <c r="W47" i="14"/>
  <c r="W53" i="14"/>
  <c r="W24" i="14"/>
  <c r="W25" i="14"/>
  <c r="W46" i="14"/>
  <c r="W30" i="14"/>
  <c r="W20" i="14"/>
  <c r="W6" i="14"/>
  <c r="W21" i="14"/>
  <c r="W43" i="14"/>
  <c r="W26" i="14"/>
  <c r="W42" i="14"/>
  <c r="W57" i="14"/>
  <c r="W27" i="14"/>
  <c r="W44" i="14"/>
  <c r="W8" i="14"/>
  <c r="W19" i="14"/>
  <c r="W11" i="14"/>
  <c r="W33" i="14"/>
  <c r="W7" i="14"/>
  <c r="W10" i="14"/>
  <c r="W34" i="14"/>
  <c r="W48" i="14"/>
  <c r="W29" i="14"/>
  <c r="W15" i="14"/>
  <c r="W58" i="14"/>
  <c r="W54" i="14"/>
  <c r="W55" i="14"/>
  <c r="W22" i="14"/>
  <c r="W51" i="14"/>
  <c r="W23" i="14"/>
  <c r="W41" i="14"/>
  <c r="W12" i="14"/>
  <c r="W52" i="14"/>
  <c r="W4" i="14"/>
  <c r="W18" i="14"/>
  <c r="W14" i="14"/>
  <c r="W17" i="14"/>
  <c r="W28" i="14"/>
  <c r="W9" i="14"/>
  <c r="W56" i="14"/>
  <c r="W39" i="14"/>
  <c r="W45" i="14"/>
  <c r="W32" i="14"/>
  <c r="W38" i="14"/>
  <c r="W35" i="14"/>
  <c r="W59" i="14"/>
  <c r="W36" i="14"/>
  <c r="W40" i="14"/>
  <c r="W49" i="14"/>
  <c r="W3" i="14"/>
  <c r="W13" i="14"/>
  <c r="W16" i="14"/>
  <c r="W37" i="14"/>
  <c r="W50" i="14"/>
  <c r="Y60" i="14" l="1"/>
  <c r="D15" i="1"/>
  <c r="C23" i="1"/>
  <c r="D16" i="1"/>
  <c r="D23" i="1"/>
  <c r="D27" i="1"/>
  <c r="C24" i="1"/>
  <c r="D24" i="1"/>
  <c r="AD2" i="14" a="1"/>
  <c r="D25" i="1"/>
  <c r="AD54" i="14" l="1"/>
  <c r="AD57" i="14"/>
  <c r="AD22" i="14"/>
  <c r="AD31" i="14"/>
  <c r="AD28" i="14"/>
  <c r="AD55" i="14"/>
  <c r="AD37" i="14"/>
  <c r="AD3" i="14"/>
  <c r="AD35" i="14"/>
  <c r="AD38" i="14"/>
  <c r="AD18" i="14"/>
  <c r="AD9" i="14"/>
  <c r="AD19" i="14"/>
  <c r="AD51" i="14"/>
  <c r="AD59" i="14"/>
  <c r="AD45" i="14"/>
  <c r="AD47" i="14"/>
  <c r="AD8" i="14"/>
  <c r="AD25" i="14"/>
  <c r="AD50" i="14"/>
  <c r="AD2" i="14"/>
  <c r="AD12" i="14"/>
  <c r="AD58" i="14"/>
  <c r="AD21" i="14"/>
  <c r="AD56" i="14"/>
  <c r="AD44" i="14"/>
  <c r="AD32" i="14"/>
  <c r="AD42" i="14"/>
  <c r="AD33" i="14"/>
  <c r="AD24" i="14"/>
  <c r="AD36" i="14"/>
  <c r="AD5" i="14"/>
  <c r="AD27" i="14"/>
  <c r="AD11" i="14"/>
  <c r="AD26" i="14"/>
  <c r="AD52" i="14"/>
  <c r="AD15" i="14"/>
  <c r="AD39" i="14"/>
  <c r="AD48" i="14"/>
  <c r="AD16" i="14"/>
  <c r="AD46" i="14"/>
  <c r="AD14" i="14"/>
  <c r="AD29" i="14"/>
  <c r="AD4" i="14"/>
  <c r="AD23" i="14"/>
  <c r="AD17" i="14"/>
  <c r="AD43" i="14"/>
  <c r="AD49" i="14"/>
  <c r="AD10" i="14"/>
  <c r="AD34" i="14"/>
  <c r="AD30" i="14"/>
  <c r="AD13" i="14"/>
  <c r="AD41" i="14"/>
  <c r="AD53" i="14"/>
  <c r="AD40" i="14"/>
  <c r="AD20" i="14"/>
  <c r="AD7" i="14"/>
  <c r="AD6" i="14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<sst xmlns="http://schemas.openxmlformats.org/spreadsheetml/2006/main" count="1600" uniqueCount="160">
  <si>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</si>
  <si>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</si>
  <si>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</si>
  <si>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</si>
  <si>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</si>
  <si>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</si>
  <si>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</si>
  <si>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</si>
  <si>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</si>
  <si>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</si>
  <si>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</si>
  <si>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</si>
  <si>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</si>
  <si>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</si>
  <si>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</si>
  <si>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</si>
  <si>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</si>
  <si>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</si>
  <si>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</si>
  <si>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</si>
  <si>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</si>
  <si>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</si>
  <si>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</si>
  <si>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</si>
  <si>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</si>
  <si>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</si>
  <si>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</si>
  <si>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</si>
  <si>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</si>
  <si>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</si>
  <si>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</si>
  <si>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</si>
  <si>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</si>
  <si>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</si>
  <si>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</si>
  <si>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</si>
  <si>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</si>
  <si>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</si>
  <si>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</si>
  <si>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</si>
  <si>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</si>
  <si>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</si>
  <si>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</si>
  <si>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</si>
  <si>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</si>
  <si>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</si>
  <si>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</si>
  <si>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</si>
  <si>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</si>
  <si>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</si>
  <si>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</si>
  <si>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</si>
  <si>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</si>
  <si>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</si>
  <si>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</si>
  <si>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</si>
  <si>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</si>
  <si>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</si>
  <si>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</si>
  <si>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</si>
  <si>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</si>
  <si>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</si>
  <si>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</si>
  <si>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</si>
  <si>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</si>
  <si>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</si>
  <si>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</si>
  <si>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</si>
  <si>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</si>
  <si>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</si>
  <si>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</si>
  <si>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</si>
  <si>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</si>
  <si>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</si>
  <si>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</si>
  <si>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</si>
  <si>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</si>
  <si>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</si>
  <si>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</si>
  <si>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</si>
  <si>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</si>
  <si>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</si>
  <si>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</si>
  <si>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</si>
  <si>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</si>
  <si>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</si>
  <si>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</si>
  <si>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</si>
  <si>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</si>
  <si>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</si>
  <si>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</si>
  <si>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</si>
  <si>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</si>
  <si>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</si>
  <si>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</si>
  <si>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</si>
  <si>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</si>
  <si>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</si>
  <si>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</si>
  <si>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</si>
  <si>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</si>
  <si>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</si>
  <si>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</si>
  <si>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</si>
  <si>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</si>
  <si>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</si>
  <si>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</si>
  <si>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</si>
  <si>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</si>
  <si>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</si>
  <si>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</si>
  <si>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</si>
  <si>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</si>
  <si>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</si>
  <si>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</si>
  <si>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</si>
  <si>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</si>
  <si>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</si>
  <si>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</si>
  <si>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</si>
  <si>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</si>
  <si>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</si>
  <si>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</si>
  <si>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</si>
  <si>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</si>
  <si>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</si>
  <si>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</si>
  <si>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</si>
  <si>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</si>
  <si>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</si>
  <si>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</si>
  <si>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</si>
  <si>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</si>
  <si>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</si>
  <si>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</si>
  <si>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</si>
  <si>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</si>
  <si>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</si>
  <si>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</si>
  <si>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</si>
  <si>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</si>
  <si>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</si>
  <si>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</si>
  <si>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</si>
  <si>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</si>
  <si>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</si>
  <si>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</si>
  <si>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55Y</t>
  </si>
  <si>
    <t>6L</t>
  </si>
  <si>
    <t>1L</t>
  </si>
  <si>
    <t>BasSw</t>
  </si>
  <si>
    <t>12L</t>
  </si>
  <si>
    <t>Extrapolation</t>
  </si>
  <si>
    <t>NullCalendar</t>
  </si>
  <si>
    <t>CurveCalendar</t>
  </si>
  <si>
    <t>FirstLiborFixingDate</t>
  </si>
  <si>
    <t>LiborSettlementDate</t>
  </si>
  <si>
    <t>Instruments List</t>
  </si>
  <si>
    <t>CheckExtrapolation</t>
  </si>
  <si>
    <t>AM1L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</si>
</sst>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_-;\-* #,##0.00_-;_-* &quot;-&quot;??_-;_-@_-"/>
    <numFmt numFmtId="165" formatCode="&quot;£&quot;#,##0;[Red]\-&quot;£&quot;#,##0"/>
    <numFmt numFmtId="166" formatCode="mm/dd/yy;@"/>
    <numFmt numFmtId="167" formatCode="0.0000%"/>
    <numFmt numFmtId="168" formatCode="0.00000%"/>
    <numFmt numFmtId="169" formatCode="ddd\,\ dd\-mmm\-yyyy"/>
    <numFmt numFmtId="170" formatCode="ddd\,\ dd\-mmm\-yyyy\,\ hh:mm:ss"/>
    <numFmt numFmtId="171" formatCode="ddd\,\ d\-mmm\-yy"/>
    <numFmt numFmtId="172" formatCode="ddd\,\ d\-mmm\-yyyy"/>
    <numFmt numFmtId="173" formatCode="0.000000000"/>
    <numFmt numFmtId="174" formatCode="ddd\,\ d\-mmm\-yyyy\,\ hh:mm:ss"/>
    <numFmt numFmtId="175" formatCode="0.000000"/>
    <numFmt numFmtId="176" formatCode="_([$€-2]* #,##0.00_);_([$€-2]* \(#,##0.00\);_([$€-2]* &quot;-&quot;??_)"/>
    <numFmt numFmtId="177" formatCode="General_)"/>
    <numFmt numFmtId="178" formatCode="#,##0.0;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7" fontId="7" fillId="0" borderId="0"/>
    <xf numFmtId="178" fontId="8" fillId="5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203">
    <xf numFmtId="0" fontId="0" fillId="0" borderId="0" xfId="0"/>
    <xf numFmtId="166" fontId="3" fillId="2" borderId="1" xfId="1" applyNumberFormat="1" applyFont="1" applyFill="1" applyBorder="1" applyAlignment="1"/>
    <xf numFmtId="168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9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right"/>
    </xf>
    <xf numFmtId="166" fontId="3" fillId="2" borderId="1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 applyAlignment="1">
      <alignment horizontal="center" vertical="center"/>
    </xf>
    <xf numFmtId="169" fontId="5" fillId="0" borderId="1" xfId="0" applyNumberFormat="1" applyFont="1" applyBorder="1"/>
    <xf numFmtId="0" fontId="3" fillId="7" borderId="8" xfId="1" applyFont="1" applyFill="1" applyBorder="1"/>
    <xf numFmtId="169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9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4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4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4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1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70" fontId="3" fillId="2" borderId="0" xfId="3" applyNumberFormat="1" applyFont="1" applyFill="1" applyBorder="1" applyAlignment="1">
      <alignment horizontal="center"/>
    </xf>
    <xf numFmtId="172" fontId="3" fillId="2" borderId="8" xfId="1" applyNumberFormat="1" applyFont="1" applyFill="1" applyBorder="1" applyAlignment="1">
      <alignment horizontal="right"/>
    </xf>
    <xf numFmtId="173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right"/>
    </xf>
    <xf numFmtId="173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70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6" fontId="3" fillId="2" borderId="8" xfId="1" applyNumberFormat="1" applyFont="1" applyFill="1" applyBorder="1" applyAlignment="1"/>
    <xf numFmtId="166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6" fontId="3" fillId="2" borderId="8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/>
    <xf numFmtId="166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5" fontId="3" fillId="7" borderId="12" xfId="0" applyNumberFormat="1" applyFont="1" applyFill="1" applyBorder="1" applyAlignment="1">
      <alignment horizontal="centerContinuous" vertical="center"/>
    </xf>
    <xf numFmtId="167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5" fontId="3" fillId="7" borderId="2" xfId="0" applyNumberFormat="1" applyFont="1" applyFill="1" applyBorder="1" applyAlignment="1">
      <alignment horizontal="center" vertical="center" wrapText="1"/>
    </xf>
    <xf numFmtId="173" fontId="5" fillId="0" borderId="8" xfId="0" applyNumberFormat="1" applyFont="1" applyBorder="1"/>
    <xf numFmtId="173" fontId="5" fillId="0" borderId="6" xfId="0" applyNumberFormat="1" applyFont="1" applyBorder="1"/>
    <xf numFmtId="173" fontId="5" fillId="0" borderId="1" xfId="0" applyNumberFormat="1" applyFont="1" applyBorder="1"/>
    <xf numFmtId="167" fontId="5" fillId="0" borderId="1" xfId="0" applyNumberFormat="1" applyFont="1" applyBorder="1"/>
    <xf numFmtId="173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9" fontId="3" fillId="2" borderId="3" xfId="1" applyNumberFormat="1" applyFont="1" applyFill="1" applyBorder="1" applyAlignment="1">
      <alignment horizontal="center"/>
    </xf>
    <xf numFmtId="169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4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9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6" fontId="3" fillId="2" borderId="2" xfId="1" applyNumberFormat="1" applyFont="1" applyFill="1" applyBorder="1" applyAlignment="1"/>
    <xf numFmtId="166" fontId="3" fillId="2" borderId="2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8" fontId="3" fillId="3" borderId="2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horizontal="left"/>
    </xf>
    <xf numFmtId="168" fontId="3" fillId="3" borderId="1" xfId="1" applyNumberFormat="1" applyFont="1" applyFill="1" applyBorder="1" applyAlignment="1">
      <alignment horizontal="left"/>
    </xf>
    <xf numFmtId="166" fontId="3" fillId="10" borderId="2" xfId="1" applyNumberFormat="1" applyFont="1" applyFill="1" applyBorder="1" applyAlignment="1">
      <alignment horizontal="center" vertical="center"/>
    </xf>
    <xf numFmtId="166" fontId="3" fillId="10" borderId="6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/>
    </xf>
    <xf numFmtId="166" fontId="3" fillId="10" borderId="8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vertical="center"/>
    </xf>
    <xf numFmtId="168" fontId="3" fillId="3" borderId="1" xfId="1" applyNumberFormat="1" applyFont="1" applyFill="1" applyBorder="1" applyAlignment="1">
      <alignment vertical="center"/>
    </xf>
    <xf numFmtId="174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6" fontId="3" fillId="2" borderId="16" xfId="1" applyNumberFormat="1" applyFont="1" applyFill="1" applyBorder="1" applyAlignment="1"/>
    <xf numFmtId="166" fontId="3" fillId="2" borderId="16" xfId="1" applyNumberFormat="1" applyFont="1" applyFill="1" applyBorder="1" applyAlignment="1">
      <alignment horizontal="right" vertical="center"/>
    </xf>
    <xf numFmtId="166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8" fontId="3" fillId="3" borderId="16" xfId="1" applyNumberFormat="1" applyFont="1" applyFill="1" applyBorder="1" applyAlignment="1">
      <alignment horizontal="left"/>
    </xf>
    <xf numFmtId="166" fontId="3" fillId="2" borderId="17" xfId="1" applyNumberFormat="1" applyFont="1" applyFill="1" applyBorder="1" applyAlignment="1"/>
    <xf numFmtId="166" fontId="3" fillId="2" borderId="17" xfId="1" applyNumberFormat="1" applyFont="1" applyFill="1" applyBorder="1" applyAlignment="1">
      <alignment horizontal="right" vertical="center"/>
    </xf>
    <xf numFmtId="166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8" fontId="3" fillId="3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5" fillId="3" borderId="0" xfId="0" applyFont="1" applyFill="1"/>
    <xf numFmtId="166" fontId="5" fillId="11" borderId="6" xfId="0" applyNumberFormat="1" applyFont="1" applyFill="1" applyBorder="1"/>
    <xf numFmtId="168" fontId="5" fillId="11" borderId="6" xfId="0" applyNumberFormat="1" applyFont="1" applyFill="1" applyBorder="1" applyAlignment="1">
      <alignment horizontal="center"/>
    </xf>
    <xf numFmtId="167" fontId="5" fillId="11" borderId="6" xfId="0" applyNumberFormat="1" applyFont="1" applyFill="1" applyBorder="1" applyAlignment="1">
      <alignment horizontal="center"/>
    </xf>
    <xf numFmtId="167" fontId="5" fillId="12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167" fontId="5" fillId="12" borderId="6" xfId="0" applyNumberFormat="1" applyFont="1" applyFill="1" applyBorder="1" applyAlignment="1">
      <alignment horizontal="center"/>
    </xf>
    <xf numFmtId="166" fontId="5" fillId="11" borderId="1" xfId="0" applyNumberFormat="1" applyFont="1" applyFill="1" applyBorder="1"/>
    <xf numFmtId="0" fontId="5" fillId="11" borderId="1" xfId="0" applyFont="1" applyFill="1" applyBorder="1" applyAlignment="1">
      <alignment horizontal="center"/>
    </xf>
    <xf numFmtId="167" fontId="5" fillId="11" borderId="1" xfId="0" applyNumberFormat="1" applyFont="1" applyFill="1" applyBorder="1" applyAlignment="1">
      <alignment horizontal="center"/>
    </xf>
    <xf numFmtId="167" fontId="5" fillId="12" borderId="1" xfId="0" applyNumberFormat="1" applyFont="1" applyFill="1" applyBorder="1" applyAlignment="1">
      <alignment horizontal="center"/>
    </xf>
    <xf numFmtId="168" fontId="5" fillId="0" borderId="6" xfId="0" applyNumberFormat="1" applyFont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166" fontId="5" fillId="11" borderId="8" xfId="0" applyNumberFormat="1" applyFont="1" applyFill="1" applyBorder="1"/>
    <xf numFmtId="168" fontId="5" fillId="11" borderId="8" xfId="0" applyNumberFormat="1" applyFont="1" applyFill="1" applyBorder="1" applyAlignment="1"/>
    <xf numFmtId="167" fontId="5" fillId="11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/>
    <xf numFmtId="0" fontId="5" fillId="11" borderId="1" xfId="0" applyFont="1" applyFill="1" applyBorder="1" applyAlignment="1"/>
    <xf numFmtId="164" fontId="5" fillId="11" borderId="8" xfId="0" applyNumberFormat="1" applyFont="1" applyFill="1" applyBorder="1" applyAlignment="1">
      <alignment horizontal="center"/>
    </xf>
    <xf numFmtId="164" fontId="5" fillId="11" borderId="6" xfId="0" applyNumberFormat="1" applyFont="1" applyFill="1" applyBorder="1" applyAlignment="1">
      <alignment horizontal="center"/>
    </xf>
    <xf numFmtId="164" fontId="5" fillId="11" borderId="1" xfId="0" applyNumberFormat="1" applyFont="1" applyFill="1" applyBorder="1" applyAlignment="1">
      <alignment horizontal="center"/>
    </xf>
    <xf numFmtId="166" fontId="5" fillId="11" borderId="8" xfId="0" applyNumberFormat="1" applyFont="1" applyFill="1" applyBorder="1" applyAlignment="1"/>
    <xf numFmtId="0" fontId="3" fillId="3" borderId="6" xfId="1" applyNumberFormat="1" applyFont="1" applyFill="1" applyBorder="1" applyAlignment="1">
      <alignment horizontal="center"/>
    </xf>
    <xf numFmtId="166" fontId="5" fillId="11" borderId="6" xfId="0" applyNumberFormat="1" applyFont="1" applyFill="1" applyBorder="1" applyAlignment="1"/>
    <xf numFmtId="0" fontId="3" fillId="9" borderId="1" xfId="1" applyNumberFormat="1" applyFont="1" applyFill="1" applyBorder="1" applyAlignment="1">
      <alignment horizontal="center"/>
    </xf>
    <xf numFmtId="0" fontId="5" fillId="3" borderId="2" xfId="0" applyFont="1" applyFill="1" applyBorder="1"/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10" borderId="8" xfId="1" applyNumberFormat="1" applyFont="1" applyFill="1" applyBorder="1" applyAlignment="1">
      <alignment horizontal="center" vertical="center"/>
    </xf>
    <xf numFmtId="168" fontId="3" fillId="10" borderId="8" xfId="1" applyNumberFormat="1" applyFont="1" applyFill="1" applyBorder="1" applyAlignment="1">
      <alignment horizontal="right"/>
    </xf>
    <xf numFmtId="168" fontId="3" fillId="10" borderId="1" xfId="1" applyNumberFormat="1" applyFont="1" applyFill="1" applyBorder="1" applyAlignment="1">
      <alignment horizontal="right"/>
    </xf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168" fontId="3" fillId="10" borderId="6" xfId="1" applyNumberFormat="1" applyFont="1" applyFill="1" applyBorder="1" applyAlignment="1">
      <alignment horizontal="righ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60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8" customWidth="1"/>
    <col min="3" max="3" width="20.28515625" style="48" bestFit="1" customWidth="1"/>
    <col min="4" max="4" width="30.7109375" style="48" customWidth="1"/>
    <col min="5" max="7" width="2.7109375" style="48" customWidth="1"/>
    <col min="8" max="8" width="20.28515625" style="48" bestFit="1" customWidth="1"/>
    <col min="9" max="9" width="30.7109375" style="48" customWidth="1"/>
    <col min="10" max="10" width="2.7109375" style="48" customWidth="1"/>
    <col min="11" max="13" width="9.140625" style="48"/>
    <col min="14" max="14" width="9.7109375" style="48" bestFit="1" customWidth="1"/>
    <col min="15" max="16384" width="9.140625" style="48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1" t="s">
        <v>21</v>
      </c>
      <c r="D3" s="80" t="s">
        <v>35</v>
      </c>
      <c r="E3" s="86"/>
      <c r="G3" s="88"/>
      <c r="H3" s="11" t="s">
        <v>30</v>
      </c>
      <c r="I3" s="12">
        <f>_xll.qlSettingsEvaluationDate(Trigger)</f>
        <v>42641</v>
      </c>
      <c r="J3" s="86"/>
    </row>
    <row r="4" spans="1:10" ht="11.25" customHeight="1" x14ac:dyDescent="0.2">
      <c r="B4" s="88"/>
      <c r="C4" s="13" t="s">
        <v>18</v>
      </c>
      <c r="D4" s="15" t="b">
        <v>1</v>
      </c>
      <c r="E4" s="86"/>
      <c r="G4" s="88"/>
      <c r="H4" s="17" t="s">
        <v>31</v>
      </c>
      <c r="I4" s="81">
        <f>_xll.qlCalendarAdvance(LocalCalendar,Evaluationdate,"2D","F",,Trigger)</f>
        <v>42643</v>
      </c>
      <c r="J4" s="86"/>
    </row>
    <row r="5" spans="1:10" ht="11.25" customHeight="1" x14ac:dyDescent="0.2">
      <c r="A5" s="50"/>
      <c r="B5" s="89"/>
      <c r="C5" s="19" t="s">
        <v>17</v>
      </c>
      <c r="D5" s="20"/>
      <c r="E5" s="86"/>
      <c r="G5" s="88"/>
      <c r="H5" s="11" t="s">
        <v>155</v>
      </c>
      <c r="I5" s="12">
        <f>_xll.qlCalendarAdjust(LiborCalendar,Evaluationdate,,Trigger)</f>
        <v>42641</v>
      </c>
      <c r="J5" s="86"/>
    </row>
    <row r="6" spans="1:10" ht="11.25" customHeight="1" x14ac:dyDescent="0.2">
      <c r="A6" s="50"/>
      <c r="B6" s="89"/>
      <c r="C6" s="13" t="s">
        <v>19</v>
      </c>
      <c r="D6" s="15" t="b">
        <v>1</v>
      </c>
      <c r="E6" s="86"/>
      <c r="G6" s="88"/>
      <c r="H6" s="17" t="s">
        <v>156</v>
      </c>
      <c r="I6" s="81">
        <f>_xll.qlCalendarAdjust(JoinCalendar,_xll.qlCalendarAdvance(LiborCalendar,I5,"2D","F",,Trigger),,Trigger)</f>
        <v>42643</v>
      </c>
      <c r="J6" s="86"/>
    </row>
    <row r="7" spans="1:10" ht="11.25" customHeight="1" x14ac:dyDescent="0.2">
      <c r="A7" s="50"/>
      <c r="B7" s="89"/>
      <c r="C7" s="13" t="s">
        <v>20</v>
      </c>
      <c r="D7" s="16" t="str">
        <f>Currency&amp;"ON"</f>
        <v>USDON</v>
      </c>
      <c r="E7" s="86"/>
      <c r="G7" s="88"/>
      <c r="H7" s="13" t="s">
        <v>36</v>
      </c>
      <c r="I7" s="14" t="s">
        <v>37</v>
      </c>
      <c r="J7" s="86"/>
    </row>
    <row r="8" spans="1:10" ht="11.25" customHeight="1" x14ac:dyDescent="0.2">
      <c r="A8" s="50"/>
      <c r="B8" s="89"/>
      <c r="C8" s="13" t="s">
        <v>42</v>
      </c>
      <c r="D8" s="16" t="s">
        <v>43</v>
      </c>
      <c r="E8" s="86"/>
      <c r="G8" s="88"/>
      <c r="H8" s="13" t="s">
        <v>38</v>
      </c>
      <c r="I8" s="14" t="s">
        <v>44</v>
      </c>
      <c r="J8" s="86"/>
    </row>
    <row r="9" spans="1:10" ht="11.25" customHeight="1" x14ac:dyDescent="0.2">
      <c r="A9" s="50"/>
      <c r="B9" s="89"/>
      <c r="C9" s="17" t="s">
        <v>99</v>
      </c>
      <c r="D9" s="18" t="s">
        <v>100</v>
      </c>
      <c r="E9" s="86"/>
      <c r="G9" s="88"/>
      <c r="H9" s="13" t="s">
        <v>39</v>
      </c>
      <c r="I9" s="14" t="s">
        <v>40</v>
      </c>
      <c r="J9" s="86" t="s">
        <v>45</v>
      </c>
    </row>
    <row r="10" spans="1:10" ht="11.25" customHeight="1" x14ac:dyDescent="0.2">
      <c r="B10" s="90"/>
      <c r="C10" s="17" t="s">
        <v>104</v>
      </c>
      <c r="D10" s="147" t="s">
        <v>105</v>
      </c>
      <c r="E10" s="86"/>
      <c r="G10" s="88"/>
      <c r="H10" s="13" t="s">
        <v>41</v>
      </c>
      <c r="I10" s="82" t="str">
        <f>I7&amp;"("&amp;I8&amp;","&amp;I9&amp;")"</f>
        <v>JoinHolidays(UnitedKingdom::Exchange,UnitedStates::Settlement)</v>
      </c>
      <c r="J10" s="86"/>
    </row>
    <row r="11" spans="1:10" ht="11.25" customHeight="1" x14ac:dyDescent="0.2">
      <c r="B11" s="90"/>
      <c r="C11" s="161"/>
      <c r="D11" s="161"/>
      <c r="E11" s="86"/>
      <c r="G11" s="88"/>
      <c r="H11" s="19" t="s">
        <v>154</v>
      </c>
      <c r="I11" s="96" t="s">
        <v>153</v>
      </c>
      <c r="J11" s="86"/>
    </row>
    <row r="12" spans="1:10" ht="11.25" customHeight="1" x14ac:dyDescent="0.2">
      <c r="B12" s="91"/>
      <c r="C12" s="92"/>
      <c r="D12" s="93"/>
      <c r="E12" s="87"/>
      <c r="G12" s="94"/>
      <c r="H12" s="92"/>
      <c r="I12" s="95"/>
      <c r="J12" s="87"/>
    </row>
    <row r="13" spans="1:10" ht="11.25" customHeight="1" x14ac:dyDescent="0.2"/>
    <row r="14" spans="1:10" x14ac:dyDescent="0.2">
      <c r="B14" s="37"/>
      <c r="C14" s="38"/>
      <c r="D14" s="38"/>
      <c r="E14" s="39"/>
      <c r="G14" s="37"/>
      <c r="H14" s="38"/>
      <c r="I14" s="38"/>
      <c r="J14" s="39"/>
    </row>
    <row r="15" spans="1:10" x14ac:dyDescent="0.2">
      <c r="B15" s="22"/>
      <c r="C15" s="21" t="s">
        <v>10</v>
      </c>
      <c r="D15" s="41" t="str">
        <f>_xll.qlPiecewiseYieldCurve($D$17,$D$18,LocalCalendar,_xll.ohPack(USDON!X3:X56),,,,D19,D20,D21,Permanent,,ObjectOverwrite)</f>
        <v>_USDON#0003</v>
      </c>
      <c r="E15" s="42"/>
      <c r="G15" s="22"/>
      <c r="H15" s="21" t="s">
        <v>10</v>
      </c>
      <c r="I15" s="41" t="str">
        <f>_xll.qlPiecewiseYieldCurve(I17,I18,CurveCalendar,_xll.ohPack(USD3M!X3:X88),,,,I19,I20,I21,Permanent,,ObjectOverwrite)</f>
        <v>_USD3M#0003</v>
      </c>
      <c r="J15" s="42"/>
    </row>
    <row r="16" spans="1:10" x14ac:dyDescent="0.2">
      <c r="B16" s="22"/>
      <c r="C16" s="23" t="s">
        <v>11</v>
      </c>
      <c r="D16" s="43" t="str">
        <f>_xll.ohRangeRetrieveError(YieldCurve_ON)</f>
        <v/>
      </c>
      <c r="E16" s="42"/>
      <c r="G16" s="22"/>
      <c r="H16" s="23" t="s">
        <v>11</v>
      </c>
      <c r="I16" s="43" t="str">
        <f>_xll.ohRangeRetrieveError(YieldCurve_3M)</f>
        <v/>
      </c>
      <c r="J16" s="42"/>
    </row>
    <row r="17" spans="1:10" x14ac:dyDescent="0.2">
      <c r="B17" s="22"/>
      <c r="C17" s="21" t="s">
        <v>12</v>
      </c>
      <c r="D17" s="24" t="str">
        <f>"_"&amp;Currency&amp;"ON"</f>
        <v>_USDON</v>
      </c>
      <c r="E17" s="42"/>
      <c r="G17" s="22"/>
      <c r="H17" s="21" t="s">
        <v>12</v>
      </c>
      <c r="I17" s="24" t="str">
        <f>"_"&amp;Currency&amp;"3M"</f>
        <v>_USD3M</v>
      </c>
      <c r="J17" s="42"/>
    </row>
    <row r="18" spans="1:10" x14ac:dyDescent="0.2">
      <c r="B18" s="22"/>
      <c r="C18" s="25" t="s">
        <v>13</v>
      </c>
      <c r="D18" s="26">
        <v>0</v>
      </c>
      <c r="E18" s="42"/>
      <c r="G18" s="22"/>
      <c r="H18" s="25" t="s">
        <v>13</v>
      </c>
      <c r="I18" s="26">
        <f>LiborSettlementDate-Evaluationdate</f>
        <v>2</v>
      </c>
      <c r="J18" s="42"/>
    </row>
    <row r="19" spans="1:10" x14ac:dyDescent="0.2">
      <c r="B19" s="22"/>
      <c r="C19" s="25" t="s">
        <v>14</v>
      </c>
      <c r="D19" s="27"/>
      <c r="E19" s="42"/>
      <c r="G19" s="22"/>
      <c r="H19" s="25" t="s">
        <v>14</v>
      </c>
      <c r="I19" s="27"/>
      <c r="J19" s="42"/>
    </row>
    <row r="20" spans="1:10" x14ac:dyDescent="0.2">
      <c r="B20" s="22"/>
      <c r="C20" s="25" t="s">
        <v>15</v>
      </c>
      <c r="D20" s="28" t="s">
        <v>32</v>
      </c>
      <c r="E20" s="42"/>
      <c r="G20" s="22"/>
      <c r="H20" s="25" t="s">
        <v>15</v>
      </c>
      <c r="I20" s="28" t="s">
        <v>32</v>
      </c>
      <c r="J20" s="42"/>
    </row>
    <row r="21" spans="1:10" x14ac:dyDescent="0.2">
      <c r="B21" s="22"/>
      <c r="C21" s="23" t="s">
        <v>16</v>
      </c>
      <c r="D21" s="29" t="s">
        <v>46</v>
      </c>
      <c r="E21" s="42"/>
      <c r="G21" s="22"/>
      <c r="H21" s="23" t="s">
        <v>16</v>
      </c>
      <c r="I21" s="29" t="s">
        <v>46</v>
      </c>
      <c r="J21" s="42"/>
    </row>
    <row r="22" spans="1:10" x14ac:dyDescent="0.2">
      <c r="B22" s="22"/>
      <c r="C22" s="30"/>
      <c r="D22" s="30"/>
      <c r="E22" s="42"/>
      <c r="G22" s="22"/>
      <c r="H22" s="30"/>
      <c r="I22" s="30"/>
      <c r="J22" s="42"/>
    </row>
    <row r="23" spans="1:10" x14ac:dyDescent="0.2">
      <c r="B23" s="22"/>
      <c r="C23" s="31">
        <f>_xll.qlTermStructureReferenceDate(YieldCurve_ON)</f>
        <v>42641</v>
      </c>
      <c r="D23" s="32">
        <f>_xll.qlYieldTSDiscount(YieldCurve_ON,C23,,Trigger)</f>
        <v>1</v>
      </c>
      <c r="E23" s="42"/>
      <c r="G23" s="22"/>
      <c r="H23" s="31">
        <f>_xll.qlTermStructureReferenceDate(YieldCurve_3M)</f>
        <v>42643</v>
      </c>
      <c r="I23" s="32">
        <f>_xll.qlYieldTSDiscount(YieldCurve_3M,H23,,Trigger)</f>
        <v>1</v>
      </c>
      <c r="J23" s="42"/>
    </row>
    <row r="24" spans="1:10" x14ac:dyDescent="0.2">
      <c r="B24" s="22"/>
      <c r="C24" s="33">
        <f>_xll.qlTermStructureMaxDate(YieldCurve_ON,Trigger)</f>
        <v>60905</v>
      </c>
      <c r="D24" s="34">
        <f>_xll.qlYieldTSDiscount(YieldCurve_ON,C24,,Trigger)</f>
        <v>0.51175671795162714</v>
      </c>
      <c r="E24" s="42"/>
      <c r="G24" s="22"/>
      <c r="H24" s="33">
        <f>_xll.qlTermStructureMaxDate(YieldCurve_3M,Trigger)</f>
        <v>60905</v>
      </c>
      <c r="I24" s="34">
        <f>_xll.qlYieldTSDiscount(YieldCurve_3M,H24,,Trigger)</f>
        <v>0.4145186720142644</v>
      </c>
      <c r="J24" s="42"/>
    </row>
    <row r="25" spans="1:10" x14ac:dyDescent="0.2">
      <c r="B25" s="22"/>
      <c r="C25" s="33" t="str">
        <f>[1]Libor!$D$6</f>
        <v>USDON#0000</v>
      </c>
      <c r="D25" s="34" t="b">
        <f>_xll.qlRelinkableHandleLinkTo(C25,D15,Trigger)</f>
        <v>1</v>
      </c>
      <c r="E25" s="42"/>
      <c r="G25" s="22"/>
      <c r="H25" s="33" t="str">
        <f>[1]Libor!$D$10</f>
        <v>USD3M#0000</v>
      </c>
      <c r="I25" s="34" t="b">
        <f>_xll.qlRelinkableHandleLinkTo(H25,I15,Trigger)</f>
        <v>1</v>
      </c>
      <c r="J25" s="42"/>
    </row>
    <row r="26" spans="1:10" x14ac:dyDescent="0.2">
      <c r="B26" s="22"/>
      <c r="C26" s="35" t="s">
        <v>152</v>
      </c>
      <c r="D26" s="36" t="b">
        <v>1</v>
      </c>
      <c r="E26" s="42"/>
      <c r="G26" s="22"/>
      <c r="H26" s="35" t="s">
        <v>152</v>
      </c>
      <c r="I26" s="36" t="b">
        <v>1</v>
      </c>
      <c r="J26" s="42"/>
    </row>
    <row r="27" spans="1:10" x14ac:dyDescent="0.2">
      <c r="B27" s="22"/>
      <c r="C27" s="193" t="s">
        <v>158</v>
      </c>
      <c r="D27" s="194" t="b">
        <f>_xll.qlExtrapolatorEnableExtrapolation(YieldCurve_ON,D26,Trigger)</f>
        <v>1</v>
      </c>
      <c r="E27" s="42"/>
      <c r="G27" s="22"/>
      <c r="H27" s="193" t="s">
        <v>158</v>
      </c>
      <c r="I27" s="194" t="b">
        <f>_xll.qlExtrapolatorEnableExtrapolation(YieldCurve_3M,I26,Trigger)</f>
        <v>1</v>
      </c>
      <c r="J27" s="42"/>
    </row>
    <row r="28" spans="1:10" x14ac:dyDescent="0.2">
      <c r="B28" s="44"/>
      <c r="C28" s="45"/>
      <c r="D28" s="45"/>
      <c r="E28" s="46"/>
      <c r="G28" s="44"/>
      <c r="H28" s="45"/>
      <c r="I28" s="45"/>
      <c r="J28" s="46"/>
    </row>
    <row r="29" spans="1:10" x14ac:dyDescent="0.2">
      <c r="A29" s="50"/>
      <c r="B29" s="50"/>
      <c r="C29" s="50"/>
      <c r="D29" s="50"/>
      <c r="E29" s="50"/>
      <c r="G29" s="50"/>
      <c r="H29" s="50"/>
      <c r="I29" s="50"/>
      <c r="J29" s="50"/>
    </row>
    <row r="30" spans="1:10" x14ac:dyDescent="0.2">
      <c r="B30" s="37"/>
      <c r="C30" s="47"/>
      <c r="D30" s="47"/>
      <c r="E30" s="39"/>
      <c r="F30" s="49"/>
      <c r="G30" s="37"/>
      <c r="H30" s="38"/>
      <c r="I30" s="38"/>
      <c r="J30" s="39"/>
    </row>
    <row r="31" spans="1:10" x14ac:dyDescent="0.2">
      <c r="B31" s="40"/>
      <c r="C31" s="21" t="s">
        <v>10</v>
      </c>
      <c r="D31" s="41" t="str">
        <f>_xll.qlPiecewiseYieldCurve(D33,D34,CurveCalendar,_xll.ohPack(USD6M!X3:X66),,,,D35,D36,D37,Permanent,,ObjectOverwrite)</f>
        <v>_USD6M#0003</v>
      </c>
      <c r="E31" s="42"/>
      <c r="F31" s="49"/>
      <c r="G31" s="22"/>
      <c r="H31" s="21" t="s">
        <v>10</v>
      </c>
      <c r="I31" s="41" t="str">
        <f>_xll.qlPiecewiseYieldCurve(I33,I34,CurveCalendar,_xll.ohPack(USD1M!X3:X55),,,,I35,I36,I37,Permanent,,ObjectOverwrite)</f>
        <v>_USD1M#0005</v>
      </c>
      <c r="J31" s="42"/>
    </row>
    <row r="32" spans="1:10" x14ac:dyDescent="0.2">
      <c r="B32" s="40"/>
      <c r="C32" s="23" t="s">
        <v>11</v>
      </c>
      <c r="D32" s="43" t="str">
        <f>_xll.ohRangeRetrieveError(YieldCurve_6M)</f>
        <v/>
      </c>
      <c r="E32" s="42"/>
      <c r="F32" s="49"/>
      <c r="G32" s="22"/>
      <c r="H32" s="23" t="s">
        <v>11</v>
      </c>
      <c r="I32" s="43" t="str">
        <f>_xll.ohRangeRetrieveError(YieldCurve_1M)</f>
        <v/>
      </c>
      <c r="J32" s="42"/>
    </row>
    <row r="33" spans="2:10" x14ac:dyDescent="0.2">
      <c r="B33" s="22"/>
      <c r="C33" s="21" t="s">
        <v>12</v>
      </c>
      <c r="D33" s="24" t="str">
        <f>"_"&amp;Currency&amp;"6M"</f>
        <v>_USD6M</v>
      </c>
      <c r="E33" s="42"/>
      <c r="F33" s="49"/>
      <c r="G33" s="22"/>
      <c r="H33" s="21" t="s">
        <v>12</v>
      </c>
      <c r="I33" s="24" t="str">
        <f>"_"&amp;Currency&amp;"1M"</f>
        <v>_USD1M</v>
      </c>
      <c r="J33" s="42"/>
    </row>
    <row r="34" spans="2:10" x14ac:dyDescent="0.2">
      <c r="B34" s="22"/>
      <c r="C34" s="25" t="s">
        <v>13</v>
      </c>
      <c r="D34" s="26">
        <f>LiborSettlementDate-Evaluationdate</f>
        <v>2</v>
      </c>
      <c r="E34" s="42"/>
      <c r="F34" s="49"/>
      <c r="G34" s="22"/>
      <c r="H34" s="25" t="s">
        <v>13</v>
      </c>
      <c r="I34" s="26">
        <f>LiborSettlementDate-Evaluationdate</f>
        <v>2</v>
      </c>
      <c r="J34" s="42"/>
    </row>
    <row r="35" spans="2:10" x14ac:dyDescent="0.2">
      <c r="B35" s="22"/>
      <c r="C35" s="25" t="s">
        <v>14</v>
      </c>
      <c r="D35" s="27"/>
      <c r="E35" s="42"/>
      <c r="F35" s="49"/>
      <c r="G35" s="22"/>
      <c r="H35" s="25" t="s">
        <v>14</v>
      </c>
      <c r="I35" s="27"/>
      <c r="J35" s="42"/>
    </row>
    <row r="36" spans="2:10" x14ac:dyDescent="0.2">
      <c r="B36" s="22"/>
      <c r="C36" s="25" t="s">
        <v>15</v>
      </c>
      <c r="D36" s="28" t="s">
        <v>32</v>
      </c>
      <c r="E36" s="42"/>
      <c r="F36" s="49"/>
      <c r="G36" s="22"/>
      <c r="H36" s="25" t="s">
        <v>15</v>
      </c>
      <c r="I36" s="28" t="s">
        <v>32</v>
      </c>
      <c r="J36" s="42"/>
    </row>
    <row r="37" spans="2:10" x14ac:dyDescent="0.2">
      <c r="B37" s="22"/>
      <c r="C37" s="23" t="s">
        <v>16</v>
      </c>
      <c r="D37" s="29" t="s">
        <v>46</v>
      </c>
      <c r="E37" s="42"/>
      <c r="F37" s="49"/>
      <c r="G37" s="22"/>
      <c r="H37" s="23" t="s">
        <v>16</v>
      </c>
      <c r="I37" s="29" t="s">
        <v>46</v>
      </c>
      <c r="J37" s="42"/>
    </row>
    <row r="38" spans="2:10" x14ac:dyDescent="0.2">
      <c r="B38" s="22"/>
      <c r="C38" s="30"/>
      <c r="D38" s="30"/>
      <c r="E38" s="42"/>
      <c r="F38" s="49"/>
      <c r="G38" s="22"/>
      <c r="H38" s="30"/>
      <c r="I38" s="30"/>
      <c r="J38" s="42"/>
    </row>
    <row r="39" spans="2:10" x14ac:dyDescent="0.2">
      <c r="B39" s="22"/>
      <c r="C39" s="31">
        <f>_xll.qlTermStructureReferenceDate(YieldCurve_6M)</f>
        <v>42643</v>
      </c>
      <c r="D39" s="32">
        <f>_xll.qlYieldTSDiscount(YieldCurve_6M,C39,,Trigger)</f>
        <v>1</v>
      </c>
      <c r="E39" s="42"/>
      <c r="F39" s="49"/>
      <c r="G39" s="22"/>
      <c r="H39" s="31">
        <f>_xll.qlTermStructureReferenceDate(YieldCurve_1M)</f>
        <v>42643</v>
      </c>
      <c r="I39" s="32">
        <f>_xll.qlYieldTSDiscount(YieldCurve_1M,H39,,Trigger)</f>
        <v>1</v>
      </c>
      <c r="J39" s="42"/>
    </row>
    <row r="40" spans="2:10" x14ac:dyDescent="0.2">
      <c r="B40" s="22"/>
      <c r="C40" s="33">
        <f>_xll.qlTermStructureMaxDate(YieldCurve_6M,Trigger)</f>
        <v>64558</v>
      </c>
      <c r="D40" s="34">
        <f>_xll.qlYieldTSDiscount(YieldCurve_6M,C40,,Trigger)</f>
        <v>0.31250910900704459</v>
      </c>
      <c r="E40" s="42"/>
      <c r="F40" s="49"/>
      <c r="G40" s="22"/>
      <c r="H40" s="33">
        <f>_xll.qlTermStructureMaxDate(YieldCurve_1M,Trigger)</f>
        <v>60905</v>
      </c>
      <c r="I40" s="34">
        <f>_xll.qlYieldTSDiscount(YieldCurve_1M,H40,,Trigger)</f>
        <v>0.44618245970786802</v>
      </c>
      <c r="J40" s="42"/>
    </row>
    <row r="41" spans="2:10" x14ac:dyDescent="0.2">
      <c r="B41" s="22"/>
      <c r="C41" s="33" t="str">
        <f>[1]Libor!$D$11</f>
        <v>USD6M#0000</v>
      </c>
      <c r="D41" s="34" t="b">
        <f>_xll.qlRelinkableHandleLinkTo(C41,D31,Trigger)</f>
        <v>1</v>
      </c>
      <c r="E41" s="42"/>
      <c r="F41" s="49"/>
      <c r="G41" s="22"/>
      <c r="H41" s="33" t="str">
        <f>[1]Libor!$D$8</f>
        <v>USD1M#0000</v>
      </c>
      <c r="I41" s="34" t="b">
        <f>_xll.qlRelinkableHandleLinkTo(H41,I31,Trigger)</f>
        <v>1</v>
      </c>
      <c r="J41" s="42"/>
    </row>
    <row r="42" spans="2:10" x14ac:dyDescent="0.2">
      <c r="B42" s="22"/>
      <c r="C42" s="35" t="s">
        <v>152</v>
      </c>
      <c r="D42" s="36" t="b">
        <v>0</v>
      </c>
      <c r="E42" s="42"/>
      <c r="F42" s="49"/>
      <c r="G42" s="22"/>
      <c r="H42" s="35" t="s">
        <v>152</v>
      </c>
      <c r="I42" s="36" t="b">
        <v>1</v>
      </c>
      <c r="J42" s="42"/>
    </row>
    <row r="43" spans="2:10" x14ac:dyDescent="0.2">
      <c r="B43" s="22"/>
      <c r="C43" s="193" t="s">
        <v>158</v>
      </c>
      <c r="D43" s="194" t="b">
        <f>_xll.qlExtrapolatorEnableExtrapolation(YieldCurve_6M,D42,Trigger)</f>
        <v>1</v>
      </c>
      <c r="E43" s="42"/>
      <c r="F43" s="49"/>
      <c r="G43" s="22"/>
      <c r="H43" s="193" t="s">
        <v>158</v>
      </c>
      <c r="I43" s="194" t="b">
        <f>_xll.qlExtrapolatorEnableExtrapolation(YieldCurve_1M,I42,Trigger)</f>
        <v>1</v>
      </c>
      <c r="J43" s="42"/>
    </row>
    <row r="44" spans="2:10" x14ac:dyDescent="0.2">
      <c r="B44" s="44"/>
      <c r="C44" s="45"/>
      <c r="D44" s="45"/>
      <c r="E44" s="46"/>
      <c r="F44" s="49"/>
      <c r="G44" s="44"/>
      <c r="H44" s="45"/>
      <c r="I44" s="45"/>
      <c r="J44" s="46"/>
    </row>
    <row r="45" spans="2:10" x14ac:dyDescent="0.2">
      <c r="F45" s="49"/>
    </row>
    <row r="46" spans="2:10" x14ac:dyDescent="0.2">
      <c r="B46" s="37"/>
      <c r="C46" s="38"/>
      <c r="D46" s="38"/>
      <c r="E46" s="39"/>
      <c r="F46" s="49"/>
    </row>
    <row r="47" spans="2:10" x14ac:dyDescent="0.2">
      <c r="B47" s="22"/>
      <c r="C47" s="21" t="s">
        <v>10</v>
      </c>
      <c r="D47" s="41" t="str">
        <f>_xll.qlPiecewiseYieldCurve(D49,D50,CurveCalendar,_xll.ohPack(USD1Y!X3:X78),,,,D51,D52,D53,Permanent,,ObjectOverwrite)</f>
        <v>_USD1Y#0003</v>
      </c>
      <c r="E47" s="42"/>
      <c r="F47" s="49"/>
    </row>
    <row r="48" spans="2:10" x14ac:dyDescent="0.2">
      <c r="B48" s="22"/>
      <c r="C48" s="23" t="s">
        <v>11</v>
      </c>
      <c r="D48" s="43" t="str">
        <f>_xll.ohRangeRetrieveError(YieldCurve_1Y)</f>
        <v/>
      </c>
      <c r="E48" s="42"/>
    </row>
    <row r="49" spans="2:5" x14ac:dyDescent="0.2">
      <c r="B49" s="22"/>
      <c r="C49" s="21" t="s">
        <v>12</v>
      </c>
      <c r="D49" s="24" t="str">
        <f>"_"&amp;Currency&amp;"1Y"</f>
        <v>_USD1Y</v>
      </c>
      <c r="E49" s="42"/>
    </row>
    <row r="50" spans="2:5" x14ac:dyDescent="0.2">
      <c r="B50" s="22"/>
      <c r="C50" s="25" t="s">
        <v>13</v>
      </c>
      <c r="D50" s="26">
        <f>LiborSettlementDate-Evaluationdate</f>
        <v>2</v>
      </c>
      <c r="E50" s="42"/>
    </row>
    <row r="51" spans="2:5" x14ac:dyDescent="0.2">
      <c r="B51" s="22"/>
      <c r="C51" s="25" t="s">
        <v>14</v>
      </c>
      <c r="D51" s="27"/>
      <c r="E51" s="42"/>
    </row>
    <row r="52" spans="2:5" x14ac:dyDescent="0.2">
      <c r="B52" s="22"/>
      <c r="C52" s="25" t="s">
        <v>15</v>
      </c>
      <c r="D52" s="28" t="s">
        <v>32</v>
      </c>
      <c r="E52" s="42"/>
    </row>
    <row r="53" spans="2:5" x14ac:dyDescent="0.2">
      <c r="B53" s="22"/>
      <c r="C53" s="23" t="s">
        <v>16</v>
      </c>
      <c r="D53" s="29" t="s">
        <v>46</v>
      </c>
      <c r="E53" s="42"/>
    </row>
    <row r="54" spans="2:5" x14ac:dyDescent="0.2">
      <c r="B54" s="22"/>
      <c r="C54" s="30"/>
      <c r="D54" s="30"/>
      <c r="E54" s="42"/>
    </row>
    <row r="55" spans="2:5" x14ac:dyDescent="0.2">
      <c r="B55" s="22"/>
      <c r="C55" s="31">
        <f>_xll.qlTermStructureReferenceDate(YieldCurve_1Y)</f>
        <v>42643</v>
      </c>
      <c r="D55" s="32">
        <f>_xll.qlYieldTSDiscount(YieldCurve_1Y,C55,,Trigger)</f>
        <v>1</v>
      </c>
      <c r="E55" s="42"/>
    </row>
    <row r="56" spans="2:5" x14ac:dyDescent="0.2">
      <c r="B56" s="22"/>
      <c r="C56" s="33">
        <f>_xll.qlTermStructureMaxDate(YieldCurve_1Y,Trigger)</f>
        <v>64558</v>
      </c>
      <c r="D56" s="34">
        <f>_xll.qlYieldTSDiscount(YieldCurve_1Y,C56,,Trigger)</f>
        <v>0.2783385228539702</v>
      </c>
      <c r="E56" s="42"/>
    </row>
    <row r="57" spans="2:5" x14ac:dyDescent="0.2">
      <c r="B57" s="22"/>
      <c r="C57" s="33" t="str">
        <f>[1]Libor!$D$12</f>
        <v>USD1Y#0000</v>
      </c>
      <c r="D57" s="34" t="b">
        <f>_xll.qlRelinkableHandleLinkTo(C57,D47,Trigger)</f>
        <v>1</v>
      </c>
      <c r="E57" s="42"/>
    </row>
    <row r="58" spans="2:5" x14ac:dyDescent="0.2">
      <c r="B58" s="22"/>
      <c r="C58" s="35" t="s">
        <v>152</v>
      </c>
      <c r="D58" s="36" t="b">
        <v>0</v>
      </c>
      <c r="E58" s="42"/>
    </row>
    <row r="59" spans="2:5" x14ac:dyDescent="0.2">
      <c r="B59" s="22"/>
      <c r="C59" s="193" t="s">
        <v>158</v>
      </c>
      <c r="D59" s="194" t="b">
        <f>_xll.qlExtrapolatorEnableExtrapolation(YieldCurve_1Y,D58,Trigger)</f>
        <v>1</v>
      </c>
      <c r="E59" s="42"/>
    </row>
    <row r="60" spans="2:5" x14ac:dyDescent="0.2">
      <c r="B60" s="44"/>
      <c r="C60" s="45"/>
      <c r="D60" s="45"/>
      <c r="E60" s="46"/>
    </row>
  </sheetData>
  <dataValidations count="7">
    <dataValidation type="list" allowBlank="1" showInputMessage="1" showErrorMessage="1" sqref="D36 D20 I20 I36 D52">
      <formula1>"Discount,ZeroYield,ForwardRate"</formula1>
    </dataValidation>
    <dataValidation type="list" allowBlank="1" showInputMessage="1" showErrorMessage="1" sqref="D37 D21 I21 I37 D5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7">
      <formula1>"JoinBusinessDays,JoinHolidays"</formula1>
    </dataValidation>
    <dataValidation type="list" allowBlank="1" showInputMessage="1" showErrorMessage="1" sqref="I8:I9 I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  <dataValidation type="list" allowBlank="1" showInputMessage="1" showErrorMessage="1" sqref="D26 I26 D42 I42 D58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F8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4" hidden="1" customWidth="1" outlineLevel="1"/>
    <col min="8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9.140625" style="48" customWidth="1"/>
    <col min="32" max="32" width="9.140625" style="48"/>
    <col min="33" max="33" width="9.140625" style="48" customWidth="1"/>
    <col min="34" max="16384" width="9.140625" style="48"/>
  </cols>
  <sheetData>
    <row r="1" spans="1:32" ht="18" customHeight="1" x14ac:dyDescent="0.2">
      <c r="G1" s="52" t="s">
        <v>103</v>
      </c>
      <c r="H1" s="48" t="str">
        <f>_xll.qlInterestRateIndexDayCounter(G3)</f>
        <v>Actual/360</v>
      </c>
      <c r="L1" s="68" t="s">
        <v>157</v>
      </c>
      <c r="M1" s="108"/>
      <c r="N1" s="108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USDFedFunds</v>
      </c>
      <c r="X1" s="67"/>
      <c r="Y1" s="67"/>
      <c r="Z1" s="69"/>
      <c r="AA1" s="69"/>
      <c r="AB1" s="67"/>
      <c r="AC1" s="67"/>
      <c r="AD1" s="71" t="s">
        <v>32</v>
      </c>
    </row>
    <row r="2" spans="1:32" ht="21.75" customHeight="1" x14ac:dyDescent="0.2">
      <c r="A2" s="66" t="s">
        <v>9</v>
      </c>
      <c r="B2" s="66" t="s">
        <v>29</v>
      </c>
      <c r="C2" s="66" t="s">
        <v>106</v>
      </c>
      <c r="D2" s="66"/>
      <c r="E2" s="66"/>
      <c r="F2" s="66" t="s">
        <v>146</v>
      </c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59">_xll.qlPiecewiseYieldCurveData(YieldCurve_ON,Trigger)</f>
        <v>1</v>
      </c>
    </row>
    <row r="3" spans="1:32" ht="11.25" customHeight="1" x14ac:dyDescent="0.2">
      <c r="A3" s="55" t="s">
        <v>26</v>
      </c>
      <c r="B3" s="56" t="s">
        <v>47</v>
      </c>
      <c r="C3" s="195"/>
      <c r="D3" s="131"/>
      <c r="E3" s="131"/>
      <c r="F3" s="131"/>
      <c r="G3" s="57" t="str">
        <f>Currency&amp;Tenor</f>
        <v>USDFedFunds</v>
      </c>
      <c r="H3" s="59" t="str">
        <f>Currency&amp;$B3&amp;"D"&amp;QuoteSuffix</f>
        <v>USDOND_Quote</v>
      </c>
      <c r="I3" s="196"/>
      <c r="J3" s="173" t="str">
        <f>IF(P3,_xll.qlDepositRateHelper(,H3,G3,Permanent,Trigger,ObjectOverwrite),"--")</f>
        <v>obj_0028a#0003</v>
      </c>
      <c r="K3" s="51"/>
      <c r="L3" s="162" t="str">
        <f>A3</f>
        <v>Dp</v>
      </c>
      <c r="M3" s="163" t="str">
        <f>H3</f>
        <v>USDOND_Quote</v>
      </c>
      <c r="N3" s="164">
        <f>IFERROR(_xll.qlQuoteValue(H3,Trigger),"--")</f>
        <v>4.2544000000000002E-3</v>
      </c>
      <c r="O3" s="165"/>
      <c r="P3" s="101" t="b">
        <v>1</v>
      </c>
      <c r="Q3" s="98">
        <v>70</v>
      </c>
      <c r="R3" s="98">
        <v>1</v>
      </c>
      <c r="S3" s="172" t="str">
        <f>J3</f>
        <v>obj_0028a#0003</v>
      </c>
      <c r="T3" s="102">
        <f>IFERROR(_xll.qlRateHelperEarliestDate(S3,Trigger),"--")</f>
        <v>42641</v>
      </c>
      <c r="U3" s="102">
        <f>IFERROR(_xll.qlRateHelperPillarDate(S3,Trigger),"--")</f>
        <v>42642</v>
      </c>
      <c r="W3" s="3" t="str">
        <f t="shared" ref="W3:W34" si="0">IFERROR(INDEX($L$3:$L$59,MATCH(Y3,$M$3:$M$59,0),1),"")</f>
        <v>Dp</v>
      </c>
      <c r="X3" s="3" t="str">
        <f t="array" ref="X3:X59">_xll.qlRateHelperSelection(_xll.ohFilter(RateHelpers,IncludeFlag),_xll.ohFilter(Priority,IncludeFlag),,,,,_xll.ohFilter(MinDistance,IncludeFlag),Trigger)</f>
        <v>obj_0028a</v>
      </c>
      <c r="Y3" s="3" t="str">
        <f>IFERROR(_xll.qlRateHelperQuoteName(X3,Trigger),"")</f>
        <v>USDOND_Quote</v>
      </c>
      <c r="Z3" s="70">
        <f>IFERROR(_xll.qlRateHelperRate(X3,Trigger),"")</f>
        <v>4.2544000000000002E-3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42641</v>
      </c>
      <c r="AC3" s="4">
        <f>IFERROR(_xll.qlRateHelperPillarDate(X3,Trigger),"")</f>
        <v>42642</v>
      </c>
      <c r="AD3" s="76">
        <v>0.99998818236188036</v>
      </c>
    </row>
    <row r="4" spans="1:32" ht="11.25" customHeight="1" x14ac:dyDescent="0.2">
      <c r="A4" s="55" t="s">
        <v>26</v>
      </c>
      <c r="B4" s="56" t="s">
        <v>101</v>
      </c>
      <c r="C4" s="57">
        <v>1</v>
      </c>
      <c r="D4" s="131"/>
      <c r="E4" s="131"/>
      <c r="F4" s="58" t="s">
        <v>27</v>
      </c>
      <c r="G4" s="57" t="str">
        <f>_xll.qlOvernightIndex(,,C4,Currency,LocalCalendar,F4,,Permanent,Trigger,ObjectOverwrite)</f>
        <v>obj_00240#0003</v>
      </c>
      <c r="H4" s="59" t="str">
        <f>Currency&amp;$B4&amp;"D"&amp;QuoteSuffix</f>
        <v>USDTND_Quote</v>
      </c>
      <c r="I4" s="196"/>
      <c r="J4" s="173" t="str">
        <f>IF(P4,_xll.qlDepositRateHelper(,H4,G4,Permanent,Trigger,ObjectOverwrite),"--")</f>
        <v>--</v>
      </c>
      <c r="K4" s="50"/>
      <c r="L4" s="162" t="str">
        <f>A4</f>
        <v>Dp</v>
      </c>
      <c r="M4" s="166" t="str">
        <f t="shared" ref="M4:M5" si="1">H4</f>
        <v>USDTND_Quote</v>
      </c>
      <c r="N4" s="164">
        <f>IFERROR(_xll.qlQuoteValue(H4,Trigger),"--")</f>
        <v>4.2544000000000002E-3</v>
      </c>
      <c r="O4" s="167"/>
      <c r="P4" s="101" t="b">
        <v>0</v>
      </c>
      <c r="Q4" s="98">
        <v>70</v>
      </c>
      <c r="R4" s="98">
        <v>1</v>
      </c>
      <c r="S4" s="98" t="str">
        <f t="shared" ref="S4:S5" si="2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0"/>
        <v>OIS</v>
      </c>
      <c r="X4" s="3" t="str">
        <v>obj_00283</v>
      </c>
      <c r="Y4" s="3" t="str">
        <f>IFERROR(_xll.qlRateHelperQuoteName(X4,Trigger),"")</f>
        <v>USDOIS1M_Quote</v>
      </c>
      <c r="Z4" s="70">
        <f>IFERROR(_xll.qlRateHelperRate(X4,Trigger),"")</f>
        <v>3.9300000000000003E-3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42643</v>
      </c>
      <c r="AC4" s="4">
        <f>IFERROR(_xll.qlRateHelperPillarDate(X4,Trigger),"")</f>
        <v>42674</v>
      </c>
      <c r="AD4" s="76">
        <v>0.9996381469234783</v>
      </c>
    </row>
    <row r="5" spans="1:32" ht="11.25" customHeight="1" x14ac:dyDescent="0.2">
      <c r="A5" s="1" t="s">
        <v>26</v>
      </c>
      <c r="B5" s="8" t="s">
        <v>102</v>
      </c>
      <c r="C5" s="6">
        <v>2</v>
      </c>
      <c r="D5" s="126"/>
      <c r="E5" s="126"/>
      <c r="F5" s="9" t="s">
        <v>27</v>
      </c>
      <c r="G5" s="6" t="str">
        <f>_xll.qlOvernightIndex(,,C5,Currency,LocalCalendar,F5,,Permanent,Trigger,ObjectOverwrite)</f>
        <v>obj_0023c#0003</v>
      </c>
      <c r="H5" s="2" t="str">
        <f>Currency&amp;$B5&amp;"D"&amp;QuoteSuffix</f>
        <v>USDSND_Quote</v>
      </c>
      <c r="I5" s="197"/>
      <c r="J5" s="174" t="str">
        <f>IF(P5,_xll.qlDepositRateHelper(,H5,G5,Permanent,Trigger,ObjectOverwrite),"--")</f>
        <v>--</v>
      </c>
      <c r="K5" s="50"/>
      <c r="L5" s="168" t="str">
        <f>A5</f>
        <v>Dp</v>
      </c>
      <c r="M5" s="169" t="str">
        <f t="shared" si="1"/>
        <v>USDSND_Quote</v>
      </c>
      <c r="N5" s="170">
        <f>IFERROR(_xll.qlQuoteValue(H5,Trigger),"--")</f>
        <v>4.2544000000000002E-3</v>
      </c>
      <c r="O5" s="171"/>
      <c r="P5" s="103" t="b">
        <v>0</v>
      </c>
      <c r="Q5" s="99">
        <v>70</v>
      </c>
      <c r="R5" s="99">
        <v>1</v>
      </c>
      <c r="S5" s="99" t="str">
        <f t="shared" si="2"/>
        <v>--</v>
      </c>
      <c r="T5" s="104" t="str">
        <f>IFERROR(_xll.qlRateHelperEarliestDate(S5,Trigger),"--")</f>
        <v>--</v>
      </c>
      <c r="U5" s="104" t="str">
        <f>IFERROR(_xll.qlRateHelperPillarDate(S5,Trigger),"--")</f>
        <v>--</v>
      </c>
      <c r="W5" s="3" t="str">
        <f t="shared" si="0"/>
        <v>OIS</v>
      </c>
      <c r="X5" s="3" t="str">
        <v>obj_00273</v>
      </c>
      <c r="Y5" s="3" t="str">
        <f>IFERROR(_xll.qlRateHelperQuoteName(X5,Trigger),"")</f>
        <v>USDOIS2M_Quote</v>
      </c>
      <c r="Z5" s="70">
        <f>IFERROR(_xll.qlRateHelperRate(X5,Trigger),"")</f>
        <v>4.0100000000000005E-3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42643</v>
      </c>
      <c r="AC5" s="4">
        <f>IFERROR(_xll.qlRateHelperPillarDate(X5,Trigger),"")</f>
        <v>42704</v>
      </c>
      <c r="AD5" s="76">
        <v>0.9992974462762878</v>
      </c>
      <c r="AE5" s="79"/>
      <c r="AF5" s="79"/>
    </row>
    <row r="6" spans="1:32" ht="11.25" customHeight="1" x14ac:dyDescent="0.2">
      <c r="K6" s="50"/>
      <c r="L6" s="162" t="str">
        <f t="shared" ref="L6:L37" si="3">A8</f>
        <v>OIS</v>
      </c>
      <c r="M6" s="163" t="str">
        <f>H8</f>
        <v>USDOISSW_Quote</v>
      </c>
      <c r="N6" s="164" t="str">
        <f>IFERROR(_xll.qlQuoteValue(H8,Trigger),"--")</f>
        <v>--</v>
      </c>
      <c r="O6" s="167"/>
      <c r="P6" s="101" t="b">
        <v>0</v>
      </c>
      <c r="Q6" s="98">
        <v>50</v>
      </c>
      <c r="R6" s="98">
        <v>1</v>
      </c>
      <c r="S6" s="172" t="str">
        <f>J8</f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0"/>
        <v>OIS</v>
      </c>
      <c r="X6" s="3" t="str">
        <v>obj_00269</v>
      </c>
      <c r="Y6" s="3" t="str">
        <f>IFERROR(_xll.qlRateHelperQuoteName(X6,Trigger),"")</f>
        <v>USDOIS3M_Quote</v>
      </c>
      <c r="Z6" s="70">
        <f>IFERROR(_xll.qlRateHelperRate(X6,Trigger),"")</f>
        <v>4.2500000000000003E-3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42643</v>
      </c>
      <c r="AC6" s="4">
        <f>IFERROR(_xll.qlRateHelperPillarDate(X6,Trigger),"")</f>
        <v>42734</v>
      </c>
      <c r="AD6" s="76">
        <v>0.99890331375362951</v>
      </c>
    </row>
    <row r="7" spans="1:32" ht="11.25" customHeight="1" x14ac:dyDescent="0.2">
      <c r="A7" s="66" t="s">
        <v>9</v>
      </c>
      <c r="B7" s="66" t="s">
        <v>29</v>
      </c>
      <c r="C7" s="66" t="s">
        <v>106</v>
      </c>
      <c r="D7" s="66"/>
      <c r="E7" s="66"/>
      <c r="F7" s="66"/>
      <c r="G7" s="66" t="s">
        <v>4</v>
      </c>
      <c r="H7" s="66" t="s">
        <v>1</v>
      </c>
      <c r="I7" s="66"/>
      <c r="J7" s="66" t="s">
        <v>24</v>
      </c>
      <c r="K7" s="50"/>
      <c r="L7" s="162" t="str">
        <f t="shared" si="3"/>
        <v>OIS</v>
      </c>
      <c r="M7" s="166" t="str">
        <f t="shared" ref="M7:M59" si="4">H9</f>
        <v>USDOIS2W_Quote</v>
      </c>
      <c r="N7" s="164">
        <f>IFERROR(_xll.qlQuoteValue(H9,Trigger),"--")</f>
        <v>0</v>
      </c>
      <c r="O7" s="167"/>
      <c r="P7" s="101" t="b">
        <v>0</v>
      </c>
      <c r="Q7" s="98">
        <v>50</v>
      </c>
      <c r="R7" s="98">
        <v>1</v>
      </c>
      <c r="S7" s="98" t="str">
        <f t="shared" ref="S7:S59" si="5">J9</f>
        <v>--</v>
      </c>
      <c r="T7" s="102" t="str">
        <f>IFERROR(_xll.qlRateHelperEarliestDate(S7,Trigger),"--")</f>
        <v>--</v>
      </c>
      <c r="U7" s="102" t="str">
        <f>IFERROR(_xll.qlRateHelperPillarDate(S7,Trigger),"--")</f>
        <v>--</v>
      </c>
      <c r="W7" s="3" t="str">
        <f t="shared" si="0"/>
        <v>OIS</v>
      </c>
      <c r="X7" s="3" t="str">
        <v>obj_00290</v>
      </c>
      <c r="Y7" s="3" t="str">
        <f>IFERROR(_xll.qlRateHelperQuoteName(X7,Trigger),"")</f>
        <v>USDOIS4M_Quote</v>
      </c>
      <c r="Z7" s="70">
        <f>IFERROR(_xll.qlRateHelperRate(X7,Trigger),"")</f>
        <v>4.4800000000000005E-3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42643</v>
      </c>
      <c r="AC7" s="4">
        <f>IFERROR(_xll.qlRateHelperPillarDate(X7,Trigger),"")</f>
        <v>42766</v>
      </c>
      <c r="AD7" s="76">
        <v>0.99844814983172969</v>
      </c>
    </row>
    <row r="8" spans="1:32" ht="11.25" customHeight="1" x14ac:dyDescent="0.2">
      <c r="A8" s="55" t="s">
        <v>98</v>
      </c>
      <c r="B8" s="56" t="s">
        <v>48</v>
      </c>
      <c r="C8" s="57">
        <f>IF(B8="O/N",0,IF(B8="T/N",1,2))</f>
        <v>2</v>
      </c>
      <c r="D8" s="198"/>
      <c r="E8" s="198"/>
      <c r="F8" s="198"/>
      <c r="G8" s="63" t="str">
        <f t="shared" ref="G8:G39" si="6">Currency&amp;Tenor</f>
        <v>USDFedFunds</v>
      </c>
      <c r="H8" s="59" t="str">
        <f t="shared" ref="H8:H39" si="7">Currency&amp;$A8&amp;IF($B8="1W","SW",$B8)&amp;QuoteSuffix</f>
        <v>USDOISSW_Quote</v>
      </c>
      <c r="I8" s="196"/>
      <c r="J8" s="173" t="str">
        <f>IF(P6,_xll.qlOISRateHelper(,C8,B8,H8,$G8,,Permanent,Trigger,ObjectOverwrite),"--")</f>
        <v>--</v>
      </c>
      <c r="K8" s="50"/>
      <c r="L8" s="162" t="str">
        <f t="shared" si="3"/>
        <v>OIS</v>
      </c>
      <c r="M8" s="166" t="str">
        <f t="shared" si="4"/>
        <v>USDOIS3W_Quote</v>
      </c>
      <c r="N8" s="164">
        <f>IFERROR(_xll.qlQuoteValue(H10,Trigger),"--")</f>
        <v>0</v>
      </c>
      <c r="O8" s="167"/>
      <c r="P8" s="101" t="b">
        <v>0</v>
      </c>
      <c r="Q8" s="98">
        <v>50</v>
      </c>
      <c r="R8" s="98">
        <v>1</v>
      </c>
      <c r="S8" s="98" t="str">
        <f t="shared" si="5"/>
        <v>--</v>
      </c>
      <c r="T8" s="102" t="str">
        <f>IFERROR(_xll.qlRateHelperEarliestDate(S8,Trigger),"--")</f>
        <v>--</v>
      </c>
      <c r="U8" s="102" t="str">
        <f>IFERROR(_xll.qlRateHelperPillarDate(S8,Trigger),"--")</f>
        <v>--</v>
      </c>
      <c r="W8" s="3" t="str">
        <f t="shared" si="0"/>
        <v>OIS</v>
      </c>
      <c r="X8" s="3" t="str">
        <v>obj_0026a</v>
      </c>
      <c r="Y8" s="3" t="str">
        <f>IFERROR(_xll.qlRateHelperQuoteName(X8,Trigger),"")</f>
        <v>USDOIS5M_Quote</v>
      </c>
      <c r="Z8" s="70">
        <f>IFERROR(_xll.qlRateHelperRate(X8,Trigger),"")</f>
        <v>4.6499999999999996E-3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42643</v>
      </c>
      <c r="AC8" s="4">
        <f>IFERROR(_xll.qlRateHelperPillarDate(X8,Trigger),"")</f>
        <v>42794</v>
      </c>
      <c r="AD8" s="76">
        <v>0.99802986704655527</v>
      </c>
    </row>
    <row r="9" spans="1:32" ht="11.25" customHeight="1" x14ac:dyDescent="0.2">
      <c r="A9" s="60" t="s">
        <v>98</v>
      </c>
      <c r="B9" s="61" t="s">
        <v>49</v>
      </c>
      <c r="C9" s="62">
        <f t="shared" ref="C9:C22" si="8">IF(B9="O/N",0,IF(B9="T/N",1,2))</f>
        <v>2</v>
      </c>
      <c r="D9" s="198"/>
      <c r="E9" s="198"/>
      <c r="F9" s="198"/>
      <c r="G9" s="63" t="str">
        <f t="shared" si="6"/>
        <v>USDFedFunds</v>
      </c>
      <c r="H9" s="65" t="str">
        <f t="shared" si="7"/>
        <v>USDOIS2W_Quote</v>
      </c>
      <c r="I9" s="200"/>
      <c r="J9" s="175" t="str">
        <f>IF(P7,_xll.qlOISRateHelper(,C9,B9,H9,$G9,,Permanent,Trigger,ObjectOverwrite),"--")</f>
        <v>--</v>
      </c>
      <c r="K9" s="50"/>
      <c r="L9" s="162" t="str">
        <f t="shared" si="3"/>
        <v>OIS</v>
      </c>
      <c r="M9" s="166" t="str">
        <f t="shared" si="4"/>
        <v>USDOIS1M_Quote</v>
      </c>
      <c r="N9" s="164">
        <f>IFERROR(_xll.qlQuoteValue(H11,Trigger),"--")</f>
        <v>3.9300000000000003E-3</v>
      </c>
      <c r="O9" s="167"/>
      <c r="P9" s="101" t="b">
        <v>1</v>
      </c>
      <c r="Q9" s="98">
        <v>50</v>
      </c>
      <c r="R9" s="98">
        <v>1</v>
      </c>
      <c r="S9" s="98" t="str">
        <f t="shared" si="5"/>
        <v>obj_00283#0003</v>
      </c>
      <c r="T9" s="102">
        <f>IFERROR(_xll.qlRateHelperEarliestDate(S9,Trigger),"--")</f>
        <v>42643</v>
      </c>
      <c r="U9" s="102">
        <f>IFERROR(_xll.qlRateHelperPillarDate(S9,Trigger),"--")</f>
        <v>42674</v>
      </c>
      <c r="W9" s="3" t="str">
        <f t="shared" si="0"/>
        <v>OIS</v>
      </c>
      <c r="X9" s="3" t="str">
        <v>obj_00289</v>
      </c>
      <c r="Y9" s="3" t="str">
        <f>IFERROR(_xll.qlRateHelperQuoteName(X9,Trigger),"")</f>
        <v>USDOIS6M_Quote</v>
      </c>
      <c r="Z9" s="70">
        <f>IFERROR(_xll.qlRateHelperRate(X9,Trigger),"")</f>
        <v>4.7999999999999996E-3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42643</v>
      </c>
      <c r="AC9" s="4">
        <f>IFERROR(_xll.qlRateHelperPillarDate(X9,Trigger),"")</f>
        <v>42825</v>
      </c>
      <c r="AD9" s="76">
        <v>0.99755570595329368</v>
      </c>
    </row>
    <row r="10" spans="1:32" ht="11.25" customHeight="1" x14ac:dyDescent="0.2">
      <c r="A10" s="60" t="s">
        <v>98</v>
      </c>
      <c r="B10" s="61" t="s">
        <v>50</v>
      </c>
      <c r="C10" s="62">
        <f t="shared" si="8"/>
        <v>2</v>
      </c>
      <c r="D10" s="198"/>
      <c r="E10" s="198"/>
      <c r="F10" s="198"/>
      <c r="G10" s="63" t="str">
        <f t="shared" si="6"/>
        <v>USDFedFunds</v>
      </c>
      <c r="H10" s="65" t="str">
        <f t="shared" si="7"/>
        <v>USDOIS3W_Quote</v>
      </c>
      <c r="I10" s="200"/>
      <c r="J10" s="175" t="str">
        <f>IF(P8,_xll.qlOISRateHelper(,C10,B10,H10,$G10,,Permanent,Trigger,ObjectOverwrite),"--")</f>
        <v>--</v>
      </c>
      <c r="K10" s="50"/>
      <c r="L10" s="162" t="str">
        <f t="shared" si="3"/>
        <v>OIS</v>
      </c>
      <c r="M10" s="166" t="str">
        <f t="shared" si="4"/>
        <v>USDOIS2M_Quote</v>
      </c>
      <c r="N10" s="164">
        <f>IFERROR(_xll.qlQuoteValue(H12,Trigger),"--")</f>
        <v>4.0100000000000005E-3</v>
      </c>
      <c r="O10" s="167"/>
      <c r="P10" s="101" t="b">
        <v>1</v>
      </c>
      <c r="Q10" s="98">
        <v>50</v>
      </c>
      <c r="R10" s="98">
        <v>1</v>
      </c>
      <c r="S10" s="98" t="str">
        <f t="shared" si="5"/>
        <v>obj_00273#0003</v>
      </c>
      <c r="T10" s="102">
        <f>IFERROR(_xll.qlRateHelperEarliestDate(S10,Trigger),"--")</f>
        <v>42643</v>
      </c>
      <c r="U10" s="102">
        <f>IFERROR(_xll.qlRateHelperPillarDate(S10,Trigger),"--")</f>
        <v>42704</v>
      </c>
      <c r="W10" s="3" t="str">
        <f t="shared" si="0"/>
        <v>OIS</v>
      </c>
      <c r="X10" s="3" t="str">
        <v>obj_0027e</v>
      </c>
      <c r="Y10" s="3" t="str">
        <f>IFERROR(_xll.qlRateHelperQuoteName(X10,Trigger),"")</f>
        <v>USDOIS7M_Quote</v>
      </c>
      <c r="Z10" s="70">
        <f>IFERROR(_xll.qlRateHelperRate(X10,Trigger),"")</f>
        <v>4.9199999999999999E-3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42643</v>
      </c>
      <c r="AC10" s="4">
        <f>IFERROR(_xll.qlRateHelperPillarDate(X10,Trigger),"")</f>
        <v>42853</v>
      </c>
      <c r="AD10" s="76">
        <v>0.99711472188127459</v>
      </c>
    </row>
    <row r="11" spans="1:32" ht="11.25" customHeight="1" x14ac:dyDescent="0.2">
      <c r="A11" s="60" t="s">
        <v>98</v>
      </c>
      <c r="B11" s="61" t="s">
        <v>2</v>
      </c>
      <c r="C11" s="62">
        <f t="shared" si="8"/>
        <v>2</v>
      </c>
      <c r="D11" s="198"/>
      <c r="E11" s="198"/>
      <c r="F11" s="198"/>
      <c r="G11" s="63" t="str">
        <f t="shared" si="6"/>
        <v>USDFedFunds</v>
      </c>
      <c r="H11" s="65" t="str">
        <f t="shared" si="7"/>
        <v>USDOIS1M_Quote</v>
      </c>
      <c r="I11" s="200"/>
      <c r="J11" s="175" t="str">
        <f>IF(P9,_xll.qlOISRateHelper(,C11,B11,H11,$G11,,Permanent,Trigger,ObjectOverwrite),"--")</f>
        <v>obj_00283#0003</v>
      </c>
      <c r="K11" s="50"/>
      <c r="L11" s="162" t="str">
        <f t="shared" si="3"/>
        <v>OIS</v>
      </c>
      <c r="M11" s="166" t="str">
        <f t="shared" si="4"/>
        <v>USDOIS3M_Quote</v>
      </c>
      <c r="N11" s="164">
        <f>IFERROR(_xll.qlQuoteValue(H13,Trigger),"--")</f>
        <v>4.2500000000000003E-3</v>
      </c>
      <c r="O11" s="167"/>
      <c r="P11" s="101" t="b">
        <v>1</v>
      </c>
      <c r="Q11" s="98">
        <v>50</v>
      </c>
      <c r="R11" s="98">
        <v>1</v>
      </c>
      <c r="S11" s="98" t="str">
        <f t="shared" si="5"/>
        <v>obj_00269#0003</v>
      </c>
      <c r="T11" s="102">
        <f>IFERROR(_xll.qlRateHelperEarliestDate(S11,Trigger),"--")</f>
        <v>42643</v>
      </c>
      <c r="U11" s="102">
        <f>IFERROR(_xll.qlRateHelperPillarDate(S11,Trigger),"--")</f>
        <v>42734</v>
      </c>
      <c r="W11" s="3" t="str">
        <f t="shared" si="0"/>
        <v>OIS</v>
      </c>
      <c r="X11" s="3" t="str">
        <v>obj_0027d</v>
      </c>
      <c r="Y11" s="3" t="str">
        <f>IFERROR(_xll.qlRateHelperQuoteName(X11,Trigger),"")</f>
        <v>USDOIS8M_Quote</v>
      </c>
      <c r="Z11" s="70">
        <f>IFERROR(_xll.qlRateHelperRate(X11,Trigger),"")</f>
        <v>5.0499999999999998E-3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42643</v>
      </c>
      <c r="AC11" s="4">
        <f>IFERROR(_xll.qlRateHelperPillarDate(X11,Trigger),"")</f>
        <v>42886</v>
      </c>
      <c r="AD11" s="76">
        <v>0.99657935126943409</v>
      </c>
    </row>
    <row r="12" spans="1:32" ht="11.25" customHeight="1" x14ac:dyDescent="0.2">
      <c r="A12" s="60" t="s">
        <v>98</v>
      </c>
      <c r="B12" s="61" t="s">
        <v>51</v>
      </c>
      <c r="C12" s="62">
        <f t="shared" si="8"/>
        <v>2</v>
      </c>
      <c r="D12" s="198"/>
      <c r="E12" s="198"/>
      <c r="F12" s="198"/>
      <c r="G12" s="63" t="str">
        <f t="shared" si="6"/>
        <v>USDFedFunds</v>
      </c>
      <c r="H12" s="65" t="str">
        <f t="shared" si="7"/>
        <v>USDOIS2M_Quote</v>
      </c>
      <c r="I12" s="200"/>
      <c r="J12" s="175" t="str">
        <f>IF(P10,_xll.qlOISRateHelper(,C12,B12,H12,$G12,,Permanent,Trigger,ObjectOverwrite),"--")</f>
        <v>obj_00273#0003</v>
      </c>
      <c r="K12" s="50"/>
      <c r="L12" s="162" t="str">
        <f t="shared" si="3"/>
        <v>OIS</v>
      </c>
      <c r="M12" s="166" t="str">
        <f t="shared" si="4"/>
        <v>USDOIS4M_Quote</v>
      </c>
      <c r="N12" s="164">
        <f>IFERROR(_xll.qlQuoteValue(H14,Trigger),"--")</f>
        <v>4.4800000000000005E-3</v>
      </c>
      <c r="O12" s="167"/>
      <c r="P12" s="101" t="b">
        <v>1</v>
      </c>
      <c r="Q12" s="98">
        <v>50</v>
      </c>
      <c r="R12" s="98">
        <v>1</v>
      </c>
      <c r="S12" s="98" t="str">
        <f t="shared" si="5"/>
        <v>obj_00290#0003</v>
      </c>
      <c r="T12" s="102">
        <f>IFERROR(_xll.qlRateHelperEarliestDate(S12,Trigger),"--")</f>
        <v>42643</v>
      </c>
      <c r="U12" s="102">
        <f>IFERROR(_xll.qlRateHelperPillarDate(S12,Trigger),"--")</f>
        <v>42766</v>
      </c>
      <c r="W12" s="3" t="str">
        <f t="shared" si="0"/>
        <v>OIS</v>
      </c>
      <c r="X12" s="3" t="str">
        <v>obj_0027c</v>
      </c>
      <c r="Y12" s="3" t="str">
        <f>IFERROR(_xll.qlRateHelperQuoteName(X12,Trigger),"")</f>
        <v>USDOIS9M_Quote</v>
      </c>
      <c r="Z12" s="70">
        <f>IFERROR(_xll.qlRateHelperRate(X12,Trigger),"")</f>
        <v>5.1600000000000005E-3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42643</v>
      </c>
      <c r="AC12" s="4">
        <f>IFERROR(_xll.qlRateHelperPillarDate(X12,Trigger),"")</f>
        <v>42916</v>
      </c>
      <c r="AD12" s="76">
        <v>0.99607878484796375</v>
      </c>
    </row>
    <row r="13" spans="1:32" ht="11.25" customHeight="1" x14ac:dyDescent="0.2">
      <c r="A13" s="60" t="s">
        <v>98</v>
      </c>
      <c r="B13" s="61" t="s">
        <v>0</v>
      </c>
      <c r="C13" s="62">
        <f t="shared" si="8"/>
        <v>2</v>
      </c>
      <c r="D13" s="198"/>
      <c r="E13" s="198"/>
      <c r="F13" s="198"/>
      <c r="G13" s="63" t="str">
        <f t="shared" si="6"/>
        <v>USDFedFunds</v>
      </c>
      <c r="H13" s="65" t="str">
        <f t="shared" si="7"/>
        <v>USDOIS3M_Quote</v>
      </c>
      <c r="I13" s="200"/>
      <c r="J13" s="175" t="str">
        <f>IF(P11,_xll.qlOISRateHelper(,C13,B13,H13,$G13,,Permanent,Trigger,ObjectOverwrite),"--")</f>
        <v>obj_00269#0003</v>
      </c>
      <c r="K13" s="50"/>
      <c r="L13" s="162" t="str">
        <f t="shared" si="3"/>
        <v>OIS</v>
      </c>
      <c r="M13" s="166" t="str">
        <f t="shared" si="4"/>
        <v>USDOIS5M_Quote</v>
      </c>
      <c r="N13" s="164">
        <f>IFERROR(_xll.qlQuoteValue(H15,Trigger),"--")</f>
        <v>4.6499999999999996E-3</v>
      </c>
      <c r="O13" s="167"/>
      <c r="P13" s="101" t="b">
        <v>1</v>
      </c>
      <c r="Q13" s="98">
        <v>50</v>
      </c>
      <c r="R13" s="98">
        <v>1</v>
      </c>
      <c r="S13" s="98" t="str">
        <f t="shared" si="5"/>
        <v>obj_0026a#0003</v>
      </c>
      <c r="T13" s="102">
        <f>IFERROR(_xll.qlRateHelperEarliestDate(S13,Trigger),"--")</f>
        <v>42643</v>
      </c>
      <c r="U13" s="102">
        <f>IFERROR(_xll.qlRateHelperPillarDate(S13,Trigger),"--")</f>
        <v>42794</v>
      </c>
      <c r="W13" s="3" t="str">
        <f t="shared" si="0"/>
        <v>OIS</v>
      </c>
      <c r="X13" s="3" t="str">
        <v>obj_00268</v>
      </c>
      <c r="Y13" s="3" t="str">
        <f>IFERROR(_xll.qlRateHelperQuoteName(X13,Trigger),"")</f>
        <v>USDOIS10M_Quote</v>
      </c>
      <c r="Z13" s="70">
        <f>IFERROR(_xll.qlRateHelperRate(X13,Trigger),"")</f>
        <v>5.2599999999999999E-3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42643</v>
      </c>
      <c r="AC13" s="4">
        <f>IFERROR(_xll.qlRateHelperPillarDate(X13,Trigger),"")</f>
        <v>42947</v>
      </c>
      <c r="AD13" s="76">
        <v>0.99555440967959041</v>
      </c>
    </row>
    <row r="14" spans="1:32" ht="11.25" customHeight="1" x14ac:dyDescent="0.2">
      <c r="A14" s="60" t="s">
        <v>98</v>
      </c>
      <c r="B14" s="61" t="s">
        <v>52</v>
      </c>
      <c r="C14" s="62">
        <f t="shared" si="8"/>
        <v>2</v>
      </c>
      <c r="D14" s="198"/>
      <c r="E14" s="198"/>
      <c r="F14" s="198"/>
      <c r="G14" s="63" t="str">
        <f t="shared" si="6"/>
        <v>USDFedFunds</v>
      </c>
      <c r="H14" s="65" t="str">
        <f t="shared" si="7"/>
        <v>USDOIS4M_Quote</v>
      </c>
      <c r="I14" s="200"/>
      <c r="J14" s="175" t="str">
        <f>IF(P12,_xll.qlOISRateHelper(,C14,B14,H14,$G14,,Permanent,Trigger,ObjectOverwrite),"--")</f>
        <v>obj_00290#0003</v>
      </c>
      <c r="K14" s="50"/>
      <c r="L14" s="162" t="str">
        <f t="shared" si="3"/>
        <v>OIS</v>
      </c>
      <c r="M14" s="166" t="str">
        <f t="shared" si="4"/>
        <v>USDOIS6M_Quote</v>
      </c>
      <c r="N14" s="164">
        <f>IFERROR(_xll.qlQuoteValue(H16,Trigger),"--")</f>
        <v>4.7999999999999996E-3</v>
      </c>
      <c r="O14" s="167"/>
      <c r="P14" s="101" t="b">
        <v>1</v>
      </c>
      <c r="Q14" s="98">
        <v>50</v>
      </c>
      <c r="R14" s="98">
        <v>1</v>
      </c>
      <c r="S14" s="98" t="str">
        <f t="shared" si="5"/>
        <v>obj_00289#0003</v>
      </c>
      <c r="T14" s="102">
        <f>IFERROR(_xll.qlRateHelperEarliestDate(S14,Trigger),"--")</f>
        <v>42643</v>
      </c>
      <c r="U14" s="102">
        <f>IFERROR(_xll.qlRateHelperPillarDate(S14,Trigger),"--")</f>
        <v>42825</v>
      </c>
      <c r="W14" s="3" t="str">
        <f t="shared" si="0"/>
        <v>OIS</v>
      </c>
      <c r="X14" s="3" t="str">
        <v>obj_00278</v>
      </c>
      <c r="Y14" s="3" t="str">
        <f>IFERROR(_xll.qlRateHelperQuoteName(X14,Trigger),"")</f>
        <v>USDOIS11M_Quote</v>
      </c>
      <c r="Z14" s="70">
        <f>IFERROR(_xll.qlRateHelperRate(X14,Trigger),"")</f>
        <v>5.3600000000000002E-3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42643</v>
      </c>
      <c r="AC14" s="4">
        <f>IFERROR(_xll.qlRateHelperPillarDate(X14,Trigger),"")</f>
        <v>42978</v>
      </c>
      <c r="AD14" s="76">
        <v>0.99501353473592979</v>
      </c>
    </row>
    <row r="15" spans="1:32" ht="11.25" customHeight="1" x14ac:dyDescent="0.2">
      <c r="A15" s="60" t="s">
        <v>98</v>
      </c>
      <c r="B15" s="61" t="s">
        <v>53</v>
      </c>
      <c r="C15" s="62">
        <f t="shared" si="8"/>
        <v>2</v>
      </c>
      <c r="D15" s="198"/>
      <c r="E15" s="198"/>
      <c r="F15" s="198"/>
      <c r="G15" s="63" t="str">
        <f t="shared" si="6"/>
        <v>USDFedFunds</v>
      </c>
      <c r="H15" s="65" t="str">
        <f t="shared" si="7"/>
        <v>USDOIS5M_Quote</v>
      </c>
      <c r="I15" s="200"/>
      <c r="J15" s="175" t="str">
        <f>IF(P13,_xll.qlOISRateHelper(,C15,B15,H15,$G15,,Permanent,Trigger,ObjectOverwrite),"--")</f>
        <v>obj_0026a#0003</v>
      </c>
      <c r="K15" s="50"/>
      <c r="L15" s="162" t="str">
        <f t="shared" si="3"/>
        <v>OIS</v>
      </c>
      <c r="M15" s="166" t="str">
        <f t="shared" si="4"/>
        <v>USDOIS7M_Quote</v>
      </c>
      <c r="N15" s="164">
        <f>IFERROR(_xll.qlQuoteValue(H17,Trigger),"--")</f>
        <v>4.9199999999999999E-3</v>
      </c>
      <c r="O15" s="167"/>
      <c r="P15" s="101" t="b">
        <v>1</v>
      </c>
      <c r="Q15" s="98">
        <v>50</v>
      </c>
      <c r="R15" s="98">
        <v>1</v>
      </c>
      <c r="S15" s="98" t="str">
        <f t="shared" si="5"/>
        <v>obj_0027e#0003</v>
      </c>
      <c r="T15" s="102">
        <f>IFERROR(_xll.qlRateHelperEarliestDate(S15,Trigger),"--")</f>
        <v>42643</v>
      </c>
      <c r="U15" s="102">
        <f>IFERROR(_xll.qlRateHelperPillarDate(S15,Trigger),"--")</f>
        <v>42853</v>
      </c>
      <c r="W15" s="3" t="str">
        <f t="shared" si="0"/>
        <v>OIS</v>
      </c>
      <c r="X15" s="3" t="str">
        <v>obj_0026f</v>
      </c>
      <c r="Y15" s="3" t="str">
        <f>IFERROR(_xll.qlRateHelperQuoteName(X15,Trigger),"")</f>
        <v>USDOIS1Y_Quote</v>
      </c>
      <c r="Z15" s="70">
        <f>IFERROR(_xll.qlRateHelperRate(X15,Trigger),"")</f>
        <v>5.4300000000000008E-3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42643</v>
      </c>
      <c r="AC15" s="4">
        <f>IFERROR(_xll.qlRateHelperPillarDate(X15,Trigger),"")</f>
        <v>43007</v>
      </c>
      <c r="AD15" s="76">
        <v>0.99451621560400261</v>
      </c>
    </row>
    <row r="16" spans="1:32" ht="11.25" customHeight="1" x14ac:dyDescent="0.2">
      <c r="A16" s="60" t="s">
        <v>98</v>
      </c>
      <c r="B16" s="61" t="s">
        <v>3</v>
      </c>
      <c r="C16" s="62">
        <f t="shared" si="8"/>
        <v>2</v>
      </c>
      <c r="D16" s="198"/>
      <c r="E16" s="198"/>
      <c r="F16" s="198"/>
      <c r="G16" s="63" t="str">
        <f t="shared" si="6"/>
        <v>USDFedFunds</v>
      </c>
      <c r="H16" s="65" t="str">
        <f t="shared" si="7"/>
        <v>USDOIS6M_Quote</v>
      </c>
      <c r="I16" s="200"/>
      <c r="J16" s="175" t="str">
        <f>IF(P14,_xll.qlOISRateHelper(,C16,B16,H16,$G16,,Permanent,Trigger,ObjectOverwrite),"--")</f>
        <v>obj_00289#0003</v>
      </c>
      <c r="K16" s="50"/>
      <c r="L16" s="162" t="str">
        <f t="shared" si="3"/>
        <v>OIS</v>
      </c>
      <c r="M16" s="166" t="str">
        <f t="shared" si="4"/>
        <v>USDOIS8M_Quote</v>
      </c>
      <c r="N16" s="164">
        <f>IFERROR(_xll.qlQuoteValue(H18,Trigger),"--")</f>
        <v>5.0499999999999998E-3</v>
      </c>
      <c r="O16" s="167"/>
      <c r="P16" s="101" t="b">
        <v>1</v>
      </c>
      <c r="Q16" s="98">
        <v>50</v>
      </c>
      <c r="R16" s="98">
        <v>1</v>
      </c>
      <c r="S16" s="98" t="str">
        <f t="shared" si="5"/>
        <v>obj_0027d#0003</v>
      </c>
      <c r="T16" s="102">
        <f>IFERROR(_xll.qlRateHelperEarliestDate(S16,Trigger),"--")</f>
        <v>42643</v>
      </c>
      <c r="U16" s="102">
        <f>IFERROR(_xll.qlRateHelperPillarDate(S16,Trigger),"--")</f>
        <v>42886</v>
      </c>
      <c r="W16" s="3" t="str">
        <f t="shared" si="0"/>
        <v>OIS</v>
      </c>
      <c r="X16" s="3" t="str">
        <v>obj_00280</v>
      </c>
      <c r="Y16" s="3" t="str">
        <f>IFERROR(_xll.qlRateHelperQuoteName(X16,Trigger),"")</f>
        <v>USDOIS15M_Quote</v>
      </c>
      <c r="Z16" s="70">
        <f>IFERROR(_xll.qlRateHelperRate(X16,Trigger),"")</f>
        <v>5.660000000000001E-3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42643</v>
      </c>
      <c r="AC16" s="4">
        <f>IFERROR(_xll.qlRateHelperPillarDate(X16,Trigger),"")</f>
        <v>43098</v>
      </c>
      <c r="AD16" s="76">
        <v>0.99286523056805309</v>
      </c>
    </row>
    <row r="17" spans="1:30" ht="11.25" customHeight="1" x14ac:dyDescent="0.2">
      <c r="A17" s="60" t="s">
        <v>98</v>
      </c>
      <c r="B17" s="61" t="s">
        <v>54</v>
      </c>
      <c r="C17" s="62">
        <f t="shared" si="8"/>
        <v>2</v>
      </c>
      <c r="D17" s="198"/>
      <c r="E17" s="198"/>
      <c r="F17" s="198"/>
      <c r="G17" s="63" t="str">
        <f t="shared" si="6"/>
        <v>USDFedFunds</v>
      </c>
      <c r="H17" s="65" t="str">
        <f t="shared" si="7"/>
        <v>USDOIS7M_Quote</v>
      </c>
      <c r="I17" s="200"/>
      <c r="J17" s="175" t="str">
        <f>IF(P15,_xll.qlOISRateHelper(,C17,B17,H17,$G17,,Permanent,Trigger,ObjectOverwrite),"--")</f>
        <v>obj_0027e#0003</v>
      </c>
      <c r="K17" s="50"/>
      <c r="L17" s="162" t="str">
        <f t="shared" si="3"/>
        <v>OIS</v>
      </c>
      <c r="M17" s="166" t="str">
        <f t="shared" si="4"/>
        <v>USDOIS9M_Quote</v>
      </c>
      <c r="N17" s="164">
        <f>IFERROR(_xll.qlQuoteValue(H19,Trigger),"--")</f>
        <v>5.1600000000000005E-3</v>
      </c>
      <c r="O17" s="167"/>
      <c r="P17" s="101" t="b">
        <v>1</v>
      </c>
      <c r="Q17" s="98">
        <v>50</v>
      </c>
      <c r="R17" s="98">
        <v>1</v>
      </c>
      <c r="S17" s="98" t="str">
        <f t="shared" si="5"/>
        <v>obj_0027c#0003</v>
      </c>
      <c r="T17" s="102">
        <f>IFERROR(_xll.qlRateHelperEarliestDate(S17,Trigger),"--")</f>
        <v>42643</v>
      </c>
      <c r="U17" s="102">
        <f>IFERROR(_xll.qlRateHelperPillarDate(S17,Trigger),"--")</f>
        <v>42916</v>
      </c>
      <c r="W17" s="3" t="str">
        <f t="shared" si="0"/>
        <v>OIS</v>
      </c>
      <c r="X17" s="3" t="str">
        <v>obj_00271</v>
      </c>
      <c r="Y17" s="3" t="str">
        <f>IFERROR(_xll.qlRateHelperQuoteName(X17,Trigger),"")</f>
        <v>USDOIS18M_Quote</v>
      </c>
      <c r="Z17" s="70">
        <f>IFERROR(_xll.qlRateHelperRate(X17,Trigger),"")</f>
        <v>5.8600000000000006E-3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42643</v>
      </c>
      <c r="AC17" s="4">
        <f>IFERROR(_xll.qlRateHelperPillarDate(X17,Trigger),"")</f>
        <v>43189</v>
      </c>
      <c r="AD17" s="76">
        <v>0.99114846216847063</v>
      </c>
    </row>
    <row r="18" spans="1:30" ht="11.25" customHeight="1" x14ac:dyDescent="0.2">
      <c r="A18" s="60" t="s">
        <v>98</v>
      </c>
      <c r="B18" s="61" t="s">
        <v>55</v>
      </c>
      <c r="C18" s="62">
        <f t="shared" si="8"/>
        <v>2</v>
      </c>
      <c r="D18" s="198"/>
      <c r="E18" s="198"/>
      <c r="F18" s="198"/>
      <c r="G18" s="63" t="str">
        <f t="shared" si="6"/>
        <v>USDFedFunds</v>
      </c>
      <c r="H18" s="65" t="str">
        <f t="shared" si="7"/>
        <v>USDOIS8M_Quote</v>
      </c>
      <c r="I18" s="200"/>
      <c r="J18" s="175" t="str">
        <f>IF(P16,_xll.qlOISRateHelper(,C18,B18,H18,$G18,,Permanent,Trigger,ObjectOverwrite),"--")</f>
        <v>obj_0027d#0003</v>
      </c>
      <c r="K18" s="50"/>
      <c r="L18" s="162" t="str">
        <f t="shared" si="3"/>
        <v>OIS</v>
      </c>
      <c r="M18" s="166" t="str">
        <f t="shared" si="4"/>
        <v>USDOIS10M_Quote</v>
      </c>
      <c r="N18" s="164">
        <f>IFERROR(_xll.qlQuoteValue(H20,Trigger),"--")</f>
        <v>5.2599999999999999E-3</v>
      </c>
      <c r="O18" s="167"/>
      <c r="P18" s="101" t="b">
        <v>1</v>
      </c>
      <c r="Q18" s="98">
        <v>50</v>
      </c>
      <c r="R18" s="98">
        <v>1</v>
      </c>
      <c r="S18" s="98" t="str">
        <f t="shared" si="5"/>
        <v>obj_00268#0003</v>
      </c>
      <c r="T18" s="102">
        <f>IFERROR(_xll.qlRateHelperEarliestDate(S18,Trigger),"--")</f>
        <v>42643</v>
      </c>
      <c r="U18" s="102">
        <f>IFERROR(_xll.qlRateHelperPillarDate(S18,Trigger),"--")</f>
        <v>42947</v>
      </c>
      <c r="W18" s="3" t="str">
        <f t="shared" si="0"/>
        <v>OIS</v>
      </c>
      <c r="X18" s="3" t="str">
        <v>obj_00270</v>
      </c>
      <c r="Y18" s="3" t="str">
        <f>IFERROR(_xll.qlRateHelperQuoteName(X18,Trigger),"")</f>
        <v>USDOIS21M_Quote</v>
      </c>
      <c r="Z18" s="70">
        <f>IFERROR(_xll.qlRateHelperRate(X18,Trigger),"")</f>
        <v>6.0299999999999998E-3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42643</v>
      </c>
      <c r="AC18" s="4">
        <f>IFERROR(_xll.qlRateHelperPillarDate(X18,Trigger),"")</f>
        <v>43280</v>
      </c>
      <c r="AD18" s="76">
        <v>0.98938931521479578</v>
      </c>
    </row>
    <row r="19" spans="1:30" ht="11.25" customHeight="1" x14ac:dyDescent="0.2">
      <c r="A19" s="60" t="s">
        <v>98</v>
      </c>
      <c r="B19" s="61" t="s">
        <v>56</v>
      </c>
      <c r="C19" s="62">
        <f t="shared" si="8"/>
        <v>2</v>
      </c>
      <c r="D19" s="198"/>
      <c r="E19" s="198"/>
      <c r="F19" s="198"/>
      <c r="G19" s="63" t="str">
        <f t="shared" si="6"/>
        <v>USDFedFunds</v>
      </c>
      <c r="H19" s="65" t="str">
        <f t="shared" si="7"/>
        <v>USDOIS9M_Quote</v>
      </c>
      <c r="I19" s="200"/>
      <c r="J19" s="175" t="str">
        <f>IF(P17,_xll.qlOISRateHelper(,C19,B19,H19,$G19,,Permanent,Trigger,ObjectOverwrite),"--")</f>
        <v>obj_0027c#0003</v>
      </c>
      <c r="K19" s="50"/>
      <c r="L19" s="162" t="str">
        <f t="shared" si="3"/>
        <v>OIS</v>
      </c>
      <c r="M19" s="166" t="str">
        <f t="shared" si="4"/>
        <v>USDOIS11M_Quote</v>
      </c>
      <c r="N19" s="164">
        <f>IFERROR(_xll.qlQuoteValue(H21,Trigger),"--")</f>
        <v>5.3600000000000002E-3</v>
      </c>
      <c r="O19" s="167"/>
      <c r="P19" s="101" t="b">
        <v>1</v>
      </c>
      <c r="Q19" s="98">
        <v>50</v>
      </c>
      <c r="R19" s="98">
        <v>1</v>
      </c>
      <c r="S19" s="98" t="str">
        <f t="shared" si="5"/>
        <v>obj_00278#0003</v>
      </c>
      <c r="T19" s="102">
        <f>IFERROR(_xll.qlRateHelperEarliestDate(S19,Trigger),"--")</f>
        <v>42643</v>
      </c>
      <c r="U19" s="102">
        <f>IFERROR(_xll.qlRateHelperPillarDate(S19,Trigger),"--")</f>
        <v>42978</v>
      </c>
      <c r="W19" s="3" t="str">
        <f t="shared" si="0"/>
        <v>OIS</v>
      </c>
      <c r="X19" s="3" t="str">
        <v>obj_00286</v>
      </c>
      <c r="Y19" s="3" t="str">
        <f>IFERROR(_xll.qlRateHelperQuoteName(X19,Trigger),"")</f>
        <v>USDOIS2Y_Quote</v>
      </c>
      <c r="Z19" s="70">
        <f>IFERROR(_xll.qlRateHelperRate(X19,Trigger),"")</f>
        <v>6.1900000000000002E-3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42643</v>
      </c>
      <c r="AC19" s="4">
        <f>IFERROR(_xll.qlRateHelperPillarDate(X19,Trigger),"")</f>
        <v>43371</v>
      </c>
      <c r="AD19" s="76">
        <v>0.98757099772864987</v>
      </c>
    </row>
    <row r="20" spans="1:30" ht="11.25" customHeight="1" x14ac:dyDescent="0.2">
      <c r="A20" s="60" t="s">
        <v>98</v>
      </c>
      <c r="B20" s="61" t="s">
        <v>57</v>
      </c>
      <c r="C20" s="62">
        <f t="shared" si="8"/>
        <v>2</v>
      </c>
      <c r="D20" s="198"/>
      <c r="E20" s="198"/>
      <c r="F20" s="198"/>
      <c r="G20" s="63" t="str">
        <f t="shared" si="6"/>
        <v>USDFedFunds</v>
      </c>
      <c r="H20" s="65" t="str">
        <f t="shared" si="7"/>
        <v>USDOIS10M_Quote</v>
      </c>
      <c r="I20" s="200"/>
      <c r="J20" s="175" t="str">
        <f>IF(P18,_xll.qlOISRateHelper(,C20,B20,H20,$G20,,Permanent,Trigger,ObjectOverwrite),"--")</f>
        <v>obj_00268#0003</v>
      </c>
      <c r="K20" s="50"/>
      <c r="L20" s="162" t="str">
        <f t="shared" si="3"/>
        <v>OIS</v>
      </c>
      <c r="M20" s="166" t="str">
        <f t="shared" si="4"/>
        <v>USDOIS1Y_Quote</v>
      </c>
      <c r="N20" s="164">
        <f>IFERROR(_xll.qlQuoteValue(H22,Trigger),"--")</f>
        <v>5.4300000000000008E-3</v>
      </c>
      <c r="O20" s="167"/>
      <c r="P20" s="101" t="b">
        <v>1</v>
      </c>
      <c r="Q20" s="98">
        <v>50</v>
      </c>
      <c r="R20" s="98">
        <v>1</v>
      </c>
      <c r="S20" s="98" t="str">
        <f t="shared" si="5"/>
        <v>obj_0026f#0003</v>
      </c>
      <c r="T20" s="102">
        <f>IFERROR(_xll.qlRateHelperEarliestDate(S20,Trigger),"--")</f>
        <v>42643</v>
      </c>
      <c r="U20" s="102">
        <f>IFERROR(_xll.qlRateHelperPillarDate(S20,Trigger),"--")</f>
        <v>43007</v>
      </c>
      <c r="W20" s="3" t="str">
        <f t="shared" si="0"/>
        <v>OIS</v>
      </c>
      <c r="X20" s="3" t="str">
        <v>obj_00285</v>
      </c>
      <c r="Y20" s="3" t="str">
        <f>IFERROR(_xll.qlRateHelperQuoteName(X20,Trigger),"")</f>
        <v>USDOIS3Y_Quote</v>
      </c>
      <c r="Z20" s="70">
        <f>IFERROR(_xll.qlRateHelperRate(X20,Trigger),"")</f>
        <v>6.7400000000000003E-3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42643</v>
      </c>
      <c r="AC20" s="4">
        <f>IFERROR(_xll.qlRateHelperPillarDate(X20,Trigger),"")</f>
        <v>43738</v>
      </c>
      <c r="AD20" s="76">
        <v>0.97973691026585941</v>
      </c>
    </row>
    <row r="21" spans="1:30" ht="11.25" customHeight="1" x14ac:dyDescent="0.2">
      <c r="A21" s="60" t="s">
        <v>98</v>
      </c>
      <c r="B21" s="61" t="s">
        <v>58</v>
      </c>
      <c r="C21" s="62">
        <f t="shared" si="8"/>
        <v>2</v>
      </c>
      <c r="D21" s="198"/>
      <c r="E21" s="198"/>
      <c r="F21" s="198"/>
      <c r="G21" s="63" t="str">
        <f t="shared" si="6"/>
        <v>USDFedFunds</v>
      </c>
      <c r="H21" s="65" t="str">
        <f t="shared" si="7"/>
        <v>USDOIS11M_Quote</v>
      </c>
      <c r="I21" s="200"/>
      <c r="J21" s="175" t="str">
        <f>IF(P19,_xll.qlOISRateHelper(,C21,B21,H21,$G21,,Permanent,Trigger,ObjectOverwrite),"--")</f>
        <v>obj_00278#0003</v>
      </c>
      <c r="K21" s="50"/>
      <c r="L21" s="162" t="str">
        <f t="shared" si="3"/>
        <v>OIS</v>
      </c>
      <c r="M21" s="166" t="str">
        <f t="shared" si="4"/>
        <v>USDOIS13M_Quote</v>
      </c>
      <c r="N21" s="164" t="str">
        <f>IFERROR(_xll.qlQuoteValue(H23,Trigger),"--")</f>
        <v>--</v>
      </c>
      <c r="O21" s="167"/>
      <c r="P21" s="101" t="b">
        <v>0</v>
      </c>
      <c r="Q21" s="98">
        <v>50</v>
      </c>
      <c r="R21" s="98">
        <v>1</v>
      </c>
      <c r="S21" s="98" t="str">
        <f t="shared" si="5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 t="shared" si="0"/>
        <v>OIS</v>
      </c>
      <c r="X21" s="3" t="str">
        <v>obj_00288</v>
      </c>
      <c r="Y21" s="3" t="str">
        <f>IFERROR(_xll.qlRateHelperQuoteName(X21,Trigger),"")</f>
        <v>USDOIS4Y_Quote</v>
      </c>
      <c r="Z21" s="70">
        <f>IFERROR(_xll.qlRateHelperRate(X21,Trigger),"")</f>
        <v>7.2500000000000012E-3</v>
      </c>
      <c r="AA21" s="106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42643</v>
      </c>
      <c r="AC21" s="4">
        <f>IFERROR(_xll.qlRateHelperPillarDate(X21,Trigger),"")</f>
        <v>44104</v>
      </c>
      <c r="AD21" s="76">
        <v>0.97104799944832154</v>
      </c>
    </row>
    <row r="22" spans="1:30" ht="11.25" customHeight="1" x14ac:dyDescent="0.2">
      <c r="A22" s="60" t="s">
        <v>98</v>
      </c>
      <c r="B22" s="61" t="s">
        <v>28</v>
      </c>
      <c r="C22" s="62">
        <f t="shared" si="8"/>
        <v>2</v>
      </c>
      <c r="D22" s="198"/>
      <c r="E22" s="198"/>
      <c r="F22" s="198"/>
      <c r="G22" s="63" t="str">
        <f t="shared" si="6"/>
        <v>USDFedFunds</v>
      </c>
      <c r="H22" s="65" t="str">
        <f t="shared" si="7"/>
        <v>USDOIS1Y_Quote</v>
      </c>
      <c r="I22" s="200"/>
      <c r="J22" s="175" t="str">
        <f>IF(P20,_xll.qlOISRateHelper(,C22,B22,H22,$G22,,Permanent,Trigger,ObjectOverwrite),"--")</f>
        <v>obj_0026f#0003</v>
      </c>
      <c r="L22" s="162" t="str">
        <f t="shared" si="3"/>
        <v>OIS</v>
      </c>
      <c r="M22" s="166" t="str">
        <f t="shared" si="4"/>
        <v>USDOIS14M_Quote</v>
      </c>
      <c r="N22" s="164" t="str">
        <f>IFERROR(_xll.qlQuoteValue(H24,Trigger),"--")</f>
        <v>--</v>
      </c>
      <c r="O22" s="167"/>
      <c r="P22" s="101" t="b">
        <v>0</v>
      </c>
      <c r="Q22" s="98">
        <v>50</v>
      </c>
      <c r="R22" s="98">
        <v>1</v>
      </c>
      <c r="S22" s="98" t="str">
        <f t="shared" si="5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 t="shared" si="0"/>
        <v>OIS</v>
      </c>
      <c r="X22" s="3" t="str">
        <v>obj_0026c</v>
      </c>
      <c r="Y22" s="3" t="str">
        <f>IFERROR(_xll.qlRateHelperQuoteName(X22,Trigger),"")</f>
        <v>USDOIS5Y_Quote</v>
      </c>
      <c r="Z22" s="70">
        <f>IFERROR(_xll.qlRateHelperRate(X22,Trigger),"")</f>
        <v>7.7800000000000005E-3</v>
      </c>
      <c r="AA22" s="106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42643</v>
      </c>
      <c r="AC22" s="4">
        <f>IFERROR(_xll.qlRateHelperPillarDate(X22,Trigger),"")</f>
        <v>44469</v>
      </c>
      <c r="AD22" s="76">
        <v>0.96135004802079471</v>
      </c>
    </row>
    <row r="23" spans="1:30" ht="11.25" customHeight="1" x14ac:dyDescent="0.2">
      <c r="A23" s="60" t="s">
        <v>98</v>
      </c>
      <c r="B23" s="61" t="s">
        <v>59</v>
      </c>
      <c r="C23" s="62">
        <f t="shared" ref="C23:C61" si="9">IF(B23="O/N",0,IF(B23="T/N",1,2))</f>
        <v>2</v>
      </c>
      <c r="D23" s="198"/>
      <c r="E23" s="198"/>
      <c r="F23" s="198"/>
      <c r="G23" s="63" t="str">
        <f t="shared" si="6"/>
        <v>USDFedFunds</v>
      </c>
      <c r="H23" s="65" t="str">
        <f t="shared" si="7"/>
        <v>USDOIS13M_Quote</v>
      </c>
      <c r="I23" s="200"/>
      <c r="J23" s="175" t="str">
        <f>IF(P21,_xll.qlOISRateHelper(,C23,B23,H23,$G23,,Permanent,Trigger,ObjectOverwrite),"--")</f>
        <v>--</v>
      </c>
      <c r="L23" s="162" t="str">
        <f t="shared" si="3"/>
        <v>OIS</v>
      </c>
      <c r="M23" s="166" t="str">
        <f t="shared" si="4"/>
        <v>USDOIS15M_Quote</v>
      </c>
      <c r="N23" s="164">
        <f>IFERROR(_xll.qlQuoteValue(H25,Trigger),"--")</f>
        <v>5.660000000000001E-3</v>
      </c>
      <c r="O23" s="167"/>
      <c r="P23" s="101" t="b">
        <v>1</v>
      </c>
      <c r="Q23" s="98">
        <v>50</v>
      </c>
      <c r="R23" s="98">
        <v>1</v>
      </c>
      <c r="S23" s="98" t="str">
        <f t="shared" si="5"/>
        <v>obj_00280#0003</v>
      </c>
      <c r="T23" s="102">
        <f>IFERROR(_xll.qlRateHelperEarliestDate(S23,Trigger),"--")</f>
        <v>42643</v>
      </c>
      <c r="U23" s="102">
        <f>IFERROR(_xll.qlRateHelperPillarDate(S23,Trigger),"--")</f>
        <v>43098</v>
      </c>
      <c r="W23" s="3" t="str">
        <f t="shared" si="0"/>
        <v>OIS</v>
      </c>
      <c r="X23" s="3" t="str">
        <v>obj_0028f</v>
      </c>
      <c r="Y23" s="3" t="str">
        <f>IFERROR(_xll.qlRateHelperQuoteName(X23,Trigger),"")</f>
        <v>USDOIS6Y_Quote</v>
      </c>
      <c r="Z23" s="70">
        <f>IFERROR(_xll.qlRateHelperRate(X23,Trigger),"")</f>
        <v>8.3299999999999989E-3</v>
      </c>
      <c r="AA23" s="106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42643</v>
      </c>
      <c r="AC23" s="4">
        <f>IFERROR(_xll.qlRateHelperPillarDate(X23,Trigger),"")</f>
        <v>44834</v>
      </c>
      <c r="AD23" s="76">
        <v>0.95059098937215014</v>
      </c>
    </row>
    <row r="24" spans="1:30" ht="11.25" customHeight="1" x14ac:dyDescent="0.2">
      <c r="A24" s="60" t="s">
        <v>98</v>
      </c>
      <c r="B24" s="61" t="s">
        <v>60</v>
      </c>
      <c r="C24" s="62">
        <f t="shared" si="9"/>
        <v>2</v>
      </c>
      <c r="D24" s="198"/>
      <c r="E24" s="198"/>
      <c r="F24" s="198"/>
      <c r="G24" s="63" t="str">
        <f t="shared" si="6"/>
        <v>USDFedFunds</v>
      </c>
      <c r="H24" s="65" t="str">
        <f t="shared" si="7"/>
        <v>USDOIS14M_Quote</v>
      </c>
      <c r="I24" s="200"/>
      <c r="J24" s="175" t="str">
        <f>IF(P22,_xll.qlOISRateHelper(,C24,B24,H24,$G24,,Permanent,Trigger,ObjectOverwrite),"--")</f>
        <v>--</v>
      </c>
      <c r="L24" s="162" t="str">
        <f t="shared" si="3"/>
        <v>OIS</v>
      </c>
      <c r="M24" s="166" t="str">
        <f t="shared" si="4"/>
        <v>USDOIS16M_Quote</v>
      </c>
      <c r="N24" s="164" t="str">
        <f>IFERROR(_xll.qlQuoteValue(H26,Trigger),"--")</f>
        <v>--</v>
      </c>
      <c r="O24" s="167"/>
      <c r="P24" s="101" t="b">
        <v>0</v>
      </c>
      <c r="Q24" s="98">
        <v>50</v>
      </c>
      <c r="R24" s="98">
        <v>1</v>
      </c>
      <c r="S24" s="98" t="str">
        <f t="shared" si="5"/>
        <v>--</v>
      </c>
      <c r="T24" s="102" t="str">
        <f>IFERROR(_xll.qlRateHelperEarliestDate(S24,Trigger),"--")</f>
        <v>--</v>
      </c>
      <c r="U24" s="102" t="str">
        <f>IFERROR(_xll.qlRateHelperPillarDate(S24,Trigger),"--")</f>
        <v>--</v>
      </c>
      <c r="W24" s="3" t="str">
        <f t="shared" si="0"/>
        <v>OIS</v>
      </c>
      <c r="X24" s="3" t="str">
        <v>obj_00291</v>
      </c>
      <c r="Y24" s="3" t="str">
        <f>IFERROR(_xll.qlRateHelperQuoteName(X24,Trigger),"")</f>
        <v>USDOIS7Y_Quote</v>
      </c>
      <c r="Z24" s="70">
        <f>IFERROR(_xll.qlRateHelperRate(X24,Trigger),"")</f>
        <v>8.8599999999999998E-3</v>
      </c>
      <c r="AA24" s="106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42643</v>
      </c>
      <c r="AC24" s="4">
        <f>IFERROR(_xll.qlRateHelperPillarDate(X24,Trigger),"")</f>
        <v>45198</v>
      </c>
      <c r="AD24" s="76">
        <v>0.93903651135325217</v>
      </c>
    </row>
    <row r="25" spans="1:30" ht="11.25" customHeight="1" x14ac:dyDescent="0.2">
      <c r="A25" s="60" t="s">
        <v>98</v>
      </c>
      <c r="B25" s="61" t="s">
        <v>61</v>
      </c>
      <c r="C25" s="62">
        <f t="shared" si="9"/>
        <v>2</v>
      </c>
      <c r="D25" s="198"/>
      <c r="E25" s="198"/>
      <c r="F25" s="198"/>
      <c r="G25" s="63" t="str">
        <f t="shared" si="6"/>
        <v>USDFedFunds</v>
      </c>
      <c r="H25" s="65" t="str">
        <f t="shared" si="7"/>
        <v>USDOIS15M_Quote</v>
      </c>
      <c r="I25" s="200"/>
      <c r="J25" s="175" t="str">
        <f>IF(P23,_xll.qlOISRateHelper(,C25,B25,H25,$G25,,Permanent,Trigger,ObjectOverwrite),"--")</f>
        <v>obj_00280#0003</v>
      </c>
      <c r="L25" s="162" t="str">
        <f t="shared" si="3"/>
        <v>OIS</v>
      </c>
      <c r="M25" s="166" t="str">
        <f t="shared" si="4"/>
        <v>USDOIS17M_Quote</v>
      </c>
      <c r="N25" s="164" t="str">
        <f>IFERROR(_xll.qlQuoteValue(H27,Trigger),"--")</f>
        <v>--</v>
      </c>
      <c r="O25" s="167"/>
      <c r="P25" s="101" t="b">
        <v>0</v>
      </c>
      <c r="Q25" s="98">
        <v>50</v>
      </c>
      <c r="R25" s="98">
        <v>1</v>
      </c>
      <c r="S25" s="98" t="str">
        <f t="shared" si="5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 t="shared" si="0"/>
        <v>OIS</v>
      </c>
      <c r="X25" s="3" t="str">
        <v>obj_00272</v>
      </c>
      <c r="Y25" s="3" t="str">
        <f>IFERROR(_xll.qlRateHelperQuoteName(X25,Trigger),"")</f>
        <v>USDOIS8Y_Quote</v>
      </c>
      <c r="Z25" s="70">
        <f>IFERROR(_xll.qlRateHelperRate(X25,Trigger),"")</f>
        <v>9.3600000000000003E-3</v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42643</v>
      </c>
      <c r="AC25" s="4">
        <f>IFERROR(_xll.qlRateHelperPillarDate(X25,Trigger),"")</f>
        <v>45565</v>
      </c>
      <c r="AD25" s="76">
        <v>0.92675437316850628</v>
      </c>
    </row>
    <row r="26" spans="1:30" ht="11.25" customHeight="1" x14ac:dyDescent="0.2">
      <c r="A26" s="60" t="s">
        <v>98</v>
      </c>
      <c r="B26" s="61" t="s">
        <v>62</v>
      </c>
      <c r="C26" s="62">
        <f t="shared" si="9"/>
        <v>2</v>
      </c>
      <c r="D26" s="198"/>
      <c r="E26" s="198"/>
      <c r="F26" s="198"/>
      <c r="G26" s="63" t="str">
        <f t="shared" si="6"/>
        <v>USDFedFunds</v>
      </c>
      <c r="H26" s="65" t="str">
        <f t="shared" si="7"/>
        <v>USDOIS16M_Quote</v>
      </c>
      <c r="I26" s="200"/>
      <c r="J26" s="175" t="str">
        <f>IF(P24,_xll.qlOISRateHelper(,C26,B26,H26,$G26,,Permanent,Trigger,ObjectOverwrite),"--")</f>
        <v>--</v>
      </c>
      <c r="L26" s="162" t="str">
        <f t="shared" si="3"/>
        <v>OIS</v>
      </c>
      <c r="M26" s="166" t="str">
        <f t="shared" si="4"/>
        <v>USDOIS18M_Quote</v>
      </c>
      <c r="N26" s="164">
        <f>IFERROR(_xll.qlQuoteValue(H28,Trigger),"--")</f>
        <v>5.8600000000000006E-3</v>
      </c>
      <c r="O26" s="167"/>
      <c r="P26" s="101" t="b">
        <v>1</v>
      </c>
      <c r="Q26" s="98">
        <v>50</v>
      </c>
      <c r="R26" s="98">
        <v>1</v>
      </c>
      <c r="S26" s="98" t="str">
        <f t="shared" si="5"/>
        <v>obj_00271#0003</v>
      </c>
      <c r="T26" s="102">
        <f>IFERROR(_xll.qlRateHelperEarliestDate(S26,Trigger),"--")</f>
        <v>42643</v>
      </c>
      <c r="U26" s="102">
        <f>IFERROR(_xll.qlRateHelperPillarDate(S26,Trigger),"--")</f>
        <v>43189</v>
      </c>
      <c r="W26" s="3" t="str">
        <f t="shared" si="0"/>
        <v>OIS</v>
      </c>
      <c r="X26" s="3" t="str">
        <v>obj_0026b</v>
      </c>
      <c r="Y26" s="3" t="str">
        <f>IFERROR(_xll.qlRateHelperQuoteName(X26,Trigger),"")</f>
        <v>USDOIS9Y_Quote</v>
      </c>
      <c r="Z26" s="70">
        <f>IFERROR(_xll.qlRateHelperRate(X26,Trigger),"")</f>
        <v>9.8300000000000002E-3</v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42643</v>
      </c>
      <c r="AC26" s="4">
        <f>IFERROR(_xll.qlRateHelperPillarDate(X26,Trigger),"")</f>
        <v>45930</v>
      </c>
      <c r="AD26" s="76">
        <v>0.91396853127429967</v>
      </c>
    </row>
    <row r="27" spans="1:30" ht="11.25" customHeight="1" x14ac:dyDescent="0.2">
      <c r="A27" s="60" t="s">
        <v>98</v>
      </c>
      <c r="B27" s="61" t="s">
        <v>63</v>
      </c>
      <c r="C27" s="62">
        <f t="shared" si="9"/>
        <v>2</v>
      </c>
      <c r="D27" s="198"/>
      <c r="E27" s="198"/>
      <c r="F27" s="198"/>
      <c r="G27" s="63" t="str">
        <f t="shared" si="6"/>
        <v>USDFedFunds</v>
      </c>
      <c r="H27" s="65" t="str">
        <f t="shared" si="7"/>
        <v>USDOIS17M_Quote</v>
      </c>
      <c r="I27" s="200"/>
      <c r="J27" s="175" t="str">
        <f>IF(P25,_xll.qlOISRateHelper(,C27,B27,H27,$G27,,Permanent,Trigger,ObjectOverwrite),"--")</f>
        <v>--</v>
      </c>
      <c r="L27" s="162" t="str">
        <f t="shared" si="3"/>
        <v>OIS</v>
      </c>
      <c r="M27" s="166" t="str">
        <f t="shared" si="4"/>
        <v>USDOIS19M_Quote</v>
      </c>
      <c r="N27" s="164" t="str">
        <f>IFERROR(_xll.qlQuoteValue(H29,Trigger),"--")</f>
        <v>--</v>
      </c>
      <c r="O27" s="167"/>
      <c r="P27" s="101" t="b">
        <v>0</v>
      </c>
      <c r="Q27" s="98">
        <v>50</v>
      </c>
      <c r="R27" s="98">
        <v>1</v>
      </c>
      <c r="S27" s="98" t="str">
        <f t="shared" si="5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 t="shared" si="0"/>
        <v>OIS</v>
      </c>
      <c r="X27" s="3" t="str">
        <v>obj_00267</v>
      </c>
      <c r="Y27" s="3" t="str">
        <f>IFERROR(_xll.qlRateHelperQuoteName(X27,Trigger),"")</f>
        <v>USDOIS10Y_Quote</v>
      </c>
      <c r="Z27" s="70">
        <f>IFERROR(_xll.qlRateHelperRate(X27,Trigger),"")</f>
        <v>1.026E-2</v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>
        <f>IFERROR(_xll.qlRateHelperEarliestDate(X27,Trigger),"")</f>
        <v>42643</v>
      </c>
      <c r="AC27" s="4">
        <f>IFERROR(_xll.qlRateHelperPillarDate(X27,Trigger),"")</f>
        <v>46295</v>
      </c>
      <c r="AD27" s="76">
        <v>0.90083529292909892</v>
      </c>
    </row>
    <row r="28" spans="1:30" ht="11.25" customHeight="1" x14ac:dyDescent="0.2">
      <c r="A28" s="60" t="s">
        <v>98</v>
      </c>
      <c r="B28" s="61" t="s">
        <v>64</v>
      </c>
      <c r="C28" s="62">
        <f t="shared" si="9"/>
        <v>2</v>
      </c>
      <c r="D28" s="198"/>
      <c r="E28" s="198"/>
      <c r="F28" s="198"/>
      <c r="G28" s="63" t="str">
        <f t="shared" si="6"/>
        <v>USDFedFunds</v>
      </c>
      <c r="H28" s="65" t="str">
        <f t="shared" si="7"/>
        <v>USDOIS18M_Quote</v>
      </c>
      <c r="I28" s="200"/>
      <c r="J28" s="175" t="str">
        <f>IF(P26,_xll.qlOISRateHelper(,C28,B28,H28,$G28,,Permanent,Trigger,ObjectOverwrite),"--")</f>
        <v>obj_00271#0003</v>
      </c>
      <c r="L28" s="162" t="str">
        <f t="shared" si="3"/>
        <v>OIS</v>
      </c>
      <c r="M28" s="166" t="str">
        <f t="shared" si="4"/>
        <v>USDOIS20M_Quote</v>
      </c>
      <c r="N28" s="164" t="str">
        <f>IFERROR(_xll.qlQuoteValue(H30,Trigger),"--")</f>
        <v>--</v>
      </c>
      <c r="O28" s="167"/>
      <c r="P28" s="101" t="b">
        <v>0</v>
      </c>
      <c r="Q28" s="98">
        <v>50</v>
      </c>
      <c r="R28" s="98">
        <v>1</v>
      </c>
      <c r="S28" s="98" t="str">
        <f t="shared" si="5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0"/>
        <v>OIS</v>
      </c>
      <c r="X28" s="3" t="str">
        <v>obj_0026d</v>
      </c>
      <c r="Y28" s="3" t="str">
        <f>IFERROR(_xll.qlRateHelperQuoteName(X28,Trigger),"")</f>
        <v>USDOIS12Y_Quote</v>
      </c>
      <c r="Z28" s="70">
        <f>IFERROR(_xll.qlRateHelperRate(X28,Trigger),"")</f>
        <v>1.1019999999999999E-2</v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>
        <f>IFERROR(_xll.qlRateHelperEarliestDate(X28,Trigger),"")</f>
        <v>42643</v>
      </c>
      <c r="AC28" s="4">
        <f>IFERROR(_xll.qlRateHelperPillarDate(X28,Trigger),"")</f>
        <v>47025</v>
      </c>
      <c r="AD28" s="76">
        <v>0.87381374914729293</v>
      </c>
    </row>
    <row r="29" spans="1:30" ht="11.25" customHeight="1" x14ac:dyDescent="0.2">
      <c r="A29" s="60" t="s">
        <v>98</v>
      </c>
      <c r="B29" s="61" t="s">
        <v>65</v>
      </c>
      <c r="C29" s="62">
        <f t="shared" si="9"/>
        <v>2</v>
      </c>
      <c r="D29" s="198"/>
      <c r="E29" s="198"/>
      <c r="F29" s="198"/>
      <c r="G29" s="63" t="str">
        <f t="shared" si="6"/>
        <v>USDFedFunds</v>
      </c>
      <c r="H29" s="65" t="str">
        <f t="shared" si="7"/>
        <v>USDOIS19M_Quote</v>
      </c>
      <c r="I29" s="200"/>
      <c r="J29" s="175" t="str">
        <f>IF(P27,_xll.qlOISRateHelper(,C29,B29,H29,$G29,,Permanent,Trigger,ObjectOverwrite),"--")</f>
        <v>--</v>
      </c>
      <c r="L29" s="162" t="str">
        <f t="shared" si="3"/>
        <v>OIS</v>
      </c>
      <c r="M29" s="166" t="str">
        <f t="shared" si="4"/>
        <v>USDOIS21M_Quote</v>
      </c>
      <c r="N29" s="164">
        <f>IFERROR(_xll.qlQuoteValue(H31,Trigger),"--")</f>
        <v>6.0299999999999998E-3</v>
      </c>
      <c r="O29" s="167"/>
      <c r="P29" s="101" t="b">
        <v>1</v>
      </c>
      <c r="Q29" s="98">
        <v>50</v>
      </c>
      <c r="R29" s="98">
        <v>1</v>
      </c>
      <c r="S29" s="98" t="str">
        <f t="shared" si="5"/>
        <v>obj_00270#0003</v>
      </c>
      <c r="T29" s="102">
        <f>IFERROR(_xll.qlRateHelperEarliestDate(S29,Trigger),"--")</f>
        <v>42643</v>
      </c>
      <c r="U29" s="102">
        <f>IFERROR(_xll.qlRateHelperPillarDate(S29,Trigger),"--")</f>
        <v>43280</v>
      </c>
      <c r="W29" s="3" t="str">
        <f t="shared" si="0"/>
        <v>OIS</v>
      </c>
      <c r="X29" s="3" t="str">
        <v>obj_0027a</v>
      </c>
      <c r="Y29" s="3" t="str">
        <f>IFERROR(_xll.qlRateHelperQuoteName(X29,Trigger),"")</f>
        <v>USDOIS15Y_Quote</v>
      </c>
      <c r="Z29" s="70">
        <f>IFERROR(_xll.qlRateHelperRate(X29,Trigger),"")</f>
        <v>1.1819999999999999E-2</v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>
        <f>IFERROR(_xll.qlRateHelperEarliestDate(X29,Trigger),"")</f>
        <v>42643</v>
      </c>
      <c r="AC29" s="4">
        <f>IFERROR(_xll.qlRateHelperPillarDate(X29,Trigger),"")</f>
        <v>48121</v>
      </c>
      <c r="AD29" s="76">
        <v>0.83416547903672755</v>
      </c>
    </row>
    <row r="30" spans="1:30" ht="11.25" customHeight="1" x14ac:dyDescent="0.2">
      <c r="A30" s="60" t="s">
        <v>98</v>
      </c>
      <c r="B30" s="61" t="s">
        <v>66</v>
      </c>
      <c r="C30" s="62">
        <f t="shared" si="9"/>
        <v>2</v>
      </c>
      <c r="D30" s="198"/>
      <c r="E30" s="198"/>
      <c r="F30" s="198"/>
      <c r="G30" s="63" t="str">
        <f t="shared" si="6"/>
        <v>USDFedFunds</v>
      </c>
      <c r="H30" s="65" t="str">
        <f t="shared" si="7"/>
        <v>USDOIS20M_Quote</v>
      </c>
      <c r="I30" s="200"/>
      <c r="J30" s="175" t="str">
        <f>IF(P28,_xll.qlOISRateHelper(,C30,B30,H30,$G30,,Permanent,Trigger,ObjectOverwrite),"--")</f>
        <v>--</v>
      </c>
      <c r="L30" s="162" t="str">
        <f t="shared" si="3"/>
        <v>OIS</v>
      </c>
      <c r="M30" s="166" t="str">
        <f t="shared" si="4"/>
        <v>USDOIS22M_Quote</v>
      </c>
      <c r="N30" s="164" t="str">
        <f>IFERROR(_xll.qlQuoteValue(H32,Trigger),"--")</f>
        <v>--</v>
      </c>
      <c r="O30" s="167"/>
      <c r="P30" s="101" t="b">
        <v>0</v>
      </c>
      <c r="Q30" s="98">
        <v>50</v>
      </c>
      <c r="R30" s="98">
        <v>1</v>
      </c>
      <c r="S30" s="98" t="str">
        <f t="shared" si="5"/>
        <v>--</v>
      </c>
      <c r="T30" s="102" t="str">
        <f>IFERROR(_xll.qlRateHelperEarliestDate(S30,Trigger),"--")</f>
        <v>--</v>
      </c>
      <c r="U30" s="102" t="str">
        <f>IFERROR(_xll.qlRateHelperPillarDate(S30,Trigger),"--")</f>
        <v>--</v>
      </c>
      <c r="W30" s="3" t="str">
        <f t="shared" si="0"/>
        <v>OIS</v>
      </c>
      <c r="X30" s="3" t="str">
        <v>obj_00287</v>
      </c>
      <c r="Y30" s="3" t="str">
        <f>IFERROR(_xll.qlRateHelperQuoteName(X30,Trigger),"")</f>
        <v>USDOIS20Y_Quote</v>
      </c>
      <c r="Z30" s="70">
        <f>IFERROR(_xll.qlRateHelperRate(X30,Trigger),"")</f>
        <v>1.2650000000000002E-2</v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>
        <f>IFERROR(_xll.qlRateHelperEarliestDate(X30,Trigger),"")</f>
        <v>42643</v>
      </c>
      <c r="AC30" s="4">
        <f>IFERROR(_xll.qlRateHelperPillarDate(X30,Trigger),"")</f>
        <v>49948</v>
      </c>
      <c r="AD30" s="76">
        <v>0.77141692767371017</v>
      </c>
    </row>
    <row r="31" spans="1:30" ht="11.25" customHeight="1" x14ac:dyDescent="0.2">
      <c r="A31" s="60" t="s">
        <v>98</v>
      </c>
      <c r="B31" s="61" t="s">
        <v>67</v>
      </c>
      <c r="C31" s="62">
        <f t="shared" si="9"/>
        <v>2</v>
      </c>
      <c r="D31" s="198"/>
      <c r="E31" s="198"/>
      <c r="F31" s="198"/>
      <c r="G31" s="63" t="str">
        <f t="shared" si="6"/>
        <v>USDFedFunds</v>
      </c>
      <c r="H31" s="65" t="str">
        <f t="shared" si="7"/>
        <v>USDOIS21M_Quote</v>
      </c>
      <c r="I31" s="200"/>
      <c r="J31" s="175" t="str">
        <f>IF(P29,_xll.qlOISRateHelper(,C31,B31,H31,$G31,,Permanent,Trigger,ObjectOverwrite),"--")</f>
        <v>obj_00270#0003</v>
      </c>
      <c r="L31" s="162" t="str">
        <f t="shared" si="3"/>
        <v>OIS</v>
      </c>
      <c r="M31" s="166" t="str">
        <f t="shared" si="4"/>
        <v>USDOIS23M_Quote</v>
      </c>
      <c r="N31" s="164" t="str">
        <f>IFERROR(_xll.qlQuoteValue(H33,Trigger),"--")</f>
        <v>--</v>
      </c>
      <c r="O31" s="167"/>
      <c r="P31" s="101" t="b">
        <v>0</v>
      </c>
      <c r="Q31" s="98">
        <v>50</v>
      </c>
      <c r="R31" s="98">
        <v>1</v>
      </c>
      <c r="S31" s="98" t="str">
        <f t="shared" si="5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0"/>
        <v>OIS</v>
      </c>
      <c r="X31" s="3" t="str">
        <v>obj_00284</v>
      </c>
      <c r="Y31" s="3" t="str">
        <f>IFERROR(_xll.qlRateHelperQuoteName(X31,Trigger),"")</f>
        <v>USDOIS25Y_Quote</v>
      </c>
      <c r="Z31" s="70">
        <f>IFERROR(_xll.qlRateHelperRate(X31,Trigger),"")</f>
        <v>1.302E-2</v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>
        <f>IFERROR(_xll.qlRateHelperEarliestDate(X31,Trigger),"")</f>
        <v>42643</v>
      </c>
      <c r="AC31" s="4">
        <f>IFERROR(_xll.qlRateHelperPillarDate(X31,Trigger),"")</f>
        <v>51774</v>
      </c>
      <c r="AD31" s="76">
        <v>0.71601916684791767</v>
      </c>
    </row>
    <row r="32" spans="1:30" ht="11.25" customHeight="1" x14ac:dyDescent="0.2">
      <c r="A32" s="60" t="s">
        <v>98</v>
      </c>
      <c r="B32" s="61" t="s">
        <v>68</v>
      </c>
      <c r="C32" s="62">
        <f t="shared" si="9"/>
        <v>2</v>
      </c>
      <c r="D32" s="198"/>
      <c r="E32" s="198"/>
      <c r="F32" s="198"/>
      <c r="G32" s="63" t="str">
        <f t="shared" si="6"/>
        <v>USDFedFunds</v>
      </c>
      <c r="H32" s="65" t="str">
        <f t="shared" si="7"/>
        <v>USDOIS22M_Quote</v>
      </c>
      <c r="I32" s="200"/>
      <c r="J32" s="175" t="str">
        <f>IF(P30,_xll.qlOISRateHelper(,C32,B32,H32,$G32,,Permanent,Trigger,ObjectOverwrite),"--")</f>
        <v>--</v>
      </c>
      <c r="L32" s="162" t="str">
        <f t="shared" si="3"/>
        <v>OIS</v>
      </c>
      <c r="M32" s="166" t="str">
        <f t="shared" si="4"/>
        <v>USDOIS2Y_Quote</v>
      </c>
      <c r="N32" s="164">
        <f>IFERROR(_xll.qlQuoteValue(H34,Trigger),"--")</f>
        <v>6.1900000000000002E-3</v>
      </c>
      <c r="O32" s="167"/>
      <c r="P32" s="101" t="b">
        <v>1</v>
      </c>
      <c r="Q32" s="98">
        <v>50</v>
      </c>
      <c r="R32" s="98">
        <v>1</v>
      </c>
      <c r="S32" s="98" t="str">
        <f t="shared" si="5"/>
        <v>obj_00286#0003</v>
      </c>
      <c r="T32" s="102">
        <f>IFERROR(_xll.qlRateHelperEarliestDate(S32,Trigger),"--")</f>
        <v>42643</v>
      </c>
      <c r="U32" s="102">
        <f>IFERROR(_xll.qlRateHelperPillarDate(S32,Trigger),"--")</f>
        <v>43371</v>
      </c>
      <c r="W32" s="3" t="str">
        <f t="shared" si="0"/>
        <v>OIS</v>
      </c>
      <c r="X32" s="3" t="str">
        <v>obj_0027f</v>
      </c>
      <c r="Y32" s="3" t="str">
        <f>IFERROR(_xll.qlRateHelperQuoteName(X32,Trigger),"")</f>
        <v>USDOIS30Y_Quote</v>
      </c>
      <c r="Z32" s="70">
        <f>IFERROR(_xll.qlRateHelperRate(X32,Trigger),"")</f>
        <v>1.3199999999999998E-2</v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>
        <f>IFERROR(_xll.qlRateHelperEarliestDate(X32,Trigger),"")</f>
        <v>42643</v>
      </c>
      <c r="AC32" s="4">
        <f>IFERROR(_xll.qlRateHelperPillarDate(X32,Trigger),"")</f>
        <v>53598</v>
      </c>
      <c r="AD32" s="76">
        <v>0.66622866855063234</v>
      </c>
    </row>
    <row r="33" spans="1:30" ht="11.25" customHeight="1" x14ac:dyDescent="0.2">
      <c r="A33" s="60" t="s">
        <v>98</v>
      </c>
      <c r="B33" s="61" t="s">
        <v>69</v>
      </c>
      <c r="C33" s="62">
        <f t="shared" si="9"/>
        <v>2</v>
      </c>
      <c r="D33" s="198"/>
      <c r="E33" s="198"/>
      <c r="F33" s="198"/>
      <c r="G33" s="63" t="str">
        <f t="shared" si="6"/>
        <v>USDFedFunds</v>
      </c>
      <c r="H33" s="65" t="str">
        <f t="shared" si="7"/>
        <v>USDOIS23M_Quote</v>
      </c>
      <c r="I33" s="200"/>
      <c r="J33" s="175" t="str">
        <f>IF(P31,_xll.qlOISRateHelper(,C33,B33,H33,$G33,,Permanent,Trigger,ObjectOverwrite),"--")</f>
        <v>--</v>
      </c>
      <c r="L33" s="162" t="str">
        <f t="shared" si="3"/>
        <v>OIS</v>
      </c>
      <c r="M33" s="166" t="str">
        <f t="shared" si="4"/>
        <v>USDOIS27M_Quote</v>
      </c>
      <c r="N33" s="164" t="str">
        <f>IFERROR(_xll.qlQuoteValue(H35,Trigger),"--")</f>
        <v>--</v>
      </c>
      <c r="O33" s="167"/>
      <c r="P33" s="101" t="b">
        <v>0</v>
      </c>
      <c r="Q33" s="98">
        <v>50</v>
      </c>
      <c r="R33" s="98">
        <v>1</v>
      </c>
      <c r="S33" s="98" t="str">
        <f t="shared" si="5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 t="shared" si="0"/>
        <v>OIS</v>
      </c>
      <c r="X33" s="3" t="str">
        <v>obj_00292</v>
      </c>
      <c r="Y33" s="3" t="str">
        <f>IFERROR(_xll.qlRateHelperQuoteName(X33,Trigger),"")</f>
        <v>USDOIS40Y_Quote</v>
      </c>
      <c r="Z33" s="70">
        <f>IFERROR(_xll.qlRateHelperRate(X33,Trigger),"")</f>
        <v>1.3309999999999999E-2</v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>
        <f>IFERROR(_xll.qlRateHelperEarliestDate(X33,Trigger),"")</f>
        <v>42643</v>
      </c>
      <c r="AC33" s="4">
        <f>IFERROR(_xll.qlRateHelperPillarDate(X33,Trigger),"")</f>
        <v>57252</v>
      </c>
      <c r="AD33" s="76">
        <v>0.58005761431212999</v>
      </c>
    </row>
    <row r="34" spans="1:30" ht="11.25" customHeight="1" x14ac:dyDescent="0.2">
      <c r="A34" s="60" t="s">
        <v>98</v>
      </c>
      <c r="B34" s="61" t="s">
        <v>70</v>
      </c>
      <c r="C34" s="62">
        <f t="shared" si="9"/>
        <v>2</v>
      </c>
      <c r="D34" s="198"/>
      <c r="E34" s="198"/>
      <c r="F34" s="198"/>
      <c r="G34" s="63" t="str">
        <f t="shared" si="6"/>
        <v>USDFedFunds</v>
      </c>
      <c r="H34" s="65" t="str">
        <f t="shared" si="7"/>
        <v>USDOIS2Y_Quote</v>
      </c>
      <c r="I34" s="200"/>
      <c r="J34" s="175" t="str">
        <f>IF(P32,_xll.qlOISRateHelper(,C34,B34,H34,$G34,,Permanent,Trigger,ObjectOverwrite),"--")</f>
        <v>obj_00286#0003</v>
      </c>
      <c r="L34" s="162" t="str">
        <f t="shared" si="3"/>
        <v>OIS</v>
      </c>
      <c r="M34" s="166" t="str">
        <f t="shared" si="4"/>
        <v>USDOIS30M_Quote</v>
      </c>
      <c r="N34" s="164" t="str">
        <f>IFERROR(_xll.qlQuoteValue(H36,Trigger),"--")</f>
        <v>--</v>
      </c>
      <c r="O34" s="167"/>
      <c r="P34" s="101" t="b">
        <v>0</v>
      </c>
      <c r="Q34" s="98">
        <v>50</v>
      </c>
      <c r="R34" s="98">
        <v>1</v>
      </c>
      <c r="S34" s="98" t="str">
        <f t="shared" si="5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0"/>
        <v>OIS</v>
      </c>
      <c r="X34" s="3" t="str">
        <v>obj_0024f</v>
      </c>
      <c r="Y34" s="3" t="str">
        <f>IFERROR(_xll.qlRateHelperQuoteName(X34,Trigger),"")</f>
        <v>USDOIS50Y_Quote</v>
      </c>
      <c r="Z34" s="70">
        <f>IFERROR(_xll.qlRateHelperRate(X34,Trigger),"")</f>
        <v>1.3180000000000001E-2</v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>
        <f>IFERROR(_xll.qlRateHelperEarliestDate(X34,Trigger),"")</f>
        <v>42643</v>
      </c>
      <c r="AC34" s="4">
        <f>IFERROR(_xll.qlRateHelperPillarDate(X34,Trigger),"")</f>
        <v>60905</v>
      </c>
      <c r="AD34" s="76">
        <v>0.51175671795162714</v>
      </c>
    </row>
    <row r="35" spans="1:30" ht="11.25" customHeight="1" x14ac:dyDescent="0.2">
      <c r="A35" s="60" t="s">
        <v>98</v>
      </c>
      <c r="B35" s="61" t="s">
        <v>71</v>
      </c>
      <c r="C35" s="62">
        <f t="shared" si="9"/>
        <v>2</v>
      </c>
      <c r="D35" s="198"/>
      <c r="E35" s="198"/>
      <c r="F35" s="198"/>
      <c r="G35" s="63" t="str">
        <f t="shared" si="6"/>
        <v>USDFedFunds</v>
      </c>
      <c r="H35" s="65" t="str">
        <f t="shared" si="7"/>
        <v>USDOIS27M_Quote</v>
      </c>
      <c r="I35" s="200"/>
      <c r="J35" s="175" t="str">
        <f>IF(P33,_xll.qlOISRateHelper(,C35,B35,H35,$G35,,Permanent,Trigger,ObjectOverwrite),"--")</f>
        <v>--</v>
      </c>
      <c r="L35" s="162" t="str">
        <f t="shared" si="3"/>
        <v>OIS</v>
      </c>
      <c r="M35" s="166" t="str">
        <f t="shared" si="4"/>
        <v>USDOIS33M_Quote</v>
      </c>
      <c r="N35" s="164" t="str">
        <f>IFERROR(_xll.qlQuoteValue(H37,Trigger),"--")</f>
        <v>--</v>
      </c>
      <c r="O35" s="167"/>
      <c r="P35" s="101" t="b">
        <v>0</v>
      </c>
      <c r="Q35" s="98">
        <v>50</v>
      </c>
      <c r="R35" s="98">
        <v>1</v>
      </c>
      <c r="S35" s="98" t="str">
        <f t="shared" si="5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59" si="10">IFERROR(INDEX($L$3:$L$59,MATCH(Y35,$M$3:$M$59,0),1),"")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98</v>
      </c>
      <c r="B36" s="61" t="s">
        <v>72</v>
      </c>
      <c r="C36" s="62">
        <f t="shared" si="9"/>
        <v>2</v>
      </c>
      <c r="D36" s="198"/>
      <c r="E36" s="198"/>
      <c r="F36" s="198"/>
      <c r="G36" s="63" t="str">
        <f t="shared" si="6"/>
        <v>USDFedFunds</v>
      </c>
      <c r="H36" s="65" t="str">
        <f t="shared" si="7"/>
        <v>USDOIS30M_Quote</v>
      </c>
      <c r="I36" s="200"/>
      <c r="J36" s="175" t="str">
        <f>IF(P34,_xll.qlOISRateHelper(,C36,B36,H36,$G36,,Permanent,Trigger,ObjectOverwrite),"--")</f>
        <v>--</v>
      </c>
      <c r="L36" s="162" t="str">
        <f t="shared" si="3"/>
        <v>OIS</v>
      </c>
      <c r="M36" s="166" t="str">
        <f t="shared" si="4"/>
        <v>USDOIS3Y_Quote</v>
      </c>
      <c r="N36" s="164">
        <f>IFERROR(_xll.qlQuoteValue(H38,Trigger),"--")</f>
        <v>6.7400000000000003E-3</v>
      </c>
      <c r="O36" s="167"/>
      <c r="P36" s="101" t="b">
        <v>1</v>
      </c>
      <c r="Q36" s="98">
        <v>50</v>
      </c>
      <c r="R36" s="98">
        <v>1</v>
      </c>
      <c r="S36" s="98" t="str">
        <f t="shared" si="5"/>
        <v>obj_00285#0003</v>
      </c>
      <c r="T36" s="102">
        <f>IFERROR(_xll.qlRateHelperEarliestDate(S36,Trigger),"--")</f>
        <v>42643</v>
      </c>
      <c r="U36" s="102">
        <f>IFERROR(_xll.qlRateHelperPillarDate(S36,Trigger),"--")</f>
        <v>43738</v>
      </c>
      <c r="W36" s="3" t="str">
        <f t="shared" si="10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98</v>
      </c>
      <c r="B37" s="61" t="s">
        <v>73</v>
      </c>
      <c r="C37" s="62">
        <f t="shared" si="9"/>
        <v>2</v>
      </c>
      <c r="D37" s="198"/>
      <c r="E37" s="198"/>
      <c r="F37" s="198"/>
      <c r="G37" s="63" t="str">
        <f t="shared" si="6"/>
        <v>USDFedFunds</v>
      </c>
      <c r="H37" s="65" t="str">
        <f t="shared" si="7"/>
        <v>USDOIS33M_Quote</v>
      </c>
      <c r="I37" s="200"/>
      <c r="J37" s="175" t="str">
        <f>IF(P35,_xll.qlOISRateHelper(,C37,B37,H37,$G37,,Permanent,Trigger,ObjectOverwrite),"--")</f>
        <v>--</v>
      </c>
      <c r="L37" s="162" t="str">
        <f t="shared" si="3"/>
        <v>OIS</v>
      </c>
      <c r="M37" s="166" t="str">
        <f t="shared" si="4"/>
        <v>USDOIS39M_Quote</v>
      </c>
      <c r="N37" s="164" t="str">
        <f>IFERROR(_xll.qlQuoteValue(H39,Trigger),"--")</f>
        <v>--</v>
      </c>
      <c r="O37" s="167"/>
      <c r="P37" s="101" t="b">
        <v>0</v>
      </c>
      <c r="Q37" s="98">
        <v>50</v>
      </c>
      <c r="R37" s="98">
        <v>1</v>
      </c>
      <c r="S37" s="98" t="str">
        <f t="shared" si="5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0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98</v>
      </c>
      <c r="B38" s="61" t="s">
        <v>74</v>
      </c>
      <c r="C38" s="62">
        <f t="shared" si="9"/>
        <v>2</v>
      </c>
      <c r="D38" s="198"/>
      <c r="E38" s="198"/>
      <c r="F38" s="198"/>
      <c r="G38" s="63" t="str">
        <f t="shared" si="6"/>
        <v>USDFedFunds</v>
      </c>
      <c r="H38" s="65" t="str">
        <f t="shared" si="7"/>
        <v>USDOIS3Y_Quote</v>
      </c>
      <c r="I38" s="200"/>
      <c r="J38" s="175" t="str">
        <f>IF(P36,_xll.qlOISRateHelper(,C38,B38,H38,$G38,,Permanent,Trigger,ObjectOverwrite),"--")</f>
        <v>obj_00285#0003</v>
      </c>
      <c r="L38" s="162" t="str">
        <f t="shared" ref="L38:L55" si="11">A40</f>
        <v>OIS</v>
      </c>
      <c r="M38" s="166" t="str">
        <f t="shared" si="4"/>
        <v>USDOIS42M_Quote</v>
      </c>
      <c r="N38" s="164" t="str">
        <f>IFERROR(_xll.qlQuoteValue(H40,Trigger),"--")</f>
        <v>--</v>
      </c>
      <c r="O38" s="167"/>
      <c r="P38" s="101" t="b">
        <v>0</v>
      </c>
      <c r="Q38" s="98">
        <v>50</v>
      </c>
      <c r="R38" s="98">
        <v>1</v>
      </c>
      <c r="S38" s="98" t="str">
        <f t="shared" si="5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0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98</v>
      </c>
      <c r="B39" s="61" t="s">
        <v>75</v>
      </c>
      <c r="C39" s="62">
        <f t="shared" si="9"/>
        <v>2</v>
      </c>
      <c r="D39" s="198"/>
      <c r="E39" s="198"/>
      <c r="F39" s="198"/>
      <c r="G39" s="63" t="str">
        <f t="shared" si="6"/>
        <v>USDFedFunds</v>
      </c>
      <c r="H39" s="65" t="str">
        <f t="shared" si="7"/>
        <v>USDOIS39M_Quote</v>
      </c>
      <c r="I39" s="200"/>
      <c r="J39" s="175" t="str">
        <f>IF(P37,_xll.qlOISRateHelper(,C39,B39,H39,$G39,,Permanent,Trigger,ObjectOverwrite),"--")</f>
        <v>--</v>
      </c>
      <c r="L39" s="162" t="str">
        <f t="shared" si="11"/>
        <v>OIS</v>
      </c>
      <c r="M39" s="166" t="str">
        <f t="shared" si="4"/>
        <v>USDOIS45M_Quote</v>
      </c>
      <c r="N39" s="164" t="str">
        <f>IFERROR(_xll.qlQuoteValue(H41,Trigger),"--")</f>
        <v>--</v>
      </c>
      <c r="O39" s="167"/>
      <c r="P39" s="101" t="b">
        <v>0</v>
      </c>
      <c r="Q39" s="98">
        <v>50</v>
      </c>
      <c r="R39" s="98">
        <v>1</v>
      </c>
      <c r="S39" s="98" t="str">
        <f t="shared" si="5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0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98</v>
      </c>
      <c r="B40" s="61" t="s">
        <v>76</v>
      </c>
      <c r="C40" s="62">
        <f t="shared" si="9"/>
        <v>2</v>
      </c>
      <c r="D40" s="198"/>
      <c r="E40" s="198"/>
      <c r="F40" s="198"/>
      <c r="G40" s="63" t="str">
        <f t="shared" ref="G40:G61" si="12">Currency&amp;Tenor</f>
        <v>USDFedFunds</v>
      </c>
      <c r="H40" s="65" t="str">
        <f t="shared" ref="H40:H61" si="13">Currency&amp;$A40&amp;IF($B40="1W","SW",$B40)&amp;QuoteSuffix</f>
        <v>USDOIS42M_Quote</v>
      </c>
      <c r="I40" s="200"/>
      <c r="J40" s="175" t="str">
        <f>IF(P38,_xll.qlOISRateHelper(,C40,B40,H40,$G40,,Permanent,Trigger,ObjectOverwrite),"--")</f>
        <v>--</v>
      </c>
      <c r="L40" s="162" t="str">
        <f t="shared" si="11"/>
        <v>OIS</v>
      </c>
      <c r="M40" s="166" t="str">
        <f t="shared" si="4"/>
        <v>USDOIS4Y_Quote</v>
      </c>
      <c r="N40" s="164">
        <f>IFERROR(_xll.qlQuoteValue(H42,Trigger),"--")</f>
        <v>7.2500000000000012E-3</v>
      </c>
      <c r="O40" s="167"/>
      <c r="P40" s="101" t="b">
        <v>1</v>
      </c>
      <c r="Q40" s="98">
        <v>50</v>
      </c>
      <c r="R40" s="98">
        <v>1</v>
      </c>
      <c r="S40" s="98" t="str">
        <f t="shared" si="5"/>
        <v>obj_00288#0003</v>
      </c>
      <c r="T40" s="102">
        <f>IFERROR(_xll.qlRateHelperEarliestDate(S40,Trigger),"--")</f>
        <v>42643</v>
      </c>
      <c r="U40" s="102">
        <f>IFERROR(_xll.qlRateHelperPillarDate(S40,Trigger),"--")</f>
        <v>44104</v>
      </c>
      <c r="W40" s="3" t="str">
        <f t="shared" si="10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98</v>
      </c>
      <c r="B41" s="61" t="s">
        <v>77</v>
      </c>
      <c r="C41" s="62">
        <f t="shared" si="9"/>
        <v>2</v>
      </c>
      <c r="D41" s="198"/>
      <c r="E41" s="198"/>
      <c r="F41" s="198"/>
      <c r="G41" s="63" t="str">
        <f t="shared" si="12"/>
        <v>USDFedFunds</v>
      </c>
      <c r="H41" s="65" t="str">
        <f t="shared" si="13"/>
        <v>USDOIS45M_Quote</v>
      </c>
      <c r="I41" s="200"/>
      <c r="J41" s="175" t="str">
        <f>IF(P39,_xll.qlOISRateHelper(,C41,B41,H41,$G41,,Permanent,Trigger,ObjectOverwrite),"--")</f>
        <v>--</v>
      </c>
      <c r="L41" s="162" t="str">
        <f t="shared" si="11"/>
        <v>OIS</v>
      </c>
      <c r="M41" s="166" t="str">
        <f t="shared" si="4"/>
        <v>USDOIS51M_Quote</v>
      </c>
      <c r="N41" s="164" t="str">
        <f>IFERROR(_xll.qlQuoteValue(H43,Trigger),"--")</f>
        <v>--</v>
      </c>
      <c r="O41" s="167"/>
      <c r="P41" s="101" t="b">
        <v>0</v>
      </c>
      <c r="Q41" s="98">
        <v>50</v>
      </c>
      <c r="R41" s="98">
        <v>1</v>
      </c>
      <c r="S41" s="98" t="str">
        <f t="shared" si="5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10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98</v>
      </c>
      <c r="B42" s="61" t="s">
        <v>78</v>
      </c>
      <c r="C42" s="62">
        <f t="shared" si="9"/>
        <v>2</v>
      </c>
      <c r="D42" s="198"/>
      <c r="E42" s="198"/>
      <c r="F42" s="198"/>
      <c r="G42" s="63" t="str">
        <f t="shared" si="12"/>
        <v>USDFedFunds</v>
      </c>
      <c r="H42" s="65" t="str">
        <f t="shared" si="13"/>
        <v>USDOIS4Y_Quote</v>
      </c>
      <c r="I42" s="200"/>
      <c r="J42" s="175" t="str">
        <f>IF(P40,_xll.qlOISRateHelper(,C42,B42,H42,$G42,,Permanent,Trigger,ObjectOverwrite),"--")</f>
        <v>obj_00288#0003</v>
      </c>
      <c r="L42" s="162" t="str">
        <f t="shared" si="11"/>
        <v>OIS</v>
      </c>
      <c r="M42" s="166" t="str">
        <f t="shared" si="4"/>
        <v>USDOIS54M_Quote</v>
      </c>
      <c r="N42" s="164" t="str">
        <f>IFERROR(_xll.qlQuoteValue(H44,Trigger),"--")</f>
        <v>--</v>
      </c>
      <c r="O42" s="167"/>
      <c r="P42" s="101" t="b">
        <v>0</v>
      </c>
      <c r="Q42" s="98">
        <v>50</v>
      </c>
      <c r="R42" s="98">
        <v>1</v>
      </c>
      <c r="S42" s="98" t="str">
        <f t="shared" si="5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10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98</v>
      </c>
      <c r="B43" s="61" t="s">
        <v>79</v>
      </c>
      <c r="C43" s="62">
        <f t="shared" si="9"/>
        <v>2</v>
      </c>
      <c r="D43" s="198"/>
      <c r="E43" s="198"/>
      <c r="F43" s="198"/>
      <c r="G43" s="63" t="str">
        <f t="shared" si="12"/>
        <v>USDFedFunds</v>
      </c>
      <c r="H43" s="65" t="str">
        <f t="shared" si="13"/>
        <v>USDOIS51M_Quote</v>
      </c>
      <c r="I43" s="200"/>
      <c r="J43" s="175" t="str">
        <f>IF(P41,_xll.qlOISRateHelper(,C43,B43,H43,$G43,,Permanent,Trigger,ObjectOverwrite),"--")</f>
        <v>--</v>
      </c>
      <c r="L43" s="162" t="str">
        <f t="shared" si="11"/>
        <v>OIS</v>
      </c>
      <c r="M43" s="166" t="str">
        <f t="shared" si="4"/>
        <v>USDOIS57M_Quote</v>
      </c>
      <c r="N43" s="164" t="str">
        <f>IFERROR(_xll.qlQuoteValue(H45,Trigger),"--")</f>
        <v>--</v>
      </c>
      <c r="O43" s="167"/>
      <c r="P43" s="101" t="b">
        <v>0</v>
      </c>
      <c r="Q43" s="98">
        <v>50</v>
      </c>
      <c r="R43" s="98">
        <v>1</v>
      </c>
      <c r="S43" s="98" t="str">
        <f t="shared" si="5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10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98</v>
      </c>
      <c r="B44" s="61" t="s">
        <v>80</v>
      </c>
      <c r="C44" s="62">
        <f t="shared" si="9"/>
        <v>2</v>
      </c>
      <c r="D44" s="198"/>
      <c r="E44" s="198"/>
      <c r="F44" s="198"/>
      <c r="G44" s="63" t="str">
        <f t="shared" si="12"/>
        <v>USDFedFunds</v>
      </c>
      <c r="H44" s="65" t="str">
        <f t="shared" si="13"/>
        <v>USDOIS54M_Quote</v>
      </c>
      <c r="I44" s="200"/>
      <c r="J44" s="175" t="str">
        <f>IF(P42,_xll.qlOISRateHelper(,C44,B44,H44,$G44,,Permanent,Trigger,ObjectOverwrite),"--")</f>
        <v>--</v>
      </c>
      <c r="L44" s="162" t="str">
        <f t="shared" si="11"/>
        <v>OIS</v>
      </c>
      <c r="M44" s="166" t="str">
        <f t="shared" si="4"/>
        <v>USDOIS5Y_Quote</v>
      </c>
      <c r="N44" s="164">
        <f>IFERROR(_xll.qlQuoteValue(H46,Trigger),"--")</f>
        <v>7.7800000000000005E-3</v>
      </c>
      <c r="O44" s="167"/>
      <c r="P44" s="101" t="b">
        <v>1</v>
      </c>
      <c r="Q44" s="98">
        <v>50</v>
      </c>
      <c r="R44" s="98">
        <v>1</v>
      </c>
      <c r="S44" s="98" t="str">
        <f t="shared" si="5"/>
        <v>obj_0026c#0003</v>
      </c>
      <c r="T44" s="102">
        <f>IFERROR(_xll.qlRateHelperEarliestDate(S44,Trigger),"--")</f>
        <v>42643</v>
      </c>
      <c r="U44" s="102">
        <f>IFERROR(_xll.qlRateHelperPillarDate(S44,Trigger),"--")</f>
        <v>44469</v>
      </c>
      <c r="W44" s="3" t="str">
        <f t="shared" si="10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98</v>
      </c>
      <c r="B45" s="61" t="s">
        <v>81</v>
      </c>
      <c r="C45" s="62">
        <f t="shared" si="9"/>
        <v>2</v>
      </c>
      <c r="D45" s="198"/>
      <c r="E45" s="198"/>
      <c r="F45" s="198"/>
      <c r="G45" s="63" t="str">
        <f t="shared" si="12"/>
        <v>USDFedFunds</v>
      </c>
      <c r="H45" s="65" t="str">
        <f t="shared" si="13"/>
        <v>USDOIS57M_Quote</v>
      </c>
      <c r="I45" s="200"/>
      <c r="J45" s="175" t="str">
        <f>IF(P43,_xll.qlOISRateHelper(,C45,B45,H45,$G45,,Permanent,Trigger,ObjectOverwrite),"--")</f>
        <v>--</v>
      </c>
      <c r="L45" s="162" t="str">
        <f t="shared" si="11"/>
        <v>OIS</v>
      </c>
      <c r="M45" s="166" t="str">
        <f t="shared" si="4"/>
        <v>USDOIS6Y_Quote</v>
      </c>
      <c r="N45" s="164">
        <f>IFERROR(_xll.qlQuoteValue(H47,Trigger),"--")</f>
        <v>8.3299999999999989E-3</v>
      </c>
      <c r="O45" s="167"/>
      <c r="P45" s="101" t="b">
        <v>1</v>
      </c>
      <c r="Q45" s="98">
        <v>50</v>
      </c>
      <c r="R45" s="98">
        <v>1</v>
      </c>
      <c r="S45" s="98" t="str">
        <f t="shared" si="5"/>
        <v>obj_0028f#0003</v>
      </c>
      <c r="T45" s="102">
        <f>IFERROR(_xll.qlRateHelperEarliestDate(S45,Trigger),"--")</f>
        <v>42643</v>
      </c>
      <c r="U45" s="102">
        <f>IFERROR(_xll.qlRateHelperPillarDate(S45,Trigger),"--")</f>
        <v>44834</v>
      </c>
      <c r="W45" s="3" t="str">
        <f t="shared" si="10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98</v>
      </c>
      <c r="B46" s="61" t="s">
        <v>82</v>
      </c>
      <c r="C46" s="62">
        <f t="shared" si="9"/>
        <v>2</v>
      </c>
      <c r="D46" s="198"/>
      <c r="E46" s="198"/>
      <c r="F46" s="198"/>
      <c r="G46" s="63" t="str">
        <f t="shared" si="12"/>
        <v>USDFedFunds</v>
      </c>
      <c r="H46" s="65" t="str">
        <f t="shared" si="13"/>
        <v>USDOIS5Y_Quote</v>
      </c>
      <c r="I46" s="200"/>
      <c r="J46" s="175" t="str">
        <f>IF(P44,_xll.qlOISRateHelper(,C46,B46,H46,$G46,,Permanent,Trigger,ObjectOverwrite),"--")</f>
        <v>obj_0026c#0003</v>
      </c>
      <c r="L46" s="162" t="str">
        <f t="shared" si="11"/>
        <v>OIS</v>
      </c>
      <c r="M46" s="166" t="str">
        <f t="shared" si="4"/>
        <v>USDOIS7Y_Quote</v>
      </c>
      <c r="N46" s="164">
        <f>IFERROR(_xll.qlQuoteValue(H48,Trigger),"--")</f>
        <v>8.8599999999999998E-3</v>
      </c>
      <c r="O46" s="167"/>
      <c r="P46" s="101" t="b">
        <v>1</v>
      </c>
      <c r="Q46" s="98">
        <v>50</v>
      </c>
      <c r="R46" s="98">
        <v>1</v>
      </c>
      <c r="S46" s="98" t="str">
        <f t="shared" si="5"/>
        <v>obj_00291#0003</v>
      </c>
      <c r="T46" s="102">
        <f>IFERROR(_xll.qlRateHelperEarliestDate(S46,Trigger),"--")</f>
        <v>42643</v>
      </c>
      <c r="U46" s="102">
        <f>IFERROR(_xll.qlRateHelperPillarDate(S46,Trigger),"--")</f>
        <v>45198</v>
      </c>
      <c r="W46" s="3" t="str">
        <f t="shared" si="10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98</v>
      </c>
      <c r="B47" s="61" t="s">
        <v>83</v>
      </c>
      <c r="C47" s="62">
        <f t="shared" si="9"/>
        <v>2</v>
      </c>
      <c r="D47" s="198"/>
      <c r="E47" s="198"/>
      <c r="F47" s="198"/>
      <c r="G47" s="63" t="str">
        <f t="shared" si="12"/>
        <v>USDFedFunds</v>
      </c>
      <c r="H47" s="65" t="str">
        <f t="shared" si="13"/>
        <v>USDOIS6Y_Quote</v>
      </c>
      <c r="I47" s="200"/>
      <c r="J47" s="175" t="str">
        <f>IF(P45,_xll.qlOISRateHelper(,C47,B47,H47,$G47,,Permanent,Trigger,ObjectOverwrite),"--")</f>
        <v>obj_0028f#0003</v>
      </c>
      <c r="L47" s="162" t="str">
        <f t="shared" si="11"/>
        <v>OIS</v>
      </c>
      <c r="M47" s="166" t="str">
        <f t="shared" si="4"/>
        <v>USDOIS8Y_Quote</v>
      </c>
      <c r="N47" s="164">
        <f>IFERROR(_xll.qlQuoteValue(H49,Trigger),"--")</f>
        <v>9.3600000000000003E-3</v>
      </c>
      <c r="O47" s="167"/>
      <c r="P47" s="101" t="b">
        <v>1</v>
      </c>
      <c r="Q47" s="98">
        <v>50</v>
      </c>
      <c r="R47" s="98">
        <v>1</v>
      </c>
      <c r="S47" s="98" t="str">
        <f t="shared" si="5"/>
        <v>obj_00272#0003</v>
      </c>
      <c r="T47" s="102">
        <f>IFERROR(_xll.qlRateHelperEarliestDate(S47,Trigger),"--")</f>
        <v>42643</v>
      </c>
      <c r="U47" s="102">
        <f>IFERROR(_xll.qlRateHelperPillarDate(S47,Trigger),"--")</f>
        <v>45565</v>
      </c>
      <c r="W47" s="3" t="str">
        <f t="shared" si="10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98</v>
      </c>
      <c r="B48" s="61" t="s">
        <v>84</v>
      </c>
      <c r="C48" s="62">
        <f t="shared" si="9"/>
        <v>2</v>
      </c>
      <c r="D48" s="198"/>
      <c r="E48" s="198"/>
      <c r="F48" s="198"/>
      <c r="G48" s="63" t="str">
        <f t="shared" si="12"/>
        <v>USDFedFunds</v>
      </c>
      <c r="H48" s="65" t="str">
        <f t="shared" si="13"/>
        <v>USDOIS7Y_Quote</v>
      </c>
      <c r="I48" s="200"/>
      <c r="J48" s="175" t="str">
        <f>IF(P46,_xll.qlOISRateHelper(,C48,B48,H48,$G48,,Permanent,Trigger,ObjectOverwrite),"--")</f>
        <v>obj_00291#0003</v>
      </c>
      <c r="L48" s="162" t="str">
        <f t="shared" si="11"/>
        <v>OIS</v>
      </c>
      <c r="M48" s="166" t="str">
        <f t="shared" si="4"/>
        <v>USDOIS9Y_Quote</v>
      </c>
      <c r="N48" s="164">
        <f>IFERROR(_xll.qlQuoteValue(H50,Trigger),"--")</f>
        <v>9.8300000000000002E-3</v>
      </c>
      <c r="O48" s="167"/>
      <c r="P48" s="101" t="b">
        <v>1</v>
      </c>
      <c r="Q48" s="98">
        <v>50</v>
      </c>
      <c r="R48" s="98">
        <v>1</v>
      </c>
      <c r="S48" s="98" t="str">
        <f t="shared" si="5"/>
        <v>obj_0026b#0003</v>
      </c>
      <c r="T48" s="102">
        <f>IFERROR(_xll.qlRateHelperEarliestDate(S48,Trigger),"--")</f>
        <v>42643</v>
      </c>
      <c r="U48" s="102">
        <f>IFERROR(_xll.qlRateHelperPillarDate(S48,Trigger),"--")</f>
        <v>45930</v>
      </c>
      <c r="W48" s="3" t="str">
        <f t="shared" si="10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98</v>
      </c>
      <c r="B49" s="61" t="s">
        <v>85</v>
      </c>
      <c r="C49" s="62">
        <f t="shared" si="9"/>
        <v>2</v>
      </c>
      <c r="D49" s="198"/>
      <c r="E49" s="198"/>
      <c r="F49" s="198"/>
      <c r="G49" s="63" t="str">
        <f t="shared" si="12"/>
        <v>USDFedFunds</v>
      </c>
      <c r="H49" s="65" t="str">
        <f t="shared" si="13"/>
        <v>USDOIS8Y_Quote</v>
      </c>
      <c r="I49" s="200"/>
      <c r="J49" s="175" t="str">
        <f>IF(P47,_xll.qlOISRateHelper(,C49,B49,H49,$G49,,Permanent,Trigger,ObjectOverwrite),"--")</f>
        <v>obj_00272#0003</v>
      </c>
      <c r="L49" s="162" t="str">
        <f t="shared" si="11"/>
        <v>OIS</v>
      </c>
      <c r="M49" s="166" t="str">
        <f t="shared" si="4"/>
        <v>USDOIS10Y_Quote</v>
      </c>
      <c r="N49" s="164">
        <f>IFERROR(_xll.qlQuoteValue(H51,Trigger),"--")</f>
        <v>1.026E-2</v>
      </c>
      <c r="O49" s="167"/>
      <c r="P49" s="101" t="b">
        <v>1</v>
      </c>
      <c r="Q49" s="98">
        <v>50</v>
      </c>
      <c r="R49" s="98">
        <v>1</v>
      </c>
      <c r="S49" s="98" t="str">
        <f t="shared" si="5"/>
        <v>obj_00267#0003</v>
      </c>
      <c r="T49" s="102">
        <f>IFERROR(_xll.qlRateHelperEarliestDate(S49,Trigger),"--")</f>
        <v>42643</v>
      </c>
      <c r="U49" s="102">
        <f>IFERROR(_xll.qlRateHelperPillarDate(S49,Trigger),"--")</f>
        <v>46295</v>
      </c>
      <c r="W49" s="3" t="str">
        <f t="shared" si="10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98</v>
      </c>
      <c r="B50" s="61" t="s">
        <v>86</v>
      </c>
      <c r="C50" s="62">
        <f t="shared" si="9"/>
        <v>2</v>
      </c>
      <c r="D50" s="198"/>
      <c r="E50" s="198"/>
      <c r="F50" s="198"/>
      <c r="G50" s="63" t="str">
        <f t="shared" si="12"/>
        <v>USDFedFunds</v>
      </c>
      <c r="H50" s="65" t="str">
        <f t="shared" si="13"/>
        <v>USDOIS9Y_Quote</v>
      </c>
      <c r="I50" s="200"/>
      <c r="J50" s="175" t="str">
        <f>IF(P48,_xll.qlOISRateHelper(,C50,B50,H50,$G50,,Permanent,Trigger,ObjectOverwrite),"--")</f>
        <v>obj_0026b#0003</v>
      </c>
      <c r="L50" s="162" t="str">
        <f t="shared" si="11"/>
        <v>OIS</v>
      </c>
      <c r="M50" s="166" t="str">
        <f t="shared" si="4"/>
        <v>USDOIS12Y_Quote</v>
      </c>
      <c r="N50" s="164">
        <f>IFERROR(_xll.qlQuoteValue(H52,Trigger),"--")</f>
        <v>1.1019999999999999E-2</v>
      </c>
      <c r="O50" s="167"/>
      <c r="P50" s="101" t="b">
        <v>1</v>
      </c>
      <c r="Q50" s="98">
        <v>50</v>
      </c>
      <c r="R50" s="98">
        <v>1</v>
      </c>
      <c r="S50" s="98" t="str">
        <f t="shared" si="5"/>
        <v>obj_0026d#0003</v>
      </c>
      <c r="T50" s="102">
        <f>IFERROR(_xll.qlRateHelperEarliestDate(S50,Trigger),"--")</f>
        <v>42643</v>
      </c>
      <c r="U50" s="102">
        <f>IFERROR(_xll.qlRateHelperPillarDate(S50,Trigger),"--")</f>
        <v>47025</v>
      </c>
      <c r="W50" s="3" t="str">
        <f t="shared" si="10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98</v>
      </c>
      <c r="B51" s="61" t="s">
        <v>87</v>
      </c>
      <c r="C51" s="62">
        <f t="shared" si="9"/>
        <v>2</v>
      </c>
      <c r="D51" s="198"/>
      <c r="E51" s="198"/>
      <c r="F51" s="198"/>
      <c r="G51" s="63" t="str">
        <f t="shared" si="12"/>
        <v>USDFedFunds</v>
      </c>
      <c r="H51" s="65" t="str">
        <f t="shared" si="13"/>
        <v>USDOIS10Y_Quote</v>
      </c>
      <c r="I51" s="200"/>
      <c r="J51" s="175" t="str">
        <f>IF(P49,_xll.qlOISRateHelper(,C51,B51,H51,$G51,,Permanent,Trigger,ObjectOverwrite),"--")</f>
        <v>obj_00267#0003</v>
      </c>
      <c r="L51" s="162" t="str">
        <f t="shared" si="11"/>
        <v>OIS</v>
      </c>
      <c r="M51" s="166" t="str">
        <f t="shared" si="4"/>
        <v>USDOIS15Y_Quote</v>
      </c>
      <c r="N51" s="164">
        <f>IFERROR(_xll.qlQuoteValue(H53,Trigger),"--")</f>
        <v>1.1819999999999999E-2</v>
      </c>
      <c r="O51" s="167"/>
      <c r="P51" s="101" t="b">
        <v>1</v>
      </c>
      <c r="Q51" s="98">
        <v>50</v>
      </c>
      <c r="R51" s="98">
        <v>1</v>
      </c>
      <c r="S51" s="98" t="str">
        <f t="shared" si="5"/>
        <v>obj_0027a#0003</v>
      </c>
      <c r="T51" s="102">
        <f>IFERROR(_xll.qlRateHelperEarliestDate(S51,Trigger),"--")</f>
        <v>42643</v>
      </c>
      <c r="U51" s="102">
        <f>IFERROR(_xll.qlRateHelperPillarDate(S51,Trigger),"--")</f>
        <v>48121</v>
      </c>
      <c r="W51" s="3" t="str">
        <f t="shared" si="10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4" t="e">
        <v>#N/A</v>
      </c>
    </row>
    <row r="52" spans="1:30" ht="11.25" customHeight="1" x14ac:dyDescent="0.2">
      <c r="A52" s="60" t="s">
        <v>98</v>
      </c>
      <c r="B52" s="61" t="s">
        <v>88</v>
      </c>
      <c r="C52" s="62">
        <f t="shared" si="9"/>
        <v>2</v>
      </c>
      <c r="D52" s="198"/>
      <c r="E52" s="198"/>
      <c r="F52" s="198"/>
      <c r="G52" s="63" t="str">
        <f t="shared" si="12"/>
        <v>USDFedFunds</v>
      </c>
      <c r="H52" s="65" t="str">
        <f t="shared" si="13"/>
        <v>USDOIS12Y_Quote</v>
      </c>
      <c r="I52" s="200"/>
      <c r="J52" s="175" t="str">
        <f>IF(P50,_xll.qlOISRateHelper(,C52,B52,H52,$G52,,Permanent,Trigger,ObjectOverwrite),"--")</f>
        <v>obj_0026d#0003</v>
      </c>
      <c r="L52" s="162" t="str">
        <f t="shared" si="11"/>
        <v>OIS</v>
      </c>
      <c r="M52" s="166" t="str">
        <f t="shared" si="4"/>
        <v>USDOIS20Y_Quote</v>
      </c>
      <c r="N52" s="164">
        <f>IFERROR(_xll.qlQuoteValue(H54,Trigger),"--")</f>
        <v>1.2650000000000002E-2</v>
      </c>
      <c r="O52" s="167"/>
      <c r="P52" s="101" t="b">
        <v>1</v>
      </c>
      <c r="Q52" s="98">
        <v>50</v>
      </c>
      <c r="R52" s="98">
        <v>1</v>
      </c>
      <c r="S52" s="98" t="str">
        <f t="shared" si="5"/>
        <v>obj_00287#0003</v>
      </c>
      <c r="T52" s="102">
        <f>IFERROR(_xll.qlRateHelperEarliestDate(S52,Trigger),"--")</f>
        <v>42643</v>
      </c>
      <c r="U52" s="102">
        <f>IFERROR(_xll.qlRateHelperPillarDate(S52,Trigger),"--")</f>
        <v>49948</v>
      </c>
      <c r="W52" s="3" t="str">
        <f t="shared" si="10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4" t="e">
        <v>#N/A</v>
      </c>
    </row>
    <row r="53" spans="1:30" ht="11.25" customHeight="1" x14ac:dyDescent="0.2">
      <c r="A53" s="60" t="s">
        <v>98</v>
      </c>
      <c r="B53" s="61" t="s">
        <v>89</v>
      </c>
      <c r="C53" s="62">
        <f t="shared" si="9"/>
        <v>2</v>
      </c>
      <c r="D53" s="198"/>
      <c r="E53" s="198"/>
      <c r="F53" s="198"/>
      <c r="G53" s="63" t="str">
        <f t="shared" si="12"/>
        <v>USDFedFunds</v>
      </c>
      <c r="H53" s="65" t="str">
        <f t="shared" si="13"/>
        <v>USDOIS15Y_Quote</v>
      </c>
      <c r="I53" s="200"/>
      <c r="J53" s="175" t="str">
        <f>IF(P51,_xll.qlOISRateHelper(,C53,B53,H53,$G53,,Permanent,Trigger,ObjectOverwrite),"--")</f>
        <v>obj_0027a#0003</v>
      </c>
      <c r="L53" s="162" t="str">
        <f t="shared" si="11"/>
        <v>OIS</v>
      </c>
      <c r="M53" s="166" t="str">
        <f t="shared" si="4"/>
        <v>USDOIS25Y_Quote</v>
      </c>
      <c r="N53" s="164">
        <f>IFERROR(_xll.qlQuoteValue(H55,Trigger),"--")</f>
        <v>1.302E-2</v>
      </c>
      <c r="O53" s="167"/>
      <c r="P53" s="101" t="b">
        <v>1</v>
      </c>
      <c r="Q53" s="98">
        <v>50</v>
      </c>
      <c r="R53" s="98">
        <v>1</v>
      </c>
      <c r="S53" s="98" t="str">
        <f t="shared" si="5"/>
        <v>obj_00284#0003</v>
      </c>
      <c r="T53" s="102">
        <f>IFERROR(_xll.qlRateHelperEarliestDate(S53,Trigger),"--")</f>
        <v>42643</v>
      </c>
      <c r="U53" s="102">
        <f>IFERROR(_xll.qlRateHelperPillarDate(S53,Trigger),"--")</f>
        <v>51774</v>
      </c>
      <c r="W53" s="3" t="str">
        <f t="shared" si="10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4" t="e">
        <v>#N/A</v>
      </c>
    </row>
    <row r="54" spans="1:30" ht="11.25" customHeight="1" x14ac:dyDescent="0.2">
      <c r="A54" s="60" t="s">
        <v>98</v>
      </c>
      <c r="B54" s="61" t="s">
        <v>90</v>
      </c>
      <c r="C54" s="62">
        <f t="shared" si="9"/>
        <v>2</v>
      </c>
      <c r="D54" s="198"/>
      <c r="E54" s="198"/>
      <c r="F54" s="198"/>
      <c r="G54" s="63" t="str">
        <f t="shared" si="12"/>
        <v>USDFedFunds</v>
      </c>
      <c r="H54" s="65" t="str">
        <f t="shared" si="13"/>
        <v>USDOIS20Y_Quote</v>
      </c>
      <c r="I54" s="200"/>
      <c r="J54" s="175" t="str">
        <f>IF(P52,_xll.qlOISRateHelper(,C54,B54,H54,$G54,,Permanent,Trigger,ObjectOverwrite),"--")</f>
        <v>obj_00287#0003</v>
      </c>
      <c r="L54" s="162" t="str">
        <f t="shared" si="11"/>
        <v>OIS</v>
      </c>
      <c r="M54" s="166" t="str">
        <f t="shared" si="4"/>
        <v>USDOIS27Y_Quote</v>
      </c>
      <c r="N54" s="164" t="str">
        <f>IFERROR(_xll.qlQuoteValue(H56,Trigger),"--")</f>
        <v>--</v>
      </c>
      <c r="O54" s="167"/>
      <c r="P54" s="101" t="b">
        <v>0</v>
      </c>
      <c r="Q54" s="98">
        <v>50</v>
      </c>
      <c r="R54" s="98">
        <v>1</v>
      </c>
      <c r="S54" s="98" t="str">
        <f t="shared" si="5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10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4" t="e">
        <v>#N/A</v>
      </c>
    </row>
    <row r="55" spans="1:30" ht="11.25" customHeight="1" x14ac:dyDescent="0.2">
      <c r="A55" s="60" t="s">
        <v>98</v>
      </c>
      <c r="B55" s="61" t="s">
        <v>91</v>
      </c>
      <c r="C55" s="62">
        <f t="shared" si="9"/>
        <v>2</v>
      </c>
      <c r="D55" s="198"/>
      <c r="E55" s="198"/>
      <c r="F55" s="198"/>
      <c r="G55" s="63" t="str">
        <f t="shared" si="12"/>
        <v>USDFedFunds</v>
      </c>
      <c r="H55" s="65" t="str">
        <f t="shared" si="13"/>
        <v>USDOIS25Y_Quote</v>
      </c>
      <c r="I55" s="200"/>
      <c r="J55" s="175" t="str">
        <f>IF(P53,_xll.qlOISRateHelper(,C55,B55,H55,$G55,,Permanent,Trigger,ObjectOverwrite),"--")</f>
        <v>obj_00284#0003</v>
      </c>
      <c r="L55" s="162" t="str">
        <f t="shared" si="11"/>
        <v>OIS</v>
      </c>
      <c r="M55" s="166" t="str">
        <f t="shared" si="4"/>
        <v>USDOIS30Y_Quote</v>
      </c>
      <c r="N55" s="164">
        <f>IFERROR(_xll.qlQuoteValue(H57,Trigger),"--")</f>
        <v>1.3199999999999998E-2</v>
      </c>
      <c r="O55" s="167"/>
      <c r="P55" s="101" t="b">
        <v>1</v>
      </c>
      <c r="Q55" s="98">
        <v>50</v>
      </c>
      <c r="R55" s="98">
        <v>1</v>
      </c>
      <c r="S55" s="98" t="str">
        <f t="shared" si="5"/>
        <v>obj_0027f#0003</v>
      </c>
      <c r="T55" s="102">
        <f>IFERROR(_xll.qlRateHelperEarliestDate(S55,Trigger),"--")</f>
        <v>42643</v>
      </c>
      <c r="U55" s="102">
        <f>IFERROR(_xll.qlRateHelperPillarDate(S55,Trigger),"--")</f>
        <v>53598</v>
      </c>
      <c r="W55" s="3" t="str">
        <f t="shared" si="10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4" t="e">
        <v>#N/A</v>
      </c>
    </row>
    <row r="56" spans="1:30" ht="11.25" customHeight="1" x14ac:dyDescent="0.2">
      <c r="A56" s="60" t="s">
        <v>98</v>
      </c>
      <c r="B56" s="61" t="s">
        <v>92</v>
      </c>
      <c r="C56" s="62">
        <f t="shared" si="9"/>
        <v>2</v>
      </c>
      <c r="D56" s="198"/>
      <c r="E56" s="198"/>
      <c r="F56" s="198"/>
      <c r="G56" s="63" t="str">
        <f t="shared" si="12"/>
        <v>USDFedFunds</v>
      </c>
      <c r="H56" s="65" t="str">
        <f t="shared" si="13"/>
        <v>USDOIS27Y_Quote</v>
      </c>
      <c r="I56" s="200"/>
      <c r="J56" s="175" t="str">
        <f>IF(P54,_xll.qlOISRateHelper(,C56,B56,H56,$G56,,Permanent,Trigger,ObjectOverwrite),"--")</f>
        <v>--</v>
      </c>
      <c r="L56" s="162" t="str">
        <f t="shared" ref="L56:L59" si="14">A58</f>
        <v>OIS</v>
      </c>
      <c r="M56" s="166" t="str">
        <f t="shared" si="4"/>
        <v>USDOIS35Y_Quote</v>
      </c>
      <c r="N56" s="164" t="str">
        <f>IFERROR(_xll.qlQuoteValue(H58,Trigger),"--")</f>
        <v>--</v>
      </c>
      <c r="O56" s="167"/>
      <c r="P56" s="101" t="b">
        <v>0</v>
      </c>
      <c r="Q56" s="98">
        <v>50</v>
      </c>
      <c r="R56" s="98">
        <v>1</v>
      </c>
      <c r="S56" s="98" t="str">
        <f t="shared" si="5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10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4" t="e">
        <v>#N/A</v>
      </c>
    </row>
    <row r="57" spans="1:30" ht="11.25" customHeight="1" x14ac:dyDescent="0.2">
      <c r="A57" s="60" t="s">
        <v>98</v>
      </c>
      <c r="B57" s="61" t="s">
        <v>93</v>
      </c>
      <c r="C57" s="62">
        <f t="shared" si="9"/>
        <v>2</v>
      </c>
      <c r="D57" s="198"/>
      <c r="E57" s="198"/>
      <c r="F57" s="198"/>
      <c r="G57" s="63" t="str">
        <f t="shared" si="12"/>
        <v>USDFedFunds</v>
      </c>
      <c r="H57" s="65" t="str">
        <f t="shared" si="13"/>
        <v>USDOIS30Y_Quote</v>
      </c>
      <c r="I57" s="200"/>
      <c r="J57" s="175" t="str">
        <f>IF(P55,_xll.qlOISRateHelper(,C57,B57,H57,$G57,,Permanent,Trigger,ObjectOverwrite),"--")</f>
        <v>obj_0027f#0003</v>
      </c>
      <c r="L57" s="162" t="str">
        <f t="shared" si="14"/>
        <v>OIS</v>
      </c>
      <c r="M57" s="166" t="str">
        <f t="shared" si="4"/>
        <v>USDOIS40Y_Quote</v>
      </c>
      <c r="N57" s="164">
        <f>IFERROR(_xll.qlQuoteValue(H59,Trigger),"--")</f>
        <v>1.3309999999999999E-2</v>
      </c>
      <c r="O57" s="167"/>
      <c r="P57" s="101" t="b">
        <v>1</v>
      </c>
      <c r="Q57" s="98">
        <v>50</v>
      </c>
      <c r="R57" s="98">
        <v>1</v>
      </c>
      <c r="S57" s="98" t="str">
        <f t="shared" si="5"/>
        <v>obj_00292#0003</v>
      </c>
      <c r="T57" s="102">
        <f>IFERROR(_xll.qlRateHelperEarliestDate(S57,Trigger),"--")</f>
        <v>42643</v>
      </c>
      <c r="U57" s="102">
        <f>IFERROR(_xll.qlRateHelperPillarDate(S57,Trigger),"--")</f>
        <v>57252</v>
      </c>
      <c r="W57" s="3" t="str">
        <f t="shared" si="10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4" t="e">
        <v>#N/A</v>
      </c>
    </row>
    <row r="58" spans="1:30" ht="11.25" customHeight="1" x14ac:dyDescent="0.2">
      <c r="A58" s="60" t="s">
        <v>98</v>
      </c>
      <c r="B58" s="61" t="s">
        <v>94</v>
      </c>
      <c r="C58" s="62">
        <f t="shared" si="9"/>
        <v>2</v>
      </c>
      <c r="D58" s="198"/>
      <c r="E58" s="198"/>
      <c r="F58" s="198"/>
      <c r="G58" s="63" t="str">
        <f t="shared" si="12"/>
        <v>USDFedFunds</v>
      </c>
      <c r="H58" s="65" t="str">
        <f t="shared" si="13"/>
        <v>USDOIS35Y_Quote</v>
      </c>
      <c r="I58" s="200"/>
      <c r="J58" s="175" t="str">
        <f>IF(P56,_xll.qlOISRateHelper(,C58,B58,H58,$G58,,Permanent,Trigger,ObjectOverwrite),"--")</f>
        <v>--</v>
      </c>
      <c r="L58" s="162" t="str">
        <f t="shared" si="14"/>
        <v>OIS</v>
      </c>
      <c r="M58" s="166" t="str">
        <f t="shared" si="4"/>
        <v>USDOIS45Y_Quote</v>
      </c>
      <c r="N58" s="164">
        <f>IFERROR(_xll.qlQuoteValue(H60,Trigger),"--")</f>
        <v>1.3229999999999999E-2</v>
      </c>
      <c r="O58" s="167"/>
      <c r="P58" s="101" t="b">
        <v>0</v>
      </c>
      <c r="Q58" s="98">
        <v>50</v>
      </c>
      <c r="R58" s="98">
        <v>1</v>
      </c>
      <c r="S58" s="98" t="str">
        <f t="shared" si="5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10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4" t="e">
        <v>#N/A</v>
      </c>
    </row>
    <row r="59" spans="1:30" ht="11.25" customHeight="1" x14ac:dyDescent="0.2">
      <c r="A59" s="60" t="s">
        <v>98</v>
      </c>
      <c r="B59" s="61" t="s">
        <v>95</v>
      </c>
      <c r="C59" s="62">
        <f t="shared" si="9"/>
        <v>2</v>
      </c>
      <c r="D59" s="198"/>
      <c r="E59" s="198"/>
      <c r="F59" s="198"/>
      <c r="G59" s="63" t="str">
        <f t="shared" si="12"/>
        <v>USDFedFunds</v>
      </c>
      <c r="H59" s="65" t="str">
        <f t="shared" si="13"/>
        <v>USDOIS40Y_Quote</v>
      </c>
      <c r="I59" s="200"/>
      <c r="J59" s="175" t="str">
        <f>IF(P57,_xll.qlOISRateHelper(,C59,B59,H59,$G59,,Permanent,Trigger,ObjectOverwrite),"--")</f>
        <v>obj_00292#0003</v>
      </c>
      <c r="L59" s="168" t="str">
        <f t="shared" si="14"/>
        <v>OIS</v>
      </c>
      <c r="M59" s="169" t="str">
        <f t="shared" si="4"/>
        <v>USDOIS50Y_Quote</v>
      </c>
      <c r="N59" s="170">
        <f>IFERROR(_xll.qlQuoteValue(H61,Trigger),"--")</f>
        <v>1.3180000000000001E-2</v>
      </c>
      <c r="O59" s="171"/>
      <c r="P59" s="103" t="b">
        <v>1</v>
      </c>
      <c r="Q59" s="99">
        <v>50</v>
      </c>
      <c r="R59" s="99">
        <v>1</v>
      </c>
      <c r="S59" s="99" t="str">
        <f t="shared" si="5"/>
        <v>obj_0024f#0003</v>
      </c>
      <c r="T59" s="104">
        <f>IFERROR(_xll.qlRateHelperEarliestDate(S59,Trigger),"--")</f>
        <v>42643</v>
      </c>
      <c r="U59" s="104">
        <f>IFERROR(_xll.qlRateHelperPillarDate(S59,Trigger),"--")</f>
        <v>60905</v>
      </c>
      <c r="W59" s="5" t="str">
        <f t="shared" si="10"/>
        <v/>
      </c>
      <c r="X59" s="5" t="e">
        <v>#N/A</v>
      </c>
      <c r="Y59" s="5" t="str">
        <f>IFERROR(_xll.qlRateHelperQuoteName(X59,Trigger),"")</f>
        <v/>
      </c>
      <c r="Z59" s="78" t="str">
        <f>IFERROR(_xll.qlRateHelperRate(X59,Trigger),"")</f>
        <v/>
      </c>
      <c r="AA59" s="107" t="str">
        <f>IF(ISERROR(_xll.qlSwapRateHelperSpread($X59)),IF(ISERROR(_xll.qlFuturesRateHelperConvexityAdjustment($X59)),"",_xll.qlFuturesRateHelperConvexityAdjustment($X59)),_xll.qlSwapRateHelperSpread($X59))</f>
        <v/>
      </c>
      <c r="AB59" s="10" t="str">
        <f>IFERROR(_xll.qlRateHelperEarliestDate(X59,Trigger),"")</f>
        <v/>
      </c>
      <c r="AC59" s="10" t="str">
        <f>IFERROR(_xll.qlRateHelperPillarDate(X59,Trigger),"")</f>
        <v/>
      </c>
      <c r="AD59" s="10" t="e">
        <v>#N/A</v>
      </c>
    </row>
    <row r="60" spans="1:30" ht="11.25" customHeight="1" x14ac:dyDescent="0.2">
      <c r="A60" s="60" t="s">
        <v>98</v>
      </c>
      <c r="B60" s="61" t="s">
        <v>96</v>
      </c>
      <c r="C60" s="62">
        <f t="shared" si="9"/>
        <v>2</v>
      </c>
      <c r="D60" s="198"/>
      <c r="E60" s="198"/>
      <c r="F60" s="198"/>
      <c r="G60" s="63" t="str">
        <f t="shared" si="12"/>
        <v>USDFedFunds</v>
      </c>
      <c r="H60" s="65" t="str">
        <f t="shared" si="13"/>
        <v>USDOIS45Y_Quote</v>
      </c>
      <c r="I60" s="200"/>
      <c r="J60" s="175" t="str">
        <f>IF(P58,_xll.qlOISRateHelper(,C60,B60,H60,$G60,,Permanent,Trigger,ObjectOverwrite),"--")</f>
        <v>--</v>
      </c>
      <c r="Y60" s="192" t="str">
        <f>_xll.ohGroup("USDON_instruments",Y3:Y59,Permanent,Trigger,ObjectOverwrite)</f>
        <v>USDON_instruments#0003</v>
      </c>
    </row>
    <row r="61" spans="1:30" ht="11.25" customHeight="1" x14ac:dyDescent="0.2">
      <c r="A61" s="1" t="s">
        <v>98</v>
      </c>
      <c r="B61" s="8" t="s">
        <v>97</v>
      </c>
      <c r="C61" s="6">
        <f t="shared" si="9"/>
        <v>2</v>
      </c>
      <c r="D61" s="199"/>
      <c r="E61" s="199"/>
      <c r="F61" s="199"/>
      <c r="G61" s="7" t="str">
        <f t="shared" si="12"/>
        <v>USDFedFunds</v>
      </c>
      <c r="H61" s="2" t="str">
        <f t="shared" si="13"/>
        <v>USDOIS50Y_Quote</v>
      </c>
      <c r="I61" s="197"/>
      <c r="J61" s="174" t="str">
        <f>IF(P59,_xll.qlOISRateHelper(,C61,B61,H61,$G61,,Permanent,Trigger,ObjectOverwrite),"--")</f>
        <v>obj_0024f#0003</v>
      </c>
    </row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2">
    <dataValidation type="list" allowBlank="1" showInputMessage="1" showErrorMessage="1" sqref="P3:P59">
      <formula1>"TRUE, FALSE"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6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0</v>
      </c>
      <c r="H1" s="52" t="str">
        <f>"_SYNTH"&amp;Tenor</f>
        <v>_SYNTH3M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USD3M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88">_xll.qlPiecewiseYieldCurveData(YieldCurve_3M,Trigger)</f>
        <v>1</v>
      </c>
      <c r="AF2" s="201" t="s">
        <v>113</v>
      </c>
      <c r="AG2" s="202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obj_0023f#0003</v>
      </c>
      <c r="H3" s="121" t="str">
        <f t="shared" ref="H3:H9" si="0">Currency&amp;$B3&amp;"D"&amp;$H$1&amp;QuoteSuffix</f>
        <v>USDSND_SYNTH3M_Quote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USDSND_SYNTH3M_Quote</v>
      </c>
      <c r="N3" s="182">
        <f>IFERROR(_xll.qlQuoteValue(H3,Trigger),"--")</f>
        <v>8.6379999999999998E-3</v>
      </c>
      <c r="O3" s="165"/>
      <c r="P3" s="134" t="b">
        <v>0</v>
      </c>
      <c r="Q3" s="133">
        <v>10</v>
      </c>
      <c r="R3" s="133">
        <v>1</v>
      </c>
      <c r="S3" s="133" t="str">
        <f t="shared" ref="S3:S9" si="1">IF(ISBLANK(J3),"--",J3)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2">IFERROR(INDEX($L$3:$L$88,MATCH(Y3,$M$3:$M$88,0),1),"")</f>
        <v>Dp</v>
      </c>
      <c r="X3" s="3" t="str">
        <f t="array" ref="X3:X88">_xll.qlRateHelperSelection(_xll.ohFilter(RateHelpers,IncludeFlag),_xll.ohFilter(Priority,IncludeFlag),$AG$3,$AG$4,$AG$5,$AG$6,_xll.ohFilter(MinDistance,IncludeFlag),Trigger)</f>
        <v>obj_00296</v>
      </c>
      <c r="Y3" s="3" t="str">
        <f>IFERROR(_xll.qlRateHelperQuoteName(X3,Trigger),"")</f>
        <v>USD1MD_SYNTH3M_Quote</v>
      </c>
      <c r="Z3" s="70">
        <f>IFERROR(_xll.qlRateHelperRate(X3,Trigger),"")</f>
        <v>8.3440000000000007E-3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42643</v>
      </c>
      <c r="AC3" s="4">
        <f>IFERROR(_xll.qlRateHelperPillarDate(X3,Trigger),"")</f>
        <v>42674</v>
      </c>
      <c r="AD3" s="76">
        <v>0.9992820047764347</v>
      </c>
      <c r="AF3" s="109" t="s">
        <v>114</v>
      </c>
      <c r="AG3" s="110">
        <v>8</v>
      </c>
    </row>
    <row r="4" spans="1:33" ht="11.25" customHeight="1" x14ac:dyDescent="0.2">
      <c r="A4" s="60" t="s">
        <v>26</v>
      </c>
      <c r="B4" s="61" t="s">
        <v>119</v>
      </c>
      <c r="C4" s="125"/>
      <c r="D4" s="125"/>
      <c r="E4" s="125"/>
      <c r="F4" s="125"/>
      <c r="G4" s="62" t="str">
        <f>PROPER(Currency)&amp;FamilyName&amp;B4</f>
        <v>UsdLiborSW</v>
      </c>
      <c r="H4" s="122" t="str">
        <f t="shared" si="0"/>
        <v>USDSWD_SYNTH3M_Quote</v>
      </c>
      <c r="I4" s="125"/>
      <c r="J4" s="175" t="str">
        <f>IF(P4,_xll.qlDepositRateHelper(,H4,G4,Permanent,Trigger,ObjectOverwrite),"--")</f>
        <v>--</v>
      </c>
      <c r="K4" s="50"/>
      <c r="L4" s="162" t="str">
        <f t="shared" ref="L4:L9" si="3">A4</f>
        <v>Dp</v>
      </c>
      <c r="M4" s="183" t="str">
        <f t="shared" ref="M4:M9" si="4">H4</f>
        <v>USDSWD_SYNTH3M_Quote</v>
      </c>
      <c r="N4" s="164">
        <f>IFERROR(_xll.qlQuoteValue(H4,Trigger),"--")</f>
        <v>8.5749999999999993E-3</v>
      </c>
      <c r="O4" s="167"/>
      <c r="P4" s="101" t="b">
        <v>0</v>
      </c>
      <c r="Q4" s="98">
        <v>10</v>
      </c>
      <c r="R4" s="98">
        <v>1</v>
      </c>
      <c r="S4" s="98" t="str">
        <f t="shared" si="1"/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2"/>
        <v>Dp</v>
      </c>
      <c r="X4" s="3" t="str">
        <v>obj_00295</v>
      </c>
      <c r="Y4" s="3" t="str">
        <f>IFERROR(_xll.qlRateHelperQuoteName(X4,Trigger),"")</f>
        <v>USD2MD_SYNTH3M_Quote</v>
      </c>
      <c r="Z4" s="70">
        <f>IFERROR(_xll.qlRateHelperRate(X4,Trigger),"")</f>
        <v>8.3610000000000004E-3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42643</v>
      </c>
      <c r="AC4" s="4">
        <f>IFERROR(_xll.qlRateHelperPillarDate(X4,Trigger),"")</f>
        <v>42704</v>
      </c>
      <c r="AD4" s="76">
        <v>0.99858527927019114</v>
      </c>
      <c r="AF4" s="109" t="s">
        <v>115</v>
      </c>
      <c r="AG4" s="110">
        <v>1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obj_00250#0003</v>
      </c>
      <c r="H5" s="154" t="str">
        <f t="shared" si="0"/>
        <v>USD2WD_SYNTH3M_Quote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3"/>
        <v>Dp</v>
      </c>
      <c r="M5" s="183" t="str">
        <f t="shared" si="4"/>
        <v>USD2WD_SYNTH3M_Quote</v>
      </c>
      <c r="N5" s="164">
        <f>IFERROR(_xll.qlQuoteValue(H5,Trigger),"--")</f>
        <v>8.4810000000000007E-3</v>
      </c>
      <c r="O5" s="167"/>
      <c r="P5" s="101" t="b">
        <v>0</v>
      </c>
      <c r="Q5" s="98">
        <v>10</v>
      </c>
      <c r="R5" s="98">
        <v>1</v>
      </c>
      <c r="S5" s="98" t="str">
        <f t="shared" si="1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2"/>
        <v>Dp</v>
      </c>
      <c r="X5" s="3" t="str">
        <v>obj_00274</v>
      </c>
      <c r="Y5" s="3" t="str">
        <f>IFERROR(_xll.qlRateHelperQuoteName(X5,Trigger),"")</f>
        <v>USD3MD_SYNTH3M_Quote</v>
      </c>
      <c r="Z5" s="70">
        <f>IFERROR(_xll.qlRateHelperRate(X5,Trigger),"")</f>
        <v>8.5380000000000005E-3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42643</v>
      </c>
      <c r="AC5" s="4">
        <f>IFERROR(_xll.qlRateHelperPillarDate(X5,Trigger),"")</f>
        <v>42734</v>
      </c>
      <c r="AD5" s="76">
        <v>0.99784643120140737</v>
      </c>
      <c r="AE5" s="79"/>
      <c r="AF5" s="109" t="s">
        <v>116</v>
      </c>
      <c r="AG5" s="110">
        <v>3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obj_0024e#0003</v>
      </c>
      <c r="H6" s="159" t="str">
        <f t="shared" si="0"/>
        <v>USD3WD_SYNTH3M_Quote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3"/>
        <v>Dp</v>
      </c>
      <c r="M6" s="183" t="str">
        <f t="shared" si="4"/>
        <v>USD3WD_SYNTH3M_Quote</v>
      </c>
      <c r="N6" s="164">
        <f>IFERROR(_xll.qlQuoteValue(H6,Trigger),"--")</f>
        <v>8.4089999999999998E-3</v>
      </c>
      <c r="O6" s="167"/>
      <c r="P6" s="101" t="b">
        <v>0</v>
      </c>
      <c r="Q6" s="98">
        <v>10</v>
      </c>
      <c r="R6" s="98">
        <v>1</v>
      </c>
      <c r="S6" s="98" t="str">
        <f t="shared" si="1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2"/>
        <v>FUT</v>
      </c>
      <c r="X6" s="3" t="str">
        <v>obj_002e4</v>
      </c>
      <c r="Y6" s="3" t="str">
        <f>IFERROR(_xll.qlRateHelperQuoteName(X6,Trigger),"")</f>
        <v>USDFUT3MV6_Quote</v>
      </c>
      <c r="Z6" s="70">
        <f>IFERROR(_xll.qlRateHelperRate(X6,Trigger),"")</f>
        <v>8.7871052643371129E-3</v>
      </c>
      <c r="AA6" s="106">
        <f>IF(ISERROR(_xll.qlSwapRateHelperSpread($X6)),IF(ISERROR(_xll.qlFuturesRateHelperConvexityAdjustment($X6)),"",_xll.qlFuturesRateHelperConvexityAdjustment($X6)),_xll.qlSwapRateHelperSpread($X6))</f>
        <v>3.947356628348247E-7</v>
      </c>
      <c r="AB6" s="4">
        <f>IFERROR(_xll.qlRateHelperEarliestDate(X6,Trigger),"")</f>
        <v>42662</v>
      </c>
      <c r="AC6" s="4">
        <f>IFERROR(_xll.qlRateHelperPillarDate(X6,Trigger),"")</f>
        <v>42754</v>
      </c>
      <c r="AD6" s="76">
        <v>0.99731982455150592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USD1MD_SYNTH3M_Quote</v>
      </c>
      <c r="I7" s="125"/>
      <c r="J7" s="175" t="str">
        <f>IF(P7,_xll.qlDepositRateHelper(,H7,G7,Permanent,Trigger,ObjectOverwrite),"--")</f>
        <v>obj_00296#0003</v>
      </c>
      <c r="K7" s="50"/>
      <c r="L7" s="162" t="str">
        <f t="shared" si="3"/>
        <v>Dp</v>
      </c>
      <c r="M7" s="183" t="str">
        <f t="shared" si="4"/>
        <v>USD1MD_SYNTH3M_Quote</v>
      </c>
      <c r="N7" s="164">
        <f>IFERROR(_xll.qlQuoteValue(H7,Trigger),"--")</f>
        <v>8.3440000000000007E-3</v>
      </c>
      <c r="O7" s="167"/>
      <c r="P7" s="101" t="b">
        <v>1</v>
      </c>
      <c r="Q7" s="98">
        <v>10</v>
      </c>
      <c r="R7" s="98">
        <v>1</v>
      </c>
      <c r="S7" s="98" t="str">
        <f t="shared" si="1"/>
        <v>obj_00296#0003</v>
      </c>
      <c r="T7" s="102">
        <f>IFERROR(_xll.qlRateHelperEarliestDate(S7,Trigger),"--")</f>
        <v>42643</v>
      </c>
      <c r="U7" s="102">
        <f>IFERROR(_xll.qlRateHelperPillarDate(S7,Trigger),"--")</f>
        <v>42674</v>
      </c>
      <c r="W7" s="3" t="str">
        <f t="shared" si="2"/>
        <v>FUT</v>
      </c>
      <c r="X7" s="3" t="str">
        <v>obj_002e6</v>
      </c>
      <c r="Y7" s="3" t="str">
        <f>IFERROR(_xll.qlRateHelperQuoteName(X7,Trigger),"")</f>
        <v>USDFUT3MZ6_Quote</v>
      </c>
      <c r="Z7" s="70">
        <f>IFERROR(_xll.qlRateHelperRate(X7,Trigger),"")</f>
        <v>9.2229751847871053E-3</v>
      </c>
      <c r="AA7" s="106">
        <f>IF(ISERROR(_xll.qlSwapRateHelperSpread($X7)),IF(ISERROR(_xll.qlFuturesRateHelperConvexityAdjustment($X7)),"",_xll.qlFuturesRateHelperConvexityAdjustment($X7)),_xll.qlSwapRateHelperSpread($X7))</f>
        <v>2.0248152129333869E-6</v>
      </c>
      <c r="AB7" s="4">
        <f>IFERROR(_xll.qlRateHelperEarliestDate(X7,Trigger),"")</f>
        <v>42725</v>
      </c>
      <c r="AC7" s="4">
        <f>IFERROR(_xll.qlRateHelperPillarDate(X7,Trigger),"")</f>
        <v>42815</v>
      </c>
      <c r="AD7" s="76">
        <v>0.99577941377904711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USD2MD_SYNTH3M_Quote</v>
      </c>
      <c r="I8" s="125"/>
      <c r="J8" s="175" t="str">
        <f>IF(P8,_xll.qlDepositRateHelper(,H8,G8,Permanent,Trigger,ObjectOverwrite),"--")</f>
        <v>obj_00295#0003</v>
      </c>
      <c r="K8" s="50"/>
      <c r="L8" s="162" t="str">
        <f t="shared" si="3"/>
        <v>Dp</v>
      </c>
      <c r="M8" s="183" t="str">
        <f t="shared" si="4"/>
        <v>USD2MD_SYNTH3M_Quote</v>
      </c>
      <c r="N8" s="164">
        <f>IFERROR(_xll.qlQuoteValue(H8,Trigger),"--")</f>
        <v>8.3610000000000004E-3</v>
      </c>
      <c r="O8" s="167"/>
      <c r="P8" s="101" t="b">
        <v>1</v>
      </c>
      <c r="Q8" s="98">
        <v>10</v>
      </c>
      <c r="R8" s="98">
        <v>1</v>
      </c>
      <c r="S8" s="98" t="str">
        <f t="shared" si="1"/>
        <v>obj_00295#0003</v>
      </c>
      <c r="T8" s="102">
        <f>IFERROR(_xll.qlRateHelperEarliestDate(S8,Trigger),"--")</f>
        <v>42643</v>
      </c>
      <c r="U8" s="102">
        <f>IFERROR(_xll.qlRateHelperPillarDate(S8,Trigger),"--")</f>
        <v>42704</v>
      </c>
      <c r="W8" s="3" t="str">
        <f t="shared" si="2"/>
        <v>FUT</v>
      </c>
      <c r="X8" s="3" t="str">
        <v>obj_002e9</v>
      </c>
      <c r="Y8" s="3" t="str">
        <f>IFERROR(_xll.qlRateHelperQuoteName(X8,Trigger),"")</f>
        <v>USDFUT3MH7_Quote</v>
      </c>
      <c r="Z8" s="70">
        <f>IFERROR(_xll.qlRateHelperRate(X8,Trigger),"")</f>
        <v>9.519634858975487E-3</v>
      </c>
      <c r="AA8" s="106">
        <f>IF(ISERROR(_xll.qlSwapRateHelperSpread($X8)),IF(ISERROR(_xll.qlFuturesRateHelperConvexityAdjustment($X8)),"",_xll.qlFuturesRateHelperConvexityAdjustment($X8)),_xll.qlSwapRateHelperSpread($X8))</f>
        <v>5.3651410245184615E-6</v>
      </c>
      <c r="AB8" s="4">
        <f>IFERROR(_xll.qlRateHelperEarliestDate(X8,Trigger),"")</f>
        <v>42809</v>
      </c>
      <c r="AC8" s="4">
        <f>IFERROR(_xll.qlRateHelperPillarDate(X8,Trigger),"")</f>
        <v>42901</v>
      </c>
      <c r="AD8" s="76">
        <v>0.99351357151724717</v>
      </c>
    </row>
    <row r="9" spans="1:33" ht="11.25" customHeight="1" x14ac:dyDescent="0.2">
      <c r="A9" s="1" t="s">
        <v>26</v>
      </c>
      <c r="B9" s="8" t="s">
        <v>0</v>
      </c>
      <c r="C9" s="126"/>
      <c r="D9" s="126"/>
      <c r="E9" s="126"/>
      <c r="F9" s="126"/>
      <c r="G9" s="6" t="str">
        <f>PROPER(Currency)&amp;FamilyName&amp;B9</f>
        <v>UsdLibor3M</v>
      </c>
      <c r="H9" s="123" t="str">
        <f t="shared" si="0"/>
        <v>USD3MD_SYNTH3M_Quote</v>
      </c>
      <c r="I9" s="126"/>
      <c r="J9" s="174" t="str">
        <f>IF(P9,_xll.qlDepositRateHelper(,H9,G9,Permanent,Trigger,ObjectOverwrite),"--")</f>
        <v>obj_00274#0003</v>
      </c>
      <c r="K9" s="50"/>
      <c r="L9" s="168" t="str">
        <f t="shared" si="3"/>
        <v>Dp</v>
      </c>
      <c r="M9" s="184" t="str">
        <f t="shared" si="4"/>
        <v>USD3MD_SYNTH3M_Quote</v>
      </c>
      <c r="N9" s="170">
        <f>IFERROR(_xll.qlQuoteValue(H9,Trigger),"--")</f>
        <v>8.5380000000000005E-3</v>
      </c>
      <c r="O9" s="171"/>
      <c r="P9" s="103" t="b">
        <v>1</v>
      </c>
      <c r="Q9" s="99">
        <v>10</v>
      </c>
      <c r="R9" s="99">
        <v>1</v>
      </c>
      <c r="S9" s="99" t="str">
        <f t="shared" si="1"/>
        <v>obj_00274#0003</v>
      </c>
      <c r="T9" s="104">
        <f>IFERROR(_xll.qlRateHelperEarliestDate(S9,Trigger),"--")</f>
        <v>42643</v>
      </c>
      <c r="U9" s="104">
        <f>IFERROR(_xll.qlRateHelperPillarDate(S9,Trigger),"--")</f>
        <v>42734</v>
      </c>
      <c r="W9" s="3" t="str">
        <f t="shared" si="2"/>
        <v>FUT</v>
      </c>
      <c r="X9" s="3" t="str">
        <v>obj_002ea</v>
      </c>
      <c r="Y9" s="3" t="str">
        <f>IFERROR(_xll.qlRateHelperQuoteName(X9,Trigger),"")</f>
        <v>USDFUT3MM7_Quote</v>
      </c>
      <c r="Z9" s="70">
        <f>IFERROR(_xll.qlRateHelperRate(X9,Trigger),"")</f>
        <v>9.9142223467140675E-3</v>
      </c>
      <c r="AA9" s="106">
        <f>IF(ISERROR(_xll.qlSwapRateHelperSpread($X9)),IF(ISERROR(_xll.qlFuturesRateHelperConvexityAdjustment($X9)),"",_xll.qlFuturesRateHelperConvexityAdjustment($X9)),_xll.qlSwapRateHelperSpread($X9))</f>
        <v>1.0777653286005664E-5</v>
      </c>
      <c r="AB9" s="4">
        <f>IFERROR(_xll.qlRateHelperEarliestDate(X9,Trigger),"")</f>
        <v>42907</v>
      </c>
      <c r="AC9" s="4">
        <f>IFERROR(_xll.qlRateHelperPillarDate(X9,Trigger),"")</f>
        <v>42999</v>
      </c>
      <c r="AD9" s="76">
        <v>0.99084114434665771</v>
      </c>
    </row>
    <row r="10" spans="1:33" ht="11.25" customHeight="1" x14ac:dyDescent="0.2">
      <c r="B10" s="48"/>
      <c r="C10" s="48"/>
      <c r="D10" s="48"/>
      <c r="E10" s="48"/>
      <c r="F10" s="48"/>
      <c r="G10" s="48"/>
      <c r="H10" s="48"/>
      <c r="K10" s="50"/>
      <c r="L10" s="180" t="str">
        <f>A12</f>
        <v>FRA</v>
      </c>
      <c r="M10" s="181" t="str">
        <f>H12</f>
        <v>USD1x4F_Quote</v>
      </c>
      <c r="N10" s="182">
        <f>IFERROR(_xll.qlQuoteValue(H12,Trigger),"--")</f>
        <v>8.8299999999999993E-3</v>
      </c>
      <c r="O10" s="165"/>
      <c r="P10" s="134" t="b">
        <v>0</v>
      </c>
      <c r="Q10" s="133">
        <v>20</v>
      </c>
      <c r="R10" s="133">
        <v>1</v>
      </c>
      <c r="S10" s="133" t="str">
        <f t="shared" ref="S10:S21" si="5">IF(ISBLANK(J12),"--",J12)</f>
        <v>--</v>
      </c>
      <c r="T10" s="135" t="str">
        <f>IFERROR(_xll.qlRateHelperEarliestDate(S10,Trigger),"--")</f>
        <v>--</v>
      </c>
      <c r="U10" s="135" t="str">
        <f>IFERROR(_xll.qlRateHelperPillarDate(S10,Trigger),"--")</f>
        <v>--</v>
      </c>
      <c r="W10" s="3" t="str">
        <f t="shared" si="2"/>
        <v>FUT</v>
      </c>
      <c r="X10" s="3" t="str">
        <v>obj_002ec</v>
      </c>
      <c r="Y10" s="3" t="str">
        <f>IFERROR(_xll.qlRateHelperQuoteName(X10,Trigger),"")</f>
        <v>USDFUT3MU7_Quote</v>
      </c>
      <c r="Z10" s="70">
        <f>IFERROR(_xll.qlRateHelperRate(X10,Trigger),"")</f>
        <v>1.0207798172532671E-2</v>
      </c>
      <c r="AA10" s="106">
        <f>IF(ISERROR(_xll.qlSwapRateHelperSpread($X10)),IF(ISERROR(_xll.qlFuturesRateHelperConvexityAdjustment($X10)),"",_xll.qlFuturesRateHelperConvexityAdjustment($X10)),_xll.qlSwapRateHelperSpread($X10))</f>
        <v>1.7201827467257173E-5</v>
      </c>
      <c r="AB10" s="4">
        <f>IFERROR(_xll.qlRateHelperEarliestDate(X10,Trigger),"")</f>
        <v>42998</v>
      </c>
      <c r="AC10" s="4">
        <f>IFERROR(_xll.qlRateHelperPillarDate(X10,Trigger),"")</f>
        <v>43089</v>
      </c>
      <c r="AD10" s="76">
        <v>0.98831857018152591</v>
      </c>
    </row>
    <row r="11" spans="1:33" ht="11.25" customHeight="1" x14ac:dyDescent="0.2">
      <c r="A11" s="66" t="s">
        <v>9</v>
      </c>
      <c r="B11" s="66" t="s">
        <v>120</v>
      </c>
      <c r="C11" s="66" t="s">
        <v>121</v>
      </c>
      <c r="D11" s="66"/>
      <c r="E11" s="66"/>
      <c r="F11" s="66"/>
      <c r="G11" s="66" t="s">
        <v>4</v>
      </c>
      <c r="H11" s="66" t="s">
        <v>1</v>
      </c>
      <c r="I11" s="66"/>
      <c r="J11" s="66" t="s">
        <v>24</v>
      </c>
      <c r="K11" s="50"/>
      <c r="L11" s="162" t="str">
        <f t="shared" ref="L11:L21" si="6">A13</f>
        <v>FRA</v>
      </c>
      <c r="M11" s="183" t="str">
        <f t="shared" ref="M11:M21" si="7">H13</f>
        <v>USD2x5F_Quote</v>
      </c>
      <c r="N11" s="164">
        <f>IFERROR(_xll.qlQuoteValue(H13,Trigger),"--")</f>
        <v>8.9800000000000001E-3</v>
      </c>
      <c r="O11" s="167"/>
      <c r="P11" s="101" t="b">
        <v>0</v>
      </c>
      <c r="Q11" s="98">
        <v>20</v>
      </c>
      <c r="R11" s="98">
        <v>1</v>
      </c>
      <c r="S11" s="98" t="str">
        <f t="shared" si="5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2"/>
        <v>FUT</v>
      </c>
      <c r="X11" s="3" t="str">
        <v>obj_002ed</v>
      </c>
      <c r="Y11" s="3" t="str">
        <f>IFERROR(_xll.qlRateHelperQuoteName(X11,Trigger),"")</f>
        <v>USDFUT3MZ7_Quote</v>
      </c>
      <c r="Z11" s="70">
        <f>IFERROR(_xll.qlRateHelperRate(X11,Trigger),"")</f>
        <v>1.0600029819681073E-2</v>
      </c>
      <c r="AA11" s="106">
        <f>IF(ISERROR(_xll.qlSwapRateHelperSpread($X11)),IF(ISERROR(_xll.qlFuturesRateHelperConvexityAdjustment($X11)),"",_xll.qlFuturesRateHelperConvexityAdjustment($X11)),_xll.qlSwapRateHelperSpread($X11))</f>
        <v>2.4970180318922008E-5</v>
      </c>
      <c r="AB11" s="4">
        <f>IFERROR(_xll.qlRateHelperEarliestDate(X11,Trigger),"")</f>
        <v>43089</v>
      </c>
      <c r="AC11" s="4">
        <f>IFERROR(_xll.qlRateHelperPillarDate(X11,Trigger),"")</f>
        <v>43179</v>
      </c>
      <c r="AD11" s="76">
        <v>0.98570644076513536</v>
      </c>
    </row>
    <row r="12" spans="1:33" ht="11.25" customHeight="1" x14ac:dyDescent="0.2">
      <c r="A12" s="55" t="s">
        <v>122</v>
      </c>
      <c r="B12" s="115">
        <v>1</v>
      </c>
      <c r="C12" s="58" t="str">
        <f t="shared" ref="C12:C23" si="8">"x"&amp;B12+SUBSTITUTE(Tenor,"M","")&amp;"F"</f>
        <v>x4F</v>
      </c>
      <c r="D12" s="125"/>
      <c r="E12" s="125"/>
      <c r="F12" s="125"/>
      <c r="G12" s="57" t="str">
        <f t="shared" ref="G12:G23" si="9">PROPER(Currency)&amp;FamilyName&amp;Tenor</f>
        <v>UsdLibor3M</v>
      </c>
      <c r="H12" s="118" t="str">
        <f t="shared" ref="H12:H23" si="10">Currency&amp;B12&amp;C12&amp;QuoteSuffix</f>
        <v>USD1x4F_Quote</v>
      </c>
      <c r="I12" s="125"/>
      <c r="J12" s="173" t="str">
        <f>IF(P10,_xll.qlFraRateHelper(,H12,B12&amp;"M",G12,PillarDate,,Permanent,Trigger,ObjectOverwrite),"--")</f>
        <v>--</v>
      </c>
      <c r="K12" s="50" t="s">
        <v>45</v>
      </c>
      <c r="L12" s="162" t="str">
        <f t="shared" si="6"/>
        <v>FRA</v>
      </c>
      <c r="M12" s="183" t="str">
        <f t="shared" si="7"/>
        <v>USD3x6F_Quote</v>
      </c>
      <c r="N12" s="164">
        <f>IFERROR(_xll.qlQuoteValue(H14,Trigger),"--")</f>
        <v>9.2899999999999996E-3</v>
      </c>
      <c r="O12" s="167"/>
      <c r="P12" s="101" t="b">
        <v>0</v>
      </c>
      <c r="Q12" s="98">
        <v>20</v>
      </c>
      <c r="R12" s="98">
        <v>1</v>
      </c>
      <c r="S12" s="98" t="str">
        <f t="shared" si="5"/>
        <v>--</v>
      </c>
      <c r="T12" s="102" t="str">
        <f>IFERROR(_xll.qlRateHelperEarliestDate(S12,Trigger),"--")</f>
        <v>--</v>
      </c>
      <c r="U12" s="102" t="str">
        <f>IFERROR(_xll.qlRateHelperPillarDate(S12,Trigger),"--")</f>
        <v>--</v>
      </c>
      <c r="W12" s="3" t="str">
        <f t="shared" si="2"/>
        <v>FUT</v>
      </c>
      <c r="X12" s="3" t="str">
        <v>obj_002ee</v>
      </c>
      <c r="Y12" s="3" t="str">
        <f>IFERROR(_xll.qlRateHelperQuoteName(X12,Trigger),"")</f>
        <v>USDFUT3MH8_Quote</v>
      </c>
      <c r="Z12" s="70">
        <f>IFERROR(_xll.qlRateHelperRate(X12,Trigger),"")</f>
        <v>1.0790668051644537E-2</v>
      </c>
      <c r="AA12" s="106">
        <f>IF(ISERROR(_xll.qlSwapRateHelperSpread($X12)),IF(ISERROR(_xll.qlFuturesRateHelperConvexityAdjustment($X12)),"",_xll.qlFuturesRateHelperConvexityAdjustment($X12)),_xll.qlSwapRateHelperSpread($X12))</f>
        <v>3.4331948355435503E-5</v>
      </c>
      <c r="AB12" s="4">
        <f>IFERROR(_xll.qlRateHelperEarliestDate(X12,Trigger),"")</f>
        <v>43180</v>
      </c>
      <c r="AC12" s="4">
        <f>IFERROR(_xll.qlRateHelperPillarDate(X12,Trigger),"")</f>
        <v>43272</v>
      </c>
      <c r="AD12" s="76">
        <v>0.98296651193258733</v>
      </c>
    </row>
    <row r="13" spans="1:33" ht="11.25" customHeight="1" x14ac:dyDescent="0.2">
      <c r="A13" s="60" t="s">
        <v>122</v>
      </c>
      <c r="B13" s="116">
        <v>2</v>
      </c>
      <c r="C13" s="64" t="str">
        <f t="shared" si="8"/>
        <v>x5F</v>
      </c>
      <c r="D13" s="125"/>
      <c r="E13" s="125"/>
      <c r="F13" s="125"/>
      <c r="G13" s="62" t="str">
        <f t="shared" si="9"/>
        <v>UsdLibor3M</v>
      </c>
      <c r="H13" s="119" t="str">
        <f t="shared" si="10"/>
        <v>USD2x5F_Quote</v>
      </c>
      <c r="I13" s="125"/>
      <c r="J13" s="175" t="str">
        <f>IF(P11,_xll.qlFraRateHelper(,H13,B13&amp;"M",G13,PillarDate,,Permanent,Trigger,ObjectOverwrite),"--")</f>
        <v>--</v>
      </c>
      <c r="K13" s="50"/>
      <c r="L13" s="162" t="str">
        <f t="shared" si="6"/>
        <v>FRA</v>
      </c>
      <c r="M13" s="183" t="str">
        <f t="shared" si="7"/>
        <v>USD4x7F_Quote</v>
      </c>
      <c r="N13" s="164">
        <f>IFERROR(_xll.qlQuoteValue(H15,Trigger),"--")</f>
        <v>9.4500000000000001E-3</v>
      </c>
      <c r="O13" s="167"/>
      <c r="P13" s="101" t="b">
        <v>0</v>
      </c>
      <c r="Q13" s="98">
        <v>20</v>
      </c>
      <c r="R13" s="98">
        <v>1</v>
      </c>
      <c r="S13" s="98" t="str">
        <f t="shared" si="5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2"/>
        <v>FUT</v>
      </c>
      <c r="X13" s="3" t="str">
        <v>obj_002ef</v>
      </c>
      <c r="Y13" s="3" t="str">
        <f>IFERROR(_xll.qlRateHelperQuoteName(X13,Trigger),"")</f>
        <v>USDFUT3MM8_Quote</v>
      </c>
      <c r="Z13" s="70">
        <f>IFERROR(_xll.qlRateHelperRate(X13,Trigger),"")</f>
        <v>1.1080150920082176E-2</v>
      </c>
      <c r="AA13" s="106">
        <f>IF(ISERROR(_xll.qlSwapRateHelperSpread($X13)),IF(ISERROR(_xll.qlFuturesRateHelperConvexityAdjustment($X13)),"",_xll.qlFuturesRateHelperConvexityAdjustment($X13)),_xll.qlSwapRateHelperSpread($X13))</f>
        <v>4.4849079917764223E-5</v>
      </c>
      <c r="AB13" s="4">
        <f>IFERROR(_xll.qlRateHelperEarliestDate(X13,Trigger),"")</f>
        <v>43271</v>
      </c>
      <c r="AC13" s="4">
        <f>IFERROR(_xll.qlRateHelperPillarDate(X13,Trigger),"")</f>
        <v>43363</v>
      </c>
      <c r="AD13" s="76">
        <v>0.98022066450863388</v>
      </c>
    </row>
    <row r="14" spans="1:33" ht="11.25" customHeight="1" x14ac:dyDescent="0.2">
      <c r="A14" s="60" t="s">
        <v>122</v>
      </c>
      <c r="B14" s="116">
        <v>3</v>
      </c>
      <c r="C14" s="64" t="str">
        <f t="shared" si="8"/>
        <v>x6F</v>
      </c>
      <c r="D14" s="125"/>
      <c r="E14" s="125"/>
      <c r="F14" s="125"/>
      <c r="G14" s="62" t="str">
        <f t="shared" si="9"/>
        <v>UsdLibor3M</v>
      </c>
      <c r="H14" s="119" t="str">
        <f t="shared" si="10"/>
        <v>USD3x6F_Quote</v>
      </c>
      <c r="I14" s="125"/>
      <c r="J14" s="175" t="str">
        <f>IF(P12,_xll.qlFraRateHelper(,H14,B14&amp;"M",G14,PillarDate,,Permanent,Trigger,ObjectOverwrite),"--")</f>
        <v>--</v>
      </c>
      <c r="K14" s="50"/>
      <c r="L14" s="162" t="str">
        <f t="shared" si="6"/>
        <v>FRA</v>
      </c>
      <c r="M14" s="183" t="str">
        <f t="shared" si="7"/>
        <v>USD5x8F_Quote</v>
      </c>
      <c r="N14" s="164">
        <f>IFERROR(_xll.qlQuoteValue(H16,Trigger),"--")</f>
        <v>9.5100000000000011E-3</v>
      </c>
      <c r="O14" s="167"/>
      <c r="P14" s="101" t="b">
        <v>0</v>
      </c>
      <c r="Q14" s="98">
        <v>20</v>
      </c>
      <c r="R14" s="98">
        <v>1</v>
      </c>
      <c r="S14" s="98" t="str">
        <f t="shared" si="5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2"/>
        <v>FUT</v>
      </c>
      <c r="X14" s="3" t="str">
        <v>obj_002f0</v>
      </c>
      <c r="Y14" s="3" t="str">
        <f>IFERROR(_xll.qlRateHelperQuoteName(X14,Trigger),"")</f>
        <v>USDFUT3MU8_Quote</v>
      </c>
      <c r="Z14" s="70">
        <f>IFERROR(_xll.qlRateHelperRate(X14,Trigger),"")</f>
        <v>1.136847583931189E-2</v>
      </c>
      <c r="AA14" s="106">
        <f>IF(ISERROR(_xll.qlSwapRateHelperSpread($X14)),IF(ISERROR(_xll.qlFuturesRateHelperConvexityAdjustment($X14)),"",_xll.qlFuturesRateHelperConvexityAdjustment($X14)),_xll.qlSwapRateHelperSpread($X14))</f>
        <v>5.6524160688128442E-5</v>
      </c>
      <c r="AB14" s="4">
        <f>IFERROR(_xll.qlRateHelperEarliestDate(X14,Trigger),"")</f>
        <v>43362</v>
      </c>
      <c r="AC14" s="4">
        <f>IFERROR(_xll.qlRateHelperPillarDate(X14,Trigger),"")</f>
        <v>43453</v>
      </c>
      <c r="AD14" s="76">
        <v>0.97744244003525782</v>
      </c>
    </row>
    <row r="15" spans="1:33" ht="11.25" customHeight="1" x14ac:dyDescent="0.2">
      <c r="A15" s="60" t="s">
        <v>122</v>
      </c>
      <c r="B15" s="116">
        <v>4</v>
      </c>
      <c r="C15" s="64" t="str">
        <f t="shared" si="8"/>
        <v>x7F</v>
      </c>
      <c r="D15" s="125"/>
      <c r="E15" s="125"/>
      <c r="F15" s="125"/>
      <c r="G15" s="62" t="str">
        <f t="shared" si="9"/>
        <v>UsdLibor3M</v>
      </c>
      <c r="H15" s="119" t="str">
        <f t="shared" si="10"/>
        <v>USD4x7F_Quote</v>
      </c>
      <c r="I15" s="125"/>
      <c r="J15" s="175" t="str">
        <f>IF(P13,_xll.qlFraRateHelper(,H15,B15&amp;"M",G15,PillarDate,,Permanent,Trigger,ObjectOverwrite),"--")</f>
        <v>--</v>
      </c>
      <c r="K15" s="50"/>
      <c r="L15" s="162" t="str">
        <f t="shared" si="6"/>
        <v>FRA</v>
      </c>
      <c r="M15" s="183" t="str">
        <f t="shared" si="7"/>
        <v>USD6x9F_Quote</v>
      </c>
      <c r="N15" s="164">
        <f>IFERROR(_xll.qlQuoteValue(H17,Trigger),"--")</f>
        <v>9.5700000000000004E-3</v>
      </c>
      <c r="O15" s="167"/>
      <c r="P15" s="101" t="b">
        <v>0</v>
      </c>
      <c r="Q15" s="98">
        <v>20</v>
      </c>
      <c r="R15" s="98">
        <v>1</v>
      </c>
      <c r="S15" s="98" t="str">
        <f t="shared" si="5"/>
        <v>--</v>
      </c>
      <c r="T15" s="102" t="str">
        <f>IFERROR(_xll.qlRateHelperEarliestDate(S15,Trigger),"--")</f>
        <v>--</v>
      </c>
      <c r="U15" s="102" t="str">
        <f>IFERROR(_xll.qlRateHelperPillarDate(S15,Trigger),"--")</f>
        <v>--</v>
      </c>
      <c r="W15" s="3" t="str">
        <f t="shared" si="2"/>
        <v>Sw</v>
      </c>
      <c r="X15" s="3" t="str">
        <v>obj_002ba</v>
      </c>
      <c r="Y15" s="3" t="str">
        <f>IFERROR(_xll.qlRateHelperQuoteName(X15,Trigger),"")</f>
        <v>USDAM3L3Y_Quote</v>
      </c>
      <c r="Z15" s="70">
        <f>IFERROR(_xll.qlRateHelperRate(X15,Trigger),"")</f>
        <v>1.048E-2</v>
      </c>
      <c r="AA15" s="106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42643</v>
      </c>
      <c r="AC15" s="4">
        <f>IFERROR(_xll.qlRateHelperPillarDate(X15,Trigger),"")</f>
        <v>43738</v>
      </c>
      <c r="AD15" s="76">
        <v>0.96873418362183095</v>
      </c>
    </row>
    <row r="16" spans="1:33" ht="11.25" customHeight="1" x14ac:dyDescent="0.2">
      <c r="A16" s="60" t="s">
        <v>122</v>
      </c>
      <c r="B16" s="116">
        <v>5</v>
      </c>
      <c r="C16" s="64" t="str">
        <f t="shared" si="8"/>
        <v>x8F</v>
      </c>
      <c r="D16" s="125"/>
      <c r="E16" s="125"/>
      <c r="F16" s="125"/>
      <c r="G16" s="62" t="str">
        <f t="shared" si="9"/>
        <v>UsdLibor3M</v>
      </c>
      <c r="H16" s="119" t="str">
        <f t="shared" si="10"/>
        <v>USD5x8F_Quote</v>
      </c>
      <c r="I16" s="125"/>
      <c r="J16" s="175" t="str">
        <f>IF(P14,_xll.qlFraRateHelper(,H16,B16&amp;"M",G16,PillarDate,,Permanent,Trigger,ObjectOverwrite),"--")</f>
        <v>--</v>
      </c>
      <c r="K16" s="50"/>
      <c r="L16" s="162" t="str">
        <f t="shared" si="6"/>
        <v>FRA</v>
      </c>
      <c r="M16" s="183" t="str">
        <f t="shared" si="7"/>
        <v>USD7x10F_Quote</v>
      </c>
      <c r="N16" s="164">
        <f>IFERROR(_xll.qlQuoteValue(H18,Trigger),"--")</f>
        <v>9.6600000000000002E-3</v>
      </c>
      <c r="O16" s="167"/>
      <c r="P16" s="101" t="b">
        <v>0</v>
      </c>
      <c r="Q16" s="98">
        <v>20</v>
      </c>
      <c r="R16" s="98">
        <v>1</v>
      </c>
      <c r="S16" s="98" t="str">
        <f t="shared" si="5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2"/>
        <v>Sw</v>
      </c>
      <c r="X16" s="3" t="str">
        <v>obj_002ce</v>
      </c>
      <c r="Y16" s="3" t="str">
        <f>IFERROR(_xll.qlRateHelperQuoteName(X16,Trigger),"")</f>
        <v>USDAM3L4Y_Quote</v>
      </c>
      <c r="Z16" s="70">
        <f>IFERROR(_xll.qlRateHelperRate(X16,Trigger),"")</f>
        <v>1.099E-2</v>
      </c>
      <c r="AA16" s="106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42643</v>
      </c>
      <c r="AC16" s="4">
        <f>IFERROR(_xll.qlRateHelperPillarDate(X16,Trigger),"")</f>
        <v>44104</v>
      </c>
      <c r="AD16" s="76">
        <v>0.95652096870438363</v>
      </c>
    </row>
    <row r="17" spans="1:30" ht="11.25" customHeight="1" x14ac:dyDescent="0.2">
      <c r="A17" s="60" t="s">
        <v>122</v>
      </c>
      <c r="B17" s="116">
        <v>6</v>
      </c>
      <c r="C17" s="64" t="str">
        <f t="shared" si="8"/>
        <v>x9F</v>
      </c>
      <c r="D17" s="125"/>
      <c r="E17" s="125"/>
      <c r="F17" s="125"/>
      <c r="G17" s="62" t="str">
        <f t="shared" si="9"/>
        <v>UsdLibor3M</v>
      </c>
      <c r="H17" s="119" t="str">
        <f t="shared" si="10"/>
        <v>USD6x9F_Quote</v>
      </c>
      <c r="I17" s="125"/>
      <c r="J17" s="175" t="str">
        <f>IF(P15,_xll.qlFraRateHelper(,H17,B17&amp;"M",G17,PillarDate,,Permanent,Trigger,ObjectOverwrite),"--")</f>
        <v>--</v>
      </c>
      <c r="K17" s="50"/>
      <c r="L17" s="162" t="str">
        <f t="shared" si="6"/>
        <v>FRA</v>
      </c>
      <c r="M17" s="183" t="str">
        <f t="shared" si="7"/>
        <v>USD8x11F_Quote</v>
      </c>
      <c r="N17" s="164">
        <f>IFERROR(_xll.qlQuoteValue(H19,Trigger),"--")</f>
        <v>9.7800000000000005E-3</v>
      </c>
      <c r="O17" s="167"/>
      <c r="P17" s="101" t="b">
        <v>0</v>
      </c>
      <c r="Q17" s="98">
        <v>20</v>
      </c>
      <c r="R17" s="98">
        <v>1</v>
      </c>
      <c r="S17" s="98" t="str">
        <f t="shared" si="5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2"/>
        <v>Sw</v>
      </c>
      <c r="X17" s="3" t="str">
        <v>obj_002de</v>
      </c>
      <c r="Y17" s="3" t="str">
        <f>IFERROR(_xll.qlRateHelperQuoteName(X17,Trigger),"")</f>
        <v>USDAM3L5Y_Quote</v>
      </c>
      <c r="Z17" s="70">
        <f>IFERROR(_xll.qlRateHelperRate(X17,Trigger),"")</f>
        <v>1.1520000000000001E-2</v>
      </c>
      <c r="AA17" s="106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42643</v>
      </c>
      <c r="AC17" s="4">
        <f>IFERROR(_xll.qlRateHelperPillarDate(X17,Trigger),"")</f>
        <v>44469</v>
      </c>
      <c r="AD17" s="76">
        <v>0.94340850835399948</v>
      </c>
    </row>
    <row r="18" spans="1:30" ht="11.25" customHeight="1" x14ac:dyDescent="0.2">
      <c r="A18" s="60" t="s">
        <v>122</v>
      </c>
      <c r="B18" s="116">
        <v>7</v>
      </c>
      <c r="C18" s="64" t="str">
        <f t="shared" si="8"/>
        <v>x10F</v>
      </c>
      <c r="D18" s="125"/>
      <c r="E18" s="125"/>
      <c r="F18" s="125"/>
      <c r="G18" s="62" t="str">
        <f t="shared" si="9"/>
        <v>UsdLibor3M</v>
      </c>
      <c r="H18" s="119" t="str">
        <f t="shared" si="10"/>
        <v>USD7x10F_Quote</v>
      </c>
      <c r="I18" s="125"/>
      <c r="J18" s="175" t="str">
        <f>IF(P16,_xll.qlFraRateHelper(,H18,B18&amp;"M",G18,PillarDate,,Permanent,Trigger,ObjectOverwrite),"--")</f>
        <v>--</v>
      </c>
      <c r="K18" s="50"/>
      <c r="L18" s="162" t="str">
        <f t="shared" si="6"/>
        <v>FRA</v>
      </c>
      <c r="M18" s="183" t="str">
        <f t="shared" si="7"/>
        <v>USD9x12F_Quote</v>
      </c>
      <c r="N18" s="164">
        <f>IFERROR(_xll.qlQuoteValue(H20,Trigger),"--")</f>
        <v>9.8900000000000012E-3</v>
      </c>
      <c r="O18" s="167"/>
      <c r="P18" s="101" t="b">
        <v>0</v>
      </c>
      <c r="Q18" s="98">
        <v>20</v>
      </c>
      <c r="R18" s="98">
        <v>1</v>
      </c>
      <c r="S18" s="98" t="str">
        <f t="shared" si="5"/>
        <v>--</v>
      </c>
      <c r="T18" s="102" t="str">
        <f>IFERROR(_xll.qlRateHelperEarliestDate(S18,Trigger),"--")</f>
        <v>--</v>
      </c>
      <c r="U18" s="102" t="str">
        <f>IFERROR(_xll.qlRateHelperPillarDate(S18,Trigger),"--")</f>
        <v>--</v>
      </c>
      <c r="W18" s="3" t="str">
        <f t="shared" si="2"/>
        <v>Sw</v>
      </c>
      <c r="X18" s="3" t="str">
        <v>obj_002c7</v>
      </c>
      <c r="Y18" s="3" t="str">
        <f>IFERROR(_xll.qlRateHelperQuoteName(X18,Trigger),"")</f>
        <v>USDAM3L6Y_Quote</v>
      </c>
      <c r="Z18" s="70">
        <f>IFERROR(_xll.qlRateHelperRate(X18,Trigger),"")</f>
        <v>1.208E-2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42643</v>
      </c>
      <c r="AC18" s="4">
        <f>IFERROR(_xll.qlRateHelperPillarDate(X18,Trigger),"")</f>
        <v>44834</v>
      </c>
      <c r="AD18" s="76">
        <v>0.92928871649169087</v>
      </c>
    </row>
    <row r="19" spans="1:30" ht="11.25" customHeight="1" x14ac:dyDescent="0.2">
      <c r="A19" s="60" t="s">
        <v>122</v>
      </c>
      <c r="B19" s="116">
        <v>8</v>
      </c>
      <c r="C19" s="64" t="str">
        <f t="shared" si="8"/>
        <v>x11F</v>
      </c>
      <c r="D19" s="125"/>
      <c r="E19" s="125"/>
      <c r="F19" s="125"/>
      <c r="G19" s="62" t="str">
        <f t="shared" si="9"/>
        <v>UsdLibor3M</v>
      </c>
      <c r="H19" s="119" t="str">
        <f t="shared" si="10"/>
        <v>USD8x11F_Quote</v>
      </c>
      <c r="I19" s="125"/>
      <c r="J19" s="175" t="str">
        <f>IF(P17,_xll.qlFraRateHelper(,H19,B19&amp;"M",G19,PillarDate,,Permanent,Trigger,ObjectOverwrite),"--")</f>
        <v>--</v>
      </c>
      <c r="K19" s="50"/>
      <c r="L19" s="162" t="str">
        <f t="shared" si="6"/>
        <v>FRA</v>
      </c>
      <c r="M19" s="183" t="str">
        <f t="shared" si="7"/>
        <v>USD10x13F_Quote</v>
      </c>
      <c r="N19" s="164">
        <f>IFERROR(_xll.qlQuoteValue(H21,Trigger),"--")</f>
        <v>9.9799999999999993E-3</v>
      </c>
      <c r="O19" s="167"/>
      <c r="P19" s="101" t="b">
        <v>0</v>
      </c>
      <c r="Q19" s="98">
        <v>20</v>
      </c>
      <c r="R19" s="98">
        <v>1</v>
      </c>
      <c r="S19" s="98" t="str">
        <f t="shared" si="5"/>
        <v>--</v>
      </c>
      <c r="T19" s="102" t="str">
        <f>IFERROR(_xll.qlRateHelperEarliestDate(S19,Trigger),"--")</f>
        <v>--</v>
      </c>
      <c r="U19" s="102" t="str">
        <f>IFERROR(_xll.qlRateHelperPillarDate(S19,Trigger),"--")</f>
        <v>--</v>
      </c>
      <c r="W19" s="3" t="str">
        <f t="shared" si="2"/>
        <v>Sw</v>
      </c>
      <c r="X19" s="3" t="str">
        <v>obj_002d9</v>
      </c>
      <c r="Y19" s="3" t="str">
        <f>IFERROR(_xll.qlRateHelperQuoteName(X19,Trigger),"")</f>
        <v>USDAM3L7Y_Quote</v>
      </c>
      <c r="Z19" s="70">
        <f>IFERROR(_xll.qlRateHelperRate(X19,Trigger),"")</f>
        <v>1.2629999999999999E-2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42643</v>
      </c>
      <c r="AC19" s="4">
        <f>IFERROR(_xll.qlRateHelperPillarDate(X19,Trigger),"")</f>
        <v>45198</v>
      </c>
      <c r="AD19" s="76">
        <v>0.91441444984260356</v>
      </c>
    </row>
    <row r="20" spans="1:30" ht="11.25" customHeight="1" x14ac:dyDescent="0.2">
      <c r="A20" s="60" t="s">
        <v>122</v>
      </c>
      <c r="B20" s="116">
        <v>9</v>
      </c>
      <c r="C20" s="64" t="str">
        <f t="shared" si="8"/>
        <v>x12F</v>
      </c>
      <c r="D20" s="125"/>
      <c r="E20" s="125"/>
      <c r="F20" s="125"/>
      <c r="G20" s="62" t="str">
        <f t="shared" si="9"/>
        <v>UsdLibor3M</v>
      </c>
      <c r="H20" s="119" t="str">
        <f t="shared" si="10"/>
        <v>USD9x12F_Quote</v>
      </c>
      <c r="I20" s="125"/>
      <c r="J20" s="175" t="str">
        <f>IF(P18,_xll.qlFraRateHelper(,H20,B20&amp;"M",G20,PillarDate,,Permanent,Trigger,ObjectOverwrite),"--")</f>
        <v>--</v>
      </c>
      <c r="K20" s="50"/>
      <c r="L20" s="162" t="str">
        <f t="shared" si="6"/>
        <v>FRA</v>
      </c>
      <c r="M20" s="183" t="str">
        <f t="shared" si="7"/>
        <v>USD11x14F_Quote</v>
      </c>
      <c r="N20" s="164">
        <f>IFERROR(_xll.qlQuoteValue(H22,Trigger),"--")</f>
        <v>1.008E-2</v>
      </c>
      <c r="O20" s="167"/>
      <c r="P20" s="101" t="b">
        <v>0</v>
      </c>
      <c r="Q20" s="98">
        <v>20</v>
      </c>
      <c r="R20" s="98">
        <v>1</v>
      </c>
      <c r="S20" s="98" t="str">
        <f t="shared" si="5"/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2"/>
        <v>Sw</v>
      </c>
      <c r="X20" s="3" t="str">
        <v>obj_002bb</v>
      </c>
      <c r="Y20" s="3" t="str">
        <f>IFERROR(_xll.qlRateHelperQuoteName(X20,Trigger),"")</f>
        <v>USDAM3L8Y_Quote</v>
      </c>
      <c r="Z20" s="70">
        <f>IFERROR(_xll.qlRateHelperRate(X20,Trigger),"")</f>
        <v>1.315E-2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42643</v>
      </c>
      <c r="AC20" s="4">
        <f>IFERROR(_xll.qlRateHelperPillarDate(X20,Trigger),"")</f>
        <v>45565</v>
      </c>
      <c r="AD20" s="76">
        <v>0.89887242802341294</v>
      </c>
    </row>
    <row r="21" spans="1:30" ht="11.25" customHeight="1" x14ac:dyDescent="0.2">
      <c r="A21" s="60" t="s">
        <v>122</v>
      </c>
      <c r="B21" s="116">
        <v>10</v>
      </c>
      <c r="C21" s="64" t="str">
        <f t="shared" si="8"/>
        <v>x13F</v>
      </c>
      <c r="D21" s="125"/>
      <c r="E21" s="125"/>
      <c r="F21" s="125"/>
      <c r="G21" s="62" t="str">
        <f t="shared" si="9"/>
        <v>UsdLibor3M</v>
      </c>
      <c r="H21" s="119" t="str">
        <f t="shared" si="10"/>
        <v>USD10x13F_Quote</v>
      </c>
      <c r="I21" s="125"/>
      <c r="J21" s="175" t="str">
        <f>IF(P19,_xll.qlFraRateHelper(,H21,B21&amp;"M",G21,PillarDate,,Permanent,Trigger,ObjectOverwrite),"--")</f>
        <v>--</v>
      </c>
      <c r="K21" s="50"/>
      <c r="L21" s="168" t="str">
        <f t="shared" si="6"/>
        <v>FRA</v>
      </c>
      <c r="M21" s="184" t="str">
        <f t="shared" si="7"/>
        <v>USD12x15F_Quote</v>
      </c>
      <c r="N21" s="170">
        <f>IFERROR(_xll.qlQuoteValue(H23,Trigger),"--")</f>
        <v>1.018E-2</v>
      </c>
      <c r="O21" s="171"/>
      <c r="P21" s="103" t="b">
        <v>0</v>
      </c>
      <c r="Q21" s="99">
        <v>20</v>
      </c>
      <c r="R21" s="99">
        <v>1</v>
      </c>
      <c r="S21" s="99" t="str">
        <f t="shared" si="5"/>
        <v>--</v>
      </c>
      <c r="T21" s="104" t="str">
        <f>IFERROR(_xll.qlRateHelperEarliestDate(S21,Trigger),"--")</f>
        <v>--</v>
      </c>
      <c r="U21" s="104" t="str">
        <f>IFERROR(_xll.qlRateHelperPillarDate(S21,Trigger),"--")</f>
        <v>--</v>
      </c>
      <c r="W21" s="3" t="str">
        <f t="shared" si="2"/>
        <v>Sw</v>
      </c>
      <c r="X21" s="3" t="str">
        <v>obj_002c2</v>
      </c>
      <c r="Y21" s="3" t="str">
        <f>IFERROR(_xll.qlRateHelperQuoteName(X21,Trigger),"")</f>
        <v>USDAM3L9Y_Quote</v>
      </c>
      <c r="Z21" s="70">
        <f>IFERROR(_xll.qlRateHelperRate(X21,Trigger),"")</f>
        <v>1.3640000000000001E-2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42643</v>
      </c>
      <c r="AC21" s="4">
        <f>IFERROR(_xll.qlRateHelperPillarDate(X21,Trigger),"")</f>
        <v>45930</v>
      </c>
      <c r="AD21" s="76">
        <v>0.88293499216871785</v>
      </c>
    </row>
    <row r="22" spans="1:30" ht="11.25" customHeight="1" x14ac:dyDescent="0.2">
      <c r="A22" s="60" t="s">
        <v>122</v>
      </c>
      <c r="B22" s="116">
        <v>11</v>
      </c>
      <c r="C22" s="64" t="str">
        <f t="shared" si="8"/>
        <v>x14F</v>
      </c>
      <c r="D22" s="125"/>
      <c r="E22" s="125"/>
      <c r="F22" s="125"/>
      <c r="G22" s="62" t="str">
        <f t="shared" si="9"/>
        <v>UsdLibor3M</v>
      </c>
      <c r="H22" s="119" t="str">
        <f t="shared" si="10"/>
        <v>USD11x14F_Quote</v>
      </c>
      <c r="I22" s="125"/>
      <c r="J22" s="175" t="str">
        <f>IF(P20,_xll.qlFraRateHelper(,H22,B22&amp;"M",G22,PillarDate,,Permanent,Trigger,ObjectOverwrite),"--")</f>
        <v>--</v>
      </c>
      <c r="K22" s="50"/>
      <c r="L22" s="180" t="str">
        <f>A26</f>
        <v>FUT</v>
      </c>
      <c r="M22" s="181" t="str">
        <f>H26</f>
        <v>USDFUT3MV6_Quote</v>
      </c>
      <c r="N22" s="185">
        <f>IFERROR(_xll.qlQuoteValue(H26,Trigger),"--")</f>
        <v>99.121250000000003</v>
      </c>
      <c r="O22" s="182">
        <f>IFERROR(_xll.qlQuoteValue(I26,Trigger),"--")</f>
        <v>3.947356628348247E-7</v>
      </c>
      <c r="P22" s="134" t="b">
        <v>1</v>
      </c>
      <c r="Q22" s="133">
        <v>60</v>
      </c>
      <c r="R22" s="133">
        <v>7</v>
      </c>
      <c r="S22" s="133" t="str">
        <f t="shared" ref="S22:S43" si="11">IF(ISBLANK(J26),"--",J26)</f>
        <v>obj_002e4#0003</v>
      </c>
      <c r="T22" s="135">
        <f>IFERROR(_xll.qlRateHelperEarliestDate(S22,Trigger),"--")</f>
        <v>42662</v>
      </c>
      <c r="U22" s="135">
        <f>IFERROR(_xll.qlRateHelperPillarDate(S22,Trigger),"--")</f>
        <v>42754</v>
      </c>
      <c r="W22" s="3" t="str">
        <f t="shared" si="2"/>
        <v>Sw</v>
      </c>
      <c r="X22" s="3" t="str">
        <v>obj_002df</v>
      </c>
      <c r="Y22" s="3" t="str">
        <f>IFERROR(_xll.qlRateHelperQuoteName(X22,Trigger),"")</f>
        <v>USDAM3L10Y_Quote</v>
      </c>
      <c r="Z22" s="70">
        <f>IFERROR(_xll.qlRateHelperRate(X22,Trigger),"")</f>
        <v>1.4100000000000001E-2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42643</v>
      </c>
      <c r="AC22" s="4">
        <f>IFERROR(_xll.qlRateHelperPillarDate(X22,Trigger),"")</f>
        <v>46295</v>
      </c>
      <c r="AD22" s="76">
        <v>0.86664823519215073</v>
      </c>
    </row>
    <row r="23" spans="1:30" ht="11.25" customHeight="1" x14ac:dyDescent="0.2">
      <c r="A23" s="1" t="s">
        <v>122</v>
      </c>
      <c r="B23" s="117">
        <v>12</v>
      </c>
      <c r="C23" s="9" t="str">
        <f t="shared" si="8"/>
        <v>x15F</v>
      </c>
      <c r="D23" s="126"/>
      <c r="E23" s="126"/>
      <c r="F23" s="126"/>
      <c r="G23" s="6" t="str">
        <f t="shared" si="9"/>
        <v>UsdLibor3M</v>
      </c>
      <c r="H23" s="120" t="str">
        <f t="shared" si="10"/>
        <v>USD12x15F_Quote</v>
      </c>
      <c r="I23" s="126"/>
      <c r="J23" s="174" t="str">
        <f>IF(P21,_xll.qlFraRateHelper(,H23,B23&amp;"M",G23,PillarDate,,Permanent,Trigger,ObjectOverwrite),"--")</f>
        <v>--</v>
      </c>
      <c r="K23" s="50"/>
      <c r="L23" s="162" t="str">
        <f t="shared" ref="L23:L43" si="12">A27</f>
        <v>FUT</v>
      </c>
      <c r="M23" s="183" t="str">
        <f t="shared" ref="M23:M43" si="13">H27</f>
        <v>USDFUT3MX6_Quote</v>
      </c>
      <c r="N23" s="186">
        <f>IFERROR(_xll.qlQuoteValue(H27,Trigger),"--")</f>
        <v>99.112500000000011</v>
      </c>
      <c r="O23" s="164">
        <f>IFERROR(_xll.qlQuoteValue(I27,Trigger),"--")</f>
        <v>1.0448695377851795E-6</v>
      </c>
      <c r="P23" s="101" t="b">
        <v>1</v>
      </c>
      <c r="Q23" s="98">
        <v>60</v>
      </c>
      <c r="R23" s="98">
        <v>1</v>
      </c>
      <c r="S23" s="98" t="str">
        <f t="shared" si="11"/>
        <v>obj_002e5#0003</v>
      </c>
      <c r="T23" s="102">
        <f>IFERROR(_xll.qlRateHelperEarliestDate(S23,Trigger),"--")</f>
        <v>42690</v>
      </c>
      <c r="U23" s="102">
        <f>IFERROR(_xll.qlRateHelperPillarDate(S23,Trigger),"--")</f>
        <v>42782</v>
      </c>
      <c r="W23" s="3" t="str">
        <f t="shared" si="2"/>
        <v>Sw</v>
      </c>
      <c r="X23" s="3" t="str">
        <v>obj_002b2</v>
      </c>
      <c r="Y23" s="3" t="str">
        <f>IFERROR(_xll.qlRateHelperQuoteName(X23,Trigger),"")</f>
        <v>USDAM3L12Y_Quote</v>
      </c>
      <c r="Z23" s="70">
        <f>IFERROR(_xll.qlRateHelperRate(X23,Trigger),"")</f>
        <v>1.489E-2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42643</v>
      </c>
      <c r="AC23" s="4">
        <f>IFERROR(_xll.qlRateHelperPillarDate(X23,Trigger),"")</f>
        <v>47025</v>
      </c>
      <c r="AD23" s="76">
        <v>0.83387484816678437</v>
      </c>
    </row>
    <row r="24" spans="1:30" ht="11.25" customHeight="1" x14ac:dyDescent="0.2">
      <c r="B24" s="48"/>
      <c r="C24" s="48"/>
      <c r="D24" s="48"/>
      <c r="E24" s="48"/>
      <c r="F24" s="48"/>
      <c r="G24" s="48"/>
      <c r="H24" s="48" t="s">
        <v>124</v>
      </c>
      <c r="K24" s="50"/>
      <c r="L24" s="162" t="str">
        <f t="shared" si="12"/>
        <v>FUT</v>
      </c>
      <c r="M24" s="183" t="str">
        <f t="shared" si="13"/>
        <v>USDFUT3MZ6_Quote</v>
      </c>
      <c r="N24" s="186">
        <f>IFERROR(_xll.qlQuoteValue(H28,Trigger),"--")</f>
        <v>99.077500000000001</v>
      </c>
      <c r="O24" s="164">
        <f>IFERROR(_xll.qlQuoteValue(I28,Trigger),"--")</f>
        <v>2.0248152129333869E-6</v>
      </c>
      <c r="P24" s="101" t="b">
        <v>1</v>
      </c>
      <c r="Q24" s="98">
        <v>60</v>
      </c>
      <c r="R24" s="98">
        <v>1</v>
      </c>
      <c r="S24" s="98" t="str">
        <f t="shared" si="11"/>
        <v>obj_002e6#0003</v>
      </c>
      <c r="T24" s="102">
        <f>IFERROR(_xll.qlRateHelperEarliestDate(S24,Trigger),"--")</f>
        <v>42725</v>
      </c>
      <c r="U24" s="102">
        <f>IFERROR(_xll.qlRateHelperPillarDate(S24,Trigger),"--")</f>
        <v>42815</v>
      </c>
      <c r="W24" s="3" t="str">
        <f t="shared" si="2"/>
        <v>Sw</v>
      </c>
      <c r="X24" s="3" t="str">
        <v>obj_002bc</v>
      </c>
      <c r="Y24" s="3" t="str">
        <f>IFERROR(_xll.qlRateHelperQuoteName(X24,Trigger),"")</f>
        <v>USDAM3L15Y_Quote</v>
      </c>
      <c r="Z24" s="70">
        <f>IFERROR(_xll.qlRateHelperRate(X24,Trigger),"")</f>
        <v>1.575E-2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42643</v>
      </c>
      <c r="AC24" s="4">
        <f>IFERROR(_xll.qlRateHelperPillarDate(X24,Trigger),"")</f>
        <v>48121</v>
      </c>
      <c r="AD24" s="76">
        <v>0.78603425034346175</v>
      </c>
    </row>
    <row r="25" spans="1:30" ht="11.25" customHeight="1" x14ac:dyDescent="0.2">
      <c r="A25" s="66" t="s">
        <v>9</v>
      </c>
      <c r="B25" s="66" t="s">
        <v>126</v>
      </c>
      <c r="C25" s="66" t="s">
        <v>33</v>
      </c>
      <c r="D25" s="66"/>
      <c r="E25" s="66"/>
      <c r="F25" s="66"/>
      <c r="G25" s="66" t="s">
        <v>4</v>
      </c>
      <c r="H25" s="66" t="s">
        <v>1</v>
      </c>
      <c r="I25" s="66" t="s">
        <v>125</v>
      </c>
      <c r="J25" s="66" t="s">
        <v>24</v>
      </c>
      <c r="K25" s="50"/>
      <c r="L25" s="162" t="str">
        <f t="shared" si="12"/>
        <v>FUT</v>
      </c>
      <c r="M25" s="183" t="str">
        <f t="shared" si="13"/>
        <v>USDFUT3MF7_Quote</v>
      </c>
      <c r="N25" s="186" t="str">
        <f>IFERROR(_xll.qlQuoteValue(H29,Trigger),"--")</f>
        <v>--</v>
      </c>
      <c r="O25" s="164" t="str">
        <f>IFERROR(_xll.qlQuoteValue(I29,Trigger),"--")</f>
        <v>--</v>
      </c>
      <c r="P25" s="101" t="b">
        <v>1</v>
      </c>
      <c r="Q25" s="98">
        <v>60</v>
      </c>
      <c r="R25" s="98">
        <v>21</v>
      </c>
      <c r="S25" s="98" t="str">
        <f t="shared" si="11"/>
        <v>obj_002e8#0003</v>
      </c>
      <c r="T25" s="102">
        <f>IFERROR(_xll.qlRateHelperEarliestDate(S25,Trigger),"--")</f>
        <v>42753</v>
      </c>
      <c r="U25" s="102">
        <f>IFERROR(_xll.qlRateHelperPillarDate(S25,Trigger),"--")</f>
        <v>42843</v>
      </c>
      <c r="W25" s="3" t="str">
        <f t="shared" si="2"/>
        <v>Sw</v>
      </c>
      <c r="X25" s="3" t="str">
        <v>obj_002b8</v>
      </c>
      <c r="Y25" s="3" t="str">
        <f>IFERROR(_xll.qlRateHelperQuoteName(X25,Trigger),"")</f>
        <v>USDAM3L20Y_Quote</v>
      </c>
      <c r="Z25" s="70">
        <f>IFERROR(_xll.qlRateHelperRate(X25,Trigger),"")</f>
        <v>1.6640000000000002E-2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42643</v>
      </c>
      <c r="AC25" s="4">
        <f>IFERROR(_xll.qlRateHelperPillarDate(X25,Trigger),"")</f>
        <v>49948</v>
      </c>
      <c r="AD25" s="76">
        <v>0.71173830247312964</v>
      </c>
    </row>
    <row r="26" spans="1:30" ht="11.25" customHeight="1" x14ac:dyDescent="0.2">
      <c r="A26" s="55" t="s">
        <v>123</v>
      </c>
      <c r="B26" s="115" t="b">
        <v>0</v>
      </c>
      <c r="C26" s="58" t="str">
        <f>_xll.qlIMMNextCode(Evaluationdate+2,B26,Trigger)</f>
        <v>V6</v>
      </c>
      <c r="D26" s="131"/>
      <c r="E26" s="131"/>
      <c r="F26" s="131"/>
      <c r="G26" s="57" t="str">
        <f t="shared" ref="G26:G47" si="14">PROPER(Currency)&amp;FamilyName&amp;Tenor</f>
        <v>UsdLibor3M</v>
      </c>
      <c r="H26" s="118" t="str">
        <f t="shared" ref="H26:H47" si="15">Currency&amp;"FUT"&amp;Tenor&amp;$C26&amp;QuoteSuffix</f>
        <v>USDFUT3MV6_Quote</v>
      </c>
      <c r="I26" s="118" t="str">
        <f t="shared" ref="I26:I47" si="16">Currency&amp;"FUT"&amp;Tenor&amp;$C26&amp;"ConvAdj"&amp;QuoteSuffix</f>
        <v>USDFUT3MV6ConvAdj_Quote</v>
      </c>
      <c r="J26" s="173" t="str">
        <f>IF(P22,_xll.qlFuturesRateHelper(,H26,$H$24,C26,G26,I26,Permanent,Trigger,ObjectOverwrite),"--")</f>
        <v>obj_002e4#0003</v>
      </c>
      <c r="K26" s="50"/>
      <c r="L26" s="162" t="str">
        <f t="shared" si="12"/>
        <v>FUT</v>
      </c>
      <c r="M26" s="183" t="str">
        <f t="shared" si="13"/>
        <v>USDFUT3MG7_Quote</v>
      </c>
      <c r="N26" s="186" t="str">
        <f>IFERROR(_xll.qlQuoteValue(H30,Trigger),"--")</f>
        <v>--</v>
      </c>
      <c r="O26" s="164" t="str">
        <f>IFERROR(_xll.qlQuoteValue(I30,Trigger),"--")</f>
        <v>--</v>
      </c>
      <c r="P26" s="101" t="b">
        <v>1</v>
      </c>
      <c r="Q26" s="98">
        <v>60</v>
      </c>
      <c r="R26" s="98">
        <v>21</v>
      </c>
      <c r="S26" s="98" t="str">
        <f t="shared" si="11"/>
        <v>obj_002eb#0003</v>
      </c>
      <c r="T26" s="102">
        <f>IFERROR(_xll.qlRateHelperEarliestDate(S26,Trigger),"--")</f>
        <v>42781</v>
      </c>
      <c r="U26" s="102">
        <f>IFERROR(_xll.qlRateHelperPillarDate(S26,Trigger),"--")</f>
        <v>42870</v>
      </c>
      <c r="W26" s="3" t="str">
        <f t="shared" si="2"/>
        <v>Sw</v>
      </c>
      <c r="X26" s="3" t="str">
        <v>obj_002db</v>
      </c>
      <c r="Y26" s="3" t="str">
        <f>IFERROR(_xll.qlRateHelperQuoteName(X26,Trigger),"")</f>
        <v>USDAM3L25Y_Quote</v>
      </c>
      <c r="Z26" s="70">
        <f>IFERROR(_xll.qlRateHelperRate(X26,Trigger),"")</f>
        <v>1.7059999999999999E-2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42643</v>
      </c>
      <c r="AC26" s="4">
        <f>IFERROR(_xll.qlRateHelperPillarDate(X26,Trigger),"")</f>
        <v>51774</v>
      </c>
      <c r="AD26" s="76">
        <v>0.64656901578471249</v>
      </c>
    </row>
    <row r="27" spans="1:30" ht="11.25" customHeight="1" x14ac:dyDescent="0.2">
      <c r="A27" s="60" t="s">
        <v>123</v>
      </c>
      <c r="B27" s="116" t="b">
        <v>0</v>
      </c>
      <c r="C27" s="64" t="str">
        <f>_xll.qlIMMNextCode(C26,B27,Trigger)</f>
        <v>X6</v>
      </c>
      <c r="D27" s="125"/>
      <c r="E27" s="125"/>
      <c r="F27" s="125"/>
      <c r="G27" s="62" t="str">
        <f t="shared" si="14"/>
        <v>UsdLibor3M</v>
      </c>
      <c r="H27" s="119" t="str">
        <f t="shared" si="15"/>
        <v>USDFUT3MX6_Quote</v>
      </c>
      <c r="I27" s="119" t="str">
        <f t="shared" si="16"/>
        <v>USDFUT3MX6ConvAdj_Quote</v>
      </c>
      <c r="J27" s="175" t="str">
        <f>IF(P23,_xll.qlFuturesRateHelper(,H27,$H$24,C27,G27,I27,Permanent,Trigger,ObjectOverwrite),"--")</f>
        <v>obj_002e5#0003</v>
      </c>
      <c r="K27" s="50"/>
      <c r="L27" s="162" t="str">
        <f t="shared" si="12"/>
        <v>FUT</v>
      </c>
      <c r="M27" s="183" t="str">
        <f t="shared" si="13"/>
        <v>USDFUT3MH7_Quote</v>
      </c>
      <c r="N27" s="186">
        <f>IFERROR(_xll.qlQuoteValue(H31,Trigger),"--")</f>
        <v>99.047499999999999</v>
      </c>
      <c r="O27" s="164">
        <f>IFERROR(_xll.qlQuoteValue(I31,Trigger),"--")</f>
        <v>5.3651410245184615E-6</v>
      </c>
      <c r="P27" s="101" t="b">
        <v>1</v>
      </c>
      <c r="Q27" s="98">
        <v>60</v>
      </c>
      <c r="R27" s="98">
        <v>21</v>
      </c>
      <c r="S27" s="98" t="str">
        <f t="shared" si="11"/>
        <v>obj_002e9#0003</v>
      </c>
      <c r="T27" s="102">
        <f>IFERROR(_xll.qlRateHelperEarliestDate(S27,Trigger),"--")</f>
        <v>42809</v>
      </c>
      <c r="U27" s="102">
        <f>IFERROR(_xll.qlRateHelperPillarDate(S27,Trigger),"--")</f>
        <v>42901</v>
      </c>
      <c r="W27" s="3" t="str">
        <f t="shared" si="2"/>
        <v>Sw</v>
      </c>
      <c r="X27" s="3" t="str">
        <v>obj_002dc</v>
      </c>
      <c r="Y27" s="3" t="str">
        <f>IFERROR(_xll.qlRateHelperQuoteName(X27,Trigger),"")</f>
        <v>USDAM3L30Y_Quote</v>
      </c>
      <c r="Z27" s="70">
        <f>IFERROR(_xll.qlRateHelperRate(X27,Trigger),"")</f>
        <v>1.728E-2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42643</v>
      </c>
      <c r="AC27" s="4">
        <f>IFERROR(_xll.qlRateHelperPillarDate(X27,Trigger),"")</f>
        <v>53598</v>
      </c>
      <c r="AD27" s="76">
        <v>0.58867591124969976</v>
      </c>
    </row>
    <row r="28" spans="1:30" ht="11.25" customHeight="1" x14ac:dyDescent="0.2">
      <c r="A28" s="60" t="s">
        <v>123</v>
      </c>
      <c r="B28" s="116" t="b">
        <v>0</v>
      </c>
      <c r="C28" s="64" t="str">
        <f>_xll.qlIMMNextCode(C27,B28,Trigger)</f>
        <v>Z6</v>
      </c>
      <c r="D28" s="125"/>
      <c r="E28" s="125"/>
      <c r="F28" s="125"/>
      <c r="G28" s="62" t="str">
        <f t="shared" si="14"/>
        <v>UsdLibor3M</v>
      </c>
      <c r="H28" s="119" t="str">
        <f t="shared" si="15"/>
        <v>USDFUT3MZ6_Quote</v>
      </c>
      <c r="I28" s="119" t="str">
        <f t="shared" si="16"/>
        <v>USDFUT3MZ6ConvAdj_Quote</v>
      </c>
      <c r="J28" s="175" t="str">
        <f>IF(P24,_xll.qlFuturesRateHelper(,H28,$H$24,C28,G28,I28,Permanent,Trigger,ObjectOverwrite),"--")</f>
        <v>obj_002e6#0003</v>
      </c>
      <c r="K28" s="50"/>
      <c r="L28" s="162" t="str">
        <f t="shared" si="12"/>
        <v>FUT</v>
      </c>
      <c r="M28" s="183" t="str">
        <f t="shared" si="13"/>
        <v>USDFUT3MM7_Quote</v>
      </c>
      <c r="N28" s="186">
        <f>IFERROR(_xll.qlQuoteValue(H32,Trigger),"--")</f>
        <v>99.007499999999993</v>
      </c>
      <c r="O28" s="164">
        <f>IFERROR(_xll.qlQuoteValue(I32,Trigger),"--")</f>
        <v>1.0777653286005664E-5</v>
      </c>
      <c r="P28" s="101" t="b">
        <v>1</v>
      </c>
      <c r="Q28" s="98">
        <v>60</v>
      </c>
      <c r="R28" s="98">
        <v>21</v>
      </c>
      <c r="S28" s="98" t="str">
        <f t="shared" si="11"/>
        <v>obj_002ea#0003</v>
      </c>
      <c r="T28" s="102">
        <f>IFERROR(_xll.qlRateHelperEarliestDate(S28,Trigger),"--")</f>
        <v>42907</v>
      </c>
      <c r="U28" s="102">
        <f>IFERROR(_xll.qlRateHelperPillarDate(S28,Trigger),"--")</f>
        <v>42999</v>
      </c>
      <c r="W28" s="3" t="str">
        <f t="shared" si="2"/>
        <v>Sw</v>
      </c>
      <c r="X28" s="3" t="str">
        <v>obj_002dd</v>
      </c>
      <c r="Y28" s="3" t="str">
        <f>IFERROR(_xll.qlRateHelperQuoteName(X28,Trigger),"")</f>
        <v>USDAM3L40Y_Quote</v>
      </c>
      <c r="Z28" s="70">
        <f>IFERROR(_xll.qlRateHelperRate(X28,Trigger),"")</f>
        <v>1.738E-2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42643</v>
      </c>
      <c r="AC28" s="4">
        <f>IFERROR(_xll.qlRateHelperPillarDate(X28,Trigger),"")</f>
        <v>57252</v>
      </c>
      <c r="AD28" s="76">
        <v>0.49217652528125766</v>
      </c>
    </row>
    <row r="29" spans="1:30" ht="11.25" customHeight="1" x14ac:dyDescent="0.2">
      <c r="A29" s="60" t="s">
        <v>123</v>
      </c>
      <c r="B29" s="116" t="b">
        <v>0</v>
      </c>
      <c r="C29" s="64" t="str">
        <f>_xll.qlIMMNextCode(C28,B29,Trigger)</f>
        <v>F7</v>
      </c>
      <c r="D29" s="125"/>
      <c r="E29" s="125"/>
      <c r="F29" s="125"/>
      <c r="G29" s="62" t="str">
        <f t="shared" si="14"/>
        <v>UsdLibor3M</v>
      </c>
      <c r="H29" s="119" t="str">
        <f t="shared" si="15"/>
        <v>USDFUT3MF7_Quote</v>
      </c>
      <c r="I29" s="119" t="str">
        <f t="shared" si="16"/>
        <v>USDFUT3MF7ConvAdj_Quote</v>
      </c>
      <c r="J29" s="175" t="str">
        <f>IF(P25,_xll.qlFuturesRateHelper(,H29,$H$24,C29,G29,I29,Permanent,Trigger,ObjectOverwrite),"--")</f>
        <v>obj_002e8#0003</v>
      </c>
      <c r="K29" s="50"/>
      <c r="L29" s="162" t="str">
        <f t="shared" si="12"/>
        <v>FUT</v>
      </c>
      <c r="M29" s="183" t="str">
        <f t="shared" si="13"/>
        <v>USDFUT3MU7_Quote</v>
      </c>
      <c r="N29" s="186">
        <f>IFERROR(_xll.qlQuoteValue(H33,Trigger),"--")</f>
        <v>98.977500000000006</v>
      </c>
      <c r="O29" s="164">
        <f>IFERROR(_xll.qlQuoteValue(I33,Trigger),"--")</f>
        <v>1.7201827467257173E-5</v>
      </c>
      <c r="P29" s="101" t="b">
        <v>1</v>
      </c>
      <c r="Q29" s="98">
        <v>60</v>
      </c>
      <c r="R29" s="98">
        <v>21</v>
      </c>
      <c r="S29" s="98" t="str">
        <f t="shared" si="11"/>
        <v>obj_002ec#0003</v>
      </c>
      <c r="T29" s="102">
        <f>IFERROR(_xll.qlRateHelperEarliestDate(S29,Trigger),"--")</f>
        <v>42998</v>
      </c>
      <c r="U29" s="102">
        <f>IFERROR(_xll.qlRateHelperPillarDate(S29,Trigger),"--")</f>
        <v>43089</v>
      </c>
      <c r="W29" s="3" t="str">
        <f t="shared" si="2"/>
        <v>Sw</v>
      </c>
      <c r="X29" s="3" t="str">
        <v>obj_00299</v>
      </c>
      <c r="Y29" s="3" t="str">
        <f>IFERROR(_xll.qlRateHelperQuoteName(X29,Trigger),"")</f>
        <v>USDAM3L50Y_Quote</v>
      </c>
      <c r="Z29" s="70">
        <f>IFERROR(_xll.qlRateHelperRate(X29,Trigger),"")</f>
        <v>1.7330000000000002E-2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42643</v>
      </c>
      <c r="AC29" s="4">
        <f>IFERROR(_xll.qlRateHelperPillarDate(X29,Trigger),"")</f>
        <v>60905</v>
      </c>
      <c r="AD29" s="76">
        <v>0.4145186720142644</v>
      </c>
    </row>
    <row r="30" spans="1:30" ht="11.25" customHeight="1" x14ac:dyDescent="0.2">
      <c r="A30" s="1" t="s">
        <v>123</v>
      </c>
      <c r="B30" s="117" t="b">
        <v>0</v>
      </c>
      <c r="C30" s="9" t="str">
        <f>_xll.qlIMMNextCode(C29,B30,Trigger)</f>
        <v>G7</v>
      </c>
      <c r="D30" s="126"/>
      <c r="E30" s="126"/>
      <c r="F30" s="126"/>
      <c r="G30" s="6" t="str">
        <f t="shared" si="14"/>
        <v>UsdLibor3M</v>
      </c>
      <c r="H30" s="120" t="str">
        <f t="shared" si="15"/>
        <v>USDFUT3MG7_Quote</v>
      </c>
      <c r="I30" s="120" t="str">
        <f t="shared" si="16"/>
        <v>USDFUT3MG7ConvAdj_Quote</v>
      </c>
      <c r="J30" s="174" t="str">
        <f>IF(P26,_xll.qlFuturesRateHelper(,H30,$H$24,C30,G30,I30,Permanent,Trigger,ObjectOverwrite),"--")</f>
        <v>obj_002eb#0003</v>
      </c>
      <c r="K30" s="50"/>
      <c r="L30" s="162" t="str">
        <f t="shared" si="12"/>
        <v>FUT</v>
      </c>
      <c r="M30" s="183" t="str">
        <f t="shared" si="13"/>
        <v>USDFUT3MZ7_Quote</v>
      </c>
      <c r="N30" s="186">
        <f>IFERROR(_xll.qlQuoteValue(H34,Trigger),"--")</f>
        <v>98.9375</v>
      </c>
      <c r="O30" s="164">
        <f>IFERROR(_xll.qlQuoteValue(I34,Trigger),"--")</f>
        <v>2.4970180318922008E-5</v>
      </c>
      <c r="P30" s="101" t="b">
        <v>1</v>
      </c>
      <c r="Q30" s="98">
        <v>60</v>
      </c>
      <c r="R30" s="98">
        <v>21</v>
      </c>
      <c r="S30" s="98" t="str">
        <f t="shared" si="11"/>
        <v>obj_002ed#0003</v>
      </c>
      <c r="T30" s="102">
        <f>IFERROR(_xll.qlRateHelperEarliestDate(S30,Trigger),"--")</f>
        <v>43089</v>
      </c>
      <c r="U30" s="102">
        <f>IFERROR(_xll.qlRateHelperPillarDate(S30,Trigger),"--")</f>
        <v>43179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123</v>
      </c>
      <c r="B31" s="116" t="b">
        <v>1</v>
      </c>
      <c r="C31" s="64" t="str">
        <f>_xll.qlIMMNextCode(C30,B31,Trigger)</f>
        <v>H7</v>
      </c>
      <c r="D31" s="125"/>
      <c r="E31" s="125"/>
      <c r="F31" s="125"/>
      <c r="G31" s="62" t="str">
        <f t="shared" si="14"/>
        <v>UsdLibor3M</v>
      </c>
      <c r="H31" s="119" t="str">
        <f t="shared" si="15"/>
        <v>USDFUT3MH7_Quote</v>
      </c>
      <c r="I31" s="119" t="str">
        <f t="shared" si="16"/>
        <v>USDFUT3MH7ConvAdj_Quote</v>
      </c>
      <c r="J31" s="175" t="str">
        <f>IF(P27,_xll.qlFuturesRateHelper(,H31,$H$24,C31,G31,I31,Permanent,Trigger,ObjectOverwrite),"--")</f>
        <v>obj_002e9#0003</v>
      </c>
      <c r="K31" s="50"/>
      <c r="L31" s="162" t="str">
        <f t="shared" si="12"/>
        <v>FUT</v>
      </c>
      <c r="M31" s="183" t="str">
        <f t="shared" si="13"/>
        <v>USDFUT3MH8_Quote</v>
      </c>
      <c r="N31" s="186">
        <f>IFERROR(_xll.qlQuoteValue(H35,Trigger),"--")</f>
        <v>98.917500000000004</v>
      </c>
      <c r="O31" s="164">
        <f>IFERROR(_xll.qlQuoteValue(I35,Trigger),"--")</f>
        <v>3.4331948355435503E-5</v>
      </c>
      <c r="P31" s="101" t="b">
        <v>1</v>
      </c>
      <c r="Q31" s="98">
        <v>60</v>
      </c>
      <c r="R31" s="98">
        <v>21</v>
      </c>
      <c r="S31" s="98" t="str">
        <f t="shared" si="11"/>
        <v>obj_002ee#0003</v>
      </c>
      <c r="T31" s="102">
        <f>IFERROR(_xll.qlRateHelperEarliestDate(S31,Trigger),"--")</f>
        <v>43180</v>
      </c>
      <c r="U31" s="102">
        <f>IFERROR(_xll.qlRateHelperPillarDate(S31,Trigger),"--")</f>
        <v>43272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123</v>
      </c>
      <c r="B32" s="116" t="b">
        <v>1</v>
      </c>
      <c r="C32" s="64" t="str">
        <f>_xll.qlIMMNextCode(C31,B32,Trigger)</f>
        <v>M7</v>
      </c>
      <c r="D32" s="125"/>
      <c r="E32" s="125"/>
      <c r="F32" s="125"/>
      <c r="G32" s="62" t="str">
        <f t="shared" si="14"/>
        <v>UsdLibor3M</v>
      </c>
      <c r="H32" s="119" t="str">
        <f t="shared" si="15"/>
        <v>USDFUT3MM7_Quote</v>
      </c>
      <c r="I32" s="119" t="str">
        <f t="shared" si="16"/>
        <v>USDFUT3MM7ConvAdj_Quote</v>
      </c>
      <c r="J32" s="175" t="str">
        <f>IF(P28,_xll.qlFuturesRateHelper(,H32,$H$24,C32,G32,I32,Permanent,Trigger,ObjectOverwrite),"--")</f>
        <v>obj_002ea#0003</v>
      </c>
      <c r="K32" s="50"/>
      <c r="L32" s="162" t="str">
        <f t="shared" si="12"/>
        <v>FUT</v>
      </c>
      <c r="M32" s="183" t="str">
        <f t="shared" si="13"/>
        <v>USDFUT3MM8_Quote</v>
      </c>
      <c r="N32" s="186">
        <f>IFERROR(_xll.qlQuoteValue(H36,Trigger),"--")</f>
        <v>98.887500000000003</v>
      </c>
      <c r="O32" s="164">
        <f>IFERROR(_xll.qlQuoteValue(I36,Trigger),"--")</f>
        <v>4.4849079917764223E-5</v>
      </c>
      <c r="P32" s="101" t="b">
        <v>1</v>
      </c>
      <c r="Q32" s="98">
        <v>60</v>
      </c>
      <c r="R32" s="98">
        <v>21</v>
      </c>
      <c r="S32" s="98" t="str">
        <f t="shared" si="11"/>
        <v>obj_002ef#0003</v>
      </c>
      <c r="T32" s="102">
        <f>IFERROR(_xll.qlRateHelperEarliestDate(S32,Trigger),"--")</f>
        <v>43271</v>
      </c>
      <c r="U32" s="102">
        <f>IFERROR(_xll.qlRateHelperPillarDate(S32,Trigger),"--")</f>
        <v>43363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123</v>
      </c>
      <c r="B33" s="116" t="b">
        <v>1</v>
      </c>
      <c r="C33" s="64" t="str">
        <f>_xll.qlIMMNextCode(C32,B33,Trigger)</f>
        <v>U7</v>
      </c>
      <c r="D33" s="125"/>
      <c r="E33" s="125"/>
      <c r="F33" s="125"/>
      <c r="G33" s="62" t="str">
        <f t="shared" si="14"/>
        <v>UsdLibor3M</v>
      </c>
      <c r="H33" s="119" t="str">
        <f t="shared" si="15"/>
        <v>USDFUT3MU7_Quote</v>
      </c>
      <c r="I33" s="119" t="str">
        <f t="shared" si="16"/>
        <v>USDFUT3MU7ConvAdj_Quote</v>
      </c>
      <c r="J33" s="175" t="str">
        <f>IF(P29,_xll.qlFuturesRateHelper(,H33,$H$24,C33,G33,I33,Permanent,Trigger,ObjectOverwrite),"--")</f>
        <v>obj_002ec#0003</v>
      </c>
      <c r="K33" s="50"/>
      <c r="L33" s="162" t="str">
        <f t="shared" si="12"/>
        <v>FUT</v>
      </c>
      <c r="M33" s="183" t="str">
        <f t="shared" si="13"/>
        <v>USDFUT3MU8_Quote</v>
      </c>
      <c r="N33" s="186">
        <f>IFERROR(_xll.qlQuoteValue(H37,Trigger),"--")</f>
        <v>98.857500000000002</v>
      </c>
      <c r="O33" s="164">
        <f>IFERROR(_xll.qlQuoteValue(I37,Trigger),"--")</f>
        <v>5.6524160688128442E-5</v>
      </c>
      <c r="P33" s="101" t="b">
        <v>1</v>
      </c>
      <c r="Q33" s="98">
        <v>60</v>
      </c>
      <c r="R33" s="98">
        <v>21</v>
      </c>
      <c r="S33" s="98" t="str">
        <f t="shared" si="11"/>
        <v>obj_002f0#0003</v>
      </c>
      <c r="T33" s="102">
        <f>IFERROR(_xll.qlRateHelperEarliestDate(S33,Trigger),"--")</f>
        <v>43362</v>
      </c>
      <c r="U33" s="102">
        <f>IFERROR(_xll.qlRateHelperPillarDate(S33,Trigger),"--")</f>
        <v>43453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123</v>
      </c>
      <c r="B34" s="116" t="b">
        <v>1</v>
      </c>
      <c r="C34" s="64" t="str">
        <f>_xll.qlIMMNextCode(C33,B34,Trigger)</f>
        <v>Z7</v>
      </c>
      <c r="D34" s="125"/>
      <c r="E34" s="125"/>
      <c r="F34" s="125"/>
      <c r="G34" s="62" t="str">
        <f t="shared" si="14"/>
        <v>UsdLibor3M</v>
      </c>
      <c r="H34" s="119" t="str">
        <f t="shared" si="15"/>
        <v>USDFUT3MZ7_Quote</v>
      </c>
      <c r="I34" s="119" t="str">
        <f t="shared" si="16"/>
        <v>USDFUT3MZ7ConvAdj_Quote</v>
      </c>
      <c r="J34" s="175" t="str">
        <f>IF(P30,_xll.qlFuturesRateHelper(,H34,$H$24,C34,G34,I34,Permanent,Trigger,ObjectOverwrite),"--")</f>
        <v>obj_002ed#0003</v>
      </c>
      <c r="K34" s="50"/>
      <c r="L34" s="162" t="str">
        <f t="shared" si="12"/>
        <v>FUT</v>
      </c>
      <c r="M34" s="183" t="str">
        <f t="shared" si="13"/>
        <v>USDFUT3MZ8_Quote</v>
      </c>
      <c r="N34" s="186">
        <f>IFERROR(_xll.qlQuoteValue(H38,Trigger),"--")</f>
        <v>98.817499999999995</v>
      </c>
      <c r="O34" s="164">
        <f>IFERROR(_xll.qlQuoteValue(I38,Trigger),"--")</f>
        <v>6.9423653527761112E-5</v>
      </c>
      <c r="P34" s="101" t="b">
        <v>1</v>
      </c>
      <c r="Q34" s="98">
        <v>60</v>
      </c>
      <c r="R34" s="98">
        <v>21</v>
      </c>
      <c r="S34" s="98" t="str">
        <f t="shared" si="11"/>
        <v>obj_002f2#0003</v>
      </c>
      <c r="T34" s="102">
        <f>IFERROR(_xll.qlRateHelperEarliestDate(S34,Trigger),"--")</f>
        <v>43453</v>
      </c>
      <c r="U34" s="102">
        <f>IFERROR(_xll.qlRateHelperPillarDate(S34,Trigger),"--")</f>
        <v>43543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123</v>
      </c>
      <c r="B35" s="116" t="b">
        <v>1</v>
      </c>
      <c r="C35" s="64" t="str">
        <f>_xll.qlIMMNextCode(C34,B35,Trigger)</f>
        <v>H8</v>
      </c>
      <c r="D35" s="125"/>
      <c r="E35" s="125"/>
      <c r="F35" s="125"/>
      <c r="G35" s="62" t="str">
        <f t="shared" si="14"/>
        <v>UsdLibor3M</v>
      </c>
      <c r="H35" s="119" t="str">
        <f t="shared" si="15"/>
        <v>USDFUT3MH8_Quote</v>
      </c>
      <c r="I35" s="119" t="str">
        <f t="shared" si="16"/>
        <v>USDFUT3MH8ConvAdj_Quote</v>
      </c>
      <c r="J35" s="175" t="str">
        <f>IF(P31,_xll.qlFuturesRateHelper(,H35,$H$24,C35,G35,I35,Permanent,Trigger,ObjectOverwrite),"--")</f>
        <v>obj_002ee#0003</v>
      </c>
      <c r="K35" s="50"/>
      <c r="L35" s="162" t="str">
        <f t="shared" si="12"/>
        <v>FUT</v>
      </c>
      <c r="M35" s="183" t="str">
        <f t="shared" si="13"/>
        <v>USDFUT3MH9_Quote</v>
      </c>
      <c r="N35" s="186">
        <f>IFERROR(_xll.qlQuoteValue(H39,Trigger),"--")</f>
        <v>98.797500000000014</v>
      </c>
      <c r="O35" s="164">
        <f>IFERROR(_xll.qlQuoteValue(I39,Trigger),"--")</f>
        <v>8.3972043250963278E-5</v>
      </c>
      <c r="P35" s="101" t="b">
        <v>1</v>
      </c>
      <c r="Q35" s="98">
        <v>30</v>
      </c>
      <c r="R35" s="98">
        <v>21</v>
      </c>
      <c r="S35" s="98" t="str">
        <f t="shared" si="11"/>
        <v>obj_002f3#0003</v>
      </c>
      <c r="T35" s="102">
        <f>IFERROR(_xll.qlRateHelperEarliestDate(S35,Trigger),"--")</f>
        <v>43544</v>
      </c>
      <c r="U35" s="102">
        <f>IFERROR(_xll.qlRateHelperPillarDate(S35,Trigger),"--")</f>
        <v>43636</v>
      </c>
      <c r="W35" s="3" t="str">
        <f t="shared" ref="W35:W66" si="17">IFERROR(INDEX($L$3:$L$88,MATCH(Y35,$M$3:$M$88,0),1),"")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123</v>
      </c>
      <c r="B36" s="116" t="b">
        <v>1</v>
      </c>
      <c r="C36" s="64" t="str">
        <f>_xll.qlIMMNextCode(C35,B36,Trigger)</f>
        <v>M8</v>
      </c>
      <c r="D36" s="125"/>
      <c r="E36" s="125"/>
      <c r="F36" s="125"/>
      <c r="G36" s="62" t="str">
        <f t="shared" si="14"/>
        <v>UsdLibor3M</v>
      </c>
      <c r="H36" s="119" t="str">
        <f t="shared" si="15"/>
        <v>USDFUT3MM8_Quote</v>
      </c>
      <c r="I36" s="119" t="str">
        <f t="shared" si="16"/>
        <v>USDFUT3MM8ConvAdj_Quote</v>
      </c>
      <c r="J36" s="175" t="str">
        <f>IF(P32,_xll.qlFuturesRateHelper(,H36,$H$24,C36,G36,I36,Permanent,Trigger,ObjectOverwrite),"--")</f>
        <v>obj_002ef#0003</v>
      </c>
      <c r="K36" s="50"/>
      <c r="L36" s="162" t="str">
        <f t="shared" si="12"/>
        <v>FUT</v>
      </c>
      <c r="M36" s="183" t="str">
        <f t="shared" si="13"/>
        <v>USDFUT3MM9_Quote</v>
      </c>
      <c r="N36" s="186">
        <f>IFERROR(_xll.qlQuoteValue(H40,Trigger),"--")</f>
        <v>98.762500000000003</v>
      </c>
      <c r="O36" s="164">
        <f>IFERROR(_xll.qlQuoteValue(I40,Trigger),"--")</f>
        <v>9.9440376490566828E-5</v>
      </c>
      <c r="P36" s="101" t="b">
        <v>1</v>
      </c>
      <c r="Q36" s="98">
        <v>30</v>
      </c>
      <c r="R36" s="98">
        <v>21</v>
      </c>
      <c r="S36" s="98" t="str">
        <f t="shared" si="11"/>
        <v>obj_002f5#0003</v>
      </c>
      <c r="T36" s="102">
        <f>IFERROR(_xll.qlRateHelperEarliestDate(S36,Trigger),"--")</f>
        <v>43635</v>
      </c>
      <c r="U36" s="102">
        <f>IFERROR(_xll.qlRateHelperPillarDate(S36,Trigger),"--")</f>
        <v>43727</v>
      </c>
      <c r="W36" s="3" t="str">
        <f t="shared" si="17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123</v>
      </c>
      <c r="B37" s="116" t="b">
        <v>1</v>
      </c>
      <c r="C37" s="64" t="str">
        <f>_xll.qlIMMNextCode(C36,B37,Trigger)</f>
        <v>U8</v>
      </c>
      <c r="D37" s="125"/>
      <c r="E37" s="125"/>
      <c r="F37" s="125"/>
      <c r="G37" s="62" t="str">
        <f t="shared" si="14"/>
        <v>UsdLibor3M</v>
      </c>
      <c r="H37" s="119" t="str">
        <f t="shared" si="15"/>
        <v>USDFUT3MU8_Quote</v>
      </c>
      <c r="I37" s="119" t="str">
        <f t="shared" si="16"/>
        <v>USDFUT3MU8ConvAdj_Quote</v>
      </c>
      <c r="J37" s="175" t="str">
        <f>IF(P33,_xll.qlFuturesRateHelper(,H37,$H$24,C37,G37,I37,Permanent,Trigger,ObjectOverwrite),"--")</f>
        <v>obj_002f0#0003</v>
      </c>
      <c r="K37" s="50"/>
      <c r="L37" s="162" t="str">
        <f t="shared" si="12"/>
        <v>FUT</v>
      </c>
      <c r="M37" s="183" t="str">
        <f t="shared" si="13"/>
        <v>USDFUT3MU9_Quote</v>
      </c>
      <c r="N37" s="186">
        <f>IFERROR(_xll.qlQuoteValue(H41,Trigger),"--")</f>
        <v>98.732500000000002</v>
      </c>
      <c r="O37" s="164">
        <f>IFERROR(_xll.qlQuoteValue(I41,Trigger),"--")</f>
        <v>1.1589211828399315E-4</v>
      </c>
      <c r="P37" s="101" t="b">
        <v>1</v>
      </c>
      <c r="Q37" s="98">
        <v>30</v>
      </c>
      <c r="R37" s="98">
        <v>21</v>
      </c>
      <c r="S37" s="98" t="str">
        <f t="shared" si="11"/>
        <v>obj_002f6#0003</v>
      </c>
      <c r="T37" s="102">
        <f>IFERROR(_xll.qlRateHelperEarliestDate(S37,Trigger),"--")</f>
        <v>43726</v>
      </c>
      <c r="U37" s="102">
        <f>IFERROR(_xll.qlRateHelperPillarDate(S37,Trigger),"--")</f>
        <v>43817</v>
      </c>
      <c r="W37" s="3" t="str">
        <f t="shared" si="17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123</v>
      </c>
      <c r="B38" s="116" t="b">
        <v>1</v>
      </c>
      <c r="C38" s="64" t="str">
        <f>_xll.qlIMMNextCode(C37,B38,Trigger)</f>
        <v>Z8</v>
      </c>
      <c r="D38" s="125"/>
      <c r="E38" s="125"/>
      <c r="F38" s="125"/>
      <c r="G38" s="62" t="str">
        <f t="shared" si="14"/>
        <v>UsdLibor3M</v>
      </c>
      <c r="H38" s="119" t="str">
        <f t="shared" si="15"/>
        <v>USDFUT3MZ8_Quote</v>
      </c>
      <c r="I38" s="119" t="str">
        <f t="shared" si="16"/>
        <v>USDFUT3MZ8ConvAdj_Quote</v>
      </c>
      <c r="J38" s="175" t="str">
        <f>IF(P34,_xll.qlFuturesRateHelper(,H38,$H$24,C38,G38,I38,Permanent,Trigger,ObjectOverwrite),"--")</f>
        <v>obj_002f2#0003</v>
      </c>
      <c r="K38" s="50"/>
      <c r="L38" s="162" t="str">
        <f t="shared" si="12"/>
        <v>FUT</v>
      </c>
      <c r="M38" s="183" t="str">
        <f t="shared" si="13"/>
        <v>USDFUT3MZ9_Quote</v>
      </c>
      <c r="N38" s="186">
        <f>IFERROR(_xll.qlQuoteValue(H42,Trigger),"--")</f>
        <v>98.6875</v>
      </c>
      <c r="O38" s="164">
        <f>IFERROR(_xll.qlQuoteValue(I42,Trigger),"--")</f>
        <v>1.3365373413651136E-4</v>
      </c>
      <c r="P38" s="101" t="b">
        <v>1</v>
      </c>
      <c r="Q38" s="98">
        <v>30</v>
      </c>
      <c r="R38" s="98">
        <v>21</v>
      </c>
      <c r="S38" s="98" t="str">
        <f t="shared" si="11"/>
        <v>obj_002f7#0003</v>
      </c>
      <c r="T38" s="102">
        <f>IFERROR(_xll.qlRateHelperEarliestDate(S38,Trigger),"--")</f>
        <v>43817</v>
      </c>
      <c r="U38" s="102">
        <f>IFERROR(_xll.qlRateHelperPillarDate(S38,Trigger),"--")</f>
        <v>43908</v>
      </c>
      <c r="W38" s="3" t="str">
        <f t="shared" si="17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123</v>
      </c>
      <c r="B39" s="116" t="b">
        <v>1</v>
      </c>
      <c r="C39" s="64" t="str">
        <f>_xll.qlIMMNextCode(C38,B39,Trigger)</f>
        <v>H9</v>
      </c>
      <c r="D39" s="125"/>
      <c r="E39" s="125"/>
      <c r="F39" s="125"/>
      <c r="G39" s="62" t="str">
        <f t="shared" si="14"/>
        <v>UsdLibor3M</v>
      </c>
      <c r="H39" s="119" t="str">
        <f t="shared" si="15"/>
        <v>USDFUT3MH9_Quote</v>
      </c>
      <c r="I39" s="119" t="str">
        <f t="shared" si="16"/>
        <v>USDFUT3MH9ConvAdj_Quote</v>
      </c>
      <c r="J39" s="175" t="str">
        <f>IF(P35,_xll.qlFuturesRateHelper(,H39,$H$24,C39,G39,I39,Permanent,Trigger,ObjectOverwrite),"--")</f>
        <v>obj_002f3#0003</v>
      </c>
      <c r="K39" s="50"/>
      <c r="L39" s="162" t="str">
        <f t="shared" si="12"/>
        <v>FUT</v>
      </c>
      <c r="M39" s="183" t="str">
        <f t="shared" si="13"/>
        <v>USDFUT3MH0_Quote</v>
      </c>
      <c r="N39" s="186">
        <f>IFERROR(_xll.qlQuoteValue(H43,Trigger),"--")</f>
        <v>98.66</v>
      </c>
      <c r="O39" s="164">
        <f>IFERROR(_xll.qlQuoteValue(I43,Trigger),"--")</f>
        <v>1.5272903699465091E-4</v>
      </c>
      <c r="P39" s="101" t="b">
        <v>1</v>
      </c>
      <c r="Q39" s="98">
        <v>30</v>
      </c>
      <c r="R39" s="98">
        <v>21</v>
      </c>
      <c r="S39" s="98" t="str">
        <f t="shared" si="11"/>
        <v>obj_002f8#0003</v>
      </c>
      <c r="T39" s="102">
        <f>IFERROR(_xll.qlRateHelperEarliestDate(S39,Trigger),"--")</f>
        <v>43908</v>
      </c>
      <c r="U39" s="102">
        <f>IFERROR(_xll.qlRateHelperPillarDate(S39,Trigger),"--")</f>
        <v>44000</v>
      </c>
      <c r="W39" s="3" t="str">
        <f t="shared" si="17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123</v>
      </c>
      <c r="B40" s="116" t="b">
        <v>1</v>
      </c>
      <c r="C40" s="64" t="str">
        <f>_xll.qlIMMNextCode(C39,B40,Trigger)</f>
        <v>M9</v>
      </c>
      <c r="D40" s="125"/>
      <c r="E40" s="125"/>
      <c r="F40" s="125"/>
      <c r="G40" s="62" t="str">
        <f t="shared" si="14"/>
        <v>UsdLibor3M</v>
      </c>
      <c r="H40" s="119" t="str">
        <f t="shared" si="15"/>
        <v>USDFUT3MM9_Quote</v>
      </c>
      <c r="I40" s="119" t="str">
        <f t="shared" si="16"/>
        <v>USDFUT3MM9ConvAdj_Quote</v>
      </c>
      <c r="J40" s="175" t="str">
        <f>IF(P36,_xll.qlFuturesRateHelper(,H40,$H$24,C40,G40,I40,Permanent,Trigger,ObjectOverwrite),"--")</f>
        <v>obj_002f5#0003</v>
      </c>
      <c r="K40" s="50"/>
      <c r="L40" s="162" t="str">
        <f t="shared" si="12"/>
        <v>FUT</v>
      </c>
      <c r="M40" s="183" t="str">
        <f t="shared" si="13"/>
        <v>USDFUT3MM0_Quote</v>
      </c>
      <c r="N40" s="186">
        <f>IFERROR(_xll.qlQuoteValue(H44,Trigger),"--")</f>
        <v>98.622500000000002</v>
      </c>
      <c r="O40" s="164">
        <f>IFERROR(_xll.qlQuoteValue(I44,Trigger),"--")</f>
        <v>1.7269719563684139E-4</v>
      </c>
      <c r="P40" s="101" t="b">
        <v>1</v>
      </c>
      <c r="Q40" s="98">
        <v>30</v>
      </c>
      <c r="R40" s="98">
        <v>21</v>
      </c>
      <c r="S40" s="98" t="str">
        <f t="shared" si="11"/>
        <v>obj_002f9#0003</v>
      </c>
      <c r="T40" s="102">
        <f>IFERROR(_xll.qlRateHelperEarliestDate(S40,Trigger),"--")</f>
        <v>43999</v>
      </c>
      <c r="U40" s="102">
        <f>IFERROR(_xll.qlRateHelperPillarDate(S40,Trigger),"--")</f>
        <v>44091</v>
      </c>
      <c r="W40" s="3" t="str">
        <f t="shared" si="17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123</v>
      </c>
      <c r="B41" s="116" t="b">
        <v>1</v>
      </c>
      <c r="C41" s="64" t="str">
        <f>_xll.qlIMMNextCode(C40,B41,Trigger)</f>
        <v>U9</v>
      </c>
      <c r="D41" s="125"/>
      <c r="E41" s="125"/>
      <c r="F41" s="125"/>
      <c r="G41" s="62" t="str">
        <f t="shared" si="14"/>
        <v>UsdLibor3M</v>
      </c>
      <c r="H41" s="119" t="str">
        <f t="shared" si="15"/>
        <v>USDFUT3MU9_Quote</v>
      </c>
      <c r="I41" s="119" t="str">
        <f t="shared" si="16"/>
        <v>USDFUT3MU9ConvAdj_Quote</v>
      </c>
      <c r="J41" s="175" t="str">
        <f>IF(P37,_xll.qlFuturesRateHelper(,H41,$H$24,C41,G41,I41,Permanent,Trigger,ObjectOverwrite),"--")</f>
        <v>obj_002f6#0003</v>
      </c>
      <c r="L41" s="162" t="str">
        <f t="shared" si="12"/>
        <v>FUT</v>
      </c>
      <c r="M41" s="183" t="str">
        <f t="shared" si="13"/>
        <v>USDFUT3MU0_Quote</v>
      </c>
      <c r="N41" s="186">
        <f>IFERROR(_xll.qlQuoteValue(H45,Trigger),"--")</f>
        <v>98.587500000000006</v>
      </c>
      <c r="O41" s="164">
        <f>IFERROR(_xll.qlQuoteValue(I45,Trigger),"--")</f>
        <v>1.9348685570421312E-4</v>
      </c>
      <c r="P41" s="101" t="b">
        <v>1</v>
      </c>
      <c r="Q41" s="98">
        <v>30</v>
      </c>
      <c r="R41" s="98">
        <v>21</v>
      </c>
      <c r="S41" s="98" t="str">
        <f t="shared" si="11"/>
        <v>obj_002fa#0003</v>
      </c>
      <c r="T41" s="102">
        <f>IFERROR(_xll.qlRateHelperEarliestDate(S41,Trigger),"--")</f>
        <v>44090</v>
      </c>
      <c r="U41" s="102">
        <f>IFERROR(_xll.qlRateHelperPillarDate(S41,Trigger),"--")</f>
        <v>44181</v>
      </c>
      <c r="W41" s="3" t="str">
        <f t="shared" si="17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123</v>
      </c>
      <c r="B42" s="116" t="b">
        <v>1</v>
      </c>
      <c r="C42" s="64" t="str">
        <f>_xll.qlIMMNextCode(C41,B42,Trigger)</f>
        <v>Z9</v>
      </c>
      <c r="D42" s="125"/>
      <c r="E42" s="125"/>
      <c r="F42" s="125"/>
      <c r="G42" s="62" t="str">
        <f t="shared" si="14"/>
        <v>UsdLibor3M</v>
      </c>
      <c r="H42" s="119" t="str">
        <f t="shared" si="15"/>
        <v>USDFUT3MZ9_Quote</v>
      </c>
      <c r="I42" s="119" t="str">
        <f t="shared" si="16"/>
        <v>USDFUT3MZ9ConvAdj_Quote</v>
      </c>
      <c r="J42" s="175" t="str">
        <f>IF(P38,_xll.qlFuturesRateHelper(,H42,$H$24,C42,G42,I42,Permanent,Trigger,ObjectOverwrite),"--")</f>
        <v>obj_002f7#0003</v>
      </c>
      <c r="L42" s="162" t="str">
        <f t="shared" si="12"/>
        <v>FUT</v>
      </c>
      <c r="M42" s="183" t="str">
        <f t="shared" si="13"/>
        <v>USDFUT3MZ0_Quote</v>
      </c>
      <c r="N42" s="186">
        <f>IFERROR(_xll.qlQuoteValue(H46,Trigger),"--")</f>
        <v>98.542500000000004</v>
      </c>
      <c r="O42" s="164">
        <f>IFERROR(_xll.qlQuoteValue(I46,Trigger),"--")</f>
        <v>2.1528744768585691E-4</v>
      </c>
      <c r="P42" s="101" t="b">
        <v>1</v>
      </c>
      <c r="Q42" s="98">
        <v>30</v>
      </c>
      <c r="R42" s="98">
        <v>21</v>
      </c>
      <c r="S42" s="98" t="str">
        <f t="shared" si="11"/>
        <v>obj_002fb#0003</v>
      </c>
      <c r="T42" s="102">
        <f>IFERROR(_xll.qlRateHelperEarliestDate(S42,Trigger),"--")</f>
        <v>44181</v>
      </c>
      <c r="U42" s="102">
        <f>IFERROR(_xll.qlRateHelperPillarDate(S42,Trigger),"--")</f>
        <v>44271</v>
      </c>
      <c r="W42" s="3" t="str">
        <f t="shared" si="17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123</v>
      </c>
      <c r="B43" s="116" t="b">
        <v>1</v>
      </c>
      <c r="C43" s="64" t="str">
        <f>_xll.qlIMMNextCode(C42,B43,Trigger)</f>
        <v>H0</v>
      </c>
      <c r="D43" s="125"/>
      <c r="E43" s="125"/>
      <c r="F43" s="125"/>
      <c r="G43" s="62" t="str">
        <f t="shared" si="14"/>
        <v>UsdLibor3M</v>
      </c>
      <c r="H43" s="119" t="str">
        <f t="shared" si="15"/>
        <v>USDFUT3MH0_Quote</v>
      </c>
      <c r="I43" s="119" t="str">
        <f t="shared" si="16"/>
        <v>USDFUT3MH0ConvAdj_Quote</v>
      </c>
      <c r="J43" s="175" t="str">
        <f>IF(P39,_xll.qlFuturesRateHelper(,H43,$H$24,C43,G43,I43,Permanent,Trigger,ObjectOverwrite),"--")</f>
        <v>obj_002f8#0003</v>
      </c>
      <c r="L43" s="168" t="str">
        <f t="shared" si="12"/>
        <v>FUT</v>
      </c>
      <c r="M43" s="184" t="str">
        <f t="shared" si="13"/>
        <v>USDFUT3MH1_Quote</v>
      </c>
      <c r="N43" s="187">
        <f>IFERROR(_xll.qlQuoteValue(H47,Trigger),"--")</f>
        <v>98.502499999999998</v>
      </c>
      <c r="O43" s="170">
        <f>IFERROR(_xll.qlQuoteValue(I47,Trigger),"--")</f>
        <v>2.3885142387142827E-4</v>
      </c>
      <c r="P43" s="103" t="b">
        <v>1</v>
      </c>
      <c r="Q43" s="99">
        <v>30</v>
      </c>
      <c r="R43" s="99">
        <v>21</v>
      </c>
      <c r="S43" s="99" t="str">
        <f t="shared" si="11"/>
        <v>obj_002fc#0003</v>
      </c>
      <c r="T43" s="104">
        <f>IFERROR(_xll.qlRateHelperEarliestDate(S43,Trigger),"--")</f>
        <v>44272</v>
      </c>
      <c r="U43" s="104">
        <f>IFERROR(_xll.qlRateHelperPillarDate(S43,Trigger),"--")</f>
        <v>44364</v>
      </c>
      <c r="W43" s="3" t="str">
        <f t="shared" si="17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123</v>
      </c>
      <c r="B44" s="116" t="b">
        <v>1</v>
      </c>
      <c r="C44" s="64" t="str">
        <f>_xll.qlIMMNextCode(C43,B44,Trigger)</f>
        <v>M0</v>
      </c>
      <c r="D44" s="125"/>
      <c r="E44" s="125"/>
      <c r="F44" s="125"/>
      <c r="G44" s="62" t="str">
        <f t="shared" si="14"/>
        <v>UsdLibor3M</v>
      </c>
      <c r="H44" s="119" t="str">
        <f t="shared" si="15"/>
        <v>USDFUT3MM0_Quote</v>
      </c>
      <c r="I44" s="119" t="str">
        <f t="shared" si="16"/>
        <v>USDFUT3MM0ConvAdj_Quote</v>
      </c>
      <c r="J44" s="175" t="str">
        <f>IF(P40,_xll.qlFuturesRateHelper(,H44,$H$24,C44,G44,I44,Permanent,Trigger,ObjectOverwrite),"--")</f>
        <v>obj_002f9#0003</v>
      </c>
      <c r="L44" s="180" t="str">
        <f>A50</f>
        <v>Sw</v>
      </c>
      <c r="M44" s="188" t="str">
        <f>H50</f>
        <v>USDAM3L1Y_Quote</v>
      </c>
      <c r="N44" s="182">
        <f>IFERROR(_xll.qlQuoteValue(H50,Trigger),"--")</f>
        <v>9.3500000000000007E-3</v>
      </c>
      <c r="O44" s="182">
        <f>I50</f>
        <v>0</v>
      </c>
      <c r="P44" s="137" t="b">
        <v>0</v>
      </c>
      <c r="Q44" s="136">
        <v>50</v>
      </c>
      <c r="R44" s="136">
        <v>1</v>
      </c>
      <c r="S44" s="136" t="str">
        <f t="shared" ref="S44:S81" si="18">IF(ISBLANK(J50),"--",J50)</f>
        <v>--</v>
      </c>
      <c r="T44" s="138" t="str">
        <f>IFERROR(_xll.qlRateHelperEarliestDate(S44,Trigger),"--")</f>
        <v>--</v>
      </c>
      <c r="U44" s="138" t="str">
        <f>IFERROR(_xll.qlRateHelperPillarDate(S44,Trigger),"--")</f>
        <v>--</v>
      </c>
      <c r="W44" s="3" t="str">
        <f t="shared" si="17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123</v>
      </c>
      <c r="B45" s="116" t="b">
        <v>1</v>
      </c>
      <c r="C45" s="64" t="str">
        <f>_xll.qlIMMNextCode(C44,B45,Trigger)</f>
        <v>U0</v>
      </c>
      <c r="D45" s="125"/>
      <c r="E45" s="125"/>
      <c r="F45" s="125"/>
      <c r="G45" s="62" t="str">
        <f t="shared" si="14"/>
        <v>UsdLibor3M</v>
      </c>
      <c r="H45" s="119" t="str">
        <f t="shared" si="15"/>
        <v>USDFUT3MU0_Quote</v>
      </c>
      <c r="I45" s="119" t="str">
        <f t="shared" si="16"/>
        <v>USDFUT3MU0ConvAdj_Quote</v>
      </c>
      <c r="J45" s="175" t="str">
        <f>IF(P41,_xll.qlFuturesRateHelper(,H45,$H$24,C45,G45,I45,Permanent,Trigger,ObjectOverwrite),"--")</f>
        <v>obj_002fa#0003</v>
      </c>
      <c r="L45" s="162" t="str">
        <f t="shared" ref="L45:L81" si="19">A51</f>
        <v>Sw</v>
      </c>
      <c r="M45" s="183" t="str">
        <f t="shared" ref="M45:M81" si="20">H51</f>
        <v>USDAM3L15M_Quote</v>
      </c>
      <c r="N45" s="164" t="str">
        <f>IFERROR(_xll.qlQuoteValue(H51,Trigger),"--")</f>
        <v>--</v>
      </c>
      <c r="O45" s="164">
        <f t="shared" ref="O45:O81" si="21">I51</f>
        <v>0</v>
      </c>
      <c r="P45" s="140" t="b">
        <v>0</v>
      </c>
      <c r="Q45" s="139">
        <v>50</v>
      </c>
      <c r="R45" s="139">
        <v>1</v>
      </c>
      <c r="S45" s="139" t="str">
        <f t="shared" si="18"/>
        <v>--</v>
      </c>
      <c r="T45" s="141" t="str">
        <f>IFERROR(_xll.qlRateHelperEarliestDate(S45,Trigger),"--")</f>
        <v>--</v>
      </c>
      <c r="U45" s="141" t="str">
        <f>IFERROR(_xll.qlRateHelperPillarDate(S45,Trigger),"--")</f>
        <v>--</v>
      </c>
      <c r="W45" s="3" t="str">
        <f t="shared" si="17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123</v>
      </c>
      <c r="B46" s="116" t="b">
        <v>1</v>
      </c>
      <c r="C46" s="64" t="str">
        <f>_xll.qlIMMNextCode(C45,B46,Trigger)</f>
        <v>Z0</v>
      </c>
      <c r="D46" s="125"/>
      <c r="E46" s="125"/>
      <c r="F46" s="125"/>
      <c r="G46" s="62" t="str">
        <f t="shared" si="14"/>
        <v>UsdLibor3M</v>
      </c>
      <c r="H46" s="119" t="str">
        <f t="shared" si="15"/>
        <v>USDFUT3MZ0_Quote</v>
      </c>
      <c r="I46" s="119" t="str">
        <f t="shared" si="16"/>
        <v>USDFUT3MZ0ConvAdj_Quote</v>
      </c>
      <c r="J46" s="175" t="str">
        <f>IF(P42,_xll.qlFuturesRateHelper(,H46,$H$24,C46,G46,I46,Permanent,Trigger,ObjectOverwrite),"--")</f>
        <v>obj_002fb#0003</v>
      </c>
      <c r="L46" s="162" t="str">
        <f t="shared" si="19"/>
        <v>Sw</v>
      </c>
      <c r="M46" s="183" t="str">
        <f t="shared" si="20"/>
        <v>USDAM3L18M_Quote</v>
      </c>
      <c r="N46" s="164" t="str">
        <f>IFERROR(_xll.qlQuoteValue(H52,Trigger),"--")</f>
        <v>--</v>
      </c>
      <c r="O46" s="164">
        <f t="shared" si="21"/>
        <v>0</v>
      </c>
      <c r="P46" s="140" t="b">
        <v>0</v>
      </c>
      <c r="Q46" s="139">
        <v>50</v>
      </c>
      <c r="R46" s="139">
        <v>1</v>
      </c>
      <c r="S46" s="139" t="str">
        <f t="shared" si="18"/>
        <v>--</v>
      </c>
      <c r="T46" s="141" t="str">
        <f>IFERROR(_xll.qlRateHelperEarliestDate(S46,Trigger),"--")</f>
        <v>--</v>
      </c>
      <c r="U46" s="141" t="str">
        <f>IFERROR(_xll.qlRateHelperPillarDate(S46,Trigger),"--")</f>
        <v>--</v>
      </c>
      <c r="W46" s="3" t="str">
        <f t="shared" si="17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1" t="s">
        <v>123</v>
      </c>
      <c r="B47" s="117" t="b">
        <v>1</v>
      </c>
      <c r="C47" s="9" t="str">
        <f>_xll.qlIMMNextCode(C46,B47,Trigger)</f>
        <v>H1</v>
      </c>
      <c r="D47" s="126"/>
      <c r="E47" s="126"/>
      <c r="F47" s="126"/>
      <c r="G47" s="6" t="str">
        <f t="shared" si="14"/>
        <v>UsdLibor3M</v>
      </c>
      <c r="H47" s="120" t="str">
        <f t="shared" si="15"/>
        <v>USDFUT3MH1_Quote</v>
      </c>
      <c r="I47" s="120" t="str">
        <f t="shared" si="16"/>
        <v>USDFUT3MH1ConvAdj_Quote</v>
      </c>
      <c r="J47" s="174" t="str">
        <f>IF(P43,_xll.qlFuturesRateHelper(,H47,$H$24,C47,G47,I47,Permanent,Trigger,ObjectOverwrite),"--")</f>
        <v>obj_002fc#0003</v>
      </c>
      <c r="L47" s="162" t="str">
        <f t="shared" si="19"/>
        <v>Sw</v>
      </c>
      <c r="M47" s="183" t="str">
        <f t="shared" si="20"/>
        <v>USDAM3L21M_Quote</v>
      </c>
      <c r="N47" s="164" t="str">
        <f>IFERROR(_xll.qlQuoteValue(H53,Trigger),"--")</f>
        <v>--</v>
      </c>
      <c r="O47" s="164">
        <f t="shared" si="21"/>
        <v>0</v>
      </c>
      <c r="P47" s="140" t="b">
        <v>0</v>
      </c>
      <c r="Q47" s="139">
        <v>50</v>
      </c>
      <c r="R47" s="139">
        <v>1</v>
      </c>
      <c r="S47" s="139" t="str">
        <f t="shared" si="18"/>
        <v>--</v>
      </c>
      <c r="T47" s="141" t="str">
        <f>IFERROR(_xll.qlRateHelperEarliestDate(S47,Trigger),"--")</f>
        <v>--</v>
      </c>
      <c r="U47" s="141" t="str">
        <f>IFERROR(_xll.qlRateHelperPillarDate(S47,Trigger),"--")</f>
        <v>--</v>
      </c>
      <c r="W47" s="3" t="str">
        <f t="shared" si="17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G48" s="52" t="s">
        <v>143</v>
      </c>
      <c r="H48" s="52" t="s">
        <v>144</v>
      </c>
      <c r="L48" s="162" t="str">
        <f t="shared" si="19"/>
        <v>Sw</v>
      </c>
      <c r="M48" s="183" t="str">
        <f t="shared" si="20"/>
        <v>USDAM3L2Y_Quote</v>
      </c>
      <c r="N48" s="164">
        <f>IFERROR(_xll.qlQuoteValue(H54,Trigger),"--")</f>
        <v>9.9600000000000001E-3</v>
      </c>
      <c r="O48" s="164">
        <f t="shared" si="21"/>
        <v>0</v>
      </c>
      <c r="P48" s="140" t="b">
        <v>0</v>
      </c>
      <c r="Q48" s="139">
        <v>50</v>
      </c>
      <c r="R48" s="139">
        <v>1</v>
      </c>
      <c r="S48" s="139" t="str">
        <f t="shared" si="18"/>
        <v>--</v>
      </c>
      <c r="T48" s="141" t="str">
        <f>IFERROR(_xll.qlRateHelperEarliestDate(S48,Trigger),"--")</f>
        <v>--</v>
      </c>
      <c r="U48" s="141" t="str">
        <f>IFERROR(_xll.qlRateHelperPillarDate(S48,Trigger),"--")</f>
        <v>--</v>
      </c>
      <c r="W48" s="3" t="str">
        <f t="shared" si="17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6" t="s">
        <v>9</v>
      </c>
      <c r="B49" s="66" t="s">
        <v>29</v>
      </c>
      <c r="C49" s="66" t="s">
        <v>145</v>
      </c>
      <c r="D49" s="66" t="s">
        <v>5</v>
      </c>
      <c r="E49" s="66" t="s">
        <v>34</v>
      </c>
      <c r="F49" s="66" t="s">
        <v>146</v>
      </c>
      <c r="G49" s="66" t="s">
        <v>4</v>
      </c>
      <c r="H49" s="66" t="s">
        <v>1</v>
      </c>
      <c r="I49" s="66" t="s">
        <v>142</v>
      </c>
      <c r="J49" s="66" t="s">
        <v>24</v>
      </c>
      <c r="L49" s="162" t="str">
        <f t="shared" si="19"/>
        <v>Sw</v>
      </c>
      <c r="M49" s="183" t="str">
        <f t="shared" si="20"/>
        <v>USDAM3L3Y_Quote</v>
      </c>
      <c r="N49" s="164">
        <f>IFERROR(_xll.qlQuoteValue(H55,Trigger),"--")</f>
        <v>1.048E-2</v>
      </c>
      <c r="O49" s="164">
        <f t="shared" si="21"/>
        <v>0</v>
      </c>
      <c r="P49" s="140" t="b">
        <v>1</v>
      </c>
      <c r="Q49" s="139">
        <v>50</v>
      </c>
      <c r="R49" s="139">
        <v>1</v>
      </c>
      <c r="S49" s="139" t="str">
        <f t="shared" si="18"/>
        <v>obj_002ba#0003</v>
      </c>
      <c r="T49" s="141">
        <f>IFERROR(_xll.qlRateHelperEarliestDate(S49,Trigger),"--")</f>
        <v>42643</v>
      </c>
      <c r="U49" s="141">
        <f>IFERROR(_xll.qlRateHelperPillarDate(S49,Trigger),"--")</f>
        <v>43738</v>
      </c>
      <c r="W49" s="3" t="str">
        <f t="shared" si="17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55" t="s">
        <v>25</v>
      </c>
      <c r="B50" s="56" t="s">
        <v>28</v>
      </c>
      <c r="C50" s="57" t="s">
        <v>6</v>
      </c>
      <c r="D50" s="62" t="s">
        <v>8</v>
      </c>
      <c r="E50" s="62" t="s">
        <v>7</v>
      </c>
      <c r="F50" s="62" t="s">
        <v>27</v>
      </c>
      <c r="G50" s="62" t="str">
        <f t="shared" ref="G50:G87" si="22">PROPER(Currency)&amp;FamilyName&amp;Tenor</f>
        <v>UsdLibor3M</v>
      </c>
      <c r="H50" s="60" t="str">
        <f t="shared" ref="H50:H86" si="23">Currency&amp;$G$48&amp;$H$48&amp;$B50&amp;"_Quote"</f>
        <v>USDAM3L1Y_Quote</v>
      </c>
      <c r="I50" s="128">
        <v>0</v>
      </c>
      <c r="J50" s="173" t="str">
        <f>IF(P44,_xll.qlSwapRateHelper2(,H50,,B50,JoinCalendar,D50,E50,F50,G50,I50,C50,Discounting,PillarDate,,Permanent,Trigger,ObjectOverwrite),"--")</f>
        <v>--</v>
      </c>
      <c r="L50" s="162" t="str">
        <f t="shared" si="19"/>
        <v>Sw</v>
      </c>
      <c r="M50" s="183" t="str">
        <f t="shared" si="20"/>
        <v>USDAM3L4Y_Quote</v>
      </c>
      <c r="N50" s="164">
        <f>IFERROR(_xll.qlQuoteValue(H56,Trigger),"--")</f>
        <v>1.099E-2</v>
      </c>
      <c r="O50" s="164">
        <f t="shared" si="21"/>
        <v>0</v>
      </c>
      <c r="P50" s="140" t="b">
        <v>1</v>
      </c>
      <c r="Q50" s="139">
        <v>50</v>
      </c>
      <c r="R50" s="139">
        <v>1</v>
      </c>
      <c r="S50" s="139" t="str">
        <f t="shared" si="18"/>
        <v>obj_002ce#0003</v>
      </c>
      <c r="T50" s="141">
        <f>IFERROR(_xll.qlRateHelperEarliestDate(S50,Trigger),"--")</f>
        <v>42643</v>
      </c>
      <c r="U50" s="141">
        <f>IFERROR(_xll.qlRateHelperPillarDate(S50,Trigger),"--")</f>
        <v>44104</v>
      </c>
      <c r="W50" s="3" t="str">
        <f t="shared" si="17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25</v>
      </c>
      <c r="B51" s="61" t="s">
        <v>61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22"/>
        <v>UsdLibor3M</v>
      </c>
      <c r="H51" s="60" t="str">
        <f t="shared" si="23"/>
        <v>USDAM3L15M_Quote</v>
      </c>
      <c r="I51" s="129">
        <v>0</v>
      </c>
      <c r="J51" s="175" t="str">
        <f>IF(P45,_xll.qlSwapRateHelper2(,H51,,B51,JoinCalendar,D51,E51,F51,G51,I51,C51,Discounting,PillarDate,,Permanent,Trigger,ObjectOverwrite),"--")</f>
        <v>--</v>
      </c>
      <c r="L51" s="162" t="str">
        <f t="shared" si="19"/>
        <v>Sw</v>
      </c>
      <c r="M51" s="183" t="str">
        <f t="shared" si="20"/>
        <v>USDAM3L5Y_Quote</v>
      </c>
      <c r="N51" s="164">
        <f>IFERROR(_xll.qlQuoteValue(H57,Trigger),"--")</f>
        <v>1.1520000000000001E-2</v>
      </c>
      <c r="O51" s="164">
        <f t="shared" si="21"/>
        <v>0</v>
      </c>
      <c r="P51" s="140" t="b">
        <v>1</v>
      </c>
      <c r="Q51" s="139">
        <v>50</v>
      </c>
      <c r="R51" s="139">
        <v>1</v>
      </c>
      <c r="S51" s="139" t="str">
        <f t="shared" si="18"/>
        <v>obj_002de#0003</v>
      </c>
      <c r="T51" s="141">
        <f>IFERROR(_xll.qlRateHelperEarliestDate(S51,Trigger),"--")</f>
        <v>42643</v>
      </c>
      <c r="U51" s="141">
        <f>IFERROR(_xll.qlRateHelperPillarDate(S51,Trigger),"--")</f>
        <v>44469</v>
      </c>
      <c r="W51" s="3" t="str">
        <f t="shared" si="17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25</v>
      </c>
      <c r="B52" s="61" t="s">
        <v>64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22"/>
        <v>UsdLibor3M</v>
      </c>
      <c r="H52" s="60" t="str">
        <f t="shared" si="23"/>
        <v>USDAM3L18M_Quote</v>
      </c>
      <c r="I52" s="129">
        <v>0</v>
      </c>
      <c r="J52" s="175" t="str">
        <f>IF(P46,_xll.qlSwapRateHelper2(,H52,,B52,JoinCalendar,D52,E52,F52,G52,I52,C52,Discounting,PillarDate,,Permanent,Trigger,ObjectOverwrite),"--")</f>
        <v>--</v>
      </c>
      <c r="L52" s="162" t="str">
        <f t="shared" si="19"/>
        <v>Sw</v>
      </c>
      <c r="M52" s="183" t="str">
        <f t="shared" si="20"/>
        <v>USDAM3L6Y_Quote</v>
      </c>
      <c r="N52" s="164">
        <f>IFERROR(_xll.qlQuoteValue(H58,Trigger),"--")</f>
        <v>1.208E-2</v>
      </c>
      <c r="O52" s="164">
        <f t="shared" si="21"/>
        <v>0</v>
      </c>
      <c r="P52" s="140" t="b">
        <v>1</v>
      </c>
      <c r="Q52" s="139">
        <v>50</v>
      </c>
      <c r="R52" s="139">
        <v>1</v>
      </c>
      <c r="S52" s="139" t="str">
        <f t="shared" si="18"/>
        <v>obj_002c7#0003</v>
      </c>
      <c r="T52" s="141">
        <f>IFERROR(_xll.qlRateHelperEarliestDate(S52,Trigger),"--")</f>
        <v>42643</v>
      </c>
      <c r="U52" s="141">
        <f>IFERROR(_xll.qlRateHelperPillarDate(S52,Trigger),"--")</f>
        <v>44834</v>
      </c>
      <c r="W52" s="3" t="str">
        <f t="shared" si="17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25</v>
      </c>
      <c r="B53" s="61" t="s">
        <v>67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22"/>
        <v>UsdLibor3M</v>
      </c>
      <c r="H53" s="60" t="str">
        <f t="shared" si="23"/>
        <v>USDAM3L21M_Quote</v>
      </c>
      <c r="I53" s="129">
        <v>0</v>
      </c>
      <c r="J53" s="175" t="str">
        <f>IF(P47,_xll.qlSwapRateHelper2(,H53,,B53,JoinCalendar,D53,E53,F53,G53,I53,C53,Discounting,PillarDate,,Permanent,Trigger,ObjectOverwrite),"--")</f>
        <v>--</v>
      </c>
      <c r="L53" s="162" t="str">
        <f t="shared" si="19"/>
        <v>Sw</v>
      </c>
      <c r="M53" s="183" t="str">
        <f t="shared" si="20"/>
        <v>USDAM3L7Y_Quote</v>
      </c>
      <c r="N53" s="164">
        <f>IFERROR(_xll.qlQuoteValue(H59,Trigger),"--")</f>
        <v>1.2629999999999999E-2</v>
      </c>
      <c r="O53" s="164">
        <f t="shared" si="21"/>
        <v>0</v>
      </c>
      <c r="P53" s="140" t="b">
        <v>1</v>
      </c>
      <c r="Q53" s="139">
        <v>50</v>
      </c>
      <c r="R53" s="139">
        <v>1</v>
      </c>
      <c r="S53" s="139" t="str">
        <f t="shared" si="18"/>
        <v>obj_002d9#0003</v>
      </c>
      <c r="T53" s="141">
        <f>IFERROR(_xll.qlRateHelperEarliestDate(S53,Trigger),"--")</f>
        <v>42643</v>
      </c>
      <c r="U53" s="141">
        <f>IFERROR(_xll.qlRateHelperPillarDate(S53,Trigger),"--")</f>
        <v>45198</v>
      </c>
      <c r="W53" s="3" t="str">
        <f t="shared" si="17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25</v>
      </c>
      <c r="B54" s="61" t="s">
        <v>70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22"/>
        <v>UsdLibor3M</v>
      </c>
      <c r="H54" s="60" t="str">
        <f t="shared" si="23"/>
        <v>USDAM3L2Y_Quote</v>
      </c>
      <c r="I54" s="129">
        <v>0</v>
      </c>
      <c r="J54" s="175" t="str">
        <f>IF(P48,_xll.qlSwapRateHelper2(,H54,,B54,JoinCalendar,D54,E54,F54,G54,I54,C54,Discounting,PillarDate,,Permanent,Trigger,ObjectOverwrite),"--")</f>
        <v>--</v>
      </c>
      <c r="L54" s="162" t="str">
        <f t="shared" si="19"/>
        <v>Sw</v>
      </c>
      <c r="M54" s="183" t="str">
        <f t="shared" si="20"/>
        <v>USDAM3L8Y_Quote</v>
      </c>
      <c r="N54" s="164">
        <f>IFERROR(_xll.qlQuoteValue(H60,Trigger),"--")</f>
        <v>1.315E-2</v>
      </c>
      <c r="O54" s="164">
        <f t="shared" si="21"/>
        <v>0</v>
      </c>
      <c r="P54" s="140" t="b">
        <v>1</v>
      </c>
      <c r="Q54" s="139">
        <v>50</v>
      </c>
      <c r="R54" s="139">
        <v>1</v>
      </c>
      <c r="S54" s="139" t="str">
        <f t="shared" si="18"/>
        <v>obj_002bb#0003</v>
      </c>
      <c r="T54" s="141">
        <f>IFERROR(_xll.qlRateHelperEarliestDate(S54,Trigger),"--")</f>
        <v>42643</v>
      </c>
      <c r="U54" s="141">
        <f>IFERROR(_xll.qlRateHelperPillarDate(S54,Trigger),"--")</f>
        <v>45565</v>
      </c>
      <c r="W54" s="3" t="str">
        <f t="shared" si="17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25</v>
      </c>
      <c r="B55" s="61" t="s">
        <v>74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22"/>
        <v>UsdLibor3M</v>
      </c>
      <c r="H55" s="60" t="str">
        <f t="shared" si="23"/>
        <v>USDAM3L3Y_Quote</v>
      </c>
      <c r="I55" s="129">
        <v>0</v>
      </c>
      <c r="J55" s="175" t="str">
        <f>IF(P49,_xll.qlSwapRateHelper2(,H55,,B55,JoinCalendar,D55,E55,F55,G55,I55,C55,Discounting,PillarDate,,Permanent,Trigger,ObjectOverwrite),"--")</f>
        <v>obj_002ba#0003</v>
      </c>
      <c r="L55" s="162" t="str">
        <f t="shared" si="19"/>
        <v>Sw</v>
      </c>
      <c r="M55" s="183" t="str">
        <f t="shared" si="20"/>
        <v>USDAM3L9Y_Quote</v>
      </c>
      <c r="N55" s="164">
        <f>IFERROR(_xll.qlQuoteValue(H61,Trigger),"--")</f>
        <v>1.3640000000000001E-2</v>
      </c>
      <c r="O55" s="164">
        <f t="shared" si="21"/>
        <v>0</v>
      </c>
      <c r="P55" s="140" t="b">
        <v>1</v>
      </c>
      <c r="Q55" s="139">
        <v>50</v>
      </c>
      <c r="R55" s="139">
        <v>1</v>
      </c>
      <c r="S55" s="139" t="str">
        <f t="shared" si="18"/>
        <v>obj_002c2#0003</v>
      </c>
      <c r="T55" s="141">
        <f>IFERROR(_xll.qlRateHelperEarliestDate(S55,Trigger),"--")</f>
        <v>42643</v>
      </c>
      <c r="U55" s="141">
        <f>IFERROR(_xll.qlRateHelperPillarDate(S55,Trigger),"--")</f>
        <v>45930</v>
      </c>
      <c r="W55" s="3" t="str">
        <f t="shared" si="17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25</v>
      </c>
      <c r="B56" s="61" t="s">
        <v>78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22"/>
        <v>UsdLibor3M</v>
      </c>
      <c r="H56" s="60" t="str">
        <f t="shared" si="23"/>
        <v>USDAM3L4Y_Quote</v>
      </c>
      <c r="I56" s="129">
        <v>0</v>
      </c>
      <c r="J56" s="175" t="str">
        <f>IF(P50,_xll.qlSwapRateHelper2(,H56,,B56,JoinCalendar,D56,E56,F56,G56,I56,C56,Discounting,PillarDate,,Permanent,Trigger,ObjectOverwrite),"--")</f>
        <v>obj_002ce#0003</v>
      </c>
      <c r="L56" s="162" t="str">
        <f t="shared" si="19"/>
        <v>Sw</v>
      </c>
      <c r="M56" s="183" t="str">
        <f t="shared" si="20"/>
        <v>USDAM3L10Y_Quote</v>
      </c>
      <c r="N56" s="164">
        <f>IFERROR(_xll.qlQuoteValue(H62,Trigger),"--")</f>
        <v>1.4100000000000001E-2</v>
      </c>
      <c r="O56" s="164">
        <f t="shared" si="21"/>
        <v>0</v>
      </c>
      <c r="P56" s="140" t="b">
        <v>1</v>
      </c>
      <c r="Q56" s="139">
        <v>50</v>
      </c>
      <c r="R56" s="139">
        <v>1</v>
      </c>
      <c r="S56" s="139" t="str">
        <f t="shared" si="18"/>
        <v>obj_002df#0003</v>
      </c>
      <c r="T56" s="141">
        <f>IFERROR(_xll.qlRateHelperEarliestDate(S56,Trigger),"--")</f>
        <v>42643</v>
      </c>
      <c r="U56" s="141">
        <f>IFERROR(_xll.qlRateHelperPillarDate(S56,Trigger),"--")</f>
        <v>46295</v>
      </c>
      <c r="W56" s="3" t="str">
        <f t="shared" si="17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25</v>
      </c>
      <c r="B57" s="61" t="s">
        <v>82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22"/>
        <v>UsdLibor3M</v>
      </c>
      <c r="H57" s="60" t="str">
        <f t="shared" si="23"/>
        <v>USDAM3L5Y_Quote</v>
      </c>
      <c r="I57" s="129">
        <v>0</v>
      </c>
      <c r="J57" s="175" t="str">
        <f>IF(P51,_xll.qlSwapRateHelper2(,H57,,B57,JoinCalendar,D57,E57,F57,G57,I57,C57,Discounting,PillarDate,,Permanent,Trigger,ObjectOverwrite),"--")</f>
        <v>obj_002de#0003</v>
      </c>
      <c r="L57" s="162" t="str">
        <f t="shared" si="19"/>
        <v>Sw</v>
      </c>
      <c r="M57" s="183" t="str">
        <f t="shared" si="20"/>
        <v>USDAM3L11Y_Quote</v>
      </c>
      <c r="N57" s="164" t="str">
        <f>IFERROR(_xll.qlQuoteValue(H63,Trigger),"--")</f>
        <v>--</v>
      </c>
      <c r="O57" s="164">
        <f t="shared" si="21"/>
        <v>0</v>
      </c>
      <c r="P57" s="140" t="b">
        <v>0</v>
      </c>
      <c r="Q57" s="140">
        <v>50</v>
      </c>
      <c r="R57" s="140">
        <v>1</v>
      </c>
      <c r="S57" s="140" t="str">
        <f t="shared" si="18"/>
        <v>--</v>
      </c>
      <c r="T57" s="141" t="str">
        <f>IFERROR(_xll.qlRateHelperEarliestDate(S57,Trigger),"--")</f>
        <v>--</v>
      </c>
      <c r="U57" s="141" t="str">
        <f>IFERROR(_xll.qlRateHelperPillarDate(S57,Trigger),"--")</f>
        <v>--</v>
      </c>
      <c r="W57" s="3" t="str">
        <f t="shared" si="17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25</v>
      </c>
      <c r="B58" s="61" t="s">
        <v>83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22"/>
        <v>UsdLibor3M</v>
      </c>
      <c r="H58" s="60" t="str">
        <f t="shared" si="23"/>
        <v>USDAM3L6Y_Quote</v>
      </c>
      <c r="I58" s="129">
        <v>0</v>
      </c>
      <c r="J58" s="175" t="str">
        <f>IF(P52,_xll.qlSwapRateHelper2(,H58,,B58,JoinCalendar,D58,E58,F58,G58,I58,C58,Discounting,PillarDate,,Permanent,Trigger,ObjectOverwrite),"--")</f>
        <v>obj_002c7#0003</v>
      </c>
      <c r="L58" s="162" t="str">
        <f t="shared" si="19"/>
        <v>Sw</v>
      </c>
      <c r="M58" s="183" t="str">
        <f t="shared" si="20"/>
        <v>USDAM3L12Y_Quote</v>
      </c>
      <c r="N58" s="164">
        <f>IFERROR(_xll.qlQuoteValue(H64,Trigger),"--")</f>
        <v>1.489E-2</v>
      </c>
      <c r="O58" s="164">
        <f t="shared" si="21"/>
        <v>0</v>
      </c>
      <c r="P58" s="140" t="b">
        <v>1</v>
      </c>
      <c r="Q58" s="140">
        <v>50</v>
      </c>
      <c r="R58" s="140">
        <v>1</v>
      </c>
      <c r="S58" s="140" t="str">
        <f t="shared" si="18"/>
        <v>obj_002b2#0003</v>
      </c>
      <c r="T58" s="141">
        <f>IFERROR(_xll.qlRateHelperEarliestDate(S58,Trigger),"--")</f>
        <v>42643</v>
      </c>
      <c r="U58" s="141">
        <f>IFERROR(_xll.qlRateHelperPillarDate(S58,Trigger),"--")</f>
        <v>47025</v>
      </c>
      <c r="W58" s="3" t="str">
        <f t="shared" si="17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25</v>
      </c>
      <c r="B59" s="61" t="s">
        <v>84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22"/>
        <v>UsdLibor3M</v>
      </c>
      <c r="H59" s="60" t="str">
        <f t="shared" si="23"/>
        <v>USDAM3L7Y_Quote</v>
      </c>
      <c r="I59" s="129">
        <v>0</v>
      </c>
      <c r="J59" s="175" t="str">
        <f>IF(P53,_xll.qlSwapRateHelper2(,H59,,B59,JoinCalendar,D59,E59,F59,G59,I59,C59,Discounting,PillarDate,,Permanent,Trigger,ObjectOverwrite),"--")</f>
        <v>obj_002d9#0003</v>
      </c>
      <c r="L59" s="162" t="str">
        <f t="shared" si="19"/>
        <v>Sw</v>
      </c>
      <c r="M59" s="183" t="str">
        <f t="shared" si="20"/>
        <v>USDAM3L13Y_Quote</v>
      </c>
      <c r="N59" s="164" t="str">
        <f>IFERROR(_xll.qlQuoteValue(H65,Trigger),"--")</f>
        <v>--</v>
      </c>
      <c r="O59" s="164">
        <f t="shared" si="21"/>
        <v>0</v>
      </c>
      <c r="P59" s="140" t="b">
        <v>0</v>
      </c>
      <c r="Q59" s="140">
        <v>50</v>
      </c>
      <c r="R59" s="140">
        <v>1</v>
      </c>
      <c r="S59" s="140" t="str">
        <f t="shared" si="18"/>
        <v>--</v>
      </c>
      <c r="T59" s="141" t="str">
        <f>IFERROR(_xll.qlRateHelperEarliestDate(S59,Trigger),"--")</f>
        <v>--</v>
      </c>
      <c r="U59" s="141" t="str">
        <f>IFERROR(_xll.qlRateHelperPillarDate(S59,Trigger),"--")</f>
        <v>--</v>
      </c>
      <c r="W59" s="3" t="str">
        <f t="shared" si="17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25</v>
      </c>
      <c r="B60" s="61" t="s">
        <v>85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22"/>
        <v>UsdLibor3M</v>
      </c>
      <c r="H60" s="60" t="str">
        <f t="shared" si="23"/>
        <v>USDAM3L8Y_Quote</v>
      </c>
      <c r="I60" s="129">
        <v>0</v>
      </c>
      <c r="J60" s="175" t="str">
        <f>IF(P54,_xll.qlSwapRateHelper2(,H60,,B60,JoinCalendar,D60,E60,F60,G60,I60,C60,Discounting,PillarDate,,Permanent,Trigger,ObjectOverwrite),"--")</f>
        <v>obj_002bb#0003</v>
      </c>
      <c r="L60" s="162" t="str">
        <f t="shared" si="19"/>
        <v>Sw</v>
      </c>
      <c r="M60" s="183" t="str">
        <f t="shared" si="20"/>
        <v>USDAM3L14Y_Quote</v>
      </c>
      <c r="N60" s="164" t="str">
        <f>IFERROR(_xll.qlQuoteValue(H66,Trigger),"--")</f>
        <v>--</v>
      </c>
      <c r="O60" s="164">
        <f t="shared" si="21"/>
        <v>0</v>
      </c>
      <c r="P60" s="140" t="b">
        <v>0</v>
      </c>
      <c r="Q60" s="140">
        <v>50</v>
      </c>
      <c r="R60" s="140">
        <v>1</v>
      </c>
      <c r="S60" s="140" t="str">
        <f t="shared" si="18"/>
        <v>--</v>
      </c>
      <c r="T60" s="141" t="str">
        <f>IFERROR(_xll.qlRateHelperEarliestDate(S60,Trigger),"--")</f>
        <v>--</v>
      </c>
      <c r="U60" s="141" t="str">
        <f>IFERROR(_xll.qlRateHelperPillarDate(S60,Trigger),"--")</f>
        <v>--</v>
      </c>
      <c r="W60" s="3" t="str">
        <f t="shared" si="17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25</v>
      </c>
      <c r="B61" s="61" t="s">
        <v>86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22"/>
        <v>UsdLibor3M</v>
      </c>
      <c r="H61" s="60" t="str">
        <f t="shared" si="23"/>
        <v>USDAM3L9Y_Quote</v>
      </c>
      <c r="I61" s="129">
        <v>0</v>
      </c>
      <c r="J61" s="175" t="str">
        <f>IF(P55,_xll.qlSwapRateHelper2(,H61,,B61,JoinCalendar,D61,E61,F61,G61,I61,C61,Discounting,PillarDate,,Permanent,Trigger,ObjectOverwrite),"--")</f>
        <v>obj_002c2#0003</v>
      </c>
      <c r="L61" s="162" t="str">
        <f t="shared" si="19"/>
        <v>Sw</v>
      </c>
      <c r="M61" s="183" t="str">
        <f t="shared" si="20"/>
        <v>USDAM3L15Y_Quote</v>
      </c>
      <c r="N61" s="164">
        <f>IFERROR(_xll.qlQuoteValue(H67,Trigger),"--")</f>
        <v>1.575E-2</v>
      </c>
      <c r="O61" s="164">
        <f t="shared" si="21"/>
        <v>0</v>
      </c>
      <c r="P61" s="140" t="b">
        <v>1</v>
      </c>
      <c r="Q61" s="140">
        <v>50</v>
      </c>
      <c r="R61" s="140">
        <v>1</v>
      </c>
      <c r="S61" s="140" t="str">
        <f t="shared" si="18"/>
        <v>obj_002bc#0003</v>
      </c>
      <c r="T61" s="141">
        <f>IFERROR(_xll.qlRateHelperEarliestDate(S61,Trigger),"--")</f>
        <v>42643</v>
      </c>
      <c r="U61" s="141">
        <f>IFERROR(_xll.qlRateHelperPillarDate(S61,Trigger),"--")</f>
        <v>48121</v>
      </c>
      <c r="W61" s="3" t="str">
        <f t="shared" si="17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25</v>
      </c>
      <c r="B62" s="61" t="s">
        <v>87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22"/>
        <v>UsdLibor3M</v>
      </c>
      <c r="H62" s="60" t="str">
        <f t="shared" si="23"/>
        <v>USDAM3L10Y_Quote</v>
      </c>
      <c r="I62" s="129">
        <v>0</v>
      </c>
      <c r="J62" s="175" t="str">
        <f>IF(P56,_xll.qlSwapRateHelper2(,H62,,B62,JoinCalendar,D62,E62,F62,G62,I62,C62,Discounting,PillarDate,,Permanent,Trigger,ObjectOverwrite),"--")</f>
        <v>obj_002df#0003</v>
      </c>
      <c r="L62" s="162" t="str">
        <f t="shared" si="19"/>
        <v>Sw</v>
      </c>
      <c r="M62" s="183" t="str">
        <f t="shared" si="20"/>
        <v>USDAM3L16Y_Quote</v>
      </c>
      <c r="N62" s="164" t="str">
        <f>IFERROR(_xll.qlQuoteValue(H68,Trigger),"--")</f>
        <v>--</v>
      </c>
      <c r="O62" s="164">
        <f t="shared" si="21"/>
        <v>0</v>
      </c>
      <c r="P62" s="140" t="b">
        <v>0</v>
      </c>
      <c r="Q62" s="140">
        <v>50</v>
      </c>
      <c r="R62" s="140">
        <v>1</v>
      </c>
      <c r="S62" s="140" t="str">
        <f t="shared" si="18"/>
        <v>--</v>
      </c>
      <c r="T62" s="141" t="str">
        <f>IFERROR(_xll.qlRateHelperEarliestDate(S62,Trigger),"--")</f>
        <v>--</v>
      </c>
      <c r="U62" s="141" t="str">
        <f>IFERROR(_xll.qlRateHelperPillarDate(S62,Trigger),"--")</f>
        <v>--</v>
      </c>
      <c r="W62" s="3" t="str">
        <f t="shared" si="17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25</v>
      </c>
      <c r="B63" s="61" t="s">
        <v>127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22"/>
        <v>UsdLibor3M</v>
      </c>
      <c r="H63" s="60" t="str">
        <f t="shared" si="23"/>
        <v>USDAM3L11Y_Quote</v>
      </c>
      <c r="I63" s="129">
        <v>0</v>
      </c>
      <c r="J63" s="175" t="str">
        <f>IF(P57,_xll.qlSwapRateHelper2(,H63,,B63,JoinCalendar,D63,E63,F63,G63,I63,C63,Discounting,PillarDate,,Permanent,Trigger,ObjectOverwrite),"--")</f>
        <v>--</v>
      </c>
      <c r="L63" s="162" t="str">
        <f t="shared" si="19"/>
        <v>Sw</v>
      </c>
      <c r="M63" s="183" t="str">
        <f t="shared" si="20"/>
        <v>USDAM3L17Y_Quote</v>
      </c>
      <c r="N63" s="164" t="str">
        <f>IFERROR(_xll.qlQuoteValue(H69,Trigger),"--")</f>
        <v>--</v>
      </c>
      <c r="O63" s="164">
        <f t="shared" si="21"/>
        <v>0</v>
      </c>
      <c r="P63" s="140" t="b">
        <v>0</v>
      </c>
      <c r="Q63" s="140">
        <v>50</v>
      </c>
      <c r="R63" s="140">
        <v>1</v>
      </c>
      <c r="S63" s="140" t="str">
        <f t="shared" si="18"/>
        <v>--</v>
      </c>
      <c r="T63" s="141" t="str">
        <f>IFERROR(_xll.qlRateHelperEarliestDate(S63,Trigger),"--")</f>
        <v>--</v>
      </c>
      <c r="U63" s="141" t="str">
        <f>IFERROR(_xll.qlRateHelperPillarDate(S63,Trigger),"--")</f>
        <v>--</v>
      </c>
      <c r="W63" s="3" t="str">
        <f t="shared" si="17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25</v>
      </c>
      <c r="B64" s="61" t="s">
        <v>88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22"/>
        <v>UsdLibor3M</v>
      </c>
      <c r="H64" s="60" t="str">
        <f t="shared" si="23"/>
        <v>USDAM3L12Y_Quote</v>
      </c>
      <c r="I64" s="129">
        <v>0</v>
      </c>
      <c r="J64" s="175" t="str">
        <f>IF(P58,_xll.qlSwapRateHelper2(,H64,,B64,JoinCalendar,D64,E64,F64,G64,I64,C64,Discounting,PillarDate,,Permanent,Trigger,ObjectOverwrite),"--")</f>
        <v>obj_002b2#0003</v>
      </c>
      <c r="L64" s="162" t="str">
        <f t="shared" si="19"/>
        <v>Sw</v>
      </c>
      <c r="M64" s="183" t="str">
        <f t="shared" si="20"/>
        <v>USDAM3L18Y_Quote</v>
      </c>
      <c r="N64" s="164" t="str">
        <f>IFERROR(_xll.qlQuoteValue(H70,Trigger),"--")</f>
        <v>--</v>
      </c>
      <c r="O64" s="164">
        <f t="shared" si="21"/>
        <v>0</v>
      </c>
      <c r="P64" s="140" t="b">
        <v>0</v>
      </c>
      <c r="Q64" s="140">
        <v>50</v>
      </c>
      <c r="R64" s="140">
        <v>1</v>
      </c>
      <c r="S64" s="140" t="str">
        <f t="shared" si="18"/>
        <v>--</v>
      </c>
      <c r="T64" s="141" t="str">
        <f>IFERROR(_xll.qlRateHelperEarliestDate(S64,Trigger),"--")</f>
        <v>--</v>
      </c>
      <c r="U64" s="141" t="str">
        <f>IFERROR(_xll.qlRateHelperPillarDate(S64,Trigger),"--")</f>
        <v>--</v>
      </c>
      <c r="W64" s="3" t="str">
        <f t="shared" si="17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25</v>
      </c>
      <c r="B65" s="61" t="s">
        <v>128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22"/>
        <v>UsdLibor3M</v>
      </c>
      <c r="H65" s="60" t="str">
        <f t="shared" si="23"/>
        <v>USDAM3L13Y_Quote</v>
      </c>
      <c r="I65" s="129">
        <v>0</v>
      </c>
      <c r="J65" s="175" t="str">
        <f>IF(P59,_xll.qlSwapRateHelper2(,H65,,B65,JoinCalendar,D65,E65,F65,G65,I65,C65,Discounting,PillarDate,,Permanent,Trigger,ObjectOverwrite),"--")</f>
        <v>--</v>
      </c>
      <c r="L65" s="162" t="str">
        <f t="shared" si="19"/>
        <v>Sw</v>
      </c>
      <c r="M65" s="183" t="str">
        <f t="shared" si="20"/>
        <v>USDAM3L19Y_Quote</v>
      </c>
      <c r="N65" s="164" t="str">
        <f>IFERROR(_xll.qlQuoteValue(H71,Trigger),"--")</f>
        <v>--</v>
      </c>
      <c r="O65" s="164">
        <f t="shared" si="21"/>
        <v>0</v>
      </c>
      <c r="P65" s="140" t="b">
        <v>0</v>
      </c>
      <c r="Q65" s="140">
        <v>50</v>
      </c>
      <c r="R65" s="140">
        <v>1</v>
      </c>
      <c r="S65" s="140" t="str">
        <f t="shared" si="18"/>
        <v>--</v>
      </c>
      <c r="T65" s="141" t="str">
        <f>IFERROR(_xll.qlRateHelperEarliestDate(S65,Trigger),"--")</f>
        <v>--</v>
      </c>
      <c r="U65" s="141" t="str">
        <f>IFERROR(_xll.qlRateHelperPillarDate(S65,Trigger),"--")</f>
        <v>--</v>
      </c>
      <c r="W65" s="3" t="str">
        <f t="shared" si="17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25</v>
      </c>
      <c r="B66" s="61" t="s">
        <v>129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22"/>
        <v>UsdLibor3M</v>
      </c>
      <c r="H66" s="60" t="str">
        <f t="shared" si="23"/>
        <v>USDAM3L14Y_Quote</v>
      </c>
      <c r="I66" s="129">
        <v>0</v>
      </c>
      <c r="J66" s="175" t="str">
        <f>IF(P60,_xll.qlSwapRateHelper2(,H66,,B66,JoinCalendar,D66,E66,F66,G66,I66,C66,Discounting,PillarDate,,Permanent,Trigger,ObjectOverwrite),"--")</f>
        <v>--</v>
      </c>
      <c r="L66" s="162" t="str">
        <f t="shared" si="19"/>
        <v>Sw</v>
      </c>
      <c r="M66" s="183" t="str">
        <f t="shared" si="20"/>
        <v>USDAM3L20Y_Quote</v>
      </c>
      <c r="N66" s="164">
        <f>IFERROR(_xll.qlQuoteValue(H72,Trigger),"--")</f>
        <v>1.6640000000000002E-2</v>
      </c>
      <c r="O66" s="164">
        <f t="shared" si="21"/>
        <v>0</v>
      </c>
      <c r="P66" s="140" t="b">
        <v>1</v>
      </c>
      <c r="Q66" s="140">
        <v>50</v>
      </c>
      <c r="R66" s="140">
        <v>1</v>
      </c>
      <c r="S66" s="140" t="str">
        <f t="shared" si="18"/>
        <v>obj_002b8#0003</v>
      </c>
      <c r="T66" s="141">
        <f>IFERROR(_xll.qlRateHelperEarliestDate(S66,Trigger),"--")</f>
        <v>42643</v>
      </c>
      <c r="U66" s="141">
        <f>IFERROR(_xll.qlRateHelperPillarDate(S66,Trigger),"--")</f>
        <v>49948</v>
      </c>
      <c r="W66" s="3" t="str">
        <f t="shared" si="17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#N/A</v>
      </c>
    </row>
    <row r="67" spans="1:30" ht="11.25" customHeight="1" x14ac:dyDescent="0.2">
      <c r="A67" s="60" t="s">
        <v>25</v>
      </c>
      <c r="B67" s="61" t="s">
        <v>89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22"/>
        <v>UsdLibor3M</v>
      </c>
      <c r="H67" s="60" t="str">
        <f t="shared" si="23"/>
        <v>USDAM3L15Y_Quote</v>
      </c>
      <c r="I67" s="129">
        <v>0</v>
      </c>
      <c r="J67" s="175" t="str">
        <f>IF(P61,_xll.qlSwapRateHelper2(,H67,,B67,JoinCalendar,D67,E67,F67,G67,I67,C67,Discounting,PillarDate,,Permanent,Trigger,ObjectOverwrite),"--")</f>
        <v>obj_002bc#0003</v>
      </c>
      <c r="L67" s="162" t="str">
        <f t="shared" si="19"/>
        <v>Sw</v>
      </c>
      <c r="M67" s="183" t="str">
        <f t="shared" si="20"/>
        <v>USDAM3L21Y_Quote</v>
      </c>
      <c r="N67" s="164" t="str">
        <f>IFERROR(_xll.qlQuoteValue(H73,Trigger),"--")</f>
        <v>--</v>
      </c>
      <c r="O67" s="164">
        <f t="shared" si="21"/>
        <v>0</v>
      </c>
      <c r="P67" s="140" t="b">
        <v>0</v>
      </c>
      <c r="Q67" s="140">
        <v>50</v>
      </c>
      <c r="R67" s="140">
        <v>1</v>
      </c>
      <c r="S67" s="140" t="str">
        <f t="shared" si="18"/>
        <v>--</v>
      </c>
      <c r="T67" s="141" t="str">
        <f>IFERROR(_xll.qlRateHelperEarliestDate(S67,Trigger),"--")</f>
        <v>--</v>
      </c>
      <c r="U67" s="141" t="str">
        <f>IFERROR(_xll.qlRateHelperPillarDate(S67,Trigger),"--")</f>
        <v>--</v>
      </c>
      <c r="W67" s="3" t="str">
        <f t="shared" ref="W67:W88" si="24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#N/A</v>
      </c>
    </row>
    <row r="68" spans="1:30" ht="11.25" customHeight="1" x14ac:dyDescent="0.2">
      <c r="A68" s="60" t="s">
        <v>25</v>
      </c>
      <c r="B68" s="61" t="s">
        <v>130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22"/>
        <v>UsdLibor3M</v>
      </c>
      <c r="H68" s="60" t="str">
        <f t="shared" si="23"/>
        <v>USDAM3L16Y_Quote</v>
      </c>
      <c r="I68" s="129">
        <v>0</v>
      </c>
      <c r="J68" s="175" t="str">
        <f>IF(P62,_xll.qlSwapRateHelper2(,H68,,B68,JoinCalendar,D68,E68,F68,G68,I68,C68,Discounting,PillarDate,,Permanent,Trigger,ObjectOverwrite),"--")</f>
        <v>--</v>
      </c>
      <c r="L68" s="162" t="str">
        <f t="shared" si="19"/>
        <v>Sw</v>
      </c>
      <c r="M68" s="183" t="str">
        <f t="shared" si="20"/>
        <v>USDAM3L22Y_Quote</v>
      </c>
      <c r="N68" s="164" t="str">
        <f>IFERROR(_xll.qlQuoteValue(H74,Trigger),"--")</f>
        <v>--</v>
      </c>
      <c r="O68" s="164">
        <f t="shared" si="21"/>
        <v>0</v>
      </c>
      <c r="P68" s="140" t="b">
        <v>0</v>
      </c>
      <c r="Q68" s="140">
        <v>50</v>
      </c>
      <c r="R68" s="140">
        <v>1</v>
      </c>
      <c r="S68" s="140" t="str">
        <f t="shared" si="18"/>
        <v>--</v>
      </c>
      <c r="T68" s="141" t="str">
        <f>IFERROR(_xll.qlRateHelperEarliestDate(S68,Trigger),"--")</f>
        <v>--</v>
      </c>
      <c r="U68" s="141" t="str">
        <f>IFERROR(_xll.qlRateHelperPillarDate(S68,Trigger),"--")</f>
        <v>--</v>
      </c>
      <c r="W68" s="3" t="str">
        <f t="shared" si="24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#N/A</v>
      </c>
    </row>
    <row r="69" spans="1:30" ht="11.25" customHeight="1" x14ac:dyDescent="0.2">
      <c r="A69" s="60" t="s">
        <v>25</v>
      </c>
      <c r="B69" s="61" t="s">
        <v>131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22"/>
        <v>UsdLibor3M</v>
      </c>
      <c r="H69" s="60" t="str">
        <f t="shared" si="23"/>
        <v>USDAM3L17Y_Quote</v>
      </c>
      <c r="I69" s="129">
        <v>0</v>
      </c>
      <c r="J69" s="175" t="str">
        <f>IF(P63,_xll.qlSwapRateHelper2(,H69,,B69,JoinCalendar,D69,E69,F69,G69,I69,C69,Discounting,PillarDate,,Permanent,Trigger,ObjectOverwrite),"--")</f>
        <v>--</v>
      </c>
      <c r="L69" s="162" t="str">
        <f t="shared" si="19"/>
        <v>Sw</v>
      </c>
      <c r="M69" s="183" t="str">
        <f t="shared" si="20"/>
        <v>USDAM3L23Y_Quote</v>
      </c>
      <c r="N69" s="164" t="str">
        <f>IFERROR(_xll.qlQuoteValue(H75,Trigger),"--")</f>
        <v>--</v>
      </c>
      <c r="O69" s="164">
        <f t="shared" si="21"/>
        <v>0</v>
      </c>
      <c r="P69" s="140" t="b">
        <v>0</v>
      </c>
      <c r="Q69" s="140">
        <v>50</v>
      </c>
      <c r="R69" s="140">
        <v>1</v>
      </c>
      <c r="S69" s="140" t="str">
        <f t="shared" si="18"/>
        <v>--</v>
      </c>
      <c r="T69" s="141" t="str">
        <f>IFERROR(_xll.qlRateHelperEarliestDate(S69,Trigger),"--")</f>
        <v>--</v>
      </c>
      <c r="U69" s="141" t="str">
        <f>IFERROR(_xll.qlRateHelperPillarDate(S69,Trigger),"--")</f>
        <v>--</v>
      </c>
      <c r="W69" s="3" t="str">
        <f t="shared" si="24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#N/A</v>
      </c>
    </row>
    <row r="70" spans="1:30" ht="11.25" customHeight="1" x14ac:dyDescent="0.2">
      <c r="A70" s="60" t="s">
        <v>25</v>
      </c>
      <c r="B70" s="61" t="s">
        <v>132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22"/>
        <v>UsdLibor3M</v>
      </c>
      <c r="H70" s="60" t="str">
        <f t="shared" si="23"/>
        <v>USDAM3L18Y_Quote</v>
      </c>
      <c r="I70" s="129">
        <v>0</v>
      </c>
      <c r="J70" s="175" t="str">
        <f>IF(P64,_xll.qlSwapRateHelper2(,H70,,B70,JoinCalendar,D70,E70,F70,G70,I70,C70,Discounting,PillarDate,,Permanent,Trigger,ObjectOverwrite),"--")</f>
        <v>--</v>
      </c>
      <c r="L70" s="162" t="str">
        <f t="shared" si="19"/>
        <v>Sw</v>
      </c>
      <c r="M70" s="183" t="str">
        <f t="shared" si="20"/>
        <v>USDAM3L24Y_Quote</v>
      </c>
      <c r="N70" s="164" t="str">
        <f>IFERROR(_xll.qlQuoteValue(H76,Trigger),"--")</f>
        <v>--</v>
      </c>
      <c r="O70" s="164">
        <f t="shared" si="21"/>
        <v>0</v>
      </c>
      <c r="P70" s="140" t="b">
        <v>0</v>
      </c>
      <c r="Q70" s="140">
        <v>50</v>
      </c>
      <c r="R70" s="140">
        <v>1</v>
      </c>
      <c r="S70" s="140" t="str">
        <f t="shared" si="18"/>
        <v>--</v>
      </c>
      <c r="T70" s="141" t="str">
        <f>IFERROR(_xll.qlRateHelperEarliestDate(S70,Trigger),"--")</f>
        <v>--</v>
      </c>
      <c r="U70" s="141" t="str">
        <f>IFERROR(_xll.qlRateHelperPillarDate(S70,Trigger),"--")</f>
        <v>--</v>
      </c>
      <c r="W70" s="3" t="str">
        <f t="shared" si="24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#N/A</v>
      </c>
    </row>
    <row r="71" spans="1:30" ht="11.25" customHeight="1" x14ac:dyDescent="0.2">
      <c r="A71" s="60" t="s">
        <v>25</v>
      </c>
      <c r="B71" s="61" t="s">
        <v>133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22"/>
        <v>UsdLibor3M</v>
      </c>
      <c r="H71" s="60" t="str">
        <f t="shared" si="23"/>
        <v>USDAM3L19Y_Quote</v>
      </c>
      <c r="I71" s="129">
        <v>0</v>
      </c>
      <c r="J71" s="175" t="str">
        <f>IF(P65,_xll.qlSwapRateHelper2(,H71,,B71,JoinCalendar,D71,E71,F71,G71,I71,C71,Discounting,PillarDate,,Permanent,Trigger,ObjectOverwrite),"--")</f>
        <v>--</v>
      </c>
      <c r="L71" s="162" t="str">
        <f t="shared" si="19"/>
        <v>Sw</v>
      </c>
      <c r="M71" s="183" t="str">
        <f t="shared" si="20"/>
        <v>USDAM3L25Y_Quote</v>
      </c>
      <c r="N71" s="164">
        <f>IFERROR(_xll.qlQuoteValue(H77,Trigger),"--")</f>
        <v>1.7059999999999999E-2</v>
      </c>
      <c r="O71" s="164">
        <f t="shared" si="21"/>
        <v>0</v>
      </c>
      <c r="P71" s="140" t="b">
        <v>1</v>
      </c>
      <c r="Q71" s="140">
        <v>50</v>
      </c>
      <c r="R71" s="140">
        <v>1</v>
      </c>
      <c r="S71" s="140" t="str">
        <f t="shared" si="18"/>
        <v>obj_002db#0003</v>
      </c>
      <c r="T71" s="141">
        <f>IFERROR(_xll.qlRateHelperEarliestDate(S71,Trigger),"--")</f>
        <v>42643</v>
      </c>
      <c r="U71" s="141">
        <f>IFERROR(_xll.qlRateHelperPillarDate(S71,Trigger),"--")</f>
        <v>51774</v>
      </c>
      <c r="W71" s="3" t="str">
        <f t="shared" si="24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#N/A</v>
      </c>
    </row>
    <row r="72" spans="1:30" ht="11.25" customHeight="1" x14ac:dyDescent="0.2">
      <c r="A72" s="60" t="s">
        <v>25</v>
      </c>
      <c r="B72" s="61" t="s">
        <v>90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22"/>
        <v>UsdLibor3M</v>
      </c>
      <c r="H72" s="60" t="str">
        <f t="shared" si="23"/>
        <v>USDAM3L20Y_Quote</v>
      </c>
      <c r="I72" s="129">
        <v>0</v>
      </c>
      <c r="J72" s="175" t="str">
        <f>IF(P66,_xll.qlSwapRateHelper2(,H72,,B72,JoinCalendar,D72,E72,F72,G72,I72,C72,Discounting,PillarDate,,Permanent,Trigger,ObjectOverwrite),"--")</f>
        <v>obj_002b8#0003</v>
      </c>
      <c r="L72" s="162" t="str">
        <f t="shared" si="19"/>
        <v>Sw</v>
      </c>
      <c r="M72" s="183" t="str">
        <f t="shared" si="20"/>
        <v>USDAM3L26Y_Quote</v>
      </c>
      <c r="N72" s="164" t="str">
        <f>IFERROR(_xll.qlQuoteValue(H78,Trigger),"--")</f>
        <v>--</v>
      </c>
      <c r="O72" s="164">
        <f t="shared" si="21"/>
        <v>0</v>
      </c>
      <c r="P72" s="140" t="b">
        <v>0</v>
      </c>
      <c r="Q72" s="140">
        <v>50</v>
      </c>
      <c r="R72" s="140">
        <v>1</v>
      </c>
      <c r="S72" s="140" t="str">
        <f t="shared" si="18"/>
        <v>--</v>
      </c>
      <c r="T72" s="141" t="str">
        <f>IFERROR(_xll.qlRateHelperEarliestDate(S72,Trigger),"--")</f>
        <v>--</v>
      </c>
      <c r="U72" s="141" t="str">
        <f>IFERROR(_xll.qlRateHelperPillarDate(S72,Trigger),"--")</f>
        <v>--</v>
      </c>
      <c r="W72" s="3" t="str">
        <f t="shared" si="24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#N/A</v>
      </c>
    </row>
    <row r="73" spans="1:30" ht="11.25" customHeight="1" x14ac:dyDescent="0.2">
      <c r="A73" s="60" t="s">
        <v>25</v>
      </c>
      <c r="B73" s="61" t="s">
        <v>134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22"/>
        <v>UsdLibor3M</v>
      </c>
      <c r="H73" s="60" t="str">
        <f t="shared" si="23"/>
        <v>USDAM3L21Y_Quote</v>
      </c>
      <c r="I73" s="129">
        <v>0</v>
      </c>
      <c r="J73" s="175" t="str">
        <f>IF(P67,_xll.qlSwapRateHelper2(,H73,,B73,JoinCalendar,D73,E73,F73,G73,I73,C73,Discounting,PillarDate,,Permanent,Trigger,ObjectOverwrite),"--")</f>
        <v>--</v>
      </c>
      <c r="L73" s="162" t="str">
        <f t="shared" si="19"/>
        <v>Sw</v>
      </c>
      <c r="M73" s="183" t="str">
        <f t="shared" si="20"/>
        <v>USDAM3L27Y_Quote</v>
      </c>
      <c r="N73" s="164" t="str">
        <f>IFERROR(_xll.qlQuoteValue(H79,Trigger),"--")</f>
        <v>--</v>
      </c>
      <c r="O73" s="164">
        <f t="shared" si="21"/>
        <v>0</v>
      </c>
      <c r="P73" s="140" t="b">
        <v>0</v>
      </c>
      <c r="Q73" s="140">
        <v>50</v>
      </c>
      <c r="R73" s="140">
        <v>1</v>
      </c>
      <c r="S73" s="140" t="str">
        <f t="shared" si="18"/>
        <v>--</v>
      </c>
      <c r="T73" s="141" t="str">
        <f>IFERROR(_xll.qlRateHelperEarliestDate(S73,Trigger),"--")</f>
        <v>--</v>
      </c>
      <c r="U73" s="141" t="str">
        <f>IFERROR(_xll.qlRateHelperPillarDate(S73,Trigger),"--")</f>
        <v>--</v>
      </c>
      <c r="W73" s="3" t="str">
        <f t="shared" si="24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#N/A</v>
      </c>
    </row>
    <row r="74" spans="1:30" ht="11.25" customHeight="1" x14ac:dyDescent="0.2">
      <c r="A74" s="60" t="s">
        <v>25</v>
      </c>
      <c r="B74" s="61" t="s">
        <v>135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22"/>
        <v>UsdLibor3M</v>
      </c>
      <c r="H74" s="60" t="str">
        <f t="shared" si="23"/>
        <v>USDAM3L22Y_Quote</v>
      </c>
      <c r="I74" s="129">
        <v>0</v>
      </c>
      <c r="J74" s="175" t="str">
        <f>IF(P68,_xll.qlSwapRateHelper2(,H74,,B74,JoinCalendar,D74,E74,F74,G74,I74,C74,Discounting,PillarDate,,Permanent,Trigger,ObjectOverwrite),"--")</f>
        <v>--</v>
      </c>
      <c r="L74" s="162" t="str">
        <f t="shared" si="19"/>
        <v>Sw</v>
      </c>
      <c r="M74" s="183" t="str">
        <f t="shared" si="20"/>
        <v>USDAM3L28Y_Quote</v>
      </c>
      <c r="N74" s="164" t="str">
        <f>IFERROR(_xll.qlQuoteValue(H80,Trigger),"--")</f>
        <v>--</v>
      </c>
      <c r="O74" s="164">
        <f t="shared" si="21"/>
        <v>0</v>
      </c>
      <c r="P74" s="140" t="b">
        <v>0</v>
      </c>
      <c r="Q74" s="140">
        <v>50</v>
      </c>
      <c r="R74" s="140">
        <v>1</v>
      </c>
      <c r="S74" s="140" t="str">
        <f t="shared" si="18"/>
        <v>--</v>
      </c>
      <c r="T74" s="141" t="str">
        <f>IFERROR(_xll.qlRateHelperEarliestDate(S74,Trigger),"--")</f>
        <v>--</v>
      </c>
      <c r="U74" s="141" t="str">
        <f>IFERROR(_xll.qlRateHelperPillarDate(S74,Trigger),"--")</f>
        <v>--</v>
      </c>
      <c r="W74" s="3" t="str">
        <f t="shared" si="24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#N/A</v>
      </c>
    </row>
    <row r="75" spans="1:30" ht="11.25" customHeight="1" x14ac:dyDescent="0.2">
      <c r="A75" s="60" t="s">
        <v>25</v>
      </c>
      <c r="B75" s="61" t="s">
        <v>136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22"/>
        <v>UsdLibor3M</v>
      </c>
      <c r="H75" s="60" t="str">
        <f t="shared" si="23"/>
        <v>USDAM3L23Y_Quote</v>
      </c>
      <c r="I75" s="129">
        <v>0</v>
      </c>
      <c r="J75" s="175" t="str">
        <f>IF(P69,_xll.qlSwapRateHelper2(,H75,,B75,JoinCalendar,D75,E75,F75,G75,I75,C75,Discounting,PillarDate,,Permanent,Trigger,ObjectOverwrite),"--")</f>
        <v>--</v>
      </c>
      <c r="L75" s="162" t="str">
        <f t="shared" si="19"/>
        <v>Sw</v>
      </c>
      <c r="M75" s="183" t="str">
        <f t="shared" si="20"/>
        <v>USDAM3L29Y_Quote</v>
      </c>
      <c r="N75" s="164" t="str">
        <f>IFERROR(_xll.qlQuoteValue(H81,Trigger),"--")</f>
        <v>--</v>
      </c>
      <c r="O75" s="164">
        <f t="shared" si="21"/>
        <v>0</v>
      </c>
      <c r="P75" s="140" t="b">
        <v>0</v>
      </c>
      <c r="Q75" s="140">
        <v>50</v>
      </c>
      <c r="R75" s="140">
        <v>1</v>
      </c>
      <c r="S75" s="140" t="str">
        <f t="shared" si="18"/>
        <v>--</v>
      </c>
      <c r="T75" s="141" t="str">
        <f>IFERROR(_xll.qlRateHelperEarliestDate(S75,Trigger),"--")</f>
        <v>--</v>
      </c>
      <c r="U75" s="141" t="str">
        <f>IFERROR(_xll.qlRateHelperPillarDate(S75,Trigger),"--")</f>
        <v>--</v>
      </c>
      <c r="W75" s="3" t="str">
        <f t="shared" si="24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#N/A</v>
      </c>
    </row>
    <row r="76" spans="1:30" ht="11.25" customHeight="1" x14ac:dyDescent="0.2">
      <c r="A76" s="60" t="s">
        <v>25</v>
      </c>
      <c r="B76" s="61" t="s">
        <v>137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22"/>
        <v>UsdLibor3M</v>
      </c>
      <c r="H76" s="60" t="str">
        <f t="shared" si="23"/>
        <v>USDAM3L24Y_Quote</v>
      </c>
      <c r="I76" s="129">
        <v>0</v>
      </c>
      <c r="J76" s="175" t="str">
        <f>IF(P70,_xll.qlSwapRateHelper2(,H76,,B76,JoinCalendar,D76,E76,F76,G76,I76,C76,Discounting,PillarDate,,Permanent,Trigger,ObjectOverwrite),"--")</f>
        <v>--</v>
      </c>
      <c r="L76" s="162" t="str">
        <f t="shared" si="19"/>
        <v>Sw</v>
      </c>
      <c r="M76" s="183" t="str">
        <f t="shared" si="20"/>
        <v>USDAM3L30Y_Quote</v>
      </c>
      <c r="N76" s="164">
        <f>IFERROR(_xll.qlQuoteValue(H82,Trigger),"--")</f>
        <v>1.728E-2</v>
      </c>
      <c r="O76" s="164">
        <f t="shared" si="21"/>
        <v>0</v>
      </c>
      <c r="P76" s="140" t="b">
        <v>1</v>
      </c>
      <c r="Q76" s="140">
        <v>50</v>
      </c>
      <c r="R76" s="140">
        <v>1</v>
      </c>
      <c r="S76" s="140" t="str">
        <f t="shared" si="18"/>
        <v>obj_002dc#0003</v>
      </c>
      <c r="T76" s="141">
        <f>IFERROR(_xll.qlRateHelperEarliestDate(S76,Trigger),"--")</f>
        <v>42643</v>
      </c>
      <c r="U76" s="141">
        <f>IFERROR(_xll.qlRateHelperPillarDate(S76,Trigger),"--")</f>
        <v>53598</v>
      </c>
      <c r="W76" s="3" t="str">
        <f t="shared" si="24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#N/A</v>
      </c>
    </row>
    <row r="77" spans="1:30" ht="11.25" customHeight="1" x14ac:dyDescent="0.2">
      <c r="A77" s="60" t="s">
        <v>25</v>
      </c>
      <c r="B77" s="61" t="s">
        <v>91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22"/>
        <v>UsdLibor3M</v>
      </c>
      <c r="H77" s="60" t="str">
        <f t="shared" si="23"/>
        <v>USDAM3L25Y_Quote</v>
      </c>
      <c r="I77" s="129">
        <v>0</v>
      </c>
      <c r="J77" s="175" t="str">
        <f>IF(P71,_xll.qlSwapRateHelper2(,H77,,B77,JoinCalendar,D77,E77,F77,G77,I77,C77,Discounting,PillarDate,,Permanent,Trigger,ObjectOverwrite),"--")</f>
        <v>obj_002db#0003</v>
      </c>
      <c r="L77" s="162" t="str">
        <f t="shared" si="19"/>
        <v>Sw</v>
      </c>
      <c r="M77" s="183" t="str">
        <f t="shared" si="20"/>
        <v>USDAM3L35Y_Quote</v>
      </c>
      <c r="N77" s="164" t="str">
        <f>IFERROR(_xll.qlQuoteValue(H83,Trigger),"--")</f>
        <v>--</v>
      </c>
      <c r="O77" s="164">
        <f t="shared" si="21"/>
        <v>0</v>
      </c>
      <c r="P77" s="140" t="b">
        <v>0</v>
      </c>
      <c r="Q77" s="140">
        <v>50</v>
      </c>
      <c r="R77" s="140">
        <v>1</v>
      </c>
      <c r="S77" s="140" t="str">
        <f t="shared" si="18"/>
        <v>--</v>
      </c>
      <c r="T77" s="141" t="str">
        <f>IFERROR(_xll.qlRateHelperEarliestDate(S77,Trigger),"--")</f>
        <v>--</v>
      </c>
      <c r="U77" s="141" t="str">
        <f>IFERROR(_xll.qlRateHelperPillarDate(S77,Trigger),"--")</f>
        <v>--</v>
      </c>
      <c r="W77" s="3" t="str">
        <f t="shared" si="24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#N/A</v>
      </c>
    </row>
    <row r="78" spans="1:30" ht="11.25" customHeight="1" x14ac:dyDescent="0.2">
      <c r="A78" s="60" t="s">
        <v>25</v>
      </c>
      <c r="B78" s="61" t="s">
        <v>138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22"/>
        <v>UsdLibor3M</v>
      </c>
      <c r="H78" s="60" t="str">
        <f t="shared" si="23"/>
        <v>USDAM3L26Y_Quote</v>
      </c>
      <c r="I78" s="129">
        <v>0</v>
      </c>
      <c r="J78" s="175" t="str">
        <f>IF(P72,_xll.qlSwapRateHelper2(,H78,,B78,JoinCalendar,D78,E78,F78,G78,I78,C78,Discounting,PillarDate,,Permanent,Trigger,ObjectOverwrite),"--")</f>
        <v>--</v>
      </c>
      <c r="L78" s="162" t="str">
        <f t="shared" si="19"/>
        <v>Sw</v>
      </c>
      <c r="M78" s="183" t="str">
        <f t="shared" si="20"/>
        <v>USDAM3L40Y_Quote</v>
      </c>
      <c r="N78" s="164">
        <f>IFERROR(_xll.qlQuoteValue(H84,Trigger),"--")</f>
        <v>1.738E-2</v>
      </c>
      <c r="O78" s="164">
        <f t="shared" si="21"/>
        <v>0</v>
      </c>
      <c r="P78" s="149" t="b">
        <f>NOT(ISERROR(_xll.qlQuoteValue(M78)))</f>
        <v>1</v>
      </c>
      <c r="Q78" s="140">
        <v>50</v>
      </c>
      <c r="R78" s="140">
        <v>1</v>
      </c>
      <c r="S78" s="140" t="str">
        <f t="shared" si="18"/>
        <v>obj_002dd#0003</v>
      </c>
      <c r="T78" s="141">
        <f>IFERROR(_xll.qlRateHelperEarliestDate(S78,Trigger),"--")</f>
        <v>42643</v>
      </c>
      <c r="U78" s="141">
        <f>IFERROR(_xll.qlRateHelperPillarDate(S78,Trigger),"--")</f>
        <v>57252</v>
      </c>
      <c r="W78" s="3" t="str">
        <f t="shared" si="24"/>
        <v/>
      </c>
      <c r="X78" s="3" t="e">
        <v>#N/A</v>
      </c>
      <c r="Y78" s="3" t="str">
        <f>IFERROR(_xll.qlRateHelperQuoteName(X78,Trigger),"")</f>
        <v/>
      </c>
      <c r="Z78" s="70" t="str">
        <f>IFERROR(_xll.qlRateHelperRate(X78,Trigger),"")</f>
        <v/>
      </c>
      <c r="AA78" s="10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6" t="e">
        <v>#N/A</v>
      </c>
    </row>
    <row r="79" spans="1:30" ht="11.25" customHeight="1" x14ac:dyDescent="0.2">
      <c r="A79" s="60" t="s">
        <v>25</v>
      </c>
      <c r="B79" s="61" t="s">
        <v>92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22"/>
        <v>UsdLibor3M</v>
      </c>
      <c r="H79" s="60" t="str">
        <f t="shared" si="23"/>
        <v>USDAM3L27Y_Quote</v>
      </c>
      <c r="I79" s="129">
        <v>0</v>
      </c>
      <c r="J79" s="175" t="str">
        <f>IF(P73,_xll.qlSwapRateHelper2(,H79,,B79,JoinCalendar,D79,E79,F79,G79,I79,C79,Discounting,PillarDate,,Permanent,Trigger,ObjectOverwrite),"--")</f>
        <v>--</v>
      </c>
      <c r="L79" s="162" t="str">
        <f t="shared" si="19"/>
        <v>Sw</v>
      </c>
      <c r="M79" s="183" t="str">
        <f t="shared" si="20"/>
        <v>USDAM3L45Y_Quote</v>
      </c>
      <c r="N79" s="164" t="str">
        <f>IFERROR(_xll.qlQuoteValue(H85,Trigger),"--")</f>
        <v>--</v>
      </c>
      <c r="O79" s="164">
        <f t="shared" si="21"/>
        <v>0</v>
      </c>
      <c r="P79" s="140" t="b">
        <v>0</v>
      </c>
      <c r="Q79" s="140">
        <v>50</v>
      </c>
      <c r="R79" s="140">
        <v>1</v>
      </c>
      <c r="S79" s="140" t="str">
        <f t="shared" si="18"/>
        <v>--</v>
      </c>
      <c r="T79" s="141" t="str">
        <f>IFERROR(_xll.qlRateHelperEarliestDate(S79,Trigger),"--")</f>
        <v>--</v>
      </c>
      <c r="U79" s="141" t="str">
        <f>IFERROR(_xll.qlRateHelperPillarDate(S79,Trigger),"--")</f>
        <v>--</v>
      </c>
      <c r="W79" s="3" t="str">
        <f t="shared" si="24"/>
        <v/>
      </c>
      <c r="X79" s="3" t="e">
        <v>#N/A</v>
      </c>
      <c r="Y79" s="3" t="str">
        <f>IFERROR(_xll.qlRateHelperQuoteName(X79,Trigger),"")</f>
        <v/>
      </c>
      <c r="Z79" s="70" t="str">
        <f>IFERROR(_xll.qlRateHelperRate(X79,Trigger),"")</f>
        <v/>
      </c>
      <c r="AA79" s="10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6" t="e">
        <v>#N/A</v>
      </c>
    </row>
    <row r="80" spans="1:30" ht="11.25" customHeight="1" x14ac:dyDescent="0.2">
      <c r="A80" s="60" t="s">
        <v>25</v>
      </c>
      <c r="B80" s="61" t="s">
        <v>139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22"/>
        <v>UsdLibor3M</v>
      </c>
      <c r="H80" s="60" t="str">
        <f t="shared" si="23"/>
        <v>USDAM3L28Y_Quote</v>
      </c>
      <c r="I80" s="129">
        <v>0</v>
      </c>
      <c r="J80" s="175" t="str">
        <f>IF(P74,_xll.qlSwapRateHelper2(,H80,,B80,JoinCalendar,D80,E80,F80,G80,I80,C80,Discounting,PillarDate,,Permanent,Trigger,ObjectOverwrite),"--")</f>
        <v>--</v>
      </c>
      <c r="L80" s="162" t="str">
        <f t="shared" si="19"/>
        <v>Sw</v>
      </c>
      <c r="M80" s="183" t="str">
        <f t="shared" si="20"/>
        <v>USDAM3L50Y_Quote</v>
      </c>
      <c r="N80" s="164">
        <f>IFERROR(_xll.qlQuoteValue(H86,Trigger),"--")</f>
        <v>1.7330000000000002E-2</v>
      </c>
      <c r="O80" s="164">
        <f t="shared" si="21"/>
        <v>0</v>
      </c>
      <c r="P80" s="149" t="b">
        <f>NOT(ISERROR(_xll.qlQuoteValue(M80)))</f>
        <v>1</v>
      </c>
      <c r="Q80" s="140">
        <v>50</v>
      </c>
      <c r="R80" s="140">
        <v>1</v>
      </c>
      <c r="S80" s="140" t="str">
        <f t="shared" si="18"/>
        <v>obj_00299#0003</v>
      </c>
      <c r="T80" s="141">
        <f>IFERROR(_xll.qlRateHelperEarliestDate(S80,Trigger),"--")</f>
        <v>42643</v>
      </c>
      <c r="U80" s="141">
        <f>IFERROR(_xll.qlRateHelperPillarDate(S80,Trigger),"--")</f>
        <v>60905</v>
      </c>
      <c r="W80" s="3" t="str">
        <f t="shared" si="24"/>
        <v/>
      </c>
      <c r="X80" s="3" t="e">
        <v>#N/A</v>
      </c>
      <c r="Y80" s="3" t="str">
        <f>IFERROR(_xll.qlRateHelperQuoteName(X80,Trigger),"")</f>
        <v/>
      </c>
      <c r="Z80" s="70" t="str">
        <f>IFERROR(_xll.qlRateHelperRate(X80,Trigger),"")</f>
        <v/>
      </c>
      <c r="AA80" s="10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6" t="e">
        <v>#N/A</v>
      </c>
    </row>
    <row r="81" spans="1:30" x14ac:dyDescent="0.2">
      <c r="A81" s="60" t="s">
        <v>25</v>
      </c>
      <c r="B81" s="61" t="s">
        <v>140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22"/>
        <v>UsdLibor3M</v>
      </c>
      <c r="H81" s="60" t="str">
        <f t="shared" si="23"/>
        <v>USDAM3L29Y_Quote</v>
      </c>
      <c r="I81" s="129">
        <v>0</v>
      </c>
      <c r="J81" s="175" t="str">
        <f>IF(P75,_xll.qlSwapRateHelper2(,H81,,B81,JoinCalendar,D81,E81,F81,G81,I81,C81,Discounting,PillarDate,,Permanent,Trigger,ObjectOverwrite),"--")</f>
        <v>--</v>
      </c>
      <c r="L81" s="168" t="str">
        <f t="shared" si="19"/>
        <v>Sw</v>
      </c>
      <c r="M81" s="183" t="str">
        <f t="shared" si="20"/>
        <v>USDAM3L60Y_Quote</v>
      </c>
      <c r="N81" s="170" t="str">
        <f>IFERROR(_xll.qlQuoteValue(H87,Trigger),"--")</f>
        <v>--</v>
      </c>
      <c r="O81" s="170">
        <f t="shared" si="21"/>
        <v>0</v>
      </c>
      <c r="P81" s="142" t="b">
        <v>0</v>
      </c>
      <c r="Q81" s="142">
        <v>50</v>
      </c>
      <c r="R81" s="142">
        <v>1</v>
      </c>
      <c r="S81" s="142" t="str">
        <f t="shared" si="18"/>
        <v>--</v>
      </c>
      <c r="T81" s="141" t="str">
        <f>IFERROR(_xll.qlRateHelperEarliestDate(S81,Trigger),"--")</f>
        <v>--</v>
      </c>
      <c r="U81" s="141" t="str">
        <f>IFERROR(_xll.qlRateHelperPillarDate(S81,Trigger),"--")</f>
        <v>--</v>
      </c>
      <c r="W81" s="3" t="str">
        <f t="shared" si="24"/>
        <v/>
      </c>
      <c r="X81" s="3" t="e">
        <v>#N/A</v>
      </c>
      <c r="Y81" s="3" t="str">
        <f>IFERROR(_xll.qlRateHelperQuoteName(X81,Trigger),"")</f>
        <v/>
      </c>
      <c r="Z81" s="70" t="str">
        <f>IFERROR(_xll.qlRateHelperRate(X81,Trigger),"")</f>
        <v/>
      </c>
      <c r="AA81" s="10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6" t="e">
        <v>#N/A</v>
      </c>
    </row>
    <row r="82" spans="1:30" x14ac:dyDescent="0.2">
      <c r="A82" s="60" t="s">
        <v>25</v>
      </c>
      <c r="B82" s="61" t="s">
        <v>93</v>
      </c>
      <c r="C82" s="62" t="s">
        <v>6</v>
      </c>
      <c r="D82" s="62" t="s">
        <v>8</v>
      </c>
      <c r="E82" s="62" t="s">
        <v>7</v>
      </c>
      <c r="F82" s="62" t="s">
        <v>27</v>
      </c>
      <c r="G82" s="62" t="str">
        <f t="shared" si="22"/>
        <v>UsdLibor3M</v>
      </c>
      <c r="H82" s="60" t="str">
        <f t="shared" si="23"/>
        <v>USDAM3L30Y_Quote</v>
      </c>
      <c r="I82" s="129">
        <v>0</v>
      </c>
      <c r="J82" s="175" t="str">
        <f>IF(P76,_xll.qlSwapRateHelper2(,H82,,B82,JoinCalendar,D82,E82,F82,G82,I82,C82,Discounting,PillarDate,,Permanent,Trigger,ObjectOverwrite),"--")</f>
        <v>obj_002dc#0003</v>
      </c>
      <c r="L82" s="180" t="str">
        <f>A90</f>
        <v>Sw</v>
      </c>
      <c r="M82" s="188" t="str">
        <f>H90</f>
        <v>USD1S12_Quote</v>
      </c>
      <c r="N82" s="182">
        <f>IFERROR(_xll.qlQuoteValue(H90,Trigger),"--")</f>
        <v>9.7199999999999995E-3</v>
      </c>
      <c r="O82" s="182">
        <f>I90</f>
        <v>0</v>
      </c>
      <c r="P82" s="137" t="b">
        <v>0</v>
      </c>
      <c r="Q82" s="137">
        <v>40</v>
      </c>
      <c r="R82" s="137">
        <v>1</v>
      </c>
      <c r="S82" s="137" t="str">
        <f t="shared" ref="S82:S88" si="25">IF(ISBLANK(J90),"--",J90)</f>
        <v>--</v>
      </c>
      <c r="T82" s="138" t="str">
        <f>IFERROR(_xll.qlRateHelperEarliestDate(S82,Trigger),"--")</f>
        <v>--</v>
      </c>
      <c r="U82" s="138" t="str">
        <f>IFERROR(_xll.qlRateHelperPillarDate(S82,Trigger),"--")</f>
        <v>--</v>
      </c>
      <c r="W82" s="3" t="str">
        <f t="shared" si="24"/>
        <v/>
      </c>
      <c r="X82" s="3" t="e">
        <v>#N/A</v>
      </c>
      <c r="Y82" s="3" t="str">
        <f>IFERROR(_xll.qlRateHelperQuoteName(X82,Trigger),"")</f>
        <v/>
      </c>
      <c r="Z82" s="70" t="str">
        <f>IFERROR(_xll.qlRateHelperRate(X82,Trigger),"")</f>
        <v/>
      </c>
      <c r="AA82" s="10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6" t="e">
        <v>#N/A</v>
      </c>
    </row>
    <row r="83" spans="1:30" x14ac:dyDescent="0.2">
      <c r="A83" s="60" t="s">
        <v>25</v>
      </c>
      <c r="B83" s="61" t="s">
        <v>94</v>
      </c>
      <c r="C83" s="62" t="s">
        <v>6</v>
      </c>
      <c r="D83" s="62" t="s">
        <v>8</v>
      </c>
      <c r="E83" s="62" t="s">
        <v>7</v>
      </c>
      <c r="F83" s="62" t="s">
        <v>27</v>
      </c>
      <c r="G83" s="62" t="str">
        <f t="shared" si="22"/>
        <v>UsdLibor3M</v>
      </c>
      <c r="H83" s="60" t="str">
        <f t="shared" si="23"/>
        <v>USDAM3L35Y_Quote</v>
      </c>
      <c r="I83" s="129">
        <v>0</v>
      </c>
      <c r="J83" s="175" t="str">
        <f>IF(P77,_xll.qlSwapRateHelper2(,H83,,B83,JoinCalendar,D83,E83,F83,G83,I83,C83,Discounting,PillarDate,,Permanent,Trigger,ObjectOverwrite),"--")</f>
        <v>--</v>
      </c>
      <c r="L83" s="162" t="str">
        <f t="shared" ref="L83:L88" si="26">A91</f>
        <v>Sw</v>
      </c>
      <c r="M83" s="183" t="str">
        <f t="shared" ref="M83:M88" si="27">H91</f>
        <v>USD2S12_Quote</v>
      </c>
      <c r="N83" s="164">
        <f>IFERROR(_xll.qlQuoteValue(H91,Trigger),"--")</f>
        <v>1.0019999999999999E-2</v>
      </c>
      <c r="O83" s="164">
        <f t="shared" ref="O83:O88" si="28">I91</f>
        <v>0</v>
      </c>
      <c r="P83" s="140" t="b">
        <v>0</v>
      </c>
      <c r="Q83" s="140">
        <v>40</v>
      </c>
      <c r="R83" s="140">
        <v>1</v>
      </c>
      <c r="S83" s="140" t="str">
        <f t="shared" si="25"/>
        <v>--</v>
      </c>
      <c r="T83" s="141" t="str">
        <f>IFERROR(_xll.qlRateHelperEarliestDate(S83,Trigger),"--")</f>
        <v>--</v>
      </c>
      <c r="U83" s="141" t="str">
        <f>IFERROR(_xll.qlRateHelperPillarDate(S83,Trigger),"--")</f>
        <v>--</v>
      </c>
      <c r="W83" s="3" t="str">
        <f t="shared" si="24"/>
        <v/>
      </c>
      <c r="X83" s="3" t="e">
        <v>#N/A</v>
      </c>
      <c r="Y83" s="3" t="str">
        <f>IFERROR(_xll.qlRateHelperQuoteName(X83,Trigger),"")</f>
        <v/>
      </c>
      <c r="Z83" s="70" t="str">
        <f>IFERROR(_xll.qlRateHelperRate(X83,Trigger),"")</f>
        <v/>
      </c>
      <c r="AA83" s="10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6" t="e">
        <v>#N/A</v>
      </c>
    </row>
    <row r="84" spans="1:30" x14ac:dyDescent="0.2">
      <c r="A84" s="60" t="s">
        <v>25</v>
      </c>
      <c r="B84" s="61" t="s">
        <v>95</v>
      </c>
      <c r="C84" s="62" t="s">
        <v>6</v>
      </c>
      <c r="D84" s="62" t="s">
        <v>8</v>
      </c>
      <c r="E84" s="62" t="s">
        <v>7</v>
      </c>
      <c r="F84" s="62" t="s">
        <v>27</v>
      </c>
      <c r="G84" s="62" t="str">
        <f t="shared" si="22"/>
        <v>UsdLibor3M</v>
      </c>
      <c r="H84" s="60" t="str">
        <f t="shared" si="23"/>
        <v>USDAM3L40Y_Quote</v>
      </c>
      <c r="I84" s="127">
        <v>0</v>
      </c>
      <c r="J84" s="179" t="str">
        <f>_xll.qlSwapRateHelper2(,H84,,B84,JoinCalendar,D84,E84,F84,G84,I84,C84,Discounting,PillarDate,,Permanent,Trigger,ObjectOverwrite)</f>
        <v>obj_002dd#0003</v>
      </c>
      <c r="L84" s="162" t="str">
        <f t="shared" si="26"/>
        <v>Sw</v>
      </c>
      <c r="M84" s="183" t="str">
        <f t="shared" si="27"/>
        <v>USD3S12_Quote</v>
      </c>
      <c r="N84" s="164">
        <f>IFERROR(_xll.qlQuoteValue(H92,Trigger),"--")</f>
        <v>1.0320000000000001E-2</v>
      </c>
      <c r="O84" s="164">
        <f t="shared" si="28"/>
        <v>0</v>
      </c>
      <c r="P84" s="140" t="b">
        <v>0</v>
      </c>
      <c r="Q84" s="140">
        <v>40</v>
      </c>
      <c r="R84" s="140">
        <v>1</v>
      </c>
      <c r="S84" s="140" t="str">
        <f t="shared" si="25"/>
        <v>--</v>
      </c>
      <c r="T84" s="141" t="str">
        <f>IFERROR(_xll.qlRateHelperEarliestDate(S84,Trigger),"--")</f>
        <v>--</v>
      </c>
      <c r="U84" s="141" t="str">
        <f>IFERROR(_xll.qlRateHelperPillarDate(S84,Trigger),"--")</f>
        <v>--</v>
      </c>
      <c r="W84" s="3" t="str">
        <f t="shared" si="24"/>
        <v/>
      </c>
      <c r="X84" s="3" t="e">
        <v>#N/A</v>
      </c>
      <c r="Y84" s="3" t="str">
        <f>IFERROR(_xll.qlRateHelperQuoteName(X84,Trigger),"")</f>
        <v/>
      </c>
      <c r="Z84" s="70" t="str">
        <f>IFERROR(_xll.qlRateHelperRate(X84,Trigger),"")</f>
        <v/>
      </c>
      <c r="AA84" s="10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6" t="e">
        <v>#N/A</v>
      </c>
    </row>
    <row r="85" spans="1:30" x14ac:dyDescent="0.2">
      <c r="A85" s="60" t="s">
        <v>25</v>
      </c>
      <c r="B85" s="61" t="s">
        <v>96</v>
      </c>
      <c r="C85" s="62" t="s">
        <v>6</v>
      </c>
      <c r="D85" s="62" t="s">
        <v>8</v>
      </c>
      <c r="E85" s="62" t="s">
        <v>7</v>
      </c>
      <c r="F85" s="62" t="s">
        <v>27</v>
      </c>
      <c r="G85" s="62" t="str">
        <f t="shared" si="22"/>
        <v>UsdLibor3M</v>
      </c>
      <c r="H85" s="60" t="str">
        <f t="shared" si="23"/>
        <v>USDAM3L45Y_Quote</v>
      </c>
      <c r="I85" s="127">
        <v>0</v>
      </c>
      <c r="J85" s="175" t="str">
        <f>IF(P79,_xll.qlSwapRateHelper2(,H85,,B85,JoinCalendar,D85,E85,F85,G85,I85,C85,Discounting,PillarDate,,Permanent,Trigger,ObjectOverwrite),"--")</f>
        <v>--</v>
      </c>
      <c r="L85" s="162" t="str">
        <f t="shared" si="26"/>
        <v>Sw</v>
      </c>
      <c r="M85" s="183" t="str">
        <f t="shared" si="27"/>
        <v>USD4S12_Quote</v>
      </c>
      <c r="N85" s="164">
        <f>IFERROR(_xll.qlQuoteValue(H93,Trigger),"--")</f>
        <v>1.057E-2</v>
      </c>
      <c r="O85" s="164">
        <f t="shared" si="28"/>
        <v>0</v>
      </c>
      <c r="P85" s="140" t="b">
        <v>0</v>
      </c>
      <c r="Q85" s="140">
        <v>40</v>
      </c>
      <c r="R85" s="140">
        <v>1</v>
      </c>
      <c r="S85" s="140" t="str">
        <f t="shared" si="25"/>
        <v>--</v>
      </c>
      <c r="T85" s="141" t="str">
        <f>IFERROR(_xll.qlRateHelperEarliestDate(S85,Trigger),"--")</f>
        <v>--</v>
      </c>
      <c r="U85" s="141" t="str">
        <f>IFERROR(_xll.qlRateHelperPillarDate(S85,Trigger),"--")</f>
        <v>--</v>
      </c>
      <c r="W85" s="3" t="str">
        <f t="shared" si="24"/>
        <v/>
      </c>
      <c r="X85" s="3" t="e">
        <v>#N/A</v>
      </c>
      <c r="Y85" s="3" t="str">
        <f>IFERROR(_xll.qlRateHelperQuoteName(X85,Trigger),"")</f>
        <v/>
      </c>
      <c r="Z85" s="70" t="str">
        <f>IFERROR(_xll.qlRateHelperRate(X85,Trigger),"")</f>
        <v/>
      </c>
      <c r="AA85" s="10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6" t="e">
        <v>#N/A</v>
      </c>
    </row>
    <row r="86" spans="1:30" x14ac:dyDescent="0.2">
      <c r="A86" s="60" t="s">
        <v>25</v>
      </c>
      <c r="B86" s="61" t="s">
        <v>97</v>
      </c>
      <c r="C86" s="62" t="s">
        <v>6</v>
      </c>
      <c r="D86" s="62" t="s">
        <v>8</v>
      </c>
      <c r="E86" s="62" t="s">
        <v>7</v>
      </c>
      <c r="F86" s="62" t="s">
        <v>27</v>
      </c>
      <c r="G86" s="62" t="str">
        <f t="shared" si="22"/>
        <v>UsdLibor3M</v>
      </c>
      <c r="H86" s="60" t="str">
        <f t="shared" si="23"/>
        <v>USDAM3L50Y_Quote</v>
      </c>
      <c r="I86" s="127">
        <v>0</v>
      </c>
      <c r="J86" s="179" t="str">
        <f>_xll.qlSwapRateHelper2(,H86,,B86,JoinCalendar,D86,E86,F86,G86,I86,C86,Discounting,PillarDate,,Permanent,Trigger,ObjectOverwrite)</f>
        <v>obj_00299#0003</v>
      </c>
      <c r="L86" s="162" t="str">
        <f t="shared" si="26"/>
        <v>Sw</v>
      </c>
      <c r="M86" s="183" t="str">
        <f t="shared" si="27"/>
        <v>USD1S24_Quote</v>
      </c>
      <c r="N86" s="164" t="str">
        <f>IFERROR(_xll.qlQuoteValue(H94,Trigger),"--")</f>
        <v>--</v>
      </c>
      <c r="O86" s="164">
        <f t="shared" si="28"/>
        <v>0</v>
      </c>
      <c r="P86" s="140" t="b">
        <v>0</v>
      </c>
      <c r="Q86" s="140">
        <v>40</v>
      </c>
      <c r="R86" s="140">
        <v>1</v>
      </c>
      <c r="S86" s="140" t="str">
        <f t="shared" si="25"/>
        <v>--</v>
      </c>
      <c r="T86" s="141" t="str">
        <f>IFERROR(_xll.qlRateHelperEarliestDate(S86,Trigger),"--")</f>
        <v>--</v>
      </c>
      <c r="U86" s="141" t="str">
        <f>IFERROR(_xll.qlRateHelperPillarDate(S86,Trigger),"--")</f>
        <v>--</v>
      </c>
      <c r="W86" s="3" t="str">
        <f t="shared" si="24"/>
        <v/>
      </c>
      <c r="X86" s="3" t="e">
        <v>#N/A</v>
      </c>
      <c r="Y86" s="3" t="str">
        <f>IFERROR(_xll.qlRateHelperQuoteName(X86,Trigger),"")</f>
        <v/>
      </c>
      <c r="Z86" s="70" t="str">
        <f>IFERROR(_xll.qlRateHelperRate(X86,Trigger),"")</f>
        <v/>
      </c>
      <c r="AA86" s="10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6" t="e">
        <v>#N/A</v>
      </c>
    </row>
    <row r="87" spans="1:30" x14ac:dyDescent="0.2">
      <c r="A87" s="1" t="s">
        <v>25</v>
      </c>
      <c r="B87" s="8" t="s">
        <v>141</v>
      </c>
      <c r="C87" s="6" t="s">
        <v>6</v>
      </c>
      <c r="D87" s="6" t="s">
        <v>8</v>
      </c>
      <c r="E87" s="6" t="s">
        <v>7</v>
      </c>
      <c r="F87" s="6" t="s">
        <v>27</v>
      </c>
      <c r="G87" s="6" t="str">
        <f t="shared" si="22"/>
        <v>UsdLibor3M</v>
      </c>
      <c r="H87" s="1" t="str">
        <f>Currency&amp;$G$48&amp;$H$48&amp;$B87&amp;"_Quote"</f>
        <v>USDAM3L60Y_Quote</v>
      </c>
      <c r="I87" s="130">
        <v>0</v>
      </c>
      <c r="J87" s="174" t="str">
        <f>IF(P81,_xll.qlSwapRateHelper2(,H87,,B87,JoinCalendar,D87,E87,F87,G87,I87,C87,Discounting,PillarDate,,Permanent,Trigger,ObjectOverwrite),"--")</f>
        <v>--</v>
      </c>
      <c r="L87" s="162" t="str">
        <f t="shared" si="26"/>
        <v>Sw</v>
      </c>
      <c r="M87" s="183" t="str">
        <f t="shared" si="27"/>
        <v>USD2S24_Quote</v>
      </c>
      <c r="N87" s="164" t="str">
        <f>IFERROR(_xll.qlQuoteValue(H95,Trigger),"--")</f>
        <v>--</v>
      </c>
      <c r="O87" s="164">
        <f t="shared" si="28"/>
        <v>0</v>
      </c>
      <c r="P87" s="140" t="b">
        <v>0</v>
      </c>
      <c r="Q87" s="140">
        <v>40</v>
      </c>
      <c r="R87" s="140">
        <v>1</v>
      </c>
      <c r="S87" s="140" t="str">
        <f t="shared" si="25"/>
        <v>--</v>
      </c>
      <c r="T87" s="141" t="str">
        <f>IFERROR(_xll.qlRateHelperEarliestDate(S87,Trigger),"--")</f>
        <v>--</v>
      </c>
      <c r="U87" s="141" t="str">
        <f>IFERROR(_xll.qlRateHelperPillarDate(S87,Trigger),"--")</f>
        <v>--</v>
      </c>
      <c r="W87" s="3" t="str">
        <f t="shared" si="24"/>
        <v/>
      </c>
      <c r="X87" s="3" t="e">
        <v>#N/A</v>
      </c>
      <c r="Y87" s="3" t="str">
        <f>IFERROR(_xll.qlRateHelperQuoteName(X87,Trigger),"")</f>
        <v/>
      </c>
      <c r="Z87" s="70" t="str">
        <f>IFERROR(_xll.qlRateHelperRate(X87,Trigger),"")</f>
        <v/>
      </c>
      <c r="AA87" s="10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6" t="e">
        <v>#N/A</v>
      </c>
    </row>
    <row r="88" spans="1:30" x14ac:dyDescent="0.2">
      <c r="L88" s="168" t="str">
        <f t="shared" si="26"/>
        <v>Sw</v>
      </c>
      <c r="M88" s="184" t="str">
        <f t="shared" si="27"/>
        <v>USD1S36_Quote</v>
      </c>
      <c r="N88" s="170" t="str">
        <f>IFERROR(_xll.qlQuoteValue(H96,Trigger),"--")</f>
        <v>--</v>
      </c>
      <c r="O88" s="170">
        <f t="shared" si="28"/>
        <v>0</v>
      </c>
      <c r="P88" s="142" t="b">
        <v>0</v>
      </c>
      <c r="Q88" s="142">
        <v>40</v>
      </c>
      <c r="R88" s="142">
        <v>1</v>
      </c>
      <c r="S88" s="142" t="str">
        <f t="shared" si="25"/>
        <v>--</v>
      </c>
      <c r="T88" s="143" t="str">
        <f>IFERROR(_xll.qlRateHelperEarliestDate(S88,Trigger),"--")</f>
        <v>--</v>
      </c>
      <c r="U88" s="143" t="str">
        <f>IFERROR(_xll.qlRateHelperPillarDate(S88,Trigger),"--")</f>
        <v>--</v>
      </c>
      <c r="W88" s="5" t="str">
        <f t="shared" si="24"/>
        <v/>
      </c>
      <c r="X88" s="5" t="e">
        <v>#N/A</v>
      </c>
      <c r="Y88" s="5" t="str">
        <f>IFERROR(_xll.qlRateHelperQuoteName(X88,Trigger),"")</f>
        <v/>
      </c>
      <c r="Z88" s="78" t="str">
        <f>IFERROR(_xll.qlRateHelperRate(X88,Trigger),"")</f>
        <v/>
      </c>
      <c r="AA88" s="107" t="str">
        <f>IF(ISERROR(_xll.qlSwapRateHelperSpread($X88)),IF(ISERROR(_xll.qlFuturesRateHelperConvexityAdjustment($X88)),"",_xll.qlFuturesRateHelperConvexityAdjustment($X88)),_xll.qlSwapRateHelperSpread($X88))</f>
        <v/>
      </c>
      <c r="AB88" s="10" t="str">
        <f>IFERROR(_xll.qlRateHelperEarliestDate(X88,Trigger),"")</f>
        <v/>
      </c>
      <c r="AC88" s="10" t="str">
        <f>IFERROR(_xll.qlRateHelperPillarDate(X88,Trigger),"")</f>
        <v/>
      </c>
      <c r="AD88" s="77" t="e">
        <v>#N/A</v>
      </c>
    </row>
    <row r="89" spans="1:30" ht="22.5" x14ac:dyDescent="0.2">
      <c r="A89" s="66" t="s">
        <v>9</v>
      </c>
      <c r="B89" s="66" t="s">
        <v>29</v>
      </c>
      <c r="C89" s="66" t="s">
        <v>145</v>
      </c>
      <c r="D89" s="66" t="s">
        <v>5</v>
      </c>
      <c r="E89" s="66" t="s">
        <v>34</v>
      </c>
      <c r="F89" s="66" t="s">
        <v>146</v>
      </c>
      <c r="G89" s="66" t="s">
        <v>4</v>
      </c>
      <c r="H89" s="66" t="s">
        <v>1</v>
      </c>
      <c r="I89" s="66" t="s">
        <v>142</v>
      </c>
      <c r="J89" s="66" t="s">
        <v>24</v>
      </c>
      <c r="Y89" s="192" t="str">
        <f>_xll.ohGroup(W1&amp;"_instruments",Y3:Y88,Permanent,Trigger,ObjectOverwrite)</f>
        <v>USD3M_instruments#0003</v>
      </c>
    </row>
    <row r="90" spans="1:30" x14ac:dyDescent="0.2">
      <c r="A90" s="55" t="s">
        <v>25</v>
      </c>
      <c r="B90" s="115">
        <v>12</v>
      </c>
      <c r="C90" s="57" t="s">
        <v>6</v>
      </c>
      <c r="D90" s="62" t="s">
        <v>8</v>
      </c>
      <c r="E90" s="62" t="s">
        <v>7</v>
      </c>
      <c r="F90" s="62" t="s">
        <v>27</v>
      </c>
      <c r="G90" s="62" t="str">
        <f t="shared" ref="G90:G96" si="29">PROPER(Currency)&amp;FamilyName&amp;Tenor</f>
        <v>UsdLibor3M</v>
      </c>
      <c r="H90" s="60" t="str">
        <f>Currency&amp;"1S"&amp;$B90&amp;"_Quote"</f>
        <v>USD1S12_Quote</v>
      </c>
      <c r="I90" s="128">
        <v>0</v>
      </c>
      <c r="J90" s="173" t="str">
        <f>IF(P82,_xll.qlSwapRateHelper2(,H90,,B90&amp;"M",JoinCalendar,D90,E90,F90,G90,I90,C90,Discounting,PillarDate,,Permanent,Trigger,ObjectOverwrite),"--")</f>
        <v>--</v>
      </c>
      <c r="K90" s="48" t="s">
        <v>45</v>
      </c>
    </row>
    <row r="91" spans="1:30" x14ac:dyDescent="0.2">
      <c r="A91" s="60" t="s">
        <v>25</v>
      </c>
      <c r="B91" s="116">
        <v>12</v>
      </c>
      <c r="C91" s="62" t="s">
        <v>6</v>
      </c>
      <c r="D91" s="62" t="s">
        <v>8</v>
      </c>
      <c r="E91" s="62" t="s">
        <v>7</v>
      </c>
      <c r="F91" s="62" t="s">
        <v>27</v>
      </c>
      <c r="G91" s="62" t="str">
        <f t="shared" si="29"/>
        <v>UsdLibor3M</v>
      </c>
      <c r="H91" s="60" t="str">
        <f>Currency&amp;"2S"&amp;$B91&amp;"_Quote"</f>
        <v>USD2S12_Quote</v>
      </c>
      <c r="I91" s="129">
        <v>0</v>
      </c>
      <c r="J91" s="175" t="str">
        <f>IF(P83,_xll.qlSwapRateHelper2(,H91,,B91&amp;"M",JoinCalendar,D91,E91,F91,G91,I91,C91,Discounting,PillarDate,,Permanent,Trigger,ObjectOverwrite),"--")</f>
        <v>--</v>
      </c>
    </row>
    <row r="92" spans="1:30" x14ac:dyDescent="0.2">
      <c r="A92" s="60" t="s">
        <v>25</v>
      </c>
      <c r="B92" s="116">
        <v>12</v>
      </c>
      <c r="C92" s="62" t="s">
        <v>6</v>
      </c>
      <c r="D92" s="62" t="s">
        <v>8</v>
      </c>
      <c r="E92" s="62" t="s">
        <v>7</v>
      </c>
      <c r="F92" s="62" t="s">
        <v>27</v>
      </c>
      <c r="G92" s="62" t="str">
        <f t="shared" si="29"/>
        <v>UsdLibor3M</v>
      </c>
      <c r="H92" s="60" t="str">
        <f>Currency&amp;"3S"&amp;$B92&amp;"_Quote"</f>
        <v>USD3S12_Quote</v>
      </c>
      <c r="I92" s="129">
        <v>0</v>
      </c>
      <c r="J92" s="175" t="str">
        <f>IF(P84,_xll.qlSwapRateHelper2(,H92,,B92&amp;"M",JoinCalendar,D92,E92,F92,G92,I92,C92,Discounting,PillarDate,,Permanent,Trigger,ObjectOverwrite),"--")</f>
        <v>--</v>
      </c>
    </row>
    <row r="93" spans="1:30" x14ac:dyDescent="0.2">
      <c r="A93" s="60" t="s">
        <v>25</v>
      </c>
      <c r="B93" s="116">
        <v>12</v>
      </c>
      <c r="C93" s="62" t="s">
        <v>6</v>
      </c>
      <c r="D93" s="62" t="s">
        <v>8</v>
      </c>
      <c r="E93" s="62" t="s">
        <v>7</v>
      </c>
      <c r="F93" s="62" t="s">
        <v>27</v>
      </c>
      <c r="G93" s="62" t="str">
        <f t="shared" si="29"/>
        <v>UsdLibor3M</v>
      </c>
      <c r="H93" s="60" t="str">
        <f>Currency&amp;"4S"&amp;$B93&amp;"_Quote"</f>
        <v>USD4S12_Quote</v>
      </c>
      <c r="I93" s="129">
        <v>0</v>
      </c>
      <c r="J93" s="175" t="str">
        <f>IF(P85,_xll.qlSwapRateHelper2(,H93,,B93&amp;"M",JoinCalendar,D93,E93,F93,G93,I93,C93,Discounting,PillarDate,,Permanent,Trigger,ObjectOverwrite),"--")</f>
        <v>--</v>
      </c>
    </row>
    <row r="94" spans="1:30" x14ac:dyDescent="0.2">
      <c r="A94" s="60" t="s">
        <v>25</v>
      </c>
      <c r="B94" s="116">
        <v>24</v>
      </c>
      <c r="C94" s="62" t="s">
        <v>6</v>
      </c>
      <c r="D94" s="62" t="s">
        <v>8</v>
      </c>
      <c r="E94" s="62" t="s">
        <v>7</v>
      </c>
      <c r="F94" s="62" t="s">
        <v>27</v>
      </c>
      <c r="G94" s="62" t="str">
        <f t="shared" si="29"/>
        <v>UsdLibor3M</v>
      </c>
      <c r="H94" s="60" t="str">
        <f>Currency&amp;"1S"&amp;$B94&amp;"_Quote"</f>
        <v>USD1S24_Quote</v>
      </c>
      <c r="I94" s="129">
        <v>0</v>
      </c>
      <c r="J94" s="175" t="str">
        <f>IF(P86,_xll.qlSwapRateHelper2(,H94,,B94&amp;"M",JoinCalendar,D94,E94,F94,G94,I94,C94,Discounting,PillarDate,,Permanent,Trigger,ObjectOverwrite),"--")</f>
        <v>--</v>
      </c>
    </row>
    <row r="95" spans="1:30" x14ac:dyDescent="0.2">
      <c r="A95" s="60" t="s">
        <v>25</v>
      </c>
      <c r="B95" s="116">
        <v>24</v>
      </c>
      <c r="C95" s="62" t="s">
        <v>6</v>
      </c>
      <c r="D95" s="62" t="s">
        <v>8</v>
      </c>
      <c r="E95" s="62" t="s">
        <v>7</v>
      </c>
      <c r="F95" s="62" t="s">
        <v>27</v>
      </c>
      <c r="G95" s="62" t="str">
        <f t="shared" si="29"/>
        <v>UsdLibor3M</v>
      </c>
      <c r="H95" s="60" t="str">
        <f>Currency&amp;"2S"&amp;$B95&amp;"_Quote"</f>
        <v>USD2S24_Quote</v>
      </c>
      <c r="I95" s="129">
        <v>0</v>
      </c>
      <c r="J95" s="175" t="str">
        <f>IF(P87,_xll.qlSwapRateHelper2(,H95,,B95&amp;"M",JoinCalendar,D95,E95,F95,G95,I95,C95,Discounting,PillarDate,,Permanent,Trigger,ObjectOverwrite),"--")</f>
        <v>--</v>
      </c>
    </row>
    <row r="96" spans="1:30" x14ac:dyDescent="0.2">
      <c r="A96" s="1" t="s">
        <v>25</v>
      </c>
      <c r="B96" s="117">
        <v>36</v>
      </c>
      <c r="C96" s="6" t="s">
        <v>6</v>
      </c>
      <c r="D96" s="6" t="s">
        <v>8</v>
      </c>
      <c r="E96" s="6" t="s">
        <v>7</v>
      </c>
      <c r="F96" s="6" t="s">
        <v>27</v>
      </c>
      <c r="G96" s="6" t="str">
        <f t="shared" si="29"/>
        <v>UsdLibor3M</v>
      </c>
      <c r="H96" s="1" t="str">
        <f>Currency&amp;"1S"&amp;$B96&amp;"_Quote"</f>
        <v>USD1S36_Quote</v>
      </c>
      <c r="I96" s="132">
        <v>0</v>
      </c>
      <c r="J96" s="174" t="str">
        <f>IF(P88,_xll.qlSwapRateHelper2(,H96,,B96&amp;"M",JoinCalendar,D96,E96,F96,G96,I96,C96,Discounting,PillarDate,,Permanent,Trigger,ObjectOverwrite),"--")</f>
        <v>--</v>
      </c>
    </row>
  </sheetData>
  <mergeCells count="1">
    <mergeCell ref="AF2:AG2"/>
  </mergeCells>
  <dataValidations count="5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88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3</v>
      </c>
      <c r="H1" s="52" t="str">
        <f>"_SYNTH"&amp;Tenor</f>
        <v>_SYNTH6M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USD6M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66">_xll.qlPiecewiseYieldCurveData(YieldCurve_6M,Trigger)</f>
        <v>1</v>
      </c>
      <c r="AF2" s="201" t="s">
        <v>113</v>
      </c>
      <c r="AG2" s="202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obj_0023e#0003</v>
      </c>
      <c r="H3" s="121" t="str">
        <f t="shared" ref="H3:H12" si="0">Currency&amp;$B3&amp;"D"&amp;$H$1&amp;QuoteSuffix</f>
        <v>USDSND_SYNTH6M_Quote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USDSND_SYNTH6M_Quote</v>
      </c>
      <c r="N3" s="182">
        <f>IFERROR(_xll.qlQuoteValue(H3,Trigger),"--")</f>
        <v>1.1998999999999999E-2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66">_xll.qlRateHelperSelection(_xll.ohFilter(RateHelpers,IncludeFlag),_xll.ohFilter(Priority,IncludeFlag),$AG$3,$AG$4,$AG$5,$AG$6,_xll.ohFilter(MinDistance,IncludeFlag),Trigger)</f>
        <v>obj_0028e</v>
      </c>
      <c r="Y3" s="3" t="str">
        <f>IFERROR(_xll.qlRateHelperQuoteName(X3,Trigger),"")</f>
        <v>USD1MD_SYNTH6M_Quote</v>
      </c>
      <c r="Z3" s="70">
        <f>IFERROR(_xll.qlRateHelperRate(X3,Trigger),"")</f>
        <v>1.1789000000000001E-2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42643</v>
      </c>
      <c r="AC3" s="4">
        <f>IFERROR(_xll.qlRateHelperPillarDate(X3,Trigger),"")</f>
        <v>42674</v>
      </c>
      <c r="AD3" s="76">
        <v>0.99898586562370828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USDSWD_SYNTH6M_Quote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9" si="2">A4</f>
        <v>Dp</v>
      </c>
      <c r="M4" s="183" t="str">
        <f t="shared" ref="M4:M12" si="3">H4</f>
        <v>USDSWD_SYNTH6M_Quote</v>
      </c>
      <c r="N4" s="164">
        <f>IFERROR(_xll.qlQuoteValue(H4,Trigger),"--")</f>
        <v>1.1949E-2</v>
      </c>
      <c r="O4" s="167"/>
      <c r="P4" s="101" t="b">
        <v>0</v>
      </c>
      <c r="Q4" s="98">
        <v>10</v>
      </c>
      <c r="R4" s="98">
        <v>1</v>
      </c>
      <c r="S4" s="98" t="str">
        <f t="shared" ref="S4:S12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obj_00260</v>
      </c>
      <c r="Y4" s="3" t="str">
        <f>IFERROR(_xll.qlRateHelperQuoteName(X4,Trigger),"")</f>
        <v>USD2MD_SYNTH6M_Quote</v>
      </c>
      <c r="Z4" s="70">
        <f>IFERROR(_xll.qlRateHelperRate(X4,Trigger),"")</f>
        <v>1.1872000000000001E-2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42643</v>
      </c>
      <c r="AC4" s="4">
        <f>IFERROR(_xll.qlRateHelperPillarDate(X4,Trigger),"")</f>
        <v>42704</v>
      </c>
      <c r="AD4" s="76">
        <v>0.99799239414472107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obj_0024c#0003</v>
      </c>
      <c r="H5" s="154" t="str">
        <f t="shared" si="0"/>
        <v>USD2WD_SYNTH6M_Quote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USD2WD_SYNTH6M_Quote</v>
      </c>
      <c r="N5" s="164">
        <f>IFERROR(_xll.qlQuoteValue(H5,Trigger),"--")</f>
        <v>1.1878E-2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obj_0028c</v>
      </c>
      <c r="Y5" s="3" t="str">
        <f>IFERROR(_xll.qlRateHelperQuoteName(X5,Trigger),"")</f>
        <v>USD3MD_SYNTH6M_Quote</v>
      </c>
      <c r="Z5" s="70">
        <f>IFERROR(_xll.qlRateHelperRate(X5,Trigger),"")</f>
        <v>1.209E-2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42643</v>
      </c>
      <c r="AC5" s="4">
        <f>IFERROR(_xll.qlRateHelperPillarDate(X5,Trigger),"")</f>
        <v>42734</v>
      </c>
      <c r="AD5" s="76">
        <v>0.99695322785623575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obj_00252#0003</v>
      </c>
      <c r="H6" s="159" t="str">
        <f t="shared" si="0"/>
        <v>USD3WD_SYNTH6M_Quote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USD3WD_SYNTH6M_Quote</v>
      </c>
      <c r="N6" s="164">
        <f>IFERROR(_xll.qlQuoteValue(H6,Trigger),"--")</f>
        <v>1.1827000000000001E-2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obj_00277</v>
      </c>
      <c r="Y6" s="3" t="str">
        <f>IFERROR(_xll.qlRateHelperQuoteName(X6,Trigger),"")</f>
        <v>USD4MD_SYNTH6M_Quote</v>
      </c>
      <c r="Z6" s="70">
        <f>IFERROR(_xll.qlRateHelperRate(X6,Trigger),"")</f>
        <v>1.227E-2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42643</v>
      </c>
      <c r="AC6" s="4">
        <f>IFERROR(_xll.qlRateHelperPillarDate(X6,Trigger),"")</f>
        <v>42766</v>
      </c>
      <c r="AD6" s="76">
        <v>0.99582525158902602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USD1MD_SYNTH6M_Quote</v>
      </c>
      <c r="I7" s="125"/>
      <c r="J7" s="175" t="str">
        <f>IF(P7,_xll.qlDepositRateHelper(,H7,G7,Permanent,Trigger,ObjectOverwrite),"--")</f>
        <v>obj_0028e#0003</v>
      </c>
      <c r="K7" s="50"/>
      <c r="L7" s="162" t="str">
        <f t="shared" si="2"/>
        <v>Dp</v>
      </c>
      <c r="M7" s="183" t="str">
        <f t="shared" si="3"/>
        <v>USD1MD_SYNTH6M_Quote</v>
      </c>
      <c r="N7" s="164">
        <f>IFERROR(_xll.qlQuoteValue(H7,Trigger),"--")</f>
        <v>1.1789000000000001E-2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obj_0028e#0003</v>
      </c>
      <c r="T7" s="102">
        <f>IFERROR(_xll.qlRateHelperEarliestDate(S7,Trigger),"--")</f>
        <v>42643</v>
      </c>
      <c r="U7" s="102">
        <f>IFERROR(_xll.qlRateHelperPillarDate(S7,Trigger),"--")</f>
        <v>42674</v>
      </c>
      <c r="W7" s="3" t="str">
        <f t="shared" si="1"/>
        <v>Dp</v>
      </c>
      <c r="X7" s="3" t="str">
        <v>obj_00275</v>
      </c>
      <c r="Y7" s="3" t="str">
        <f>IFERROR(_xll.qlRateHelperQuoteName(X7,Trigger),"")</f>
        <v>USD5MD_SYNTH6M_Quote</v>
      </c>
      <c r="Z7" s="70">
        <f>IFERROR(_xll.qlRateHelperRate(X7,Trigger),"")</f>
        <v>1.2373E-2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42643</v>
      </c>
      <c r="AC7" s="4">
        <f>IFERROR(_xll.qlRateHelperPillarDate(X7,Trigger),"")</f>
        <v>42794</v>
      </c>
      <c r="AD7" s="76">
        <v>0.99483700870938085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USD2MD_SYNTH6M_Quote</v>
      </c>
      <c r="I8" s="125"/>
      <c r="J8" s="175" t="str">
        <f>IF(P8,_xll.qlDepositRateHelper(,H8,G8,Permanent,Trigger,ObjectOverwrite),"--")</f>
        <v>obj_00260#0003</v>
      </c>
      <c r="K8" s="50"/>
      <c r="L8" s="162" t="str">
        <f t="shared" si="2"/>
        <v>Dp</v>
      </c>
      <c r="M8" s="183" t="str">
        <f t="shared" si="3"/>
        <v>USD2MD_SYNTH6M_Quote</v>
      </c>
      <c r="N8" s="164">
        <f>IFERROR(_xll.qlQuoteValue(H8,Trigger),"--")</f>
        <v>1.1872000000000001E-2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obj_00260#0003</v>
      </c>
      <c r="T8" s="102">
        <f>IFERROR(_xll.qlRateHelperEarliestDate(S8,Trigger),"--")</f>
        <v>42643</v>
      </c>
      <c r="U8" s="102">
        <f>IFERROR(_xll.qlRateHelperPillarDate(S8,Trigger),"--")</f>
        <v>42704</v>
      </c>
      <c r="W8" s="3" t="str">
        <f t="shared" si="1"/>
        <v>Dp</v>
      </c>
      <c r="X8" s="3" t="str">
        <v>obj_0028d</v>
      </c>
      <c r="Y8" s="3" t="str">
        <f>IFERROR(_xll.qlRateHelperQuoteName(X8,Trigger),"")</f>
        <v>USD6MD_SYNTH6M_Quote</v>
      </c>
      <c r="Z8" s="70">
        <f>IFERROR(_xll.qlRateHelperRate(X8,Trigger),"")</f>
        <v>1.2423999999999999E-2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42643</v>
      </c>
      <c r="AC8" s="4">
        <f>IFERROR(_xll.qlRateHelperPillarDate(X8,Trigger),"")</f>
        <v>42825</v>
      </c>
      <c r="AD8" s="76">
        <v>0.99375818277050332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PROPER(Currency)&amp;FamilyName&amp;B9</f>
        <v>UsdLibor3M</v>
      </c>
      <c r="H9" s="122" t="str">
        <f t="shared" si="0"/>
        <v>USD3MD_SYNTH6M_Quote</v>
      </c>
      <c r="I9" s="125"/>
      <c r="J9" s="175" t="str">
        <f>IF(P9,_xll.qlDepositRateHelper(,H9,G9,Permanent,Trigger,ObjectOverwrite),"--")</f>
        <v>obj_0028c#0003</v>
      </c>
      <c r="K9" s="50"/>
      <c r="L9" s="162" t="str">
        <f t="shared" si="2"/>
        <v>Dp</v>
      </c>
      <c r="M9" s="183" t="str">
        <f t="shared" si="3"/>
        <v>USD3MD_SYNTH6M_Quote</v>
      </c>
      <c r="N9" s="164">
        <f>IFERROR(_xll.qlQuoteValue(H9,Trigger),"--")</f>
        <v>1.209E-2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obj_0028c#0003</v>
      </c>
      <c r="T9" s="102">
        <f>IFERROR(_xll.qlRateHelperEarliestDate(S9,Trigger),"--")</f>
        <v>42643</v>
      </c>
      <c r="U9" s="102">
        <f>IFERROR(_xll.qlRateHelperPillarDate(S9,Trigger),"--")</f>
        <v>42734</v>
      </c>
      <c r="W9" s="3" t="str">
        <f t="shared" si="1"/>
        <v>FRA</v>
      </c>
      <c r="X9" s="3" t="str">
        <v>obj_0025d</v>
      </c>
      <c r="Y9" s="3" t="str">
        <f>IFERROR(_xll.qlRateHelperQuoteName(X9,Trigger),"")</f>
        <v>USD1x7F_Quote</v>
      </c>
      <c r="Z9" s="70">
        <f>IFERROR(_xll.qlRateHelperRate(X9,Trigger),"")</f>
        <v>1.2530000000000001E-2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42674</v>
      </c>
      <c r="AC9" s="4">
        <f>IFERROR(_xll.qlRateHelperPillarDate(X9,Trigger),"")</f>
        <v>42853</v>
      </c>
      <c r="AD9" s="76">
        <v>0.99280052530649832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obj_00251#0003</v>
      </c>
      <c r="H10" s="154" t="str">
        <f t="shared" si="0"/>
        <v>USD4MD_SYNTH6M_Quote</v>
      </c>
      <c r="I10" s="152"/>
      <c r="J10" s="177" t="str">
        <f>IF(P10,_xll.qlDepositRateHelper(,H10,G10,Permanent,Trigger,ObjectOverwrite),"--")</f>
        <v>obj_00277#0003</v>
      </c>
      <c r="K10" s="50"/>
      <c r="L10" s="162" t="str">
        <f t="shared" ref="L10:L12" si="5">A10</f>
        <v>Dp</v>
      </c>
      <c r="M10" s="183" t="str">
        <f t="shared" si="3"/>
        <v>USD4MD_SYNTH6M_Quote</v>
      </c>
      <c r="N10" s="164">
        <f>IFERROR(_xll.qlQuoteValue(H10,Trigger),"--")</f>
        <v>1.227E-2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obj_00277#0003</v>
      </c>
      <c r="T10" s="102">
        <f>IFERROR(_xll.qlRateHelperEarliestDate(S10,Trigger),"--")</f>
        <v>42643</v>
      </c>
      <c r="U10" s="102">
        <f>IFERROR(_xll.qlRateHelperPillarDate(S10,Trigger),"--")</f>
        <v>42766</v>
      </c>
      <c r="W10" s="3" t="str">
        <f t="shared" si="1"/>
        <v>FRA</v>
      </c>
      <c r="X10" s="3" t="str">
        <v>obj_00254</v>
      </c>
      <c r="Y10" s="3" t="str">
        <f>IFERROR(_xll.qlRateHelperQuoteName(X10,Trigger),"")</f>
        <v>USD2x8F_Quote</v>
      </c>
      <c r="Z10" s="70">
        <f>IFERROR(_xll.qlRateHelperRate(X10,Trigger),"")</f>
        <v>1.255E-2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42704</v>
      </c>
      <c r="AC10" s="4">
        <f>IFERROR(_xll.qlRateHelperPillarDate(X10,Trigger),"")</f>
        <v>42886</v>
      </c>
      <c r="AD10" s="76">
        <v>0.99170033101673394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obj_0024d#0003</v>
      </c>
      <c r="H11" s="159" t="str">
        <f t="shared" si="0"/>
        <v>USD5MD_SYNTH6M_Quote</v>
      </c>
      <c r="I11" s="157"/>
      <c r="J11" s="178" t="str">
        <f>IF(P11,_xll.qlDepositRateHelper(,H11,G11,Permanent,Trigger,ObjectOverwrite),"--")</f>
        <v>obj_00275#0003</v>
      </c>
      <c r="K11" s="50"/>
      <c r="L11" s="162" t="str">
        <f t="shared" si="5"/>
        <v>Dp</v>
      </c>
      <c r="M11" s="183" t="str">
        <f t="shared" si="3"/>
        <v>USD5MD_SYNTH6M_Quote</v>
      </c>
      <c r="N11" s="164">
        <f>IFERROR(_xll.qlQuoteValue(H11,Trigger),"--")</f>
        <v>1.2373E-2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obj_00275#0003</v>
      </c>
      <c r="T11" s="102">
        <f>IFERROR(_xll.qlRateHelperEarliestDate(S11,Trigger),"--")</f>
        <v>42643</v>
      </c>
      <c r="U11" s="102">
        <f>IFERROR(_xll.qlRateHelperPillarDate(S11,Trigger),"--")</f>
        <v>42794</v>
      </c>
      <c r="W11" s="3" t="str">
        <f t="shared" si="1"/>
        <v>FRA</v>
      </c>
      <c r="X11" s="3" t="str">
        <v>obj_0025a</v>
      </c>
      <c r="Y11" s="3" t="str">
        <f>IFERROR(_xll.qlRateHelperQuoteName(X11,Trigger),"")</f>
        <v>USD3x9F_Quote</v>
      </c>
      <c r="Z11" s="70">
        <f>IFERROR(_xll.qlRateHelperRate(X11,Trigger),"")</f>
        <v>1.2650000000000002E-2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42734</v>
      </c>
      <c r="AC11" s="4">
        <f>IFERROR(_xll.qlRateHelperPillarDate(X11,Trigger),"")</f>
        <v>42916</v>
      </c>
      <c r="AD11" s="76">
        <v>0.9906179508886499</v>
      </c>
    </row>
    <row r="12" spans="1:33" ht="11.25" customHeight="1" x14ac:dyDescent="0.2">
      <c r="A12" s="1" t="s">
        <v>26</v>
      </c>
      <c r="B12" s="8" t="s">
        <v>3</v>
      </c>
      <c r="C12" s="126"/>
      <c r="D12" s="126"/>
      <c r="E12" s="126"/>
      <c r="F12" s="126"/>
      <c r="G12" s="6" t="str">
        <f>PROPER(Currency)&amp;FamilyName&amp;B12</f>
        <v>UsdLibor6M</v>
      </c>
      <c r="H12" s="123" t="str">
        <f t="shared" si="0"/>
        <v>USD6MD_SYNTH6M_Quote</v>
      </c>
      <c r="I12" s="126"/>
      <c r="J12" s="174" t="str">
        <f>IF(P12,_xll.qlDepositRateHelper(,H12,G12,Permanent,Trigger,ObjectOverwrite),"--")</f>
        <v>obj_0028d#0003</v>
      </c>
      <c r="K12" s="50" t="s">
        <v>45</v>
      </c>
      <c r="L12" s="168" t="str">
        <f t="shared" si="5"/>
        <v>Dp</v>
      </c>
      <c r="M12" s="184" t="str">
        <f t="shared" si="3"/>
        <v>USD6MD_SYNTH6M_Quote</v>
      </c>
      <c r="N12" s="170">
        <f>IFERROR(_xll.qlQuoteValue(H12,Trigger),"--")</f>
        <v>1.2423999999999999E-2</v>
      </c>
      <c r="O12" s="171"/>
      <c r="P12" s="103" t="b">
        <v>1</v>
      </c>
      <c r="Q12" s="99">
        <v>70</v>
      </c>
      <c r="R12" s="99">
        <v>1</v>
      </c>
      <c r="S12" s="99" t="str">
        <f t="shared" si="4"/>
        <v>obj_0028d#0003</v>
      </c>
      <c r="T12" s="104">
        <f>IFERROR(_xll.qlRateHelperEarliestDate(S12,Trigger),"--")</f>
        <v>42643</v>
      </c>
      <c r="U12" s="104">
        <f>IFERROR(_xll.qlRateHelperPillarDate(S12,Trigger),"--")</f>
        <v>42825</v>
      </c>
      <c r="W12" s="3" t="str">
        <f t="shared" si="1"/>
        <v>FRA</v>
      </c>
      <c r="X12" s="3" t="str">
        <v>obj_00263</v>
      </c>
      <c r="Y12" s="3" t="str">
        <f>IFERROR(_xll.qlRateHelperQuoteName(X12,Trigger),"")</f>
        <v>USD4x10F_Quote</v>
      </c>
      <c r="Z12" s="70">
        <f>IFERROR(_xll.qlRateHelperRate(X12,Trigger),"")</f>
        <v>1.2690000000000002E-2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42766</v>
      </c>
      <c r="AC12" s="4">
        <f>IFERROR(_xll.qlRateHelperPillarDate(X12,Trigger),"")</f>
        <v>42947</v>
      </c>
      <c r="AD12" s="76">
        <v>0.98951191817310202</v>
      </c>
    </row>
    <row r="13" spans="1:33" ht="11.25" customHeight="1" x14ac:dyDescent="0.2">
      <c r="B13" s="48"/>
      <c r="C13" s="48"/>
      <c r="D13" s="48"/>
      <c r="E13" s="48"/>
      <c r="F13" s="48"/>
      <c r="G13" s="48"/>
      <c r="H13" s="48"/>
      <c r="K13" s="50"/>
      <c r="L13" s="180" t="str">
        <f>A15</f>
        <v>FRA</v>
      </c>
      <c r="M13" s="181" t="str">
        <f>H15</f>
        <v>USD1x7F_Quote</v>
      </c>
      <c r="N13" s="182">
        <f>IFERROR(_xll.qlQuoteValue(H15,Trigger),"--")</f>
        <v>1.2530000000000001E-2</v>
      </c>
      <c r="O13" s="165"/>
      <c r="P13" s="134" t="b">
        <v>1</v>
      </c>
      <c r="Q13" s="133">
        <v>20</v>
      </c>
      <c r="R13" s="133">
        <v>1</v>
      </c>
      <c r="S13" s="133" t="str">
        <f>J15</f>
        <v>obj_0025d#0003</v>
      </c>
      <c r="T13" s="135">
        <f>IFERROR(_xll.qlRateHelperEarliestDate(S13,Trigger),"--")</f>
        <v>42674</v>
      </c>
      <c r="U13" s="135">
        <f>IFERROR(_xll.qlRateHelperPillarDate(S13,Trigger),"--")</f>
        <v>42853</v>
      </c>
      <c r="W13" s="3" t="str">
        <f t="shared" si="1"/>
        <v>FRA</v>
      </c>
      <c r="X13" s="3" t="str">
        <v>obj_00256</v>
      </c>
      <c r="Y13" s="3" t="str">
        <f>IFERROR(_xll.qlRateHelperQuoteName(X13,Trigger),"")</f>
        <v>USD5x11F_Quote</v>
      </c>
      <c r="Z13" s="70">
        <f>IFERROR(_xll.qlRateHelperRate(X13,Trigger),"")</f>
        <v>1.2699999999999999E-2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42794</v>
      </c>
      <c r="AC13" s="4">
        <f>IFERROR(_xll.qlRateHelperPillarDate(X13,Trigger),"")</f>
        <v>42978</v>
      </c>
      <c r="AD13" s="76">
        <v>0.98842105779864775</v>
      </c>
    </row>
    <row r="14" spans="1:33" ht="11.25" customHeight="1" x14ac:dyDescent="0.2">
      <c r="A14" s="66" t="s">
        <v>9</v>
      </c>
      <c r="B14" s="66" t="s">
        <v>120</v>
      </c>
      <c r="C14" s="66" t="s">
        <v>121</v>
      </c>
      <c r="D14" s="66"/>
      <c r="E14" s="66"/>
      <c r="F14" s="66"/>
      <c r="G14" s="66" t="s">
        <v>4</v>
      </c>
      <c r="H14" s="66" t="s">
        <v>1</v>
      </c>
      <c r="I14" s="66"/>
      <c r="J14" s="66" t="s">
        <v>24</v>
      </c>
      <c r="K14" s="50"/>
      <c r="L14" s="162" t="str">
        <f t="shared" ref="L14:L26" si="6">A16</f>
        <v>FRA</v>
      </c>
      <c r="M14" s="183" t="str">
        <f t="shared" ref="M14:M30" si="7">H16</f>
        <v>USD2x8F_Quote</v>
      </c>
      <c r="N14" s="164">
        <f>IFERROR(_xll.qlQuoteValue(H16,Trigger),"--")</f>
        <v>1.255E-2</v>
      </c>
      <c r="O14" s="167"/>
      <c r="P14" s="101" t="b">
        <v>1</v>
      </c>
      <c r="Q14" s="98">
        <v>20</v>
      </c>
      <c r="R14" s="98">
        <v>1</v>
      </c>
      <c r="S14" s="98" t="str">
        <f t="shared" ref="S14:S30" si="8">J16</f>
        <v>obj_00254#0003</v>
      </c>
      <c r="T14" s="102">
        <f>IFERROR(_xll.qlRateHelperEarliestDate(S14,Trigger),"--")</f>
        <v>42704</v>
      </c>
      <c r="U14" s="102">
        <f>IFERROR(_xll.qlRateHelperPillarDate(S14,Trigger),"--")</f>
        <v>42886</v>
      </c>
      <c r="W14" s="3" t="str">
        <f t="shared" si="1"/>
        <v>FRA</v>
      </c>
      <c r="X14" s="3" t="str">
        <v>obj_00265</v>
      </c>
      <c r="Y14" s="3" t="str">
        <f>IFERROR(_xll.qlRateHelperQuoteName(X14,Trigger),"")</f>
        <v>USD6x12F_Quote</v>
      </c>
      <c r="Z14" s="70">
        <f>IFERROR(_xll.qlRateHelperRate(X14,Trigger),"")</f>
        <v>1.2710000000000001E-2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42825</v>
      </c>
      <c r="AC14" s="4">
        <f>IFERROR(_xll.qlRateHelperPillarDate(X14,Trigger),"")</f>
        <v>43007</v>
      </c>
      <c r="AD14" s="76">
        <v>0.98741344794810748</v>
      </c>
    </row>
    <row r="15" spans="1:33" ht="11.25" customHeight="1" x14ac:dyDescent="0.2">
      <c r="A15" s="55" t="s">
        <v>122</v>
      </c>
      <c r="B15" s="115">
        <v>1</v>
      </c>
      <c r="C15" s="58" t="str">
        <f t="shared" ref="C15:C32" si="9">"x"&amp;B15+SUBSTITUTE(Tenor,"M","")&amp;"F"</f>
        <v>x7F</v>
      </c>
      <c r="D15" s="131"/>
      <c r="E15" s="131"/>
      <c r="F15" s="131"/>
      <c r="G15" s="57" t="str">
        <f t="shared" ref="G15:G32" si="10">PROPER(Currency)&amp;FamilyName&amp;Tenor</f>
        <v>UsdLibor6M</v>
      </c>
      <c r="H15" s="118" t="str">
        <f t="shared" ref="H15:H24" si="11">Currency&amp;B15&amp;C15&amp;QuoteSuffix</f>
        <v>USD1x7F_Quote</v>
      </c>
      <c r="I15" s="131"/>
      <c r="J15" s="173" t="str">
        <f>IF(P13,_xll.qlFraRateHelper(,H15,B15&amp;"M",G15,PillarDate,,Permanent,Trigger,ObjectOverwrite),"--")</f>
        <v>obj_0025d#0003</v>
      </c>
      <c r="K15" s="50"/>
      <c r="L15" s="162" t="str">
        <f t="shared" si="6"/>
        <v>FRA</v>
      </c>
      <c r="M15" s="183" t="str">
        <f t="shared" si="7"/>
        <v>USD3x9F_Quote</v>
      </c>
      <c r="N15" s="164">
        <f>IFERROR(_xll.qlQuoteValue(H17,Trigger),"--")</f>
        <v>1.2650000000000002E-2</v>
      </c>
      <c r="O15" s="167"/>
      <c r="P15" s="101" t="b">
        <v>1</v>
      </c>
      <c r="Q15" s="98">
        <v>20</v>
      </c>
      <c r="R15" s="98">
        <v>1</v>
      </c>
      <c r="S15" s="98" t="str">
        <f t="shared" si="8"/>
        <v>obj_0025a#0003</v>
      </c>
      <c r="T15" s="102">
        <f>IFERROR(_xll.qlRateHelperEarliestDate(S15,Trigger),"--")</f>
        <v>42734</v>
      </c>
      <c r="U15" s="102">
        <f>IFERROR(_xll.qlRateHelperPillarDate(S15,Trigger),"--")</f>
        <v>42916</v>
      </c>
      <c r="W15" s="3" t="str">
        <f t="shared" si="1"/>
        <v>FRA</v>
      </c>
      <c r="X15" s="3" t="str">
        <v>obj_00297</v>
      </c>
      <c r="Y15" s="3" t="str">
        <f>IFERROR(_xll.qlRateHelperQuoteName(X15,Trigger),"")</f>
        <v>USD7x13F_Quote</v>
      </c>
      <c r="Z15" s="70">
        <f>IFERROR(_xll.qlRateHelperRate(X15,Trigger),"")</f>
        <v>1.2750000000000001E-2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42853</v>
      </c>
      <c r="AC15" s="4">
        <f>IFERROR(_xll.qlRateHelperPillarDate(X15,Trigger),"")</f>
        <v>43039</v>
      </c>
      <c r="AD15" s="76">
        <v>0.98630325262979945</v>
      </c>
    </row>
    <row r="16" spans="1:33" ht="11.25" customHeight="1" x14ac:dyDescent="0.2">
      <c r="A16" s="60" t="s">
        <v>122</v>
      </c>
      <c r="B16" s="116">
        <v>2</v>
      </c>
      <c r="C16" s="64" t="str">
        <f t="shared" si="9"/>
        <v>x8F</v>
      </c>
      <c r="D16" s="125"/>
      <c r="E16" s="125"/>
      <c r="F16" s="125"/>
      <c r="G16" s="62" t="str">
        <f t="shared" si="10"/>
        <v>UsdLibor6M</v>
      </c>
      <c r="H16" s="119" t="str">
        <f t="shared" si="11"/>
        <v>USD2x8F_Quote</v>
      </c>
      <c r="I16" s="125"/>
      <c r="J16" s="175" t="str">
        <f>IF(P14,_xll.qlFraRateHelper(,H16,B16&amp;"M",G16,PillarDate,,Permanent,Trigger,ObjectOverwrite),"--")</f>
        <v>obj_00254#0003</v>
      </c>
      <c r="K16" s="50"/>
      <c r="L16" s="162" t="str">
        <f t="shared" si="6"/>
        <v>FRA</v>
      </c>
      <c r="M16" s="183" t="str">
        <f t="shared" si="7"/>
        <v>USD4x10F_Quote</v>
      </c>
      <c r="N16" s="164">
        <f>IFERROR(_xll.qlQuoteValue(H18,Trigger),"--")</f>
        <v>1.2690000000000002E-2</v>
      </c>
      <c r="O16" s="167"/>
      <c r="P16" s="101" t="b">
        <v>1</v>
      </c>
      <c r="Q16" s="98">
        <v>20</v>
      </c>
      <c r="R16" s="98">
        <v>1</v>
      </c>
      <c r="S16" s="98" t="str">
        <f t="shared" si="8"/>
        <v>obj_00263#0003</v>
      </c>
      <c r="T16" s="102">
        <f>IFERROR(_xll.qlRateHelperEarliestDate(S16,Trigger),"--")</f>
        <v>42766</v>
      </c>
      <c r="U16" s="102">
        <f>IFERROR(_xll.qlRateHelperPillarDate(S16,Trigger),"--")</f>
        <v>42947</v>
      </c>
      <c r="W16" s="3" t="str">
        <f t="shared" si="1"/>
        <v>FRA</v>
      </c>
      <c r="X16" s="3" t="str">
        <v>obj_00294</v>
      </c>
      <c r="Y16" s="3" t="str">
        <f>IFERROR(_xll.qlRateHelperQuoteName(X16,Trigger),"")</f>
        <v>USD8x14F_Quote</v>
      </c>
      <c r="Z16" s="70">
        <f>IFERROR(_xll.qlRateHelperRate(X16,Trigger),"")</f>
        <v>1.2810000000000002E-2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42886</v>
      </c>
      <c r="AC16" s="4">
        <f>IFERROR(_xll.qlRateHelperPillarDate(X16,Trigger),"")</f>
        <v>43069</v>
      </c>
      <c r="AD16" s="76">
        <v>0.98528440529058292</v>
      </c>
    </row>
    <row r="17" spans="1:30" ht="11.25" customHeight="1" x14ac:dyDescent="0.2">
      <c r="A17" s="60" t="s">
        <v>122</v>
      </c>
      <c r="B17" s="116">
        <v>3</v>
      </c>
      <c r="C17" s="64" t="str">
        <f t="shared" si="9"/>
        <v>x9F</v>
      </c>
      <c r="D17" s="125"/>
      <c r="E17" s="125"/>
      <c r="F17" s="125"/>
      <c r="G17" s="62" t="str">
        <f t="shared" si="10"/>
        <v>UsdLibor6M</v>
      </c>
      <c r="H17" s="119" t="str">
        <f t="shared" si="11"/>
        <v>USD3x9F_Quote</v>
      </c>
      <c r="I17" s="125"/>
      <c r="J17" s="175" t="str">
        <f>IF(P15,_xll.qlFraRateHelper(,H17,B17&amp;"M",G17,PillarDate,,Permanent,Trigger,ObjectOverwrite),"--")</f>
        <v>obj_0025a#0003</v>
      </c>
      <c r="K17" s="50"/>
      <c r="L17" s="162" t="str">
        <f t="shared" si="6"/>
        <v>FRA</v>
      </c>
      <c r="M17" s="183" t="str">
        <f t="shared" si="7"/>
        <v>USD5x11F_Quote</v>
      </c>
      <c r="N17" s="164">
        <f>IFERROR(_xll.qlQuoteValue(H19,Trigger),"--")</f>
        <v>1.2699999999999999E-2</v>
      </c>
      <c r="O17" s="167"/>
      <c r="P17" s="101" t="b">
        <v>1</v>
      </c>
      <c r="Q17" s="98">
        <v>20</v>
      </c>
      <c r="R17" s="98">
        <v>1</v>
      </c>
      <c r="S17" s="98" t="str">
        <f t="shared" si="8"/>
        <v>obj_00256#0003</v>
      </c>
      <c r="T17" s="102">
        <f>IFERROR(_xll.qlRateHelperEarliestDate(S17,Trigger),"--")</f>
        <v>42794</v>
      </c>
      <c r="U17" s="102">
        <f>IFERROR(_xll.qlRateHelperPillarDate(S17,Trigger),"--")</f>
        <v>42978</v>
      </c>
      <c r="W17" s="3" t="str">
        <f t="shared" si="1"/>
        <v>FRA</v>
      </c>
      <c r="X17" s="3" t="str">
        <v>obj_0025f</v>
      </c>
      <c r="Y17" s="3" t="str">
        <f>IFERROR(_xll.qlRateHelperQuoteName(X17,Trigger),"")</f>
        <v>USD9x15F_Quote</v>
      </c>
      <c r="Z17" s="70">
        <f>IFERROR(_xll.qlRateHelperRate(X17,Trigger),"")</f>
        <v>1.2870000000000001E-2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42916</v>
      </c>
      <c r="AC17" s="4">
        <f>IFERROR(_xll.qlRateHelperPillarDate(X17,Trigger),"")</f>
        <v>43098</v>
      </c>
      <c r="AD17" s="76">
        <v>0.98421416144719387</v>
      </c>
    </row>
    <row r="18" spans="1:30" ht="11.25" customHeight="1" x14ac:dyDescent="0.2">
      <c r="A18" s="60" t="s">
        <v>122</v>
      </c>
      <c r="B18" s="116">
        <v>4</v>
      </c>
      <c r="C18" s="64" t="str">
        <f t="shared" si="9"/>
        <v>x10F</v>
      </c>
      <c r="D18" s="125"/>
      <c r="E18" s="125"/>
      <c r="F18" s="125"/>
      <c r="G18" s="62" t="str">
        <f t="shared" si="10"/>
        <v>UsdLibor6M</v>
      </c>
      <c r="H18" s="119" t="str">
        <f t="shared" si="11"/>
        <v>USD4x10F_Quote</v>
      </c>
      <c r="I18" s="125"/>
      <c r="J18" s="175" t="str">
        <f>IF(P16,_xll.qlFraRateHelper(,H18,B18&amp;"M",G18,PillarDate,,Permanent,Trigger,ObjectOverwrite),"--")</f>
        <v>obj_00263#0003</v>
      </c>
      <c r="K18" s="50"/>
      <c r="L18" s="162" t="str">
        <f t="shared" si="6"/>
        <v>FRA</v>
      </c>
      <c r="M18" s="183" t="str">
        <f t="shared" si="7"/>
        <v>USD6x12F_Quote</v>
      </c>
      <c r="N18" s="164">
        <f>IFERROR(_xll.qlQuoteValue(H20,Trigger),"--")</f>
        <v>1.2710000000000001E-2</v>
      </c>
      <c r="O18" s="167"/>
      <c r="P18" s="101" t="b">
        <v>1</v>
      </c>
      <c r="Q18" s="98">
        <v>20</v>
      </c>
      <c r="R18" s="98">
        <v>1</v>
      </c>
      <c r="S18" s="98" t="str">
        <f t="shared" si="8"/>
        <v>obj_00265#0003</v>
      </c>
      <c r="T18" s="102">
        <f>IFERROR(_xll.qlRateHelperEarliestDate(S18,Trigger),"--")</f>
        <v>42825</v>
      </c>
      <c r="U18" s="102">
        <f>IFERROR(_xll.qlRateHelperPillarDate(S18,Trigger),"--")</f>
        <v>43007</v>
      </c>
      <c r="W18" s="3" t="str">
        <f t="shared" si="1"/>
        <v>FRA</v>
      </c>
      <c r="X18" s="3" t="str">
        <v>obj_00253</v>
      </c>
      <c r="Y18" s="3" t="str">
        <f>IFERROR(_xll.qlRateHelperQuoteName(X18,Trigger),"")</f>
        <v>USD10x16F_Quote</v>
      </c>
      <c r="Z18" s="70">
        <f>IFERROR(_xll.qlRateHelperRate(X18,Trigger),"")</f>
        <v>1.294E-2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42947</v>
      </c>
      <c r="AC18" s="4">
        <f>IFERROR(_xll.qlRateHelperPillarDate(X18,Trigger),"")</f>
        <v>43131</v>
      </c>
      <c r="AD18" s="76">
        <v>0.98301050513889254</v>
      </c>
    </row>
    <row r="19" spans="1:30" ht="11.25" customHeight="1" x14ac:dyDescent="0.2">
      <c r="A19" s="60" t="s">
        <v>122</v>
      </c>
      <c r="B19" s="116">
        <v>5</v>
      </c>
      <c r="C19" s="64" t="str">
        <f t="shared" si="9"/>
        <v>x11F</v>
      </c>
      <c r="D19" s="125"/>
      <c r="E19" s="125"/>
      <c r="F19" s="125"/>
      <c r="G19" s="62" t="str">
        <f t="shared" si="10"/>
        <v>UsdLibor6M</v>
      </c>
      <c r="H19" s="119" t="str">
        <f t="shared" si="11"/>
        <v>USD5x11F_Quote</v>
      </c>
      <c r="I19" s="125"/>
      <c r="J19" s="175" t="str">
        <f>IF(P17,_xll.qlFraRateHelper(,H19,B19&amp;"M",G19,PillarDate,,Permanent,Trigger,ObjectOverwrite),"--")</f>
        <v>obj_00256#0003</v>
      </c>
      <c r="K19" s="50"/>
      <c r="L19" s="162" t="str">
        <f t="shared" si="6"/>
        <v>FRA</v>
      </c>
      <c r="M19" s="183" t="str">
        <f t="shared" si="7"/>
        <v>USD7x13F_Quote</v>
      </c>
      <c r="N19" s="164">
        <f>IFERROR(_xll.qlQuoteValue(H21,Trigger),"--")</f>
        <v>1.2750000000000001E-2</v>
      </c>
      <c r="O19" s="167"/>
      <c r="P19" s="149" t="b">
        <f>NOT(ISERROR(_xll.qlQuoteValue(M19)))</f>
        <v>1</v>
      </c>
      <c r="Q19" s="98">
        <v>20</v>
      </c>
      <c r="R19" s="98">
        <v>1</v>
      </c>
      <c r="S19" s="98" t="str">
        <f t="shared" si="8"/>
        <v>obj_00297#0003</v>
      </c>
      <c r="T19" s="102">
        <f>IFERROR(_xll.qlRateHelperEarliestDate(S19,Trigger),"--")</f>
        <v>42853</v>
      </c>
      <c r="U19" s="102">
        <f>IFERROR(_xll.qlRateHelperPillarDate(S19,Trigger),"--")</f>
        <v>43039</v>
      </c>
      <c r="W19" s="3" t="str">
        <f t="shared" si="1"/>
        <v>FRA</v>
      </c>
      <c r="X19" s="3" t="str">
        <v>obj_00264</v>
      </c>
      <c r="Y19" s="3" t="str">
        <f>IFERROR(_xll.qlRateHelperQuoteName(X19,Trigger),"")</f>
        <v>USD12x18F_Quote</v>
      </c>
      <c r="Z19" s="70">
        <f>IFERROR(_xll.qlRateHelperRate(X19,Trigger),"")</f>
        <v>1.3050000000000001E-2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43007</v>
      </c>
      <c r="AC19" s="4">
        <f>IFERROR(_xll.qlRateHelperPillarDate(X19,Trigger),"")</f>
        <v>43188</v>
      </c>
      <c r="AD19" s="76">
        <v>0.98097701252468095</v>
      </c>
    </row>
    <row r="20" spans="1:30" ht="11.25" customHeight="1" x14ac:dyDescent="0.2">
      <c r="A20" s="60" t="s">
        <v>122</v>
      </c>
      <c r="B20" s="116">
        <v>6</v>
      </c>
      <c r="C20" s="64" t="str">
        <f t="shared" si="9"/>
        <v>x12F</v>
      </c>
      <c r="D20" s="125"/>
      <c r="E20" s="125"/>
      <c r="F20" s="125"/>
      <c r="G20" s="62" t="str">
        <f t="shared" si="10"/>
        <v>UsdLibor6M</v>
      </c>
      <c r="H20" s="119" t="str">
        <f t="shared" si="11"/>
        <v>USD6x12F_Quote</v>
      </c>
      <c r="I20" s="125"/>
      <c r="J20" s="175" t="str">
        <f>IF(P18,_xll.qlFraRateHelper(,H20,B20&amp;"M",G20,PillarDate,,Permanent,Trigger,ObjectOverwrite),"--")</f>
        <v>obj_00265#0003</v>
      </c>
      <c r="K20" s="50"/>
      <c r="L20" s="162" t="str">
        <f t="shared" si="6"/>
        <v>FRA</v>
      </c>
      <c r="M20" s="183" t="str">
        <f t="shared" si="7"/>
        <v>USD8x14F_Quote</v>
      </c>
      <c r="N20" s="164">
        <f>IFERROR(_xll.qlQuoteValue(H22,Trigger),"--")</f>
        <v>1.2810000000000002E-2</v>
      </c>
      <c r="O20" s="167"/>
      <c r="P20" s="149" t="b">
        <f>NOT(ISERROR(_xll.qlQuoteValue(M20)))</f>
        <v>1</v>
      </c>
      <c r="Q20" s="98">
        <v>20</v>
      </c>
      <c r="R20" s="98">
        <v>1</v>
      </c>
      <c r="S20" s="98" t="str">
        <f t="shared" si="8"/>
        <v>obj_00294#0003</v>
      </c>
      <c r="T20" s="102">
        <f>IFERROR(_xll.qlRateHelperEarliestDate(S20,Trigger),"--")</f>
        <v>42886</v>
      </c>
      <c r="U20" s="102">
        <f>IFERROR(_xll.qlRateHelperPillarDate(S20,Trigger),"--")</f>
        <v>43069</v>
      </c>
      <c r="W20" s="3" t="str">
        <f t="shared" si="1"/>
        <v>FRA</v>
      </c>
      <c r="X20" s="3" t="str">
        <v>obj_00298</v>
      </c>
      <c r="Y20" s="3" t="str">
        <f>IFERROR(_xll.qlRateHelperQuoteName(X20,Trigger),"")</f>
        <v>USD13x19F_Quote</v>
      </c>
      <c r="Z20" s="70">
        <f>IFERROR(_xll.qlRateHelperRate(X20,Trigger),"")</f>
        <v>1.3090000000000001E-2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43039</v>
      </c>
      <c r="AC20" s="4">
        <f>IFERROR(_xll.qlRateHelperPillarDate(X20,Trigger),"")</f>
        <v>43220</v>
      </c>
      <c r="AD20" s="76">
        <v>0.97985447648372126</v>
      </c>
    </row>
    <row r="21" spans="1:30" ht="11.25" customHeight="1" x14ac:dyDescent="0.2">
      <c r="A21" s="60" t="s">
        <v>122</v>
      </c>
      <c r="B21" s="116">
        <v>7</v>
      </c>
      <c r="C21" s="64" t="str">
        <f t="shared" si="9"/>
        <v>x13F</v>
      </c>
      <c r="D21" s="125"/>
      <c r="E21" s="125"/>
      <c r="F21" s="125"/>
      <c r="G21" s="62" t="str">
        <f t="shared" si="10"/>
        <v>UsdLibor6M</v>
      </c>
      <c r="H21" s="119" t="str">
        <f t="shared" si="11"/>
        <v>USD7x13F_Quote</v>
      </c>
      <c r="I21" s="125"/>
      <c r="J21" s="179" t="str">
        <f>_xll.qlFraRateHelper(,H21,B21&amp;"M",G21,PillarDate,,Permanent,Trigger,ObjectOverwrite)</f>
        <v>obj_00297#0003</v>
      </c>
      <c r="K21" s="50"/>
      <c r="L21" s="162" t="str">
        <f t="shared" si="6"/>
        <v>FRA</v>
      </c>
      <c r="M21" s="183" t="str">
        <f t="shared" si="7"/>
        <v>USD9x15F_Quote</v>
      </c>
      <c r="N21" s="164">
        <f>IFERROR(_xll.qlQuoteValue(H23,Trigger),"--")</f>
        <v>1.2870000000000001E-2</v>
      </c>
      <c r="O21" s="167"/>
      <c r="P21" s="101" t="b">
        <v>1</v>
      </c>
      <c r="Q21" s="98">
        <v>20</v>
      </c>
      <c r="R21" s="98">
        <v>1</v>
      </c>
      <c r="S21" s="98" t="str">
        <f t="shared" si="8"/>
        <v>obj_0025f#0003</v>
      </c>
      <c r="T21" s="102">
        <f>IFERROR(_xll.qlRateHelperEarliestDate(S21,Trigger),"--")</f>
        <v>42916</v>
      </c>
      <c r="U21" s="102">
        <f>IFERROR(_xll.qlRateHelperPillarDate(S21,Trigger),"--")</f>
        <v>43098</v>
      </c>
      <c r="W21" s="3" t="str">
        <f t="shared" si="1"/>
        <v>BasSw</v>
      </c>
      <c r="X21" s="3" t="str">
        <v>obj_002a0</v>
      </c>
      <c r="Y21" s="3" t="str">
        <f>IFERROR(_xll.qlRateHelperQuoteName(X21,Trigger),"")</f>
        <v>USDAM3L2Y_S6L3L_Quote</v>
      </c>
      <c r="Z21" s="70">
        <f>IFERROR(_xll.qlRateHelperRate(X21,Trigger),"")</f>
        <v>1.2882188382597382E-2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42643</v>
      </c>
      <c r="AC21" s="4">
        <f>IFERROR(_xll.qlRateHelperPillarDate(X21,Trigger),"")</f>
        <v>43371</v>
      </c>
      <c r="AD21" s="76">
        <v>0.97440776681812258</v>
      </c>
    </row>
    <row r="22" spans="1:30" ht="11.25" customHeight="1" x14ac:dyDescent="0.2">
      <c r="A22" s="60" t="s">
        <v>122</v>
      </c>
      <c r="B22" s="116">
        <v>8</v>
      </c>
      <c r="C22" s="64" t="str">
        <f t="shared" si="9"/>
        <v>x14F</v>
      </c>
      <c r="D22" s="125"/>
      <c r="E22" s="125"/>
      <c r="F22" s="125"/>
      <c r="G22" s="62" t="str">
        <f t="shared" si="10"/>
        <v>UsdLibor6M</v>
      </c>
      <c r="H22" s="119" t="str">
        <f t="shared" si="11"/>
        <v>USD8x14F_Quote</v>
      </c>
      <c r="I22" s="125"/>
      <c r="J22" s="179" t="str">
        <f>_xll.qlFraRateHelper(,H22,B22&amp;"M",G22,PillarDate,,Permanent,Trigger,ObjectOverwrite)</f>
        <v>obj_00294#0003</v>
      </c>
      <c r="K22" s="50"/>
      <c r="L22" s="162" t="str">
        <f t="shared" si="6"/>
        <v>FRA</v>
      </c>
      <c r="M22" s="183" t="str">
        <f t="shared" si="7"/>
        <v>USD10x16F_Quote</v>
      </c>
      <c r="N22" s="164">
        <f>IFERROR(_xll.qlQuoteValue(H24,Trigger),"--")</f>
        <v>1.294E-2</v>
      </c>
      <c r="O22" s="167"/>
      <c r="P22" s="149" t="b">
        <f>NOT(ISERROR(_xll.qlQuoteValue(M22)))</f>
        <v>1</v>
      </c>
      <c r="Q22" s="98">
        <v>20</v>
      </c>
      <c r="R22" s="98">
        <v>1</v>
      </c>
      <c r="S22" s="98" t="str">
        <f t="shared" si="8"/>
        <v>obj_00253#0003</v>
      </c>
      <c r="T22" s="102">
        <f>IFERROR(_xll.qlRateHelperEarliestDate(S22,Trigger),"--")</f>
        <v>42947</v>
      </c>
      <c r="U22" s="102">
        <f>IFERROR(_xll.qlRateHelperPillarDate(S22,Trigger),"--")</f>
        <v>43131</v>
      </c>
      <c r="W22" s="3" t="str">
        <f t="shared" si="1"/>
        <v>BasSw</v>
      </c>
      <c r="X22" s="3" t="str">
        <v>obj_002b6</v>
      </c>
      <c r="Y22" s="3" t="str">
        <f>IFERROR(_xll.qlRateHelperQuoteName(X22,Trigger),"")</f>
        <v>USDAM3L3Y_S6L3L_Quote</v>
      </c>
      <c r="Z22" s="70">
        <f>IFERROR(_xll.qlRateHelperRate(X22,Trigger),"")</f>
        <v>1.3076890038206578E-2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42643</v>
      </c>
      <c r="AC22" s="4">
        <f>IFERROR(_xll.qlRateHelperPillarDate(X22,Trigger),"")</f>
        <v>43738</v>
      </c>
      <c r="AD22" s="76">
        <v>0.96119291163139831</v>
      </c>
    </row>
    <row r="23" spans="1:30" ht="11.25" customHeight="1" x14ac:dyDescent="0.2">
      <c r="A23" s="60" t="s">
        <v>122</v>
      </c>
      <c r="B23" s="116">
        <v>9</v>
      </c>
      <c r="C23" s="64" t="str">
        <f t="shared" si="9"/>
        <v>x15F</v>
      </c>
      <c r="D23" s="125"/>
      <c r="E23" s="125"/>
      <c r="F23" s="125"/>
      <c r="G23" s="62" t="str">
        <f t="shared" si="10"/>
        <v>UsdLibor6M</v>
      </c>
      <c r="H23" s="119" t="str">
        <f t="shared" si="11"/>
        <v>USD9x15F_Quote</v>
      </c>
      <c r="I23" s="125"/>
      <c r="J23" s="175" t="str">
        <f>IF(P21,_xll.qlFraRateHelper(,H23,B23&amp;"M",G23,PillarDate,,Permanent,Trigger,ObjectOverwrite),"--")</f>
        <v>obj_0025f#0003</v>
      </c>
      <c r="K23" s="50"/>
      <c r="L23" s="162" t="str">
        <f t="shared" si="6"/>
        <v>FRA</v>
      </c>
      <c r="M23" s="183" t="str">
        <f t="shared" si="7"/>
        <v>USD11x17F_Quote</v>
      </c>
      <c r="N23" s="164" t="str">
        <f>IFERROR(_xll.qlQuoteValue(H25,Trigger),"--")</f>
        <v>--</v>
      </c>
      <c r="O23" s="167"/>
      <c r="P23" s="101" t="b">
        <v>0</v>
      </c>
      <c r="Q23" s="98">
        <v>20</v>
      </c>
      <c r="R23" s="98">
        <v>1</v>
      </c>
      <c r="S23" s="98" t="str">
        <f t="shared" si="8"/>
        <v>--</v>
      </c>
      <c r="T23" s="102" t="str">
        <f>IFERROR(_xll.qlRateHelperEarliestDate(S23,Trigger),"--")</f>
        <v>--</v>
      </c>
      <c r="U23" s="102" t="str">
        <f>IFERROR(_xll.qlRateHelperPillarDate(S23,Trigger),"--")</f>
        <v>--</v>
      </c>
      <c r="W23" s="3" t="str">
        <f t="shared" si="1"/>
        <v>BasSw</v>
      </c>
      <c r="X23" s="3" t="str">
        <v>obj_002a4</v>
      </c>
      <c r="Y23" s="3" t="str">
        <f>IFERROR(_xll.qlRateHelperQuoteName(X23,Trigger),"")</f>
        <v>USDAM3L4Y_S6L3L_Quote</v>
      </c>
      <c r="Z23" s="70">
        <f>IFERROR(_xll.qlRateHelperRate(X23,Trigger),"")</f>
        <v>1.335672597479033E-2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42643</v>
      </c>
      <c r="AC23" s="4">
        <f>IFERROR(_xll.qlRateHelperPillarDate(X23,Trigger),"")</f>
        <v>44104</v>
      </c>
      <c r="AD23" s="76">
        <v>0.94748837314646717</v>
      </c>
    </row>
    <row r="24" spans="1:30" ht="11.25" customHeight="1" x14ac:dyDescent="0.2">
      <c r="A24" s="60" t="s">
        <v>122</v>
      </c>
      <c r="B24" s="116">
        <v>10</v>
      </c>
      <c r="C24" s="64" t="str">
        <f t="shared" si="9"/>
        <v>x16F</v>
      </c>
      <c r="D24" s="125"/>
      <c r="E24" s="125"/>
      <c r="F24" s="125"/>
      <c r="G24" s="62" t="str">
        <f t="shared" si="10"/>
        <v>UsdLibor6M</v>
      </c>
      <c r="H24" s="119" t="str">
        <f t="shared" si="11"/>
        <v>USD10x16F_Quote</v>
      </c>
      <c r="I24" s="125"/>
      <c r="J24" s="179" t="str">
        <f>_xll.qlFraRateHelper(,H24,B24&amp;"M",G24,PillarDate,,Permanent,Trigger,ObjectOverwrite)</f>
        <v>obj_00253#0003</v>
      </c>
      <c r="K24" s="50"/>
      <c r="L24" s="162" t="str">
        <f t="shared" si="6"/>
        <v>FRA</v>
      </c>
      <c r="M24" s="183" t="str">
        <f t="shared" si="7"/>
        <v>USD12x18F_Quote</v>
      </c>
      <c r="N24" s="164">
        <f>IFERROR(_xll.qlQuoteValue(H26,Trigger),"--")</f>
        <v>1.3050000000000001E-2</v>
      </c>
      <c r="O24" s="167"/>
      <c r="P24" s="101" t="b">
        <v>1</v>
      </c>
      <c r="Q24" s="98">
        <v>20</v>
      </c>
      <c r="R24" s="98">
        <v>1</v>
      </c>
      <c r="S24" s="98" t="str">
        <f t="shared" si="8"/>
        <v>obj_00264#0003</v>
      </c>
      <c r="T24" s="102">
        <f>IFERROR(_xll.qlRateHelperEarliestDate(S24,Trigger),"--")</f>
        <v>43007</v>
      </c>
      <c r="U24" s="102">
        <f>IFERROR(_xll.qlRateHelperPillarDate(S24,Trigger),"--")</f>
        <v>43188</v>
      </c>
      <c r="W24" s="3" t="str">
        <f t="shared" si="1"/>
        <v>BasSw</v>
      </c>
      <c r="X24" s="3" t="str">
        <v>obj_002c1</v>
      </c>
      <c r="Y24" s="3" t="str">
        <f>IFERROR(_xll.qlRateHelperQuoteName(X24,Trigger),"")</f>
        <v>USDAM3L5Y_S6L3L_Quote</v>
      </c>
      <c r="Z24" s="70">
        <f>IFERROR(_xll.qlRateHelperRate(X24,Trigger),"")</f>
        <v>1.3736739321719593E-2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42643</v>
      </c>
      <c r="AC24" s="4">
        <f>IFERROR(_xll.qlRateHelperPillarDate(X24,Trigger),"")</f>
        <v>44469</v>
      </c>
      <c r="AD24" s="76">
        <v>0.9330032354347747</v>
      </c>
    </row>
    <row r="25" spans="1:30" ht="11.25" customHeight="1" x14ac:dyDescent="0.2">
      <c r="A25" s="60" t="s">
        <v>122</v>
      </c>
      <c r="B25" s="116">
        <v>11</v>
      </c>
      <c r="C25" s="64" t="str">
        <f t="shared" si="9"/>
        <v>x17F</v>
      </c>
      <c r="D25" s="125"/>
      <c r="E25" s="125"/>
      <c r="F25" s="125"/>
      <c r="G25" s="62" t="str">
        <f t="shared" si="10"/>
        <v>UsdLibor6M</v>
      </c>
      <c r="H25" s="119" t="str">
        <f t="shared" ref="H25:H32" si="12">Currency&amp;B25&amp;C25&amp;QuoteSuffix</f>
        <v>USD11x17F_Quote</v>
      </c>
      <c r="I25" s="125"/>
      <c r="J25" s="175" t="str">
        <f>IF(P23,_xll.qlFraRateHelper(,H25,B25&amp;"M",G25,PillarDate,,Permanent,Trigger,ObjectOverwrite),"--")</f>
        <v>--</v>
      </c>
      <c r="K25" s="50"/>
      <c r="L25" s="162" t="str">
        <f t="shared" si="6"/>
        <v>FRA</v>
      </c>
      <c r="M25" s="183" t="str">
        <f t="shared" si="7"/>
        <v>USD13x19F_Quote</v>
      </c>
      <c r="N25" s="164">
        <f>IFERROR(_xll.qlQuoteValue(H27,Trigger),"--")</f>
        <v>1.3090000000000001E-2</v>
      </c>
      <c r="O25" s="167"/>
      <c r="P25" s="149" t="b">
        <f>NOT(ISERROR(_xll.qlQuoteValue(M25)))</f>
        <v>1</v>
      </c>
      <c r="Q25" s="98">
        <v>20</v>
      </c>
      <c r="R25" s="98">
        <v>1</v>
      </c>
      <c r="S25" s="98" t="str">
        <f t="shared" si="8"/>
        <v>obj_00298#0003</v>
      </c>
      <c r="T25" s="102">
        <f>IFERROR(_xll.qlRateHelperEarliestDate(S25,Trigger),"--")</f>
        <v>43039</v>
      </c>
      <c r="U25" s="102">
        <f>IFERROR(_xll.qlRateHelperPillarDate(S25,Trigger),"--")</f>
        <v>43220</v>
      </c>
      <c r="W25" s="3" t="str">
        <f t="shared" si="1"/>
        <v>BasSw</v>
      </c>
      <c r="X25" s="3" t="str">
        <v>obj_002b5</v>
      </c>
      <c r="Y25" s="3" t="str">
        <f>IFERROR(_xll.qlRateHelperQuoteName(X25,Trigger),"")</f>
        <v>USDAM3L6Y_S6L3L_Quote</v>
      </c>
      <c r="Z25" s="70">
        <f>IFERROR(_xll.qlRateHelperRate(X25,Trigger),"")</f>
        <v>1.4206902536535561E-2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42643</v>
      </c>
      <c r="AC25" s="4">
        <f>IFERROR(_xll.qlRateHelperPillarDate(X25,Trigger),"")</f>
        <v>44834</v>
      </c>
      <c r="AD25" s="76">
        <v>0.91751312477227409</v>
      </c>
    </row>
    <row r="26" spans="1:30" ht="11.25" customHeight="1" x14ac:dyDescent="0.2">
      <c r="A26" s="60" t="s">
        <v>122</v>
      </c>
      <c r="B26" s="116">
        <v>12</v>
      </c>
      <c r="C26" s="64" t="str">
        <f t="shared" si="9"/>
        <v>x18F</v>
      </c>
      <c r="D26" s="125"/>
      <c r="E26" s="125"/>
      <c r="F26" s="125"/>
      <c r="G26" s="62" t="str">
        <f t="shared" si="10"/>
        <v>UsdLibor6M</v>
      </c>
      <c r="H26" s="119" t="str">
        <f t="shared" si="12"/>
        <v>USD12x18F_Quote</v>
      </c>
      <c r="I26" s="125"/>
      <c r="J26" s="189" t="str">
        <f>IF(P24,_xll.qlFraRateHelper(,H26,B26&amp;"M",G26,PillarDate,,Permanent,Trigger,ObjectOverwrite),"--")</f>
        <v>obj_00264#0003</v>
      </c>
      <c r="K26" s="50"/>
      <c r="L26" s="162" t="str">
        <f t="shared" si="6"/>
        <v>FRA</v>
      </c>
      <c r="M26" s="183" t="str">
        <f t="shared" si="7"/>
        <v>USD14x20F_Quote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8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obj_002d2</v>
      </c>
      <c r="Y26" s="3" t="str">
        <f>IFERROR(_xll.qlRateHelperQuoteName(X26,Trigger),"")</f>
        <v>USDAM3L7Y_S6L3L_Quote</v>
      </c>
      <c r="Z26" s="70">
        <f>IFERROR(_xll.qlRateHelperRate(X26,Trigger),"")</f>
        <v>1.4690642762473659E-2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42643</v>
      </c>
      <c r="AC26" s="4">
        <f>IFERROR(_xll.qlRateHelperPillarDate(X26,Trigger),"")</f>
        <v>45198</v>
      </c>
      <c r="AD26" s="76">
        <v>0.90134944541135997</v>
      </c>
    </row>
    <row r="27" spans="1:30" ht="11.25" customHeight="1" x14ac:dyDescent="0.2">
      <c r="A27" s="60" t="s">
        <v>122</v>
      </c>
      <c r="B27" s="116">
        <v>13</v>
      </c>
      <c r="C27" s="64" t="str">
        <f t="shared" si="9"/>
        <v>x19F</v>
      </c>
      <c r="D27" s="125"/>
      <c r="E27" s="125"/>
      <c r="F27" s="125"/>
      <c r="G27" s="62" t="str">
        <f t="shared" si="10"/>
        <v>UsdLibor6M</v>
      </c>
      <c r="H27" s="119" t="str">
        <f t="shared" si="12"/>
        <v>USD13x19F_Quote</v>
      </c>
      <c r="I27" s="125"/>
      <c r="J27" s="179" t="str">
        <f>_xll.qlFraRateHelper(,H27,B27&amp;"M",G27,PillarDate,,Permanent,Trigger,ObjectOverwrite)</f>
        <v>obj_00298#0003</v>
      </c>
      <c r="K27" s="50"/>
      <c r="L27" s="162" t="str">
        <f>A29</f>
        <v>FRA</v>
      </c>
      <c r="M27" s="183" t="str">
        <f t="shared" si="7"/>
        <v>USD15x21F_Quote</v>
      </c>
      <c r="N27" s="164" t="str">
        <f>IFERROR(_xll.qlQuoteValue(H29,Trigger),"--")</f>
        <v>--</v>
      </c>
      <c r="O27" s="167"/>
      <c r="P27" s="101" t="b">
        <v>0</v>
      </c>
      <c r="Q27" s="98">
        <v>20</v>
      </c>
      <c r="R27" s="98">
        <v>1</v>
      </c>
      <c r="S27" s="98" t="str">
        <f t="shared" si="8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 t="shared" si="1"/>
        <v>BasSw</v>
      </c>
      <c r="X27" s="3" t="str">
        <v>obj_002d0</v>
      </c>
      <c r="Y27" s="3" t="str">
        <f>IFERROR(_xll.qlRateHelperQuoteName(X27,Trigger),"")</f>
        <v>USDAM3L8Y_S6L3L_Quote</v>
      </c>
      <c r="Z27" s="70">
        <f>IFERROR(_xll.qlRateHelperRate(X27,Trigger),"")</f>
        <v>1.5187384486424128E-2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42643</v>
      </c>
      <c r="AC27" s="4">
        <f>IFERROR(_xll.qlRateHelperPillarDate(X27,Trigger),"")</f>
        <v>45565</v>
      </c>
      <c r="AD27" s="76">
        <v>0.88437192555371846</v>
      </c>
    </row>
    <row r="28" spans="1:30" ht="11.25" customHeight="1" x14ac:dyDescent="0.2">
      <c r="A28" s="60" t="s">
        <v>122</v>
      </c>
      <c r="B28" s="116">
        <v>14</v>
      </c>
      <c r="C28" s="64" t="str">
        <f t="shared" si="9"/>
        <v>x20F</v>
      </c>
      <c r="D28" s="125"/>
      <c r="E28" s="125"/>
      <c r="F28" s="125"/>
      <c r="G28" s="62" t="str">
        <f t="shared" si="10"/>
        <v>UsdLibor6M</v>
      </c>
      <c r="H28" s="119" t="str">
        <f t="shared" si="12"/>
        <v>USD14x20F_Quote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ref="L28:L29" si="13">A30</f>
        <v>FRA</v>
      </c>
      <c r="M28" s="183" t="str">
        <f t="shared" si="7"/>
        <v>USD16x22F_Quote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8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obj_002a7</v>
      </c>
      <c r="Y28" s="3" t="str">
        <f>IFERROR(_xll.qlRateHelperQuoteName(X28,Trigger),"")</f>
        <v>USDAM3L9Y_S6L3L_Quote</v>
      </c>
      <c r="Z28" s="70">
        <f>IFERROR(_xll.qlRateHelperRate(X28,Trigger),"")</f>
        <v>1.5647623256997176E-2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42643</v>
      </c>
      <c r="AC28" s="4">
        <f>IFERROR(_xll.qlRateHelperPillarDate(X28,Trigger),"")</f>
        <v>45930</v>
      </c>
      <c r="AD28" s="76">
        <v>0.86717354684005543</v>
      </c>
    </row>
    <row r="29" spans="1:30" ht="11.25" customHeight="1" x14ac:dyDescent="0.2">
      <c r="A29" s="60" t="s">
        <v>122</v>
      </c>
      <c r="B29" s="116">
        <v>15</v>
      </c>
      <c r="C29" s="64" t="str">
        <f t="shared" si="9"/>
        <v>x21F</v>
      </c>
      <c r="D29" s="125"/>
      <c r="E29" s="125"/>
      <c r="F29" s="125"/>
      <c r="G29" s="62" t="str">
        <f t="shared" si="10"/>
        <v>UsdLibor6M</v>
      </c>
      <c r="H29" s="119" t="str">
        <f t="shared" si="12"/>
        <v>USD15x21F_Quote</v>
      </c>
      <c r="I29" s="125"/>
      <c r="J29" s="175" t="str">
        <f>IF(P27,_xll.qlFraRateHelper(,H29,B29&amp;"M",G29,PillarDate,,Permanent,Trigger,ObjectOverwrite),"--")</f>
        <v>--</v>
      </c>
      <c r="K29" s="50"/>
      <c r="L29" s="162" t="str">
        <f t="shared" si="13"/>
        <v>FRA</v>
      </c>
      <c r="M29" s="183" t="str">
        <f t="shared" si="7"/>
        <v>USD17x23F_Quote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8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obj_002c3</v>
      </c>
      <c r="Y29" s="3" t="str">
        <f>IFERROR(_xll.qlRateHelperQuoteName(X29,Trigger),"")</f>
        <v>USDAM3L10Y_S6L3L_Quote</v>
      </c>
      <c r="Z29" s="70">
        <f>IFERROR(_xll.qlRateHelperRate(X29,Trigger),"")</f>
        <v>1.609790140554597E-2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42643</v>
      </c>
      <c r="AC29" s="4">
        <f>IFERROR(_xll.qlRateHelperPillarDate(X29,Trigger),"")</f>
        <v>46295</v>
      </c>
      <c r="AD29" s="76">
        <v>0.84956527091786982</v>
      </c>
    </row>
    <row r="30" spans="1:30" ht="11.25" customHeight="1" x14ac:dyDescent="0.2">
      <c r="A30" s="60" t="s">
        <v>122</v>
      </c>
      <c r="B30" s="116">
        <v>16</v>
      </c>
      <c r="C30" s="64" t="str">
        <f t="shared" si="9"/>
        <v>x22F</v>
      </c>
      <c r="D30" s="125"/>
      <c r="E30" s="125"/>
      <c r="F30" s="125"/>
      <c r="G30" s="62" t="str">
        <f t="shared" si="10"/>
        <v>UsdLibor6M</v>
      </c>
      <c r="H30" s="119" t="str">
        <f t="shared" si="12"/>
        <v>USD16x22F_Quote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8" t="str">
        <f>A32</f>
        <v>FRA</v>
      </c>
      <c r="M30" s="184" t="str">
        <f t="shared" si="7"/>
        <v>USD18x24F_Quote</v>
      </c>
      <c r="N30" s="170">
        <f>IFERROR(_xll.qlQuoteValue(H32,Trigger),"--")</f>
        <v>1.32E-2</v>
      </c>
      <c r="O30" s="171"/>
      <c r="P30" s="103" t="b">
        <v>0</v>
      </c>
      <c r="Q30" s="99">
        <v>20</v>
      </c>
      <c r="R30" s="99">
        <v>1</v>
      </c>
      <c r="S30" s="99" t="str">
        <f t="shared" si="8"/>
        <v>--</v>
      </c>
      <c r="T30" s="104" t="str">
        <f>IFERROR(_xll.qlRateHelperEarliestDate(S30,Trigger),"--")</f>
        <v>--</v>
      </c>
      <c r="U30" s="104" t="str">
        <f>IFERROR(_xll.qlRateHelperPillarDate(S30,Trigger),"--")</f>
        <v>--</v>
      </c>
      <c r="W30" s="3" t="str">
        <f t="shared" si="1"/>
        <v>BasSw</v>
      </c>
      <c r="X30" s="3" t="str">
        <v>obj_002ab</v>
      </c>
      <c r="Y30" s="3" t="str">
        <f>IFERROR(_xll.qlRateHelperQuoteName(X30,Trigger),"")</f>
        <v>USDAM3L12Y_S6L3L_Quote</v>
      </c>
      <c r="Z30" s="70">
        <f>IFERROR(_xll.qlRateHelperRate(X30,Trigger),"")</f>
        <v>1.6867851938533018E-2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42643</v>
      </c>
      <c r="AC30" s="4">
        <f>IFERROR(_xll.qlRateHelperPillarDate(X30,Trigger),"")</f>
        <v>47025</v>
      </c>
      <c r="AD30" s="76">
        <v>0.81440380581514848</v>
      </c>
    </row>
    <row r="31" spans="1:30" ht="11.25" customHeight="1" x14ac:dyDescent="0.2">
      <c r="A31" s="60" t="s">
        <v>122</v>
      </c>
      <c r="B31" s="116">
        <v>17</v>
      </c>
      <c r="C31" s="64" t="str">
        <f t="shared" si="9"/>
        <v>x23F</v>
      </c>
      <c r="D31" s="125"/>
      <c r="E31" s="125"/>
      <c r="F31" s="125"/>
      <c r="G31" s="62" t="str">
        <f t="shared" si="10"/>
        <v>UsdLibor6M</v>
      </c>
      <c r="H31" s="119" t="str">
        <f t="shared" si="12"/>
        <v>USD17x23F_Quote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>A35</f>
        <v>BasSw</v>
      </c>
      <c r="M31" s="190" t="str">
        <f>H35</f>
        <v>USDAM3L1Y_S6L3L_Quote</v>
      </c>
      <c r="N31" s="164">
        <f>IFERROR(_xll.qlQuoteValue(H35,Trigger),"--")</f>
        <v>1.2486854167134145E-2</v>
      </c>
      <c r="O31" s="164">
        <f>I35</f>
        <v>0</v>
      </c>
      <c r="P31" s="101" t="b">
        <v>0</v>
      </c>
      <c r="Q31" s="98">
        <v>40</v>
      </c>
      <c r="R31" s="98">
        <v>1</v>
      </c>
      <c r="S31" s="98" t="str">
        <f>J35</f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obj_002a6</v>
      </c>
      <c r="Y31" s="3" t="str">
        <f>IFERROR(_xll.qlRateHelperQuoteName(X31,Trigger),"")</f>
        <v>USDAM3L15Y_S6L3L_Quote</v>
      </c>
      <c r="Z31" s="70">
        <f>IFERROR(_xll.qlRateHelperRate(X31,Trigger),"")</f>
        <v>1.7718901508545552E-2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42643</v>
      </c>
      <c r="AC31" s="4">
        <f>IFERROR(_xll.qlRateHelperPillarDate(X31,Trigger),"")</f>
        <v>48121</v>
      </c>
      <c r="AD31" s="76">
        <v>0.76327161513494257</v>
      </c>
    </row>
    <row r="32" spans="1:30" ht="11.25" customHeight="1" x14ac:dyDescent="0.2">
      <c r="A32" s="1" t="s">
        <v>122</v>
      </c>
      <c r="B32" s="117">
        <v>18</v>
      </c>
      <c r="C32" s="9" t="str">
        <f t="shared" si="9"/>
        <v>x24F</v>
      </c>
      <c r="D32" s="126"/>
      <c r="E32" s="126"/>
      <c r="F32" s="126"/>
      <c r="G32" s="6" t="str">
        <f t="shared" si="10"/>
        <v>UsdLibor6M</v>
      </c>
      <c r="H32" s="120" t="str">
        <f t="shared" si="12"/>
        <v>USD18x24F_Quote</v>
      </c>
      <c r="I32" s="126"/>
      <c r="J32" s="174" t="str">
        <f>IF(P30,_xll.qlFraRateHelper(,H32,B32&amp;"M",G32,PillarDate,,Permanent,Trigger,ObjectOverwrite),"--")</f>
        <v>--</v>
      </c>
      <c r="K32" s="50"/>
      <c r="L32" s="162" t="str">
        <f t="shared" ref="L32:L66" si="14">A36</f>
        <v>BasSw</v>
      </c>
      <c r="M32" s="183" t="str">
        <f t="shared" ref="M32:M66" si="15">H36</f>
        <v>USDAM3L2Y_S6L3L_Quote</v>
      </c>
      <c r="N32" s="164">
        <f>IFERROR(_xll.qlQuoteValue(H36,Trigger),"--")</f>
        <v>1.2882188382597382E-2</v>
      </c>
      <c r="O32" s="164">
        <f t="shared" ref="O32:O66" si="16">I36</f>
        <v>0</v>
      </c>
      <c r="P32" s="101" t="b">
        <v>1</v>
      </c>
      <c r="Q32" s="98">
        <v>40</v>
      </c>
      <c r="R32" s="98">
        <v>1</v>
      </c>
      <c r="S32" s="98" t="str">
        <f t="shared" ref="S32:S66" si="17">J36</f>
        <v>obj_002a0#0003</v>
      </c>
      <c r="T32" s="102">
        <f>IFERROR(_xll.qlRateHelperEarliestDate(S32,Trigger),"--")</f>
        <v>42643</v>
      </c>
      <c r="U32" s="102">
        <f>IFERROR(_xll.qlRateHelperPillarDate(S32,Trigger),"--")</f>
        <v>43371</v>
      </c>
      <c r="W32" s="3" t="str">
        <f t="shared" si="1"/>
        <v>BasSw</v>
      </c>
      <c r="X32" s="3" t="str">
        <v>obj_002cb</v>
      </c>
      <c r="Y32" s="3" t="str">
        <f>IFERROR(_xll.qlRateHelperQuoteName(X32,Trigger),"")</f>
        <v>USDAM3L20Y_S6L3L_Quote</v>
      </c>
      <c r="Z32" s="70">
        <f>IFERROR(_xll.qlRateHelperRate(X32,Trigger),"")</f>
        <v>1.8569299910933128E-2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42643</v>
      </c>
      <c r="AC32" s="4">
        <f>IFERROR(_xll.qlRateHelperPillarDate(X32,Trigger),"")</f>
        <v>49948</v>
      </c>
      <c r="AD32" s="76">
        <v>0.68499709139900644</v>
      </c>
    </row>
    <row r="33" spans="1:30" ht="11.25" customHeight="1" x14ac:dyDescent="0.2">
      <c r="B33" s="48"/>
      <c r="C33" s="48"/>
      <c r="D33" s="48"/>
      <c r="E33" s="48"/>
      <c r="F33" s="48" t="s">
        <v>144</v>
      </c>
      <c r="G33" s="48" t="s">
        <v>143</v>
      </c>
      <c r="H33" s="48" t="s">
        <v>148</v>
      </c>
      <c r="K33" s="50"/>
      <c r="L33" s="162" t="str">
        <f t="shared" si="14"/>
        <v>BasSw</v>
      </c>
      <c r="M33" s="183" t="str">
        <f t="shared" si="15"/>
        <v>USDAM3L3Y_S6L3L_Quote</v>
      </c>
      <c r="N33" s="164">
        <f>IFERROR(_xll.qlQuoteValue(H37,Trigger),"--")</f>
        <v>1.3076890038206578E-2</v>
      </c>
      <c r="O33" s="164">
        <f t="shared" si="16"/>
        <v>0</v>
      </c>
      <c r="P33" s="101" t="b">
        <v>1</v>
      </c>
      <c r="Q33" s="98">
        <v>40</v>
      </c>
      <c r="R33" s="98">
        <v>1</v>
      </c>
      <c r="S33" s="98" t="str">
        <f t="shared" si="17"/>
        <v>obj_002b6#0003</v>
      </c>
      <c r="T33" s="102">
        <f>IFERROR(_xll.qlRateHelperEarliestDate(S33,Trigger),"--")</f>
        <v>42643</v>
      </c>
      <c r="U33" s="102">
        <f>IFERROR(_xll.qlRateHelperPillarDate(S33,Trigger),"--")</f>
        <v>43738</v>
      </c>
      <c r="W33" s="3" t="str">
        <f t="shared" si="1"/>
        <v>BasSw</v>
      </c>
      <c r="X33" s="3" t="str">
        <v>obj_002d6</v>
      </c>
      <c r="Y33" s="3" t="str">
        <f>IFERROR(_xll.qlRateHelperQuoteName(X33,Trigger),"")</f>
        <v>USDAM3L25Y_S6L3L_Quote</v>
      </c>
      <c r="Z33" s="70">
        <f>IFERROR(_xll.qlRateHelperRate(X33,Trigger),"")</f>
        <v>1.8969451011894661E-2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42643</v>
      </c>
      <c r="AC33" s="4">
        <f>IFERROR(_xll.qlRateHelperPillarDate(X33,Trigger),"")</f>
        <v>51774</v>
      </c>
      <c r="AD33" s="76">
        <v>0.6166892314239133</v>
      </c>
    </row>
    <row r="34" spans="1:30" ht="11.25" customHeight="1" x14ac:dyDescent="0.2">
      <c r="A34" s="66" t="s">
        <v>9</v>
      </c>
      <c r="B34" s="66" t="s">
        <v>29</v>
      </c>
      <c r="C34" s="66" t="s">
        <v>145</v>
      </c>
      <c r="D34" s="66" t="s">
        <v>5</v>
      </c>
      <c r="E34" s="66" t="s">
        <v>34</v>
      </c>
      <c r="F34" s="66" t="s">
        <v>146</v>
      </c>
      <c r="G34" s="66" t="s">
        <v>4</v>
      </c>
      <c r="H34" s="66" t="s">
        <v>1</v>
      </c>
      <c r="I34" s="66" t="s">
        <v>142</v>
      </c>
      <c r="J34" s="66" t="s">
        <v>24</v>
      </c>
      <c r="K34" s="50"/>
      <c r="L34" s="162" t="str">
        <f t="shared" si="14"/>
        <v>BasSw</v>
      </c>
      <c r="M34" s="183" t="str">
        <f t="shared" si="15"/>
        <v>USDAM3L4Y_S6L3L_Quote</v>
      </c>
      <c r="N34" s="164">
        <f>IFERROR(_xll.qlQuoteValue(H38,Trigger),"--")</f>
        <v>1.335672597479033E-2</v>
      </c>
      <c r="O34" s="164">
        <f t="shared" si="16"/>
        <v>0</v>
      </c>
      <c r="P34" s="101" t="b">
        <v>1</v>
      </c>
      <c r="Q34" s="98">
        <v>40</v>
      </c>
      <c r="R34" s="98">
        <v>1</v>
      </c>
      <c r="S34" s="98" t="str">
        <f t="shared" si="17"/>
        <v>obj_002a4#0003</v>
      </c>
      <c r="T34" s="102">
        <f>IFERROR(_xll.qlRateHelperEarliestDate(S34,Trigger),"--")</f>
        <v>42643</v>
      </c>
      <c r="U34" s="102">
        <f>IFERROR(_xll.qlRateHelperPillarDate(S34,Trigger),"--")</f>
        <v>44104</v>
      </c>
      <c r="W34" s="3" t="str">
        <f t="shared" si="1"/>
        <v>BasSw</v>
      </c>
      <c r="X34" s="3" t="str">
        <v>obj_002b9</v>
      </c>
      <c r="Y34" s="3" t="str">
        <f>IFERROR(_xll.qlRateHelperQuoteName(X34,Trigger),"")</f>
        <v>USDAM3L30Y_S6L3L_Quote</v>
      </c>
      <c r="Z34" s="70">
        <f>IFERROR(_xll.qlRateHelperRate(X34,Trigger),"")</f>
        <v>1.9155272212283737E-2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42643</v>
      </c>
      <c r="AC34" s="4">
        <f>IFERROR(_xll.qlRateHelperPillarDate(X34,Trigger),"")</f>
        <v>53598</v>
      </c>
      <c r="AD34" s="76">
        <v>0.55685703831611844</v>
      </c>
    </row>
    <row r="35" spans="1:30" ht="11.25" customHeight="1" x14ac:dyDescent="0.2">
      <c r="A35" s="55" t="s">
        <v>150</v>
      </c>
      <c r="B35" s="56" t="s">
        <v>28</v>
      </c>
      <c r="C35" s="57" t="s">
        <v>6</v>
      </c>
      <c r="D35" s="57" t="s">
        <v>8</v>
      </c>
      <c r="E35" s="57" t="s">
        <v>7</v>
      </c>
      <c r="F35" s="57" t="s">
        <v>27</v>
      </c>
      <c r="G35" s="57" t="str">
        <f t="shared" ref="G35:G70" si="18">PROPER(Currency)&amp;FamilyName&amp;Tenor</f>
        <v>UsdLibor6M</v>
      </c>
      <c r="H35" s="55" t="str">
        <f t="shared" ref="H35:H70" si="19">Currency&amp;$G$33&amp;$F$33&amp;$B35&amp;"_S"&amp;$H$33&amp;$F$33&amp;QuoteSuffix</f>
        <v>USDAM3L1Y_S6L3L_Quote</v>
      </c>
      <c r="I35" s="128">
        <v>0</v>
      </c>
      <c r="J35" s="175" t="str">
        <f>IF(P31,_xll.qlSwapRateHelper2(,H35,,B35,JoinCalendar,D35,E35,F35,G35,I35,C35,Discounting,PillarDate,,Permanent,Trigger,ObjectOverwrite),"--")</f>
        <v>--</v>
      </c>
      <c r="K35" s="50"/>
      <c r="L35" s="162" t="str">
        <f t="shared" si="14"/>
        <v>BasSw</v>
      </c>
      <c r="M35" s="183" t="str">
        <f t="shared" si="15"/>
        <v>USDAM3L5Y_S6L3L_Quote</v>
      </c>
      <c r="N35" s="164">
        <f>IFERROR(_xll.qlQuoteValue(H39,Trigger),"--")</f>
        <v>1.3736739321719593E-2</v>
      </c>
      <c r="O35" s="164">
        <f t="shared" si="16"/>
        <v>0</v>
      </c>
      <c r="P35" s="101" t="b">
        <v>1</v>
      </c>
      <c r="Q35" s="98">
        <v>40</v>
      </c>
      <c r="R35" s="98">
        <v>1</v>
      </c>
      <c r="S35" s="98" t="str">
        <f t="shared" si="17"/>
        <v>obj_002c1#0003</v>
      </c>
      <c r="T35" s="102">
        <f>IFERROR(_xll.qlRateHelperEarliestDate(S35,Trigger),"--")</f>
        <v>42643</v>
      </c>
      <c r="U35" s="102">
        <f>IFERROR(_xll.qlRateHelperPillarDate(S35,Trigger),"--")</f>
        <v>44469</v>
      </c>
      <c r="W35" s="3" t="str">
        <f t="shared" ref="W35:W66" si="20">IFERROR(INDEX($L$3:$L$88,MATCH(Y35,$M$3:$M$88,0),1),"")</f>
        <v>BasSw</v>
      </c>
      <c r="X35" s="3" t="str">
        <v>obj_002be</v>
      </c>
      <c r="Y35" s="3" t="str">
        <f>IFERROR(_xll.qlRateHelperQuoteName(X35,Trigger),"")</f>
        <v>USDAM3L35Y_S6L3L_Quote</v>
      </c>
      <c r="Z35" s="70">
        <f>IFERROR(_xll.qlRateHelperRate(X35,Trigger),"")</f>
        <v>1.9243462231324535E-2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42643</v>
      </c>
      <c r="AC35" s="4">
        <f>IFERROR(_xll.qlRateHelperPillarDate(X35,Trigger),"")</f>
        <v>55425</v>
      </c>
      <c r="AD35" s="76">
        <v>0.50372562737395277</v>
      </c>
    </row>
    <row r="36" spans="1:30" ht="11.25" customHeight="1" x14ac:dyDescent="0.2">
      <c r="A36" s="60" t="s">
        <v>150</v>
      </c>
      <c r="B36" s="61" t="s">
        <v>70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8"/>
        <v>UsdLibor6M</v>
      </c>
      <c r="H36" s="60" t="str">
        <f t="shared" si="19"/>
        <v>USDAM3L2Y_S6L3L_Quote</v>
      </c>
      <c r="I36" s="129">
        <v>0</v>
      </c>
      <c r="J36" s="175" t="str">
        <f>IF(P32,_xll.qlSwapRateHelper2(,H36,,B36,JoinCalendar,D36,E36,F36,G36,I36,C36,Discounting,PillarDate,,Permanent,Trigger,ObjectOverwrite),"--")</f>
        <v>obj_002a0#0003</v>
      </c>
      <c r="K36" s="50"/>
      <c r="L36" s="162" t="str">
        <f t="shared" si="14"/>
        <v>BasSw</v>
      </c>
      <c r="M36" s="183" t="str">
        <f t="shared" si="15"/>
        <v>USDAM3L6Y_S6L3L_Quote</v>
      </c>
      <c r="N36" s="164">
        <f>IFERROR(_xll.qlQuoteValue(H40,Trigger),"--")</f>
        <v>1.4206902536535561E-2</v>
      </c>
      <c r="O36" s="164">
        <f t="shared" si="16"/>
        <v>0</v>
      </c>
      <c r="P36" s="101" t="b">
        <v>1</v>
      </c>
      <c r="Q36" s="98">
        <v>40</v>
      </c>
      <c r="R36" s="98">
        <v>1</v>
      </c>
      <c r="S36" s="98" t="str">
        <f t="shared" si="17"/>
        <v>obj_002b5#0003</v>
      </c>
      <c r="T36" s="102">
        <f>IFERROR(_xll.qlRateHelperEarliestDate(S36,Trigger),"--")</f>
        <v>42643</v>
      </c>
      <c r="U36" s="102">
        <f>IFERROR(_xll.qlRateHelperPillarDate(S36,Trigger),"--")</f>
        <v>44834</v>
      </c>
      <c r="W36" s="3" t="str">
        <f t="shared" si="20"/>
        <v>BasSw</v>
      </c>
      <c r="X36" s="3" t="str">
        <v>obj_002d1</v>
      </c>
      <c r="Y36" s="3" t="str">
        <f>IFERROR(_xll.qlRateHelperQuoteName(X36,Trigger),"")</f>
        <v>USDAM3L40Y_S6L3L_Quote</v>
      </c>
      <c r="Z36" s="70">
        <f>IFERROR(_xll.qlRateHelperRate(X36,Trigger),"")</f>
        <v>1.9256572461755026E-2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42643</v>
      </c>
      <c r="AC36" s="4">
        <f>IFERROR(_xll.qlRateHelperPillarDate(X36,Trigger),"")</f>
        <v>57252</v>
      </c>
      <c r="AD36" s="76">
        <v>0.45691667387618135</v>
      </c>
    </row>
    <row r="37" spans="1:30" ht="11.25" customHeight="1" x14ac:dyDescent="0.2">
      <c r="A37" s="60" t="s">
        <v>150</v>
      </c>
      <c r="B37" s="61" t="s">
        <v>74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8"/>
        <v>UsdLibor6M</v>
      </c>
      <c r="H37" s="60" t="str">
        <f t="shared" si="19"/>
        <v>USDAM3L3Y_S6L3L_Quote</v>
      </c>
      <c r="I37" s="129">
        <v>0</v>
      </c>
      <c r="J37" s="175" t="str">
        <f>IF(P33,_xll.qlSwapRateHelper2(,H37,,B37,JoinCalendar,D37,E37,F37,G37,I37,C37,Discounting,PillarDate,,Permanent,Trigger,ObjectOverwrite),"--")</f>
        <v>obj_002b6#0003</v>
      </c>
      <c r="K37" s="50"/>
      <c r="L37" s="162" t="str">
        <f t="shared" si="14"/>
        <v>BasSw</v>
      </c>
      <c r="M37" s="183" t="str">
        <f t="shared" si="15"/>
        <v>USDAM3L7Y_S6L3L_Quote</v>
      </c>
      <c r="N37" s="164">
        <f>IFERROR(_xll.qlQuoteValue(H41,Trigger),"--")</f>
        <v>1.4690642762473659E-2</v>
      </c>
      <c r="O37" s="164">
        <f t="shared" si="16"/>
        <v>0</v>
      </c>
      <c r="P37" s="101" t="b">
        <v>1</v>
      </c>
      <c r="Q37" s="98">
        <v>40</v>
      </c>
      <c r="R37" s="98">
        <v>1</v>
      </c>
      <c r="S37" s="98" t="str">
        <f t="shared" si="17"/>
        <v>obj_002d2#0003</v>
      </c>
      <c r="T37" s="102">
        <f>IFERROR(_xll.qlRateHelperEarliestDate(S37,Trigger),"--")</f>
        <v>42643</v>
      </c>
      <c r="U37" s="102">
        <f>IFERROR(_xll.qlRateHelperPillarDate(S37,Trigger),"--")</f>
        <v>45198</v>
      </c>
      <c r="W37" s="3" t="str">
        <f t="shared" si="20"/>
        <v>BasSw</v>
      </c>
      <c r="X37" s="3" t="str">
        <v>obj_002c6</v>
      </c>
      <c r="Y37" s="3" t="str">
        <f>IFERROR(_xll.qlRateHelperQuoteName(X37,Trigger),"")</f>
        <v>USDAM3L50Y_S6L3L_Quote</v>
      </c>
      <c r="Z37" s="70">
        <f>IFERROR(_xll.qlRateHelperRate(X37,Trigger),"")</f>
        <v>1.9209385144152345E-2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42643</v>
      </c>
      <c r="AC37" s="4">
        <f>IFERROR(_xll.qlRateHelperPillarDate(X37,Trigger),"")</f>
        <v>60905</v>
      </c>
      <c r="AD37" s="76">
        <v>0.37761592487532403</v>
      </c>
    </row>
    <row r="38" spans="1:30" ht="11.25" customHeight="1" x14ac:dyDescent="0.2">
      <c r="A38" s="60" t="s">
        <v>150</v>
      </c>
      <c r="B38" s="61" t="s">
        <v>78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8"/>
        <v>UsdLibor6M</v>
      </c>
      <c r="H38" s="60" t="str">
        <f t="shared" si="19"/>
        <v>USDAM3L4Y_S6L3L_Quote</v>
      </c>
      <c r="I38" s="129">
        <v>0</v>
      </c>
      <c r="J38" s="175" t="str">
        <f>IF(P34,_xll.qlSwapRateHelper2(,H38,,B38,JoinCalendar,D38,E38,F38,G38,I38,C38,Discounting,PillarDate,,Permanent,Trigger,ObjectOverwrite),"--")</f>
        <v>obj_002a4#0003</v>
      </c>
      <c r="K38" s="50"/>
      <c r="L38" s="162" t="str">
        <f t="shared" si="14"/>
        <v>BasSw</v>
      </c>
      <c r="M38" s="183" t="str">
        <f t="shared" si="15"/>
        <v>USDAM3L8Y_S6L3L_Quote</v>
      </c>
      <c r="N38" s="164">
        <f>IFERROR(_xll.qlQuoteValue(H42,Trigger),"--")</f>
        <v>1.5187384486424128E-2</v>
      </c>
      <c r="O38" s="164">
        <f t="shared" si="16"/>
        <v>0</v>
      </c>
      <c r="P38" s="101" t="b">
        <v>1</v>
      </c>
      <c r="Q38" s="98">
        <v>40</v>
      </c>
      <c r="R38" s="98">
        <v>1</v>
      </c>
      <c r="S38" s="98" t="str">
        <f t="shared" si="17"/>
        <v>obj_002d0#0003</v>
      </c>
      <c r="T38" s="102">
        <f>IFERROR(_xll.qlRateHelperEarliestDate(S38,Trigger),"--")</f>
        <v>42643</v>
      </c>
      <c r="U38" s="102">
        <f>IFERROR(_xll.qlRateHelperPillarDate(S38,Trigger),"--")</f>
        <v>45565</v>
      </c>
      <c r="W38" s="3" t="str">
        <f t="shared" si="20"/>
        <v>BasSw</v>
      </c>
      <c r="X38" s="3" t="str">
        <v>obj_0029d</v>
      </c>
      <c r="Y38" s="3" t="str">
        <f>IFERROR(_xll.qlRateHelperQuoteName(X38,Trigger),"")</f>
        <v>USDAM3L60Y_S6L3L_Quote</v>
      </c>
      <c r="Z38" s="70">
        <f>IFERROR(_xll.qlRateHelperRate(X38,Trigger),"")</f>
        <v>1.9161451897287685E-2</v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42643</v>
      </c>
      <c r="AC38" s="4">
        <f>IFERROR(_xll.qlRateHelperPillarDate(X38,Trigger),"")</f>
        <v>64558</v>
      </c>
      <c r="AD38" s="76">
        <v>0.31250910900704454</v>
      </c>
    </row>
    <row r="39" spans="1:30" ht="11.25" customHeight="1" x14ac:dyDescent="0.2">
      <c r="A39" s="60" t="s">
        <v>150</v>
      </c>
      <c r="B39" s="61" t="s">
        <v>82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8"/>
        <v>UsdLibor6M</v>
      </c>
      <c r="H39" s="60" t="str">
        <f t="shared" si="19"/>
        <v>USDAM3L5Y_S6L3L_Quote</v>
      </c>
      <c r="I39" s="129">
        <v>0</v>
      </c>
      <c r="J39" s="175" t="str">
        <f>IF(P35,_xll.qlSwapRateHelper2(,H39,,B39,JoinCalendar,D39,E39,F39,G39,I39,C39,Discounting,PillarDate,,Permanent,Trigger,ObjectOverwrite),"--")</f>
        <v>obj_002c1#0003</v>
      </c>
      <c r="K39" s="50"/>
      <c r="L39" s="162" t="str">
        <f t="shared" si="14"/>
        <v>BasSw</v>
      </c>
      <c r="M39" s="183" t="str">
        <f t="shared" si="15"/>
        <v>USDAM3L9Y_S6L3L_Quote</v>
      </c>
      <c r="N39" s="164">
        <f>IFERROR(_xll.qlQuoteValue(H43,Trigger),"--")</f>
        <v>1.5647623256997176E-2</v>
      </c>
      <c r="O39" s="164">
        <f t="shared" si="16"/>
        <v>0</v>
      </c>
      <c r="P39" s="101" t="b">
        <v>1</v>
      </c>
      <c r="Q39" s="98">
        <v>40</v>
      </c>
      <c r="R39" s="98">
        <v>1</v>
      </c>
      <c r="S39" s="98" t="str">
        <f t="shared" si="17"/>
        <v>obj_002a7#0003</v>
      </c>
      <c r="T39" s="102">
        <f>IFERROR(_xll.qlRateHelperEarliestDate(S39,Trigger),"--")</f>
        <v>42643</v>
      </c>
      <c r="U39" s="102">
        <f>IFERROR(_xll.qlRateHelperPillarDate(S39,Trigger),"--")</f>
        <v>45930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150</v>
      </c>
      <c r="B40" s="61" t="s">
        <v>83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8"/>
        <v>UsdLibor6M</v>
      </c>
      <c r="H40" s="60" t="str">
        <f t="shared" si="19"/>
        <v>USDAM3L6Y_S6L3L_Quote</v>
      </c>
      <c r="I40" s="129">
        <v>0</v>
      </c>
      <c r="J40" s="175" t="str">
        <f>IF(P36,_xll.qlSwapRateHelper2(,H40,,B40,JoinCalendar,D40,E40,F40,G40,I40,C40,Discounting,PillarDate,,Permanent,Trigger,ObjectOverwrite),"--")</f>
        <v>obj_002b5#0003</v>
      </c>
      <c r="K40" s="50"/>
      <c r="L40" s="162" t="str">
        <f t="shared" si="14"/>
        <v>BasSw</v>
      </c>
      <c r="M40" s="183" t="str">
        <f t="shared" si="15"/>
        <v>USDAM3L10Y_S6L3L_Quote</v>
      </c>
      <c r="N40" s="164">
        <f>IFERROR(_xll.qlQuoteValue(H44,Trigger),"--")</f>
        <v>1.609790140554597E-2</v>
      </c>
      <c r="O40" s="164">
        <f t="shared" si="16"/>
        <v>0</v>
      </c>
      <c r="P40" s="101" t="b">
        <v>1</v>
      </c>
      <c r="Q40" s="98">
        <v>40</v>
      </c>
      <c r="R40" s="98">
        <v>1</v>
      </c>
      <c r="S40" s="98" t="str">
        <f t="shared" si="17"/>
        <v>obj_002c3#0003</v>
      </c>
      <c r="T40" s="102">
        <f>IFERROR(_xll.qlRateHelperEarliestDate(S40,Trigger),"--")</f>
        <v>42643</v>
      </c>
      <c r="U40" s="102">
        <f>IFERROR(_xll.qlRateHelperPillarDate(S40,Trigger),"--")</f>
        <v>46295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150</v>
      </c>
      <c r="B41" s="61" t="s">
        <v>84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8"/>
        <v>UsdLibor6M</v>
      </c>
      <c r="H41" s="60" t="str">
        <f t="shared" si="19"/>
        <v>USDAM3L7Y_S6L3L_Quote</v>
      </c>
      <c r="I41" s="129">
        <v>0</v>
      </c>
      <c r="J41" s="175" t="str">
        <f>IF(P37,_xll.qlSwapRateHelper2(,H41,,B41,JoinCalendar,D41,E41,F41,G41,I41,C41,Discounting,PillarDate,,Permanent,Trigger,ObjectOverwrite),"--")</f>
        <v>obj_002d2#0003</v>
      </c>
      <c r="L41" s="162" t="str">
        <f t="shared" si="14"/>
        <v>BasSw</v>
      </c>
      <c r="M41" s="183" t="str">
        <f t="shared" si="15"/>
        <v>USDAM3L11Y_S6L3L_Quote</v>
      </c>
      <c r="N41" s="164">
        <f>IFERROR(_xll.qlQuoteValue(H45,Trigger),"--")</f>
        <v>1.6511839707951115E-2</v>
      </c>
      <c r="O41" s="164">
        <f t="shared" si="16"/>
        <v>0</v>
      </c>
      <c r="P41" s="101" t="b">
        <v>0</v>
      </c>
      <c r="Q41" s="98">
        <v>40</v>
      </c>
      <c r="R41" s="98">
        <v>1</v>
      </c>
      <c r="S41" s="98" t="str">
        <f t="shared" si="1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150</v>
      </c>
      <c r="B42" s="61" t="s">
        <v>85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8"/>
        <v>UsdLibor6M</v>
      </c>
      <c r="H42" s="60" t="str">
        <f t="shared" si="19"/>
        <v>USDAM3L8Y_S6L3L_Quote</v>
      </c>
      <c r="I42" s="129">
        <v>0</v>
      </c>
      <c r="J42" s="175" t="str">
        <f>IF(P38,_xll.qlSwapRateHelper2(,H42,,B42,JoinCalendar,D42,E42,F42,G42,I42,C42,Discounting,PillarDate,,Permanent,Trigger,ObjectOverwrite),"--")</f>
        <v>obj_002d0#0003</v>
      </c>
      <c r="L42" s="162" t="str">
        <f t="shared" si="14"/>
        <v>BasSw</v>
      </c>
      <c r="M42" s="183" t="str">
        <f t="shared" si="15"/>
        <v>USDAM3L12Y_S6L3L_Quote</v>
      </c>
      <c r="N42" s="164">
        <f>IFERROR(_xll.qlQuoteValue(H46,Trigger),"--")</f>
        <v>1.6867851938533018E-2</v>
      </c>
      <c r="O42" s="164">
        <f t="shared" si="16"/>
        <v>0</v>
      </c>
      <c r="P42" s="101" t="b">
        <v>1</v>
      </c>
      <c r="Q42" s="98">
        <v>40</v>
      </c>
      <c r="R42" s="98">
        <v>1</v>
      </c>
      <c r="S42" s="98" t="str">
        <f t="shared" si="17"/>
        <v>obj_002ab#0003</v>
      </c>
      <c r="T42" s="102">
        <f>IFERROR(_xll.qlRateHelperEarliestDate(S42,Trigger),"--")</f>
        <v>42643</v>
      </c>
      <c r="U42" s="102">
        <f>IFERROR(_xll.qlRateHelperPillarDate(S42,Trigger),"--")</f>
        <v>47025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150</v>
      </c>
      <c r="B43" s="61" t="s">
        <v>86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8"/>
        <v>UsdLibor6M</v>
      </c>
      <c r="H43" s="60" t="str">
        <f t="shared" si="19"/>
        <v>USDAM3L9Y_S6L3L_Quote</v>
      </c>
      <c r="I43" s="129">
        <v>0</v>
      </c>
      <c r="J43" s="175" t="str">
        <f>IF(P39,_xll.qlSwapRateHelper2(,H43,,B43,JoinCalendar,D43,E43,F43,G43,I43,C43,Discounting,PillarDate,,Permanent,Trigger,ObjectOverwrite),"--")</f>
        <v>obj_002a7#0003</v>
      </c>
      <c r="L43" s="162" t="str">
        <f t="shared" si="14"/>
        <v>BasSw</v>
      </c>
      <c r="M43" s="183" t="str">
        <f t="shared" si="15"/>
        <v>USDAM3L13Y_S6L3L_Quote</v>
      </c>
      <c r="N43" s="164">
        <f>IFERROR(_xll.qlQuoteValue(H47,Trigger),"--")</f>
        <v>1.7185672512946008E-2</v>
      </c>
      <c r="O43" s="164">
        <f t="shared" si="16"/>
        <v>0</v>
      </c>
      <c r="P43" s="101" t="b">
        <v>0</v>
      </c>
      <c r="Q43" s="98">
        <v>40</v>
      </c>
      <c r="R43" s="98">
        <v>1</v>
      </c>
      <c r="S43" s="98" t="str">
        <f t="shared" si="17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150</v>
      </c>
      <c r="B44" s="61" t="s">
        <v>87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8"/>
        <v>UsdLibor6M</v>
      </c>
      <c r="H44" s="60" t="str">
        <f t="shared" si="19"/>
        <v>USDAM3L10Y_S6L3L_Quote</v>
      </c>
      <c r="I44" s="129">
        <v>0</v>
      </c>
      <c r="J44" s="175" t="str">
        <f>IF(P40,_xll.qlSwapRateHelper2(,H44,,B44,JoinCalendar,D44,E44,F44,G44,I44,C44,Discounting,PillarDate,,Permanent,Trigger,ObjectOverwrite),"--")</f>
        <v>obj_002c3#0003</v>
      </c>
      <c r="L44" s="162" t="str">
        <f t="shared" si="14"/>
        <v>BasSw</v>
      </c>
      <c r="M44" s="183" t="str">
        <f t="shared" si="15"/>
        <v>USDAM3L14Y_S6L3L_Quote</v>
      </c>
      <c r="N44" s="164">
        <f>IFERROR(_xll.qlQuoteValue(H48,Trigger),"--")</f>
        <v>1.7474451384615789E-2</v>
      </c>
      <c r="O44" s="164">
        <f t="shared" si="16"/>
        <v>0</v>
      </c>
      <c r="P44" s="101" t="b">
        <v>0</v>
      </c>
      <c r="Q44" s="98">
        <v>40</v>
      </c>
      <c r="R44" s="98">
        <v>1</v>
      </c>
      <c r="S44" s="98" t="str">
        <f t="shared" si="17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150</v>
      </c>
      <c r="B45" s="61" t="s">
        <v>127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8"/>
        <v>UsdLibor6M</v>
      </c>
      <c r="H45" s="60" t="str">
        <f t="shared" si="19"/>
        <v>USDAM3L11Y_S6L3L_Quote</v>
      </c>
      <c r="I45" s="129">
        <v>0</v>
      </c>
      <c r="J45" s="175" t="str">
        <f>IF(P41,_xll.qlSwapRateHelper2(,H45,,B45,JoinCalendar,D45,E45,F45,G45,I45,C45,Discounting,PillarDate,,Permanent,Trigger,ObjectOverwrite),"--")</f>
        <v>--</v>
      </c>
      <c r="L45" s="162" t="str">
        <f t="shared" si="14"/>
        <v>BasSw</v>
      </c>
      <c r="M45" s="183" t="str">
        <f t="shared" si="15"/>
        <v>USDAM3L15Y_S6L3L_Quote</v>
      </c>
      <c r="N45" s="164">
        <f>IFERROR(_xll.qlQuoteValue(H49,Trigger),"--")</f>
        <v>1.7718901508545552E-2</v>
      </c>
      <c r="O45" s="164">
        <f t="shared" si="16"/>
        <v>0</v>
      </c>
      <c r="P45" s="101" t="b">
        <v>1</v>
      </c>
      <c r="Q45" s="98">
        <v>40</v>
      </c>
      <c r="R45" s="98">
        <v>1</v>
      </c>
      <c r="S45" s="98" t="str">
        <f t="shared" si="17"/>
        <v>obj_002a6#0003</v>
      </c>
      <c r="T45" s="102">
        <f>IFERROR(_xll.qlRateHelperEarliestDate(S45,Trigger),"--")</f>
        <v>42643</v>
      </c>
      <c r="U45" s="102">
        <f>IFERROR(_xll.qlRateHelperPillarDate(S45,Trigger),"--")</f>
        <v>48121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150</v>
      </c>
      <c r="B46" s="61" t="s">
        <v>88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8"/>
        <v>UsdLibor6M</v>
      </c>
      <c r="H46" s="60" t="str">
        <f t="shared" si="19"/>
        <v>USDAM3L12Y_S6L3L_Quote</v>
      </c>
      <c r="I46" s="129">
        <v>0</v>
      </c>
      <c r="J46" s="175" t="str">
        <f>IF(P42,_xll.qlSwapRateHelper2(,H46,,B46,JoinCalendar,D46,E46,F46,G46,I46,C46,Discounting,PillarDate,,Permanent,Trigger,ObjectOverwrite),"--")</f>
        <v>obj_002ab#0003</v>
      </c>
      <c r="L46" s="162" t="str">
        <f t="shared" si="14"/>
        <v>BasSw</v>
      </c>
      <c r="M46" s="183" t="str">
        <f t="shared" si="15"/>
        <v>USDAM3L16Y_S6L3L_Quote</v>
      </c>
      <c r="N46" s="164">
        <f>IFERROR(_xll.qlQuoteValue(H50,Trigger),"--")</f>
        <v>1.793656635123236E-2</v>
      </c>
      <c r="O46" s="164">
        <f t="shared" si="16"/>
        <v>0</v>
      </c>
      <c r="P46" s="101" t="b">
        <v>0</v>
      </c>
      <c r="Q46" s="98">
        <v>40</v>
      </c>
      <c r="R46" s="98">
        <v>1</v>
      </c>
      <c r="S46" s="98" t="str">
        <f t="shared" si="17"/>
        <v>--</v>
      </c>
      <c r="T46" s="102" t="str">
        <f>IFERROR(_xll.qlRateHelperEarliestDate(S46,Trigger),"--")</f>
        <v>--</v>
      </c>
      <c r="U46" s="102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150</v>
      </c>
      <c r="B47" s="61" t="s">
        <v>128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8"/>
        <v>UsdLibor6M</v>
      </c>
      <c r="H47" s="60" t="str">
        <f t="shared" si="19"/>
        <v>USDAM3L13Y_S6L3L_Quote</v>
      </c>
      <c r="I47" s="129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4"/>
        <v>BasSw</v>
      </c>
      <c r="M47" s="183" t="str">
        <f t="shared" si="15"/>
        <v>USDAM3L17Y_S6L3L_Quote</v>
      </c>
      <c r="N47" s="164">
        <f>IFERROR(_xll.qlQuoteValue(H51,Trigger),"--")</f>
        <v>1.8128513592871098E-2</v>
      </c>
      <c r="O47" s="164">
        <f t="shared" si="16"/>
        <v>0</v>
      </c>
      <c r="P47" s="101" t="b">
        <v>0</v>
      </c>
      <c r="Q47" s="98">
        <v>40</v>
      </c>
      <c r="R47" s="98">
        <v>1</v>
      </c>
      <c r="S47" s="98" t="str">
        <f t="shared" si="17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150</v>
      </c>
      <c r="B48" s="61" t="s">
        <v>129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8"/>
        <v>UsdLibor6M</v>
      </c>
      <c r="H48" s="60" t="str">
        <f t="shared" si="19"/>
        <v>USDAM3L14Y_S6L3L_Quote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4"/>
        <v>BasSw</v>
      </c>
      <c r="M48" s="183" t="str">
        <f t="shared" si="15"/>
        <v>USDAM3L18Y_S6L3L_Quote</v>
      </c>
      <c r="N48" s="164">
        <f>IFERROR(_xll.qlQuoteValue(H52,Trigger),"--")</f>
        <v>1.8289266722605231E-2</v>
      </c>
      <c r="O48" s="164">
        <f t="shared" si="16"/>
        <v>0</v>
      </c>
      <c r="P48" s="101" t="b">
        <v>0</v>
      </c>
      <c r="Q48" s="98">
        <v>40</v>
      </c>
      <c r="R48" s="98">
        <v>1</v>
      </c>
      <c r="S48" s="98" t="str">
        <f t="shared" si="17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150</v>
      </c>
      <c r="B49" s="61" t="s">
        <v>89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8"/>
        <v>UsdLibor6M</v>
      </c>
      <c r="H49" s="60" t="str">
        <f t="shared" si="19"/>
        <v>USDAM3L15Y_S6L3L_Quote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obj_002a6#0003</v>
      </c>
      <c r="L49" s="162" t="str">
        <f t="shared" si="14"/>
        <v>BasSw</v>
      </c>
      <c r="M49" s="183" t="str">
        <f t="shared" si="15"/>
        <v>USDAM3L19Y_S6L3L_Quote</v>
      </c>
      <c r="N49" s="164">
        <f>IFERROR(_xll.qlQuoteValue(H53,Trigger),"--")</f>
        <v>1.8435688985026864E-2</v>
      </c>
      <c r="O49" s="164">
        <f t="shared" si="16"/>
        <v>0</v>
      </c>
      <c r="P49" s="101" t="b">
        <v>0</v>
      </c>
      <c r="Q49" s="98">
        <v>40</v>
      </c>
      <c r="R49" s="98">
        <v>1</v>
      </c>
      <c r="S49" s="98" t="str">
        <f t="shared" si="17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150</v>
      </c>
      <c r="B50" s="61" t="s">
        <v>130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8"/>
        <v>UsdLibor6M</v>
      </c>
      <c r="H50" s="60" t="str">
        <f t="shared" si="19"/>
        <v>USDAM3L16Y_S6L3L_Quote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--</v>
      </c>
      <c r="L50" s="162" t="str">
        <f t="shared" si="14"/>
        <v>BasSw</v>
      </c>
      <c r="M50" s="183" t="str">
        <f t="shared" si="15"/>
        <v>USDAM3L20Y_S6L3L_Quote</v>
      </c>
      <c r="N50" s="164">
        <f>IFERROR(_xll.qlQuoteValue(H54,Trigger),"--")</f>
        <v>1.8569299910933128E-2</v>
      </c>
      <c r="O50" s="164">
        <f t="shared" si="16"/>
        <v>0</v>
      </c>
      <c r="P50" s="101" t="b">
        <v>1</v>
      </c>
      <c r="Q50" s="98">
        <v>40</v>
      </c>
      <c r="R50" s="98">
        <v>1</v>
      </c>
      <c r="S50" s="98" t="str">
        <f t="shared" si="17"/>
        <v>obj_002cb#0003</v>
      </c>
      <c r="T50" s="102">
        <f>IFERROR(_xll.qlRateHelperEarliestDate(S50,Trigger),"--")</f>
        <v>42643</v>
      </c>
      <c r="U50" s="102">
        <f>IFERROR(_xll.qlRateHelperPillarDate(S50,Trigger),"--")</f>
        <v>49948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150</v>
      </c>
      <c r="B51" s="61" t="s">
        <v>131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8"/>
        <v>UsdLibor6M</v>
      </c>
      <c r="H51" s="60" t="str">
        <f t="shared" si="19"/>
        <v>USDAM3L17Y_S6L3L_Quote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4"/>
        <v>BasSw</v>
      </c>
      <c r="M51" s="183" t="str">
        <f t="shared" si="15"/>
        <v>USDAM3L21Y_S6L3L_Quote</v>
      </c>
      <c r="N51" s="164">
        <f>IFERROR(_xll.qlQuoteValue(H55,Trigger),"--")</f>
        <v>1.8675672381528272E-2</v>
      </c>
      <c r="O51" s="164">
        <f t="shared" si="16"/>
        <v>0</v>
      </c>
      <c r="P51" s="101" t="b">
        <v>0</v>
      </c>
      <c r="Q51" s="98">
        <v>40</v>
      </c>
      <c r="R51" s="98">
        <v>1</v>
      </c>
      <c r="S51" s="98" t="str">
        <f t="shared" si="17"/>
        <v>--</v>
      </c>
      <c r="T51" s="102" t="str">
        <f>IFERROR(_xll.qlRateHelperEarliestDate(S51,Trigger),"--")</f>
        <v>--</v>
      </c>
      <c r="U51" s="102" t="str">
        <f>IFERROR(_xll.qlRateHelperPillarDate(S51,Trigger),"--")</f>
        <v>--</v>
      </c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150</v>
      </c>
      <c r="B52" s="61" t="s">
        <v>132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8"/>
        <v>UsdLibor6M</v>
      </c>
      <c r="H52" s="60" t="str">
        <f t="shared" si="19"/>
        <v>USDAM3L18Y_S6L3L_Quote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4"/>
        <v>BasSw</v>
      </c>
      <c r="M52" s="183" t="str">
        <f t="shared" si="15"/>
        <v>USDAM3L22Y_S6L3L_Quote</v>
      </c>
      <c r="N52" s="164">
        <f>IFERROR(_xll.qlQuoteValue(H56,Trigger),"--")</f>
        <v>1.8766141531951396E-2</v>
      </c>
      <c r="O52" s="164">
        <f t="shared" si="16"/>
        <v>0</v>
      </c>
      <c r="P52" s="101" t="b">
        <v>0</v>
      </c>
      <c r="Q52" s="98">
        <v>40</v>
      </c>
      <c r="R52" s="98">
        <v>1</v>
      </c>
      <c r="S52" s="98" t="str">
        <f t="shared" si="17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150</v>
      </c>
      <c r="B53" s="61" t="s">
        <v>133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8"/>
        <v>UsdLibor6M</v>
      </c>
      <c r="H53" s="60" t="str">
        <f t="shared" si="19"/>
        <v>USDAM3L19Y_S6L3L_Quote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4"/>
        <v>BasSw</v>
      </c>
      <c r="M53" s="183" t="str">
        <f t="shared" si="15"/>
        <v>USDAM3L23Y_S6L3L_Quote</v>
      </c>
      <c r="N53" s="164">
        <f>IFERROR(_xll.qlQuoteValue(H57,Trigger),"--")</f>
        <v>1.8843719120053962E-2</v>
      </c>
      <c r="O53" s="164">
        <f t="shared" si="16"/>
        <v>0</v>
      </c>
      <c r="P53" s="101" t="b">
        <v>0</v>
      </c>
      <c r="Q53" s="98">
        <v>40</v>
      </c>
      <c r="R53" s="98">
        <v>1</v>
      </c>
      <c r="S53" s="98" t="str">
        <f t="shared" si="17"/>
        <v>--</v>
      </c>
      <c r="T53" s="102" t="str">
        <f>IFERROR(_xll.qlRateHelperEarliestDate(S53,Trigger),"--")</f>
        <v>--</v>
      </c>
      <c r="U53" s="102" t="str">
        <f>IFERROR(_xll.qlRateHelperPillarDate(S53,Trigger),"--")</f>
        <v>--</v>
      </c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150</v>
      </c>
      <c r="B54" s="61" t="s">
        <v>90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8"/>
        <v>UsdLibor6M</v>
      </c>
      <c r="H54" s="60" t="str">
        <f t="shared" si="19"/>
        <v>USDAM3L20Y_S6L3L_Quote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obj_002cb#0003</v>
      </c>
      <c r="L54" s="162" t="str">
        <f t="shared" si="14"/>
        <v>BasSw</v>
      </c>
      <c r="M54" s="183" t="str">
        <f t="shared" si="15"/>
        <v>USDAM3L24Y_S6L3L_Quote</v>
      </c>
      <c r="N54" s="164">
        <f>IFERROR(_xll.qlQuoteValue(H58,Trigger),"--")</f>
        <v>1.8905251699346096E-2</v>
      </c>
      <c r="O54" s="164">
        <f t="shared" si="16"/>
        <v>0</v>
      </c>
      <c r="P54" s="101" t="b">
        <v>0</v>
      </c>
      <c r="Q54" s="98">
        <v>40</v>
      </c>
      <c r="R54" s="98">
        <v>1</v>
      </c>
      <c r="S54" s="98" t="str">
        <f t="shared" si="17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150</v>
      </c>
      <c r="B55" s="61" t="s">
        <v>134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8"/>
        <v>UsdLibor6M</v>
      </c>
      <c r="H55" s="60" t="str">
        <f t="shared" si="19"/>
        <v>USDAM3L21Y_S6L3L_Quote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--</v>
      </c>
      <c r="L55" s="162" t="str">
        <f t="shared" si="14"/>
        <v>BasSw</v>
      </c>
      <c r="M55" s="183" t="str">
        <f t="shared" si="15"/>
        <v>USDAM3L25Y_S6L3L_Quote</v>
      </c>
      <c r="N55" s="164">
        <f>IFERROR(_xll.qlQuoteValue(H59,Trigger),"--")</f>
        <v>1.8969451011894661E-2</v>
      </c>
      <c r="O55" s="164">
        <f t="shared" si="16"/>
        <v>0</v>
      </c>
      <c r="P55" s="101" t="b">
        <v>1</v>
      </c>
      <c r="Q55" s="98">
        <v>40</v>
      </c>
      <c r="R55" s="98">
        <v>1</v>
      </c>
      <c r="S55" s="98" t="str">
        <f t="shared" si="17"/>
        <v>obj_002d6#0003</v>
      </c>
      <c r="T55" s="102">
        <f>IFERROR(_xll.qlRateHelperEarliestDate(S55,Trigger),"--")</f>
        <v>42643</v>
      </c>
      <c r="U55" s="102">
        <f>IFERROR(_xll.qlRateHelperPillarDate(S55,Trigger),"--")</f>
        <v>51774</v>
      </c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150</v>
      </c>
      <c r="B56" s="61" t="s">
        <v>135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8"/>
        <v>UsdLibor6M</v>
      </c>
      <c r="H56" s="60" t="str">
        <f t="shared" si="19"/>
        <v>USDAM3L22Y_S6L3L_Quote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--</v>
      </c>
      <c r="L56" s="162" t="str">
        <f t="shared" si="14"/>
        <v>BasSw</v>
      </c>
      <c r="M56" s="183" t="str">
        <f t="shared" si="15"/>
        <v>USDAM3L26Y_S6L3L_Quote</v>
      </c>
      <c r="N56" s="164">
        <f>IFERROR(_xll.qlQuoteValue(H60,Trigger),"--")</f>
        <v>1.9020646999761238E-2</v>
      </c>
      <c r="O56" s="164">
        <f t="shared" si="16"/>
        <v>0</v>
      </c>
      <c r="P56" s="101" t="b">
        <v>0</v>
      </c>
      <c r="Q56" s="98">
        <v>40</v>
      </c>
      <c r="R56" s="98">
        <v>1</v>
      </c>
      <c r="S56" s="98" t="str">
        <f t="shared" si="17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150</v>
      </c>
      <c r="B57" s="61" t="s">
        <v>136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8"/>
        <v>UsdLibor6M</v>
      </c>
      <c r="H57" s="60" t="str">
        <f t="shared" si="19"/>
        <v>USDAM3L23Y_S6L3L_Quote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--</v>
      </c>
      <c r="L57" s="162" t="str">
        <f t="shared" si="14"/>
        <v>BasSw</v>
      </c>
      <c r="M57" s="183" t="str">
        <f t="shared" si="15"/>
        <v>USDAM3L27Y_S6L3L_Quote</v>
      </c>
      <c r="N57" s="164">
        <f>IFERROR(_xll.qlQuoteValue(H61,Trigger),"--")</f>
        <v>1.9065010050012685E-2</v>
      </c>
      <c r="O57" s="164">
        <f t="shared" si="16"/>
        <v>0</v>
      </c>
      <c r="P57" s="101" t="b">
        <v>0</v>
      </c>
      <c r="Q57" s="98">
        <v>40</v>
      </c>
      <c r="R57" s="98">
        <v>1</v>
      </c>
      <c r="S57" s="98" t="str">
        <f t="shared" si="17"/>
        <v>--</v>
      </c>
      <c r="T57" s="102" t="str">
        <f>IFERROR(_xll.qlRateHelperEarliestDate(S57,Trigger),"--")</f>
        <v>--</v>
      </c>
      <c r="U57" s="102" t="str">
        <f>IFERROR(_xll.qlRateHelperPillarDate(S57,Trigger),"--")</f>
        <v>--</v>
      </c>
      <c r="W57" s="3" t="str">
        <f t="shared" si="20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150</v>
      </c>
      <c r="B58" s="61" t="s">
        <v>137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8"/>
        <v>UsdLibor6M</v>
      </c>
      <c r="H58" s="60" t="str">
        <f t="shared" si="19"/>
        <v>USDAM3L24Y_S6L3L_Quote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--</v>
      </c>
      <c r="L58" s="162" t="str">
        <f t="shared" si="14"/>
        <v>BasSw</v>
      </c>
      <c r="M58" s="183" t="str">
        <f t="shared" si="15"/>
        <v>USDAM3L28Y_S6L3L_Quote</v>
      </c>
      <c r="N58" s="164">
        <f>IFERROR(_xll.qlQuoteValue(H62,Trigger),"--")</f>
        <v>1.9102902667179462E-2</v>
      </c>
      <c r="O58" s="164">
        <f t="shared" si="16"/>
        <v>0</v>
      </c>
      <c r="P58" s="101" t="b">
        <v>0</v>
      </c>
      <c r="Q58" s="98">
        <v>40</v>
      </c>
      <c r="R58" s="98">
        <v>1</v>
      </c>
      <c r="S58" s="98" t="str">
        <f t="shared" si="17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20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150</v>
      </c>
      <c r="B59" s="61" t="s">
        <v>91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8"/>
        <v>UsdLibor6M</v>
      </c>
      <c r="H59" s="60" t="str">
        <f t="shared" si="19"/>
        <v>USDAM3L25Y_S6L3L_Quote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obj_002d6#0003</v>
      </c>
      <c r="L59" s="162" t="str">
        <f t="shared" si="14"/>
        <v>BasSw</v>
      </c>
      <c r="M59" s="183" t="str">
        <f t="shared" si="15"/>
        <v>USDAM3L29Y_S6L3L_Quote</v>
      </c>
      <c r="N59" s="164">
        <f>IFERROR(_xll.qlQuoteValue(H63,Trigger),"--")</f>
        <v>1.9129881652798435E-2</v>
      </c>
      <c r="O59" s="164">
        <f t="shared" si="16"/>
        <v>0</v>
      </c>
      <c r="P59" s="101" t="b">
        <v>0</v>
      </c>
      <c r="Q59" s="98">
        <v>40</v>
      </c>
      <c r="R59" s="98">
        <v>1</v>
      </c>
      <c r="S59" s="98" t="str">
        <f t="shared" si="17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20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150</v>
      </c>
      <c r="B60" s="61" t="s">
        <v>138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8"/>
        <v>UsdLibor6M</v>
      </c>
      <c r="H60" s="60" t="str">
        <f t="shared" si="19"/>
        <v>USDAM3L26Y_S6L3L_Quote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--</v>
      </c>
      <c r="L60" s="162" t="str">
        <f t="shared" si="14"/>
        <v>BasSw</v>
      </c>
      <c r="M60" s="183" t="str">
        <f t="shared" si="15"/>
        <v>USDAM3L30Y_S6L3L_Quote</v>
      </c>
      <c r="N60" s="164">
        <f>IFERROR(_xll.qlQuoteValue(H64,Trigger),"--")</f>
        <v>1.9155272212283737E-2</v>
      </c>
      <c r="O60" s="164">
        <f t="shared" si="16"/>
        <v>0</v>
      </c>
      <c r="P60" s="101" t="b">
        <v>1</v>
      </c>
      <c r="Q60" s="98">
        <v>40</v>
      </c>
      <c r="R60" s="98">
        <v>1</v>
      </c>
      <c r="S60" s="98" t="str">
        <f t="shared" si="17"/>
        <v>obj_002b9#0003</v>
      </c>
      <c r="T60" s="102">
        <f>IFERROR(_xll.qlRateHelperEarliestDate(S60,Trigger),"--")</f>
        <v>42643</v>
      </c>
      <c r="U60" s="102">
        <f>IFERROR(_xll.qlRateHelperPillarDate(S60,Trigger),"--")</f>
        <v>53598</v>
      </c>
      <c r="W60" s="3" t="str">
        <f t="shared" si="20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150</v>
      </c>
      <c r="B61" s="61" t="s">
        <v>92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8"/>
        <v>UsdLibor6M</v>
      </c>
      <c r="H61" s="60" t="str">
        <f t="shared" si="19"/>
        <v>USDAM3L27Y_S6L3L_Quote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--</v>
      </c>
      <c r="L61" s="162" t="str">
        <f t="shared" si="14"/>
        <v>BasSw</v>
      </c>
      <c r="M61" s="183" t="str">
        <f t="shared" si="15"/>
        <v>USDAM3L35Y_S6L3L_Quote</v>
      </c>
      <c r="N61" s="164">
        <f>IFERROR(_xll.qlQuoteValue(H65,Trigger),"--")</f>
        <v>1.9243462231324535E-2</v>
      </c>
      <c r="O61" s="164">
        <f t="shared" si="16"/>
        <v>0</v>
      </c>
      <c r="P61" s="101" t="b">
        <v>1</v>
      </c>
      <c r="Q61" s="98">
        <v>40</v>
      </c>
      <c r="R61" s="98">
        <v>1</v>
      </c>
      <c r="S61" s="98" t="str">
        <f t="shared" si="17"/>
        <v>obj_002be#0003</v>
      </c>
      <c r="T61" s="102">
        <f>IFERROR(_xll.qlRateHelperEarliestDate(S61,Trigger),"--")</f>
        <v>42643</v>
      </c>
      <c r="U61" s="102">
        <f>IFERROR(_xll.qlRateHelperPillarDate(S61,Trigger),"--")</f>
        <v>55425</v>
      </c>
      <c r="W61" s="3" t="str">
        <f t="shared" si="20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150</v>
      </c>
      <c r="B62" s="61" t="s">
        <v>139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8"/>
        <v>UsdLibor6M</v>
      </c>
      <c r="H62" s="60" t="str">
        <f t="shared" si="19"/>
        <v>USDAM3L28Y_S6L3L_Quote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4"/>
        <v>BasSw</v>
      </c>
      <c r="M62" s="183" t="str">
        <f t="shared" si="15"/>
        <v>USDAM3L40Y_S6L3L_Quote</v>
      </c>
      <c r="N62" s="164">
        <f>IFERROR(_xll.qlQuoteValue(H66,Trigger),"--")</f>
        <v>1.9256572461755026E-2</v>
      </c>
      <c r="O62" s="164">
        <f t="shared" si="16"/>
        <v>0</v>
      </c>
      <c r="P62" s="101" t="b">
        <v>1</v>
      </c>
      <c r="Q62" s="98">
        <v>40</v>
      </c>
      <c r="R62" s="98">
        <v>1</v>
      </c>
      <c r="S62" s="98" t="str">
        <f t="shared" si="17"/>
        <v>obj_002d1#0003</v>
      </c>
      <c r="T62" s="102">
        <f>IFERROR(_xll.qlRateHelperEarliestDate(S62,Trigger),"--")</f>
        <v>42643</v>
      </c>
      <c r="U62" s="102">
        <f>IFERROR(_xll.qlRateHelperPillarDate(S62,Trigger),"--")</f>
        <v>57252</v>
      </c>
      <c r="W62" s="3" t="str">
        <f t="shared" si="20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150</v>
      </c>
      <c r="B63" s="61" t="s">
        <v>140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8"/>
        <v>UsdLibor6M</v>
      </c>
      <c r="H63" s="60" t="str">
        <f t="shared" si="19"/>
        <v>USDAM3L29Y_S6L3L_Quote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4"/>
        <v>BasSw</v>
      </c>
      <c r="M63" s="183" t="str">
        <f t="shared" si="15"/>
        <v>USDAM3L45Y_S6L3L_Quote</v>
      </c>
      <c r="N63" s="164" t="str">
        <f>IFERROR(_xll.qlQuoteValue(H67,Trigger),"--")</f>
        <v>--</v>
      </c>
      <c r="O63" s="164">
        <f t="shared" si="16"/>
        <v>0</v>
      </c>
      <c r="P63" s="101" t="b">
        <v>0</v>
      </c>
      <c r="Q63" s="98">
        <v>40</v>
      </c>
      <c r="R63" s="98">
        <v>1</v>
      </c>
      <c r="S63" s="98" t="str">
        <f t="shared" si="17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20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150</v>
      </c>
      <c r="B64" s="61" t="s">
        <v>93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8"/>
        <v>UsdLibor6M</v>
      </c>
      <c r="H64" s="60" t="str">
        <f t="shared" si="19"/>
        <v>USDAM3L30Y_S6L3L_Quote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obj_002b9#0003</v>
      </c>
      <c r="L64" s="162" t="str">
        <f t="shared" si="14"/>
        <v>BasSw</v>
      </c>
      <c r="M64" s="183" t="str">
        <f t="shared" si="15"/>
        <v>USDAM3L50Y_S6L3L_Quote</v>
      </c>
      <c r="N64" s="164">
        <f>IFERROR(_xll.qlQuoteValue(H68,Trigger),"--")</f>
        <v>1.9209385144152345E-2</v>
      </c>
      <c r="O64" s="164">
        <f t="shared" si="16"/>
        <v>0</v>
      </c>
      <c r="P64" s="101" t="b">
        <v>1</v>
      </c>
      <c r="Q64" s="98">
        <v>40</v>
      </c>
      <c r="R64" s="98">
        <v>1</v>
      </c>
      <c r="S64" s="98" t="str">
        <f t="shared" si="17"/>
        <v>obj_002c6#0003</v>
      </c>
      <c r="T64" s="102">
        <f>IFERROR(_xll.qlRateHelperEarliestDate(S64,Trigger),"--")</f>
        <v>42643</v>
      </c>
      <c r="U64" s="102">
        <f>IFERROR(_xll.qlRateHelperPillarDate(S64,Trigger),"--")</f>
        <v>60905</v>
      </c>
      <c r="W64" s="3" t="str">
        <f t="shared" si="20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150</v>
      </c>
      <c r="B65" s="61" t="s">
        <v>94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8"/>
        <v>UsdLibor6M</v>
      </c>
      <c r="H65" s="60" t="str">
        <f t="shared" si="19"/>
        <v>USDAM3L35Y_S6L3L_Quote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obj_002be#0003</v>
      </c>
      <c r="L65" s="162" t="str">
        <f t="shared" si="14"/>
        <v>BasSw</v>
      </c>
      <c r="M65" s="183" t="str">
        <f t="shared" si="15"/>
        <v>USDAM3L55Y_S6L3L_Quote</v>
      </c>
      <c r="N65" s="164" t="str">
        <f>IFERROR(_xll.qlQuoteValue(H69,Trigger),"--")</f>
        <v>--</v>
      </c>
      <c r="O65" s="164">
        <f t="shared" si="16"/>
        <v>0</v>
      </c>
      <c r="P65" s="101" t="b">
        <v>0</v>
      </c>
      <c r="Q65" s="98">
        <v>40</v>
      </c>
      <c r="R65" s="98">
        <v>1</v>
      </c>
      <c r="S65" s="98" t="str">
        <f t="shared" si="17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20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150</v>
      </c>
      <c r="B66" s="61" t="s">
        <v>95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8"/>
        <v>UsdLibor6M</v>
      </c>
      <c r="H66" s="60" t="str">
        <f t="shared" si="19"/>
        <v>USDAM3L40Y_S6L3L_Quote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obj_002d1#0003</v>
      </c>
      <c r="L66" s="168" t="str">
        <f t="shared" si="14"/>
        <v>BasSw</v>
      </c>
      <c r="M66" s="184" t="str">
        <f t="shared" si="15"/>
        <v>USDAM3L60Y_S6L3L_Quote</v>
      </c>
      <c r="N66" s="170">
        <f>IFERROR(_xll.qlQuoteValue(H70,Trigger),"--")</f>
        <v>1.9161451897287685E-2</v>
      </c>
      <c r="O66" s="170">
        <f t="shared" si="16"/>
        <v>0</v>
      </c>
      <c r="P66" s="103" t="b">
        <v>1</v>
      </c>
      <c r="Q66" s="99">
        <v>40</v>
      </c>
      <c r="R66" s="99">
        <v>1</v>
      </c>
      <c r="S66" s="99" t="str">
        <f t="shared" si="17"/>
        <v>obj_0029d#0003</v>
      </c>
      <c r="T66" s="104">
        <f>IFERROR(_xll.qlRateHelperEarliestDate(S66,Trigger),"--")</f>
        <v>42643</v>
      </c>
      <c r="U66" s="104">
        <f>IFERROR(_xll.qlRateHelperPillarDate(S66,Trigger),"--")</f>
        <v>64558</v>
      </c>
      <c r="W66" s="5" t="str">
        <f t="shared" si="20"/>
        <v/>
      </c>
      <c r="X66" s="5" t="e">
        <v>#N/A</v>
      </c>
      <c r="Y66" s="5" t="str">
        <f>IFERROR(_xll.qlRateHelperQuoteName(X66,Trigger),"")</f>
        <v/>
      </c>
      <c r="Z66" s="78" t="str">
        <f>IFERROR(_xll.qlRateHelperRate(X66,Trigger),"")</f>
        <v/>
      </c>
      <c r="AA66" s="107" t="str">
        <f>IF(ISERROR(_xll.qlSwapRateHelperSpread($X66)),IF(ISERROR(_xll.qlFuturesRateHelperConvexityAdjustment($X66)),"",_xll.qlFuturesRateHelperConvexityAdjustment($X66)),_xll.qlSwapRateHelperSpread($X66))</f>
        <v/>
      </c>
      <c r="AB66" s="10" t="str">
        <f>IFERROR(_xll.qlRateHelperEarliestDate(X66,Trigger),"")</f>
        <v/>
      </c>
      <c r="AC66" s="10" t="str">
        <f>IFERROR(_xll.qlRateHelperPillarDate(X66,Trigger),"")</f>
        <v/>
      </c>
      <c r="AD66" s="77" t="e">
        <v>#N/A</v>
      </c>
    </row>
    <row r="67" spans="1:30" ht="11.25" customHeight="1" x14ac:dyDescent="0.2">
      <c r="A67" s="60" t="s">
        <v>150</v>
      </c>
      <c r="B67" s="61" t="s">
        <v>96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8"/>
        <v>UsdLibor6M</v>
      </c>
      <c r="H67" s="60" t="str">
        <f t="shared" si="19"/>
        <v>USDAM3L45Y_S6L3L_Quote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Y67" s="192" t="str">
        <f>_xll.ohGroup(W1&amp;"_instruments",Y3:Y66,Permanent,Trigger,ObjectOverwrite)</f>
        <v>USD6M_instruments#0003</v>
      </c>
    </row>
    <row r="68" spans="1:30" ht="11.25" customHeight="1" x14ac:dyDescent="0.2">
      <c r="A68" s="60" t="s">
        <v>150</v>
      </c>
      <c r="B68" s="61" t="s">
        <v>97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8"/>
        <v>UsdLibor6M</v>
      </c>
      <c r="H68" s="60" t="str">
        <f t="shared" si="19"/>
        <v>USDAM3L50Y_S6L3L_Quote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obj_002c6#0003</v>
      </c>
    </row>
    <row r="69" spans="1:30" ht="11.25" customHeight="1" x14ac:dyDescent="0.2">
      <c r="A69" s="60" t="s">
        <v>150</v>
      </c>
      <c r="B69" s="61" t="s">
        <v>147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8"/>
        <v>UsdLibor6M</v>
      </c>
      <c r="H69" s="60" t="str">
        <f t="shared" si="19"/>
        <v>USDAM3L55Y_S6L3L_Quote</v>
      </c>
      <c r="I69" s="127">
        <v>0</v>
      </c>
      <c r="J69" s="175" t="str">
        <f>IF(P65,_xll.qlSwapRateHelper2(,H69,,B69,JoinCalendar,D69,E69,F69,G69,I69,C69,Discounting,PillarDate,,Permanent,Trigger,ObjectOverwrite),"--")</f>
        <v>--</v>
      </c>
    </row>
    <row r="70" spans="1:30" ht="11.25" customHeight="1" x14ac:dyDescent="0.2">
      <c r="A70" s="1" t="s">
        <v>150</v>
      </c>
      <c r="B70" s="8" t="s">
        <v>141</v>
      </c>
      <c r="C70" s="6" t="s">
        <v>6</v>
      </c>
      <c r="D70" s="6" t="s">
        <v>8</v>
      </c>
      <c r="E70" s="6" t="s">
        <v>7</v>
      </c>
      <c r="F70" s="6" t="s">
        <v>27</v>
      </c>
      <c r="G70" s="6" t="str">
        <f t="shared" si="18"/>
        <v>UsdLibor6M</v>
      </c>
      <c r="H70" s="1" t="str">
        <f t="shared" si="19"/>
        <v>USDAM3L60Y_S6L3L_Quote</v>
      </c>
      <c r="I70" s="130">
        <v>0</v>
      </c>
      <c r="J70" s="174" t="str">
        <f>IF(P66,_xll.qlSwapRateHelper2(,H70,,B70,JoinCalendar,D70,E70,F70,G70,I70,C70,Discounting,PillarDate,,Permanent,Trigger,ObjectOverwrite),"--")</f>
        <v>obj_0029d#0003</v>
      </c>
    </row>
    <row r="71" spans="1:30" ht="11.25" customHeight="1" x14ac:dyDescent="0.2"/>
    <row r="72" spans="1:30" ht="11.25" customHeight="1" x14ac:dyDescent="0.2"/>
    <row r="73" spans="1:30" ht="11.25" customHeight="1" x14ac:dyDescent="0.2"/>
    <row r="74" spans="1:30" ht="11.25" customHeight="1" x14ac:dyDescent="0.2"/>
    <row r="75" spans="1:30" ht="11.25" customHeight="1" x14ac:dyDescent="0.2"/>
    <row r="76" spans="1:30" ht="11.25" customHeight="1" x14ac:dyDescent="0.2"/>
    <row r="77" spans="1:30" ht="11.25" customHeight="1" x14ac:dyDescent="0.2"/>
    <row r="78" spans="1:30" ht="11.25" customHeight="1" x14ac:dyDescent="0.2"/>
    <row r="79" spans="1:30" ht="11.25" customHeight="1" x14ac:dyDescent="0.2"/>
    <row r="80" spans="1:3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  <dataValidation type="list" allowBlank="1" showInputMessage="1" showErrorMessage="1" sqref="P3:P66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</v>
      </c>
      <c r="H1" s="52" t="str">
        <f>"_SYNTH"&amp;Tenor</f>
        <v>_SYNTH1M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USD1M</v>
      </c>
      <c r="X1" s="160"/>
      <c r="Y1" s="67"/>
      <c r="Z1" s="69"/>
      <c r="AA1" s="69"/>
      <c r="AB1" s="67"/>
      <c r="AC1" s="160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55">_xll.qlPiecewiseYieldCurveData(YieldCurve_1M,Trigger)</f>
        <v>1</v>
      </c>
      <c r="AF2" s="201" t="s">
        <v>113</v>
      </c>
      <c r="AG2" s="202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obj_0023d#0003</v>
      </c>
      <c r="H3" s="121" t="str">
        <f t="shared" ref="H3:H7" si="0">Currency&amp;$B3&amp;"D"&amp;$H$1&amp;QuoteSuffix</f>
        <v>USDSND_SYNTH1M_Quote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USDSND_SYNTH1M_Quote</v>
      </c>
      <c r="N3" s="182">
        <f>IFERROR(_xll.qlQuoteValue(H3,Trigger),"--")</f>
        <v>5.3860000000000002E-3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IFERROR(INDEX($L$3:$L$55,MATCH(Y3,$M$3:$M$55,0),1),"")</f>
        <v>Dp</v>
      </c>
      <c r="X3" s="3" t="str">
        <f t="array" ref="X3:X55">_xll.qlRateHelperSelection(_xll.ohFilter(RateHelpers,IncludeFlag),_xll.ohFilter(Priority,IncludeFlag),$AG$3,$AG$4,$AG$5,$AG$6,_xll.ohFilter(MinDistance,IncludeFlag),Trigger)</f>
        <v>obj_00279</v>
      </c>
      <c r="Y3" s="3" t="str">
        <f>IFERROR(_xll.qlRateHelperQuoteName(X3,Trigger),"")</f>
        <v>USDSWD_SYNTH1M_Quote</v>
      </c>
      <c r="Z3" s="70">
        <f>IFERROR(_xll.qlRateHelperRate(X3,Trigger),"")</f>
        <v>5.352E-3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42643</v>
      </c>
      <c r="AC3" s="4">
        <f>IFERROR(_xll.qlRateHelperPillarDate(X3,Trigger),"")</f>
        <v>42650</v>
      </c>
      <c r="AD3" s="76">
        <v>0.99989594416207739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USDSWD_SYNTH1M_Quote</v>
      </c>
      <c r="I4" s="131"/>
      <c r="J4" s="175" t="str">
        <f>IF(P4,_xll.qlDepositRateHelper(,H4,G4,Permanent,Trigger,ObjectOverwrite),"--")</f>
        <v>obj_00279#0003</v>
      </c>
      <c r="K4" s="50"/>
      <c r="L4" s="162" t="str">
        <f t="shared" ref="L4:L7" si="2">A4</f>
        <v>Dp</v>
      </c>
      <c r="M4" s="183" t="str">
        <f t="shared" ref="M4:M7" si="3">H4</f>
        <v>USDSWD_SYNTH1M_Quote</v>
      </c>
      <c r="N4" s="164">
        <f>IFERROR(_xll.qlQuoteValue(H4,Trigger),"--")</f>
        <v>5.352E-3</v>
      </c>
      <c r="O4" s="167"/>
      <c r="P4" s="101" t="b">
        <v>1</v>
      </c>
      <c r="Q4" s="98">
        <v>10</v>
      </c>
      <c r="R4" s="98">
        <v>1</v>
      </c>
      <c r="S4" s="98" t="str">
        <f t="shared" ref="S4:S7" si="4">J4</f>
        <v>obj_00279#0003</v>
      </c>
      <c r="T4" s="102">
        <f>IFERROR(_xll.qlRateHelperEarliestDate(S4,Trigger),"--")</f>
        <v>42643</v>
      </c>
      <c r="U4" s="102">
        <f>IFERROR(_xll.qlRateHelperPillarDate(S4,Trigger),"--")</f>
        <v>42650</v>
      </c>
      <c r="W4" s="3" t="str">
        <f t="shared" si="1"/>
        <v>Dp</v>
      </c>
      <c r="X4" s="3" t="str">
        <v>obj_00259</v>
      </c>
      <c r="Y4" s="3" t="str">
        <f>IFERROR(_xll.qlRateHelperQuoteName(X4,Trigger),"")</f>
        <v>USD1MD_SYNTH1M_Quote</v>
      </c>
      <c r="Z4" s="70">
        <f>IFERROR(_xll.qlRateHelperRate(X4,Trigger),"")</f>
        <v>5.267E-3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42643</v>
      </c>
      <c r="AC4" s="4">
        <f>IFERROR(_xll.qlRateHelperPillarDate(X4,Trigger),"")</f>
        <v>42674</v>
      </c>
      <c r="AD4" s="76">
        <v>0.99954665838960588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obj_00249#0003</v>
      </c>
      <c r="H5" s="154" t="str">
        <f t="shared" si="0"/>
        <v>USD2WD_SYNTH1M_Quote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USD2WD_SYNTH1M_Quote</v>
      </c>
      <c r="N5" s="164">
        <f>IFERROR(_xll.qlQuoteValue(H5,Trigger),"--")</f>
        <v>5.306E-3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Sw</v>
      </c>
      <c r="X5" s="3" t="str">
        <v>obj_002a2</v>
      </c>
      <c r="Y5" s="3" t="str">
        <f>IFERROR(_xll.qlRateHelperQuoteName(X5,Trigger),"")</f>
        <v>USDAM1L3M_Quote</v>
      </c>
      <c r="Z5" s="70">
        <f>IFERROR(_xll.qlRateHelperRate(X5,Trigger),"")</f>
        <v>5.5899999999999995E-3</v>
      </c>
      <c r="AA5" s="106">
        <f>IF(ISERROR(_xll.qlSwapRateHelperSpread($X5)),IF(ISERROR(_xll.qlFuturesRateHelperConvexityAdjustment($X5)),"",_xll.qlFuturesRateHelperConvexityAdjustment($X5)),_xll.qlSwapRateHelperSpread($X5))</f>
        <v>0</v>
      </c>
      <c r="AB5" s="4">
        <f>IFERROR(_xll.qlRateHelperEarliestDate(X5,Trigger),"")</f>
        <v>42643</v>
      </c>
      <c r="AC5" s="4">
        <f>IFERROR(_xll.qlRateHelperPillarDate(X5,Trigger),"")</f>
        <v>42734</v>
      </c>
      <c r="AD5" s="76">
        <v>0.99858881751826145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obj_00243#0003</v>
      </c>
      <c r="H6" s="159" t="str">
        <f t="shared" si="0"/>
        <v>USD3WD_SYNTH1M_Quote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USD3WD_SYNTH1M_Quote</v>
      </c>
      <c r="N6" s="164">
        <f>IFERROR(_xll.qlQuoteValue(H6,Trigger),"--")</f>
        <v>5.2779999999999997E-3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Sw</v>
      </c>
      <c r="X6" s="3" t="str">
        <v>obj_002e1</v>
      </c>
      <c r="Y6" s="3" t="str">
        <f>IFERROR(_xll.qlRateHelperQuoteName(X6,Trigger),"")</f>
        <v>USDAM1L6M_Quote</v>
      </c>
      <c r="Z6" s="70">
        <f>IFERROR(_xll.qlRateHelperRate(X6,Trigger),"")</f>
        <v>6.13E-3</v>
      </c>
      <c r="AA6" s="106">
        <f>IF(ISERROR(_xll.qlSwapRateHelperSpread($X6)),IF(ISERROR(_xll.qlFuturesRateHelperConvexityAdjustment($X6)),"",_xll.qlFuturesRateHelperConvexityAdjustment($X6)),_xll.qlSwapRateHelperSpread($X6))</f>
        <v>0</v>
      </c>
      <c r="AB6" s="4">
        <f>IFERROR(_xll.qlRateHelperEarliestDate(X6,Trigger),"")</f>
        <v>42643</v>
      </c>
      <c r="AC6" s="4">
        <f>IFERROR(_xll.qlRateHelperPillarDate(X6,Trigger),"")</f>
        <v>42824</v>
      </c>
      <c r="AD6" s="76">
        <v>0.9969266410963562</v>
      </c>
      <c r="AF6" s="109" t="s">
        <v>117</v>
      </c>
      <c r="AG6" s="111" t="s">
        <v>118</v>
      </c>
    </row>
    <row r="7" spans="1:33" ht="11.25" customHeight="1" x14ac:dyDescent="0.2">
      <c r="A7" s="1" t="s">
        <v>26</v>
      </c>
      <c r="B7" s="8" t="s">
        <v>2</v>
      </c>
      <c r="C7" s="126"/>
      <c r="D7" s="126"/>
      <c r="E7" s="126"/>
      <c r="F7" s="126"/>
      <c r="G7" s="6" t="str">
        <f>PROPER(Currency)&amp;FamilyName&amp;B7</f>
        <v>UsdLibor1M</v>
      </c>
      <c r="H7" s="123" t="str">
        <f t="shared" si="0"/>
        <v>USD1MD_SYNTH1M_Quote</v>
      </c>
      <c r="I7" s="126"/>
      <c r="J7" s="174" t="str">
        <f>IF(P7,_xll.qlDepositRateHelper(,H7,G7,Permanent,Trigger,ObjectOverwrite),"--")</f>
        <v>obj_00259#0003</v>
      </c>
      <c r="K7" s="50"/>
      <c r="L7" s="162" t="str">
        <f t="shared" si="2"/>
        <v>Dp</v>
      </c>
      <c r="M7" s="183" t="str">
        <f t="shared" si="3"/>
        <v>USD1MD_SYNTH1M_Quote</v>
      </c>
      <c r="N7" s="164">
        <f>IFERROR(_xll.qlQuoteValue(H7,Trigger),"--")</f>
        <v>5.267E-3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obj_00259#0003</v>
      </c>
      <c r="T7" s="102">
        <f>IFERROR(_xll.qlRateHelperEarliestDate(S7,Trigger),"--")</f>
        <v>42643</v>
      </c>
      <c r="U7" s="102">
        <f>IFERROR(_xll.qlRateHelperPillarDate(S7,Trigger),"--")</f>
        <v>42674</v>
      </c>
      <c r="W7" s="3" t="str">
        <f t="shared" si="1"/>
        <v>Sw</v>
      </c>
      <c r="X7" s="3" t="str">
        <v>obj_002a8</v>
      </c>
      <c r="Y7" s="3" t="str">
        <f>IFERROR(_xll.qlRateHelperQuoteName(X7,Trigger),"")</f>
        <v>USDAM1L9M_Quote</v>
      </c>
      <c r="Z7" s="70">
        <f>IFERROR(_xll.qlRateHelperRate(X7,Trigger),"")</f>
        <v>6.5400000000000007E-3</v>
      </c>
      <c r="AA7" s="106">
        <f>IF(ISERROR(_xll.qlSwapRateHelperSpread($X7)),IF(ISERROR(_xll.qlFuturesRateHelperConvexityAdjustment($X7)),"",_xll.qlFuturesRateHelperConvexityAdjustment($X7)),_xll.qlSwapRateHelperSpread($X7))</f>
        <v>0</v>
      </c>
      <c r="AB7" s="4">
        <f>IFERROR(_xll.qlRateHelperEarliestDate(X7,Trigger),"")</f>
        <v>42643</v>
      </c>
      <c r="AC7" s="4">
        <f>IFERROR(_xll.qlRateHelperPillarDate(X7,Trigger),"")</f>
        <v>42916</v>
      </c>
      <c r="AD7" s="76">
        <v>0.99506280500860145</v>
      </c>
    </row>
    <row r="8" spans="1:33" ht="11.25" customHeight="1" x14ac:dyDescent="0.2">
      <c r="B8" s="48"/>
      <c r="C8" s="48"/>
      <c r="D8" s="48"/>
      <c r="E8" s="48"/>
      <c r="F8" s="48"/>
      <c r="G8" s="48" t="s">
        <v>159</v>
      </c>
      <c r="H8" s="48"/>
      <c r="K8" s="50"/>
      <c r="L8" s="180" t="str">
        <f>A10</f>
        <v>Sw</v>
      </c>
      <c r="M8" s="188" t="str">
        <f>H10</f>
        <v>USDAM1L2M_Quote</v>
      </c>
      <c r="N8" s="182">
        <f>IFERROR(_xll.qlQuoteValue(H10,Trigger),"--")</f>
        <v>5.3900000000000007E-3</v>
      </c>
      <c r="O8" s="182">
        <f>I10</f>
        <v>0</v>
      </c>
      <c r="P8" s="134" t="b">
        <v>0</v>
      </c>
      <c r="Q8" s="133">
        <v>10</v>
      </c>
      <c r="R8" s="133">
        <v>1</v>
      </c>
      <c r="S8" s="133" t="str">
        <f>J10</f>
        <v>--</v>
      </c>
      <c r="T8" s="135" t="str">
        <f>IFERROR(_xll.qlRateHelperEarliestDate(S8,Trigger),"--")</f>
        <v>--</v>
      </c>
      <c r="U8" s="135" t="str">
        <f>IFERROR(_xll.qlRateHelperPillarDate(S8,Trigger),"--")</f>
        <v>--</v>
      </c>
      <c r="W8" s="3" t="str">
        <f t="shared" si="1"/>
        <v>Sw</v>
      </c>
      <c r="X8" s="3" t="str">
        <v>obj_002c0</v>
      </c>
      <c r="Y8" s="3" t="str">
        <f>IFERROR(_xll.qlRateHelperQuoteName(X8,Trigger),"")</f>
        <v>USDAM1L1Y_Quote</v>
      </c>
      <c r="Z8" s="70">
        <f>IFERROR(_xll.qlRateHelperRate(X8,Trigger),"")</f>
        <v>6.8500000000000002E-3</v>
      </c>
      <c r="AA8" s="106">
        <f>IF(ISERROR(_xll.qlSwapRateHelperSpread($X8)),IF(ISERROR(_xll.qlFuturesRateHelperConvexityAdjustment($X8)),"",_xll.qlFuturesRateHelperConvexityAdjustment($X8)),_xll.qlSwapRateHelperSpread($X8))</f>
        <v>0</v>
      </c>
      <c r="AB8" s="4">
        <f>IFERROR(_xll.qlRateHelperEarliestDate(X8,Trigger),"")</f>
        <v>42643</v>
      </c>
      <c r="AC8" s="4">
        <f>IFERROR(_xll.qlRateHelperPillarDate(X8,Trigger),"")</f>
        <v>43007</v>
      </c>
      <c r="AD8" s="76">
        <v>0.99311721162463107</v>
      </c>
    </row>
    <row r="9" spans="1:33" ht="11.25" customHeight="1" x14ac:dyDescent="0.2">
      <c r="A9" s="66" t="s">
        <v>9</v>
      </c>
      <c r="B9" s="66" t="s">
        <v>29</v>
      </c>
      <c r="C9" s="66" t="s">
        <v>145</v>
      </c>
      <c r="D9" s="66" t="s">
        <v>5</v>
      </c>
      <c r="E9" s="66" t="s">
        <v>34</v>
      </c>
      <c r="F9" s="66" t="s">
        <v>146</v>
      </c>
      <c r="G9" s="66" t="s">
        <v>4</v>
      </c>
      <c r="H9" s="66" t="s">
        <v>1</v>
      </c>
      <c r="I9" s="66" t="s">
        <v>142</v>
      </c>
      <c r="J9" s="66" t="s">
        <v>24</v>
      </c>
      <c r="K9" s="50"/>
      <c r="L9" s="162" t="str">
        <f t="shared" ref="L9:L18" si="5">A11</f>
        <v>Sw</v>
      </c>
      <c r="M9" s="183" t="str">
        <f t="shared" ref="M9:M18" si="6">H11</f>
        <v>USDAM1L3M_Quote</v>
      </c>
      <c r="N9" s="164">
        <f>IFERROR(_xll.qlQuoteValue(H11,Trigger),"--")</f>
        <v>5.5899999999999995E-3</v>
      </c>
      <c r="O9" s="164">
        <f t="shared" ref="O9:O18" si="7">I11</f>
        <v>0</v>
      </c>
      <c r="P9" s="101" t="b">
        <v>1</v>
      </c>
      <c r="Q9" s="98">
        <v>10</v>
      </c>
      <c r="R9" s="98">
        <v>1</v>
      </c>
      <c r="S9" s="98" t="str">
        <f t="shared" ref="S9:S18" si="8">J11</f>
        <v>obj_002a2#0004</v>
      </c>
      <c r="T9" s="102">
        <f>IFERROR(_xll.qlRateHelperEarliestDate(S9,Trigger),"--")</f>
        <v>42643</v>
      </c>
      <c r="U9" s="102">
        <f>IFERROR(_xll.qlRateHelperPillarDate(S9,Trigger),"--")</f>
        <v>42734</v>
      </c>
      <c r="W9" s="3" t="str">
        <f t="shared" si="1"/>
        <v>BasSw</v>
      </c>
      <c r="X9" s="3" t="str">
        <v>obj_002b1</v>
      </c>
      <c r="Y9" s="3" t="str">
        <f>IFERROR(_xll.qlRateHelperQuoteName(X9,Trigger),"")</f>
        <v>USDAM3L2Y_Quote</v>
      </c>
      <c r="Z9" s="70">
        <f>IFERROR(_xll.qlRateHelperRate(X9,Trigger),"")</f>
        <v>9.9600000000000001E-3</v>
      </c>
      <c r="AA9" s="106">
        <f>IF(ISERROR(_xll.qlSwapRateHelperSpread($X9)),IF(ISERROR(_xll.qlFuturesRateHelperConvexityAdjustment($X9)),"",_xll.qlFuturesRateHelperConvexityAdjustment($X9)),_xll.qlSwapRateHelperSpread($X9))</f>
        <v>2.2200000000000002E-3</v>
      </c>
      <c r="AB9" s="4">
        <f>IFERROR(_xll.qlRateHelperEarliestDate(X9,Trigger),"")</f>
        <v>42643</v>
      </c>
      <c r="AC9" s="4">
        <f>IFERROR(_xll.qlRateHelperPillarDate(X9,Trigger),"")</f>
        <v>43371</v>
      </c>
      <c r="AD9" s="76">
        <v>0.98452675240538989</v>
      </c>
    </row>
    <row r="10" spans="1:33" ht="11.25" customHeight="1" x14ac:dyDescent="0.2">
      <c r="A10" s="55" t="s">
        <v>25</v>
      </c>
      <c r="B10" s="56" t="s">
        <v>51</v>
      </c>
      <c r="C10" s="57" t="s">
        <v>6</v>
      </c>
      <c r="D10" s="57" t="s">
        <v>8</v>
      </c>
      <c r="E10" s="57" t="s">
        <v>7</v>
      </c>
      <c r="F10" s="57" t="s">
        <v>27</v>
      </c>
      <c r="G10" s="57" t="str">
        <f t="shared" ref="G10:G20" si="9">PROPER(Currency)&amp;FamilyName&amp;Tenor</f>
        <v>UsdLibor1M</v>
      </c>
      <c r="H10" s="55" t="str">
        <f>Currency&amp;$G$8&amp;B10&amp;QuoteSuffix</f>
        <v>USDAM1L2M_Quote</v>
      </c>
      <c r="I10" s="128">
        <v>0</v>
      </c>
      <c r="J10" s="175" t="str">
        <f>IF(P8,_xll.qlSwapRateHelper2(,H10,,B10,JoinCalendar,D10,E10,F10,G10,I10,C10,Discounting,PillarDate,,Permanent,Trigger,ObjectOverwrite),"--")</f>
        <v>--</v>
      </c>
      <c r="K10" s="50"/>
      <c r="L10" s="162" t="str">
        <f t="shared" si="5"/>
        <v>Sw</v>
      </c>
      <c r="M10" s="183" t="str">
        <f t="shared" si="6"/>
        <v>USDAM1L4M_Quote</v>
      </c>
      <c r="N10" s="164">
        <f>IFERROR(_xll.qlQuoteValue(H12,Trigger),"--")</f>
        <v>5.8099999999999992E-3</v>
      </c>
      <c r="O10" s="164">
        <f t="shared" si="7"/>
        <v>0</v>
      </c>
      <c r="P10" s="101" t="b">
        <v>0</v>
      </c>
      <c r="Q10" s="98">
        <v>10</v>
      </c>
      <c r="R10" s="98">
        <v>1</v>
      </c>
      <c r="S10" s="98" t="str">
        <f t="shared" si="8"/>
        <v>--</v>
      </c>
      <c r="T10" s="102" t="str">
        <f>IFERROR(_xll.qlRateHelperEarliestDate(S10,Trigger),"--")</f>
        <v>--</v>
      </c>
      <c r="U10" s="102" t="str">
        <f>IFERROR(_xll.qlRateHelperPillarDate(S10,Trigger),"--")</f>
        <v>--</v>
      </c>
      <c r="W10" s="3" t="str">
        <f t="shared" si="1"/>
        <v>BasSw</v>
      </c>
      <c r="X10" s="3" t="str">
        <v>obj_002b0</v>
      </c>
      <c r="Y10" s="3" t="str">
        <f>IFERROR(_xll.qlRateHelperQuoteName(X10,Trigger),"")</f>
        <v>USDAM3L3Y_Quote</v>
      </c>
      <c r="Z10" s="70">
        <f>IFERROR(_xll.qlRateHelperRate(X10,Trigger),"")</f>
        <v>1.048E-2</v>
      </c>
      <c r="AA10" s="106">
        <f>IF(ISERROR(_xll.qlSwapRateHelperSpread($X10)),IF(ISERROR(_xll.qlFuturesRateHelperConvexityAdjustment($X10)),"",_xll.qlFuturesRateHelperConvexityAdjustment($X10)),_xll.qlSwapRateHelperSpread($X10))</f>
        <v>2.0200000000000001E-3</v>
      </c>
      <c r="AB10" s="4">
        <f>IFERROR(_xll.qlRateHelperEarliestDate(X10,Trigger),"")</f>
        <v>42643</v>
      </c>
      <c r="AC10" s="4">
        <f>IFERROR(_xll.qlRateHelperPillarDate(X10,Trigger),"")</f>
        <v>43738</v>
      </c>
      <c r="AD10" s="76">
        <v>0.97468189273267603</v>
      </c>
    </row>
    <row r="11" spans="1:33" ht="11.25" customHeight="1" x14ac:dyDescent="0.2">
      <c r="A11" s="60" t="s">
        <v>25</v>
      </c>
      <c r="B11" s="61" t="s">
        <v>0</v>
      </c>
      <c r="C11" s="62" t="s">
        <v>6</v>
      </c>
      <c r="D11" s="62" t="s">
        <v>8</v>
      </c>
      <c r="E11" s="62" t="s">
        <v>7</v>
      </c>
      <c r="F11" s="62" t="s">
        <v>27</v>
      </c>
      <c r="G11" s="62" t="str">
        <f t="shared" si="9"/>
        <v>UsdLibor1M</v>
      </c>
      <c r="H11" s="60" t="str">
        <f>Currency&amp;$G$8&amp;B11&amp;QuoteSuffix</f>
        <v>USDAM1L3M_Quote</v>
      </c>
      <c r="I11" s="129">
        <v>0</v>
      </c>
      <c r="J11" s="175" t="str">
        <f>IF(P9,_xll.qlSwapRateHelper2(,H11,,B11,JoinCalendar,D11,E11,F11,G11,I11,C11,Discounting,PillarDate,,Permanent,Trigger,ObjectOverwrite),"--")</f>
        <v>obj_002a2#0004</v>
      </c>
      <c r="K11" s="50"/>
      <c r="L11" s="162" t="str">
        <f t="shared" si="5"/>
        <v>Sw</v>
      </c>
      <c r="M11" s="183" t="str">
        <f t="shared" si="6"/>
        <v>USDAM1L5M_Quote</v>
      </c>
      <c r="N11" s="164">
        <f>IFERROR(_xll.qlQuoteValue(H13,Trigger),"--")</f>
        <v>5.9699999999999996E-3</v>
      </c>
      <c r="O11" s="164">
        <f t="shared" si="7"/>
        <v>0</v>
      </c>
      <c r="P11" s="101" t="b">
        <v>0</v>
      </c>
      <c r="Q11" s="98">
        <v>10</v>
      </c>
      <c r="R11" s="98">
        <v>1</v>
      </c>
      <c r="S11" s="98" t="str">
        <f t="shared" si="8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1"/>
        <v>BasSw</v>
      </c>
      <c r="X11" s="3" t="str">
        <v>obj_002e2</v>
      </c>
      <c r="Y11" s="3" t="str">
        <f>IFERROR(_xll.qlRateHelperQuoteName(X11,Trigger),"")</f>
        <v>USDAM3L4Y_Quote</v>
      </c>
      <c r="Z11" s="70">
        <f>IFERROR(_xll.qlRateHelperRate(X11,Trigger),"")</f>
        <v>1.099E-2</v>
      </c>
      <c r="AA11" s="106">
        <f>IF(ISERROR(_xll.qlSwapRateHelperSpread($X11)),IF(ISERROR(_xll.qlFuturesRateHelperConvexityAdjustment($X11)),"",_xll.qlFuturesRateHelperConvexityAdjustment($X11)),_xll.qlSwapRateHelperSpread($X11))</f>
        <v>1.8800000000000002E-3</v>
      </c>
      <c r="AB11" s="4">
        <f>IFERROR(_xll.qlRateHelperEarliestDate(X11,Trigger),"")</f>
        <v>42643</v>
      </c>
      <c r="AC11" s="4">
        <f>IFERROR(_xll.qlRateHelperPillarDate(X11,Trigger),"")</f>
        <v>44104</v>
      </c>
      <c r="AD11" s="76">
        <v>0.96381282999349216</v>
      </c>
    </row>
    <row r="12" spans="1:33" ht="11.25" customHeight="1" x14ac:dyDescent="0.2">
      <c r="A12" s="60" t="s">
        <v>25</v>
      </c>
      <c r="B12" s="61" t="s">
        <v>52</v>
      </c>
      <c r="C12" s="62" t="s">
        <v>6</v>
      </c>
      <c r="D12" s="62" t="s">
        <v>8</v>
      </c>
      <c r="E12" s="62" t="s">
        <v>7</v>
      </c>
      <c r="F12" s="62" t="s">
        <v>27</v>
      </c>
      <c r="G12" s="62" t="str">
        <f t="shared" si="9"/>
        <v>UsdLibor1M</v>
      </c>
      <c r="H12" s="60" t="str">
        <f>Currency&amp;$G$8&amp;B12&amp;QuoteSuffix</f>
        <v>USDAM1L4M_Quote</v>
      </c>
      <c r="I12" s="129">
        <v>0</v>
      </c>
      <c r="J12" s="175" t="str">
        <f>IF(P10,_xll.qlSwapRateHelper2(,H12,,B12,JoinCalendar,D12,E12,F12,G12,I12,C12,Discounting,PillarDate,,Permanent,Trigger,ObjectOverwrite),"--")</f>
        <v>--</v>
      </c>
      <c r="K12" s="50" t="s">
        <v>45</v>
      </c>
      <c r="L12" s="162" t="str">
        <f t="shared" si="5"/>
        <v>Sw</v>
      </c>
      <c r="M12" s="183" t="str">
        <f t="shared" si="6"/>
        <v>USDAM1L6M_Quote</v>
      </c>
      <c r="N12" s="164">
        <f>IFERROR(_xll.qlQuoteValue(H14,Trigger),"--")</f>
        <v>6.13E-3</v>
      </c>
      <c r="O12" s="164">
        <f t="shared" si="7"/>
        <v>0</v>
      </c>
      <c r="P12" s="101" t="b">
        <v>1</v>
      </c>
      <c r="Q12" s="98">
        <v>70</v>
      </c>
      <c r="R12" s="98">
        <v>1</v>
      </c>
      <c r="S12" s="98" t="str">
        <f t="shared" si="8"/>
        <v>obj_002e1#0004</v>
      </c>
      <c r="T12" s="102">
        <f>IFERROR(_xll.qlRateHelperEarliestDate(S12,Trigger),"--")</f>
        <v>42643</v>
      </c>
      <c r="U12" s="102">
        <f>IFERROR(_xll.qlRateHelperPillarDate(S12,Trigger),"--")</f>
        <v>42824</v>
      </c>
      <c r="W12" s="3" t="str">
        <f t="shared" si="1"/>
        <v>BasSw</v>
      </c>
      <c r="X12" s="3" t="str">
        <v>obj_002da</v>
      </c>
      <c r="Y12" s="3" t="str">
        <f>IFERROR(_xll.qlRateHelperQuoteName(X12,Trigger),"")</f>
        <v>USDAM3L5Y_Quote</v>
      </c>
      <c r="Z12" s="70">
        <f>IFERROR(_xll.qlRateHelperRate(X12,Trigger),"")</f>
        <v>1.1520000000000001E-2</v>
      </c>
      <c r="AA12" s="106">
        <f>IF(ISERROR(_xll.qlSwapRateHelperSpread($X12)),IF(ISERROR(_xll.qlFuturesRateHelperConvexityAdjustment($X12)),"",_xll.qlFuturesRateHelperConvexityAdjustment($X12)),_xll.qlSwapRateHelperSpread($X12))</f>
        <v>1.7699999999999999E-3</v>
      </c>
      <c r="AB12" s="4">
        <f>IFERROR(_xll.qlRateHelperEarliestDate(X12,Trigger),"")</f>
        <v>42643</v>
      </c>
      <c r="AC12" s="4">
        <f>IFERROR(_xll.qlRateHelperPillarDate(X12,Trigger),"")</f>
        <v>44469</v>
      </c>
      <c r="AD12" s="76">
        <v>0.95186799769759278</v>
      </c>
    </row>
    <row r="13" spans="1:33" ht="11.25" customHeight="1" x14ac:dyDescent="0.2">
      <c r="A13" s="60" t="s">
        <v>25</v>
      </c>
      <c r="B13" s="61" t="s">
        <v>53</v>
      </c>
      <c r="C13" s="62" t="s">
        <v>6</v>
      </c>
      <c r="D13" s="62" t="s">
        <v>8</v>
      </c>
      <c r="E13" s="62" t="s">
        <v>7</v>
      </c>
      <c r="F13" s="62" t="s">
        <v>27</v>
      </c>
      <c r="G13" s="62" t="str">
        <f t="shared" si="9"/>
        <v>UsdLibor1M</v>
      </c>
      <c r="H13" s="60" t="str">
        <f>Currency&amp;$G$8&amp;B13&amp;QuoteSuffix</f>
        <v>USDAM1L5M_Quote</v>
      </c>
      <c r="I13" s="129">
        <v>0</v>
      </c>
      <c r="J13" s="175" t="str">
        <f>IF(P11,_xll.qlSwapRateHelper2(,H13,,B13,JoinCalendar,D13,E13,F13,G13,I13,C13,Discounting,PillarDate,,Permanent,Trigger,ObjectOverwrite),"--")</f>
        <v>--</v>
      </c>
      <c r="K13" s="50"/>
      <c r="L13" s="162" t="str">
        <f t="shared" si="5"/>
        <v>Sw</v>
      </c>
      <c r="M13" s="183" t="str">
        <f t="shared" si="6"/>
        <v>USDAM1L7M_Quote</v>
      </c>
      <c r="N13" s="164">
        <f>IFERROR(_xll.qlQuoteValue(H15,Trigger),"--")</f>
        <v>6.2599999999999999E-3</v>
      </c>
      <c r="O13" s="164">
        <f t="shared" si="7"/>
        <v>0</v>
      </c>
      <c r="P13" s="101" t="b">
        <v>0</v>
      </c>
      <c r="Q13" s="98">
        <v>20</v>
      </c>
      <c r="R13" s="98">
        <v>1</v>
      </c>
      <c r="S13" s="98" t="str">
        <f t="shared" si="8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BasSw</v>
      </c>
      <c r="X13" s="3" t="str">
        <v>obj_002af</v>
      </c>
      <c r="Y13" s="3" t="str">
        <f>IFERROR(_xll.qlRateHelperQuoteName(X13,Trigger),"")</f>
        <v>USDAM3L6Y_Quote</v>
      </c>
      <c r="Z13" s="70">
        <f>IFERROR(_xll.qlRateHelperRate(X13,Trigger),"")</f>
        <v>1.208E-2</v>
      </c>
      <c r="AA13" s="106">
        <f>IF(ISERROR(_xll.qlSwapRateHelperSpread($X13)),IF(ISERROR(_xll.qlFuturesRateHelperConvexityAdjustment($X13)),"",_xll.qlFuturesRateHelperConvexityAdjustment($X13)),_xll.qlSwapRateHelperSpread($X13))</f>
        <v>1.6600000000000002E-3</v>
      </c>
      <c r="AB13" s="4">
        <f>IFERROR(_xll.qlRateHelperEarliestDate(X13,Trigger),"")</f>
        <v>42643</v>
      </c>
      <c r="AC13" s="4">
        <f>IFERROR(_xll.qlRateHelperPillarDate(X13,Trigger),"")</f>
        <v>44834</v>
      </c>
      <c r="AD13" s="76">
        <v>0.93865647196970448</v>
      </c>
    </row>
    <row r="14" spans="1:33" ht="11.25" customHeight="1" x14ac:dyDescent="0.2">
      <c r="A14" s="60" t="s">
        <v>25</v>
      </c>
      <c r="B14" s="61" t="s">
        <v>3</v>
      </c>
      <c r="C14" s="62" t="s">
        <v>6</v>
      </c>
      <c r="D14" s="62" t="s">
        <v>8</v>
      </c>
      <c r="E14" s="62" t="s">
        <v>7</v>
      </c>
      <c r="F14" s="62" t="s">
        <v>27</v>
      </c>
      <c r="G14" s="62" t="str">
        <f t="shared" si="9"/>
        <v>UsdLibor1M</v>
      </c>
      <c r="H14" s="60" t="str">
        <f>Currency&amp;$G$8&amp;B14&amp;QuoteSuffix</f>
        <v>USDAM1L6M_Quote</v>
      </c>
      <c r="I14" s="129">
        <v>0</v>
      </c>
      <c r="J14" s="175" t="str">
        <f>IF(P12,_xll.qlSwapRateHelper2(,H14,,B14,JoinCalendar,D14,E14,F14,G14,I14,C14,Discounting,PillarDate,,Permanent,Trigger,ObjectOverwrite),"--")</f>
        <v>obj_002e1#0004</v>
      </c>
      <c r="K14" s="50"/>
      <c r="L14" s="162" t="str">
        <f t="shared" si="5"/>
        <v>Sw</v>
      </c>
      <c r="M14" s="183" t="str">
        <f t="shared" si="6"/>
        <v>USDAM1L8M_Quote</v>
      </c>
      <c r="N14" s="164">
        <f>IFERROR(_xll.qlQuoteValue(H16,Trigger),"--")</f>
        <v>6.4099999999999999E-3</v>
      </c>
      <c r="O14" s="164">
        <f t="shared" si="7"/>
        <v>0</v>
      </c>
      <c r="P14" s="101" t="b">
        <v>0</v>
      </c>
      <c r="Q14" s="98">
        <v>20</v>
      </c>
      <c r="R14" s="98">
        <v>1</v>
      </c>
      <c r="S14" s="98" t="str">
        <f t="shared" si="8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BasSw</v>
      </c>
      <c r="X14" s="3" t="str">
        <v>obj_002a3</v>
      </c>
      <c r="Y14" s="3" t="str">
        <f>IFERROR(_xll.qlRateHelperQuoteName(X14,Trigger),"")</f>
        <v>USDAM3L7Y_Quote</v>
      </c>
      <c r="Z14" s="70">
        <f>IFERROR(_xll.qlRateHelperRate(X14,Trigger),"")</f>
        <v>1.2629999999999999E-2</v>
      </c>
      <c r="AA14" s="106">
        <f>IF(ISERROR(_xll.qlSwapRateHelperSpread($X14)),IF(ISERROR(_xll.qlFuturesRateHelperConvexityAdjustment($X14)),"",_xll.qlFuturesRateHelperConvexityAdjustment($X14)),_xll.qlSwapRateHelperSpread($X14))</f>
        <v>1.5600000000000002E-3</v>
      </c>
      <c r="AB14" s="4">
        <f>IFERROR(_xll.qlRateHelperEarliestDate(X14,Trigger),"")</f>
        <v>42643</v>
      </c>
      <c r="AC14" s="4">
        <f>IFERROR(_xll.qlRateHelperPillarDate(X14,Trigger),"")</f>
        <v>45198</v>
      </c>
      <c r="AD14" s="76">
        <v>0.9245012880680582</v>
      </c>
    </row>
    <row r="15" spans="1:33" ht="11.25" customHeight="1" x14ac:dyDescent="0.2">
      <c r="A15" s="60" t="s">
        <v>25</v>
      </c>
      <c r="B15" s="61" t="s">
        <v>54</v>
      </c>
      <c r="C15" s="62" t="s">
        <v>6</v>
      </c>
      <c r="D15" s="62" t="s">
        <v>8</v>
      </c>
      <c r="E15" s="62" t="s">
        <v>7</v>
      </c>
      <c r="F15" s="62" t="s">
        <v>27</v>
      </c>
      <c r="G15" s="62" t="str">
        <f t="shared" si="9"/>
        <v>UsdLibor1M</v>
      </c>
      <c r="H15" s="60" t="str">
        <f>Currency&amp;$G$8&amp;B15&amp;QuoteSuffix</f>
        <v>USDAM1L7M_Quote</v>
      </c>
      <c r="I15" s="129">
        <v>0</v>
      </c>
      <c r="J15" s="175" t="str">
        <f>IF(P13,_xll.qlSwapRateHelper2(,H15,,B15,JoinCalendar,D15,E15,F15,G15,I15,C15,Discounting,PillarDate,,Permanent,Trigger,ObjectOverwrite),"--")</f>
        <v>--</v>
      </c>
      <c r="K15" s="50"/>
      <c r="L15" s="162" t="str">
        <f t="shared" si="5"/>
        <v>Sw</v>
      </c>
      <c r="M15" s="183" t="str">
        <f t="shared" si="6"/>
        <v>USDAM1L9M_Quote</v>
      </c>
      <c r="N15" s="164">
        <f>IFERROR(_xll.qlQuoteValue(H17,Trigger),"--")</f>
        <v>6.5400000000000007E-3</v>
      </c>
      <c r="O15" s="164">
        <f t="shared" si="7"/>
        <v>0</v>
      </c>
      <c r="P15" s="101" t="b">
        <v>1</v>
      </c>
      <c r="Q15" s="98">
        <v>20</v>
      </c>
      <c r="R15" s="98">
        <v>1</v>
      </c>
      <c r="S15" s="98" t="str">
        <f t="shared" si="8"/>
        <v>obj_002a8#0004</v>
      </c>
      <c r="T15" s="102">
        <f>IFERROR(_xll.qlRateHelperEarliestDate(S15,Trigger),"--")</f>
        <v>42643</v>
      </c>
      <c r="U15" s="102">
        <f>IFERROR(_xll.qlRateHelperPillarDate(S15,Trigger),"--")</f>
        <v>42916</v>
      </c>
      <c r="W15" s="3" t="str">
        <f t="shared" si="1"/>
        <v>BasSw</v>
      </c>
      <c r="X15" s="3" t="str">
        <v>obj_002cf</v>
      </c>
      <c r="Y15" s="3" t="str">
        <f>IFERROR(_xll.qlRateHelperQuoteName(X15,Trigger),"")</f>
        <v>USDAM3L8Y_Quote</v>
      </c>
      <c r="Z15" s="70">
        <f>IFERROR(_xll.qlRateHelperRate(X15,Trigger),"")</f>
        <v>1.315E-2</v>
      </c>
      <c r="AA15" s="106">
        <f>IF(ISERROR(_xll.qlSwapRateHelperSpread($X15)),IF(ISERROR(_xll.qlFuturesRateHelperConvexityAdjustment($X15)),"",_xll.qlFuturesRateHelperConvexityAdjustment($X15)),_xll.qlSwapRateHelperSpread($X15))</f>
        <v>1.4700000000000002E-3</v>
      </c>
      <c r="AB15" s="4">
        <f>IFERROR(_xll.qlRateHelperEarliestDate(X15,Trigger),"")</f>
        <v>42643</v>
      </c>
      <c r="AC15" s="4">
        <f>IFERROR(_xll.qlRateHelperPillarDate(X15,Trigger),"")</f>
        <v>45565</v>
      </c>
      <c r="AD15" s="76">
        <v>0.90953789493883286</v>
      </c>
    </row>
    <row r="16" spans="1:33" ht="11.25" customHeight="1" x14ac:dyDescent="0.2">
      <c r="A16" s="60" t="s">
        <v>25</v>
      </c>
      <c r="B16" s="61" t="s">
        <v>55</v>
      </c>
      <c r="C16" s="62" t="s">
        <v>6</v>
      </c>
      <c r="D16" s="62" t="s">
        <v>8</v>
      </c>
      <c r="E16" s="62" t="s">
        <v>7</v>
      </c>
      <c r="F16" s="62" t="s">
        <v>27</v>
      </c>
      <c r="G16" s="62" t="str">
        <f t="shared" si="9"/>
        <v>UsdLibor1M</v>
      </c>
      <c r="H16" s="60" t="str">
        <f>Currency&amp;$G$8&amp;B16&amp;QuoteSuffix</f>
        <v>USDAM1L8M_Quote</v>
      </c>
      <c r="I16" s="129">
        <v>0</v>
      </c>
      <c r="J16" s="175" t="str">
        <f>IF(P14,_xll.qlSwapRateHelper2(,H16,,B16,JoinCalendar,D16,E16,F16,G16,I16,C16,Discounting,PillarDate,,Permanent,Trigger,ObjectOverwrite),"--")</f>
        <v>--</v>
      </c>
      <c r="K16" s="50"/>
      <c r="L16" s="162" t="str">
        <f t="shared" si="5"/>
        <v>Sw</v>
      </c>
      <c r="M16" s="183" t="str">
        <f t="shared" si="6"/>
        <v>USDAM1L10M_Quote</v>
      </c>
      <c r="N16" s="164">
        <f>IFERROR(_xll.qlQuoteValue(H18,Trigger),"--")</f>
        <v>6.6600000000000001E-3</v>
      </c>
      <c r="O16" s="164">
        <f t="shared" si="7"/>
        <v>0</v>
      </c>
      <c r="P16" s="101" t="b">
        <v>0</v>
      </c>
      <c r="Q16" s="98">
        <v>20</v>
      </c>
      <c r="R16" s="98">
        <v>1</v>
      </c>
      <c r="S16" s="98" t="str">
        <f t="shared" si="8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BasSw</v>
      </c>
      <c r="X16" s="3" t="str">
        <v>obj_002ad</v>
      </c>
      <c r="Y16" s="3" t="str">
        <f>IFERROR(_xll.qlRateHelperQuoteName(X16,Trigger),"")</f>
        <v>USDAM3L9Y_Quote</v>
      </c>
      <c r="Z16" s="70">
        <f>IFERROR(_xll.qlRateHelperRate(X16,Trigger),"")</f>
        <v>1.3640000000000001E-2</v>
      </c>
      <c r="AA16" s="106">
        <f>IF(ISERROR(_xll.qlSwapRateHelperSpread($X16)),IF(ISERROR(_xll.qlFuturesRateHelperConvexityAdjustment($X16)),"",_xll.qlFuturesRateHelperConvexityAdjustment($X16)),_xll.qlSwapRateHelperSpread($X16))</f>
        <v>1.4E-3</v>
      </c>
      <c r="AB16" s="4">
        <f>IFERROR(_xll.qlRateHelperEarliestDate(X16,Trigger),"")</f>
        <v>42643</v>
      </c>
      <c r="AC16" s="4">
        <f>IFERROR(_xll.qlRateHelperPillarDate(X16,Trigger),"")</f>
        <v>45930</v>
      </c>
      <c r="AD16" s="76">
        <v>0.89413918073758059</v>
      </c>
    </row>
    <row r="17" spans="1:30" ht="11.25" customHeight="1" x14ac:dyDescent="0.2">
      <c r="A17" s="60" t="s">
        <v>25</v>
      </c>
      <c r="B17" s="61" t="s">
        <v>56</v>
      </c>
      <c r="C17" s="62" t="s">
        <v>6</v>
      </c>
      <c r="D17" s="62" t="s">
        <v>8</v>
      </c>
      <c r="E17" s="62" t="s">
        <v>7</v>
      </c>
      <c r="F17" s="62" t="s">
        <v>27</v>
      </c>
      <c r="G17" s="62" t="str">
        <f t="shared" si="9"/>
        <v>UsdLibor1M</v>
      </c>
      <c r="H17" s="60" t="str">
        <f>Currency&amp;$G$8&amp;B17&amp;QuoteSuffix</f>
        <v>USDAM1L9M_Quote</v>
      </c>
      <c r="I17" s="129">
        <v>0</v>
      </c>
      <c r="J17" s="175" t="str">
        <f>IF(P15,_xll.qlSwapRateHelper2(,H17,,B17,JoinCalendar,D17,E17,F17,G17,I17,C17,Discounting,PillarDate,,Permanent,Trigger,ObjectOverwrite),"--")</f>
        <v>obj_002a8#0004</v>
      </c>
      <c r="K17" s="50"/>
      <c r="L17" s="162" t="str">
        <f t="shared" si="5"/>
        <v>Sw</v>
      </c>
      <c r="M17" s="183" t="str">
        <f t="shared" si="6"/>
        <v>USDAM1L11M_Quote</v>
      </c>
      <c r="N17" s="164">
        <f>IFERROR(_xll.qlQuoteValue(H19,Trigger),"--")</f>
        <v>6.7600000000000004E-3</v>
      </c>
      <c r="O17" s="164">
        <f t="shared" si="7"/>
        <v>0</v>
      </c>
      <c r="P17" s="101" t="b">
        <v>0</v>
      </c>
      <c r="Q17" s="98">
        <v>20</v>
      </c>
      <c r="R17" s="98">
        <v>1</v>
      </c>
      <c r="S17" s="98" t="str">
        <f t="shared" si="8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BasSw</v>
      </c>
      <c r="X17" s="3" t="str">
        <v>obj_0029a</v>
      </c>
      <c r="Y17" s="3" t="str">
        <f>IFERROR(_xll.qlRateHelperQuoteName(X17,Trigger),"")</f>
        <v>USDAM3L10Y_Quote</v>
      </c>
      <c r="Z17" s="70">
        <f>IFERROR(_xll.qlRateHelperRate(X17,Trigger),"")</f>
        <v>1.4100000000000001E-2</v>
      </c>
      <c r="AA17" s="106">
        <f>IF(ISERROR(_xll.qlSwapRateHelperSpread($X17)),IF(ISERROR(_xll.qlFuturesRateHelperConvexityAdjustment($X17)),"",_xll.qlFuturesRateHelperConvexityAdjustment($X17)),_xll.qlSwapRateHelperSpread($X17))</f>
        <v>1.34E-3</v>
      </c>
      <c r="AB17" s="4">
        <f>IFERROR(_xll.qlRateHelperEarliestDate(X17,Trigger),"")</f>
        <v>42643</v>
      </c>
      <c r="AC17" s="4">
        <f>IFERROR(_xll.qlRateHelperPillarDate(X17,Trigger),"")</f>
        <v>46295</v>
      </c>
      <c r="AD17" s="76">
        <v>0.87832125094422964</v>
      </c>
    </row>
    <row r="18" spans="1:30" ht="11.25" customHeight="1" x14ac:dyDescent="0.2">
      <c r="A18" s="60" t="s">
        <v>25</v>
      </c>
      <c r="B18" s="61" t="s">
        <v>57</v>
      </c>
      <c r="C18" s="62" t="s">
        <v>6</v>
      </c>
      <c r="D18" s="62" t="s">
        <v>8</v>
      </c>
      <c r="E18" s="62" t="s">
        <v>7</v>
      </c>
      <c r="F18" s="62" t="s">
        <v>27</v>
      </c>
      <c r="G18" s="62" t="str">
        <f t="shared" si="9"/>
        <v>UsdLibor1M</v>
      </c>
      <c r="H18" s="60" t="str">
        <f>Currency&amp;$G$8&amp;B18&amp;QuoteSuffix</f>
        <v>USDAM1L10M_Quote</v>
      </c>
      <c r="I18" s="129">
        <v>0</v>
      </c>
      <c r="J18" s="175" t="str">
        <f>IF(P16,_xll.qlSwapRateHelper2(,H18,,B18,JoinCalendar,D18,E18,F18,G18,I18,C18,Discounting,PillarDate,,Permanent,Trigger,ObjectOverwrite),"--")</f>
        <v>--</v>
      </c>
      <c r="K18" s="50"/>
      <c r="L18" s="168" t="str">
        <f t="shared" si="5"/>
        <v>Sw</v>
      </c>
      <c r="M18" s="184" t="str">
        <f t="shared" si="6"/>
        <v>USDAM1L1Y_Quote</v>
      </c>
      <c r="N18" s="170">
        <f>IFERROR(_xll.qlQuoteValue(H20,Trigger),"--")</f>
        <v>6.8500000000000002E-3</v>
      </c>
      <c r="O18" s="170">
        <f t="shared" si="7"/>
        <v>0</v>
      </c>
      <c r="P18" s="148" t="b">
        <f>NOT(ISERROR(_xll.qlQuoteValue(M18)))</f>
        <v>1</v>
      </c>
      <c r="Q18" s="99">
        <v>20</v>
      </c>
      <c r="R18" s="99">
        <v>1</v>
      </c>
      <c r="S18" s="99" t="str">
        <f t="shared" si="8"/>
        <v>obj_002c0#0004</v>
      </c>
      <c r="T18" s="104">
        <f>IFERROR(_xll.qlRateHelperEarliestDate(S18,Trigger),"--")</f>
        <v>42643</v>
      </c>
      <c r="U18" s="104">
        <f>IFERROR(_xll.qlRateHelperPillarDate(S18,Trigger),"--")</f>
        <v>43007</v>
      </c>
      <c r="W18" s="3" t="str">
        <f t="shared" si="1"/>
        <v>BasSw</v>
      </c>
      <c r="X18" s="3" t="str">
        <v>obj_002a5</v>
      </c>
      <c r="Y18" s="3" t="str">
        <f>IFERROR(_xll.qlRateHelperQuoteName(X18,Trigger),"")</f>
        <v>USDAM3L12Y_Quote</v>
      </c>
      <c r="Z18" s="70">
        <f>IFERROR(_xll.qlRateHelperRate(X18,Trigger),"")</f>
        <v>1.489E-2</v>
      </c>
      <c r="AA18" s="106">
        <f>IF(ISERROR(_xll.qlSwapRateHelperSpread($X18)),IF(ISERROR(_xll.qlFuturesRateHelperConvexityAdjustment($X18)),"",_xll.qlFuturesRateHelperConvexityAdjustment($X18)),_xll.qlSwapRateHelperSpread($X18))</f>
        <v>1.24E-3</v>
      </c>
      <c r="AB18" s="4">
        <f>IFERROR(_xll.qlRateHelperEarliestDate(X18,Trigger),"")</f>
        <v>42643</v>
      </c>
      <c r="AC18" s="4">
        <f>IFERROR(_xll.qlRateHelperPillarDate(X18,Trigger),"")</f>
        <v>47025</v>
      </c>
      <c r="AD18" s="76">
        <v>0.846293575453964</v>
      </c>
    </row>
    <row r="19" spans="1:30" ht="11.25" customHeight="1" x14ac:dyDescent="0.2">
      <c r="A19" s="60" t="s">
        <v>25</v>
      </c>
      <c r="B19" s="61" t="s">
        <v>58</v>
      </c>
      <c r="C19" s="62" t="s">
        <v>6</v>
      </c>
      <c r="D19" s="62" t="s">
        <v>8</v>
      </c>
      <c r="E19" s="62" t="s">
        <v>7</v>
      </c>
      <c r="F19" s="62" t="s">
        <v>27</v>
      </c>
      <c r="G19" s="62" t="str">
        <f t="shared" si="9"/>
        <v>UsdLibor1M</v>
      </c>
      <c r="H19" s="60" t="str">
        <f>Currency&amp;$G$8&amp;B19&amp;QuoteSuffix</f>
        <v>USDAM1L11M_Quote</v>
      </c>
      <c r="I19" s="129">
        <v>0</v>
      </c>
      <c r="J19" s="175" t="str">
        <f>IF(P17,_xll.qlSwapRateHelper2(,H19,,B19,JoinCalendar,D19,E19,F19,G19,I19,C19,Discounting,PillarDate,,Permanent,Trigger,ObjectOverwrite),"--")</f>
        <v>--</v>
      </c>
      <c r="K19" s="50"/>
      <c r="L19" s="180" t="str">
        <f>A23</f>
        <v>BasSw</v>
      </c>
      <c r="M19" s="188" t="str">
        <f>H23</f>
        <v>USDAM3L1Y_Quote</v>
      </c>
      <c r="N19" s="182">
        <f>IFERROR(_xll.qlQuoteValue(H23,Trigger),"--")</f>
        <v>9.3500000000000007E-3</v>
      </c>
      <c r="O19" s="182">
        <f>IFERROR(_xll.qlQuoteValue(I23,Trigger),"--")</f>
        <v>2.5000000000000001E-3</v>
      </c>
      <c r="P19" s="134" t="b">
        <v>0</v>
      </c>
      <c r="Q19" s="133">
        <v>20</v>
      </c>
      <c r="R19" s="133">
        <v>1</v>
      </c>
      <c r="S19" s="133" t="str">
        <f>J23</f>
        <v>--</v>
      </c>
      <c r="T19" s="135" t="str">
        <f>IFERROR(_xll.qlRateHelperEarliestDate(S19,Trigger),"--")</f>
        <v>--</v>
      </c>
      <c r="U19" s="135" t="str">
        <f>IFERROR(_xll.qlRateHelperPillarDate(S19,Trigger),"--")</f>
        <v>--</v>
      </c>
      <c r="W19" s="3" t="str">
        <f t="shared" si="1"/>
        <v>BasSw</v>
      </c>
      <c r="X19" s="3" t="str">
        <v>obj_002b3</v>
      </c>
      <c r="Y19" s="3" t="str">
        <f>IFERROR(_xll.qlRateHelperQuoteName(X19,Trigger),"")</f>
        <v>USDAM3L15Y_Quote</v>
      </c>
      <c r="Z19" s="70">
        <f>IFERROR(_xll.qlRateHelperRate(X19,Trigger),"")</f>
        <v>1.575E-2</v>
      </c>
      <c r="AA19" s="106">
        <f>IF(ISERROR(_xll.qlSwapRateHelperSpread($X19)),IF(ISERROR(_xll.qlFuturesRateHelperConvexityAdjustment($X19)),"",_xll.qlFuturesRateHelperConvexityAdjustment($X19)),_xll.qlSwapRateHelperSpread($X19))</f>
        <v>1.14E-3</v>
      </c>
      <c r="AB19" s="4">
        <f>IFERROR(_xll.qlRateHelperEarliestDate(X19,Trigger),"")</f>
        <v>42643</v>
      </c>
      <c r="AC19" s="4">
        <f>IFERROR(_xll.qlRateHelperPillarDate(X19,Trigger),"")</f>
        <v>48121</v>
      </c>
      <c r="AD19" s="76">
        <v>0.7994185937390853</v>
      </c>
    </row>
    <row r="20" spans="1:30" ht="11.25" customHeight="1" x14ac:dyDescent="0.2">
      <c r="A20" s="1" t="s">
        <v>25</v>
      </c>
      <c r="B20" s="8" t="s">
        <v>28</v>
      </c>
      <c r="C20" s="6" t="s">
        <v>6</v>
      </c>
      <c r="D20" s="6" t="s">
        <v>8</v>
      </c>
      <c r="E20" s="6" t="s">
        <v>7</v>
      </c>
      <c r="F20" s="6" t="s">
        <v>27</v>
      </c>
      <c r="G20" s="6" t="str">
        <f t="shared" si="9"/>
        <v>UsdLibor1M</v>
      </c>
      <c r="H20" s="1" t="str">
        <f>Currency&amp;$G$8&amp;B20&amp;QuoteSuffix</f>
        <v>USDAM1L1Y_Quote</v>
      </c>
      <c r="I20" s="132">
        <v>0</v>
      </c>
      <c r="J20" s="191" t="str">
        <f>_xll.qlSwapRateHelper2(,H20,,B20,JoinCalendar,D20,E20,F20,G20,I20,C20,Discounting,PillarDate,,Permanent,Trigger,ObjectOverwrite)</f>
        <v>obj_002c0#0004</v>
      </c>
      <c r="K20" s="50"/>
      <c r="L20" s="162" t="str">
        <f t="shared" ref="L20:L55" si="10">A24</f>
        <v>BasSw</v>
      </c>
      <c r="M20" s="183" t="str">
        <f t="shared" ref="M20:M55" si="11">H24</f>
        <v>USDAM3L15M_Quote</v>
      </c>
      <c r="N20" s="164" t="str">
        <f>IFERROR(_xll.qlQuoteValue(H24,Trigger),"--")</f>
        <v>--</v>
      </c>
      <c r="O20" s="164">
        <f>IFERROR(_xll.qlQuoteValue(I24,Trigger),"--")</f>
        <v>2.3945488931630021E-3</v>
      </c>
      <c r="P20" s="101" t="b">
        <v>0</v>
      </c>
      <c r="Q20" s="98">
        <v>20</v>
      </c>
      <c r="R20" s="98">
        <v>1</v>
      </c>
      <c r="S20" s="98" t="str">
        <f t="shared" ref="S20:S55" si="12">J24</f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1"/>
        <v>BasSw</v>
      </c>
      <c r="X20" s="3" t="str">
        <v>obj_002b7</v>
      </c>
      <c r="Y20" s="3" t="str">
        <f>IFERROR(_xll.qlRateHelperQuoteName(X20,Trigger),"")</f>
        <v>USDAM3L20Y_Quote</v>
      </c>
      <c r="Z20" s="70">
        <f>IFERROR(_xll.qlRateHelperRate(X20,Trigger),"")</f>
        <v>1.6640000000000002E-2</v>
      </c>
      <c r="AA20" s="106">
        <f>IF(ISERROR(_xll.qlSwapRateHelperSpread($X20)),IF(ISERROR(_xll.qlFuturesRateHelperConvexityAdjustment($X20)),"",_xll.qlFuturesRateHelperConvexityAdjustment($X20)),_xll.qlSwapRateHelperSpread($X20))</f>
        <v>1.2100000000000001E-3</v>
      </c>
      <c r="AB20" s="4">
        <f>IFERROR(_xll.qlRateHelperEarliestDate(X20,Trigger),"")</f>
        <v>42643</v>
      </c>
      <c r="AC20" s="4">
        <f>IFERROR(_xll.qlRateHelperPillarDate(X20,Trigger),"")</f>
        <v>49948</v>
      </c>
      <c r="AD20" s="76">
        <v>0.72920084802104224</v>
      </c>
    </row>
    <row r="21" spans="1:30" ht="11.25" customHeight="1" x14ac:dyDescent="0.2">
      <c r="F21" s="52" t="s">
        <v>144</v>
      </c>
      <c r="G21" s="52" t="s">
        <v>143</v>
      </c>
      <c r="H21" s="52" t="s">
        <v>149</v>
      </c>
      <c r="K21" s="50"/>
      <c r="L21" s="162" t="str">
        <f t="shared" si="10"/>
        <v>BasSw</v>
      </c>
      <c r="M21" s="183" t="str">
        <f t="shared" si="11"/>
        <v>USDAM3L18M_Quote</v>
      </c>
      <c r="N21" s="164" t="str">
        <f>IFERROR(_xll.qlQuoteValue(H25,Trigger),"--")</f>
        <v>--</v>
      </c>
      <c r="O21" s="164">
        <f>IFERROR(_xll.qlQuoteValue(I25,Trigger),"--")</f>
        <v>2.320972786326004E-3</v>
      </c>
      <c r="P21" s="101" t="b">
        <v>0</v>
      </c>
      <c r="Q21" s="98">
        <v>20</v>
      </c>
      <c r="R21" s="98">
        <v>1</v>
      </c>
      <c r="S21" s="98" t="str">
        <f t="shared" si="12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 t="shared" si="1"/>
        <v>BasSw</v>
      </c>
      <c r="X21" s="3" t="str">
        <v>obj_002c5</v>
      </c>
      <c r="Y21" s="3" t="str">
        <f>IFERROR(_xll.qlRateHelperQuoteName(X21,Trigger),"")</f>
        <v>USDAM3L25Y_Quote</v>
      </c>
      <c r="Z21" s="70">
        <f>IFERROR(_xll.qlRateHelperRate(X21,Trigger),"")</f>
        <v>1.7059999999999999E-2</v>
      </c>
      <c r="AA21" s="106">
        <f>IF(ISERROR(_xll.qlSwapRateHelperSpread($X21)),IF(ISERROR(_xll.qlFuturesRateHelperConvexityAdjustment($X21)),"",_xll.qlFuturesRateHelperConvexityAdjustment($X21)),_xll.qlSwapRateHelperSpread($X21))</f>
        <v>1.34E-3</v>
      </c>
      <c r="AB21" s="4">
        <f>IFERROR(_xll.qlRateHelperEarliestDate(X21,Trigger),"")</f>
        <v>42643</v>
      </c>
      <c r="AC21" s="4">
        <f>IFERROR(_xll.qlRateHelperPillarDate(X21,Trigger),"")</f>
        <v>51774</v>
      </c>
      <c r="AD21" s="76">
        <v>0.66904869579919335</v>
      </c>
    </row>
    <row r="22" spans="1:30" ht="11.25" customHeight="1" x14ac:dyDescent="0.2">
      <c r="A22" s="66" t="s">
        <v>9</v>
      </c>
      <c r="B22" s="66" t="s">
        <v>29</v>
      </c>
      <c r="C22" s="66" t="s">
        <v>145</v>
      </c>
      <c r="D22" s="66" t="s">
        <v>5</v>
      </c>
      <c r="E22" s="66" t="s">
        <v>34</v>
      </c>
      <c r="F22" s="66" t="s">
        <v>146</v>
      </c>
      <c r="G22" s="66" t="s">
        <v>4</v>
      </c>
      <c r="H22" s="66" t="s">
        <v>1</v>
      </c>
      <c r="I22" s="66" t="s">
        <v>142</v>
      </c>
      <c r="J22" s="66" t="s">
        <v>24</v>
      </c>
      <c r="K22" s="50"/>
      <c r="L22" s="162" t="str">
        <f t="shared" si="10"/>
        <v>BasSw</v>
      </c>
      <c r="M22" s="183" t="str">
        <f t="shared" si="11"/>
        <v>USDAM3L21M_Quote</v>
      </c>
      <c r="N22" s="164" t="str">
        <f>IFERROR(_xll.qlQuoteValue(H26,Trigger),"--")</f>
        <v>--</v>
      </c>
      <c r="O22" s="164">
        <f>IFERROR(_xll.qlQuoteValue(I26,Trigger),"--")</f>
        <v>2.2669102863260042E-3</v>
      </c>
      <c r="P22" s="101" t="b">
        <v>0</v>
      </c>
      <c r="Q22" s="98">
        <v>20</v>
      </c>
      <c r="R22" s="98">
        <v>1</v>
      </c>
      <c r="S22" s="98" t="str">
        <f t="shared" si="12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 t="shared" si="1"/>
        <v>BasSw</v>
      </c>
      <c r="X22" s="3" t="str">
        <v>obj_002d8</v>
      </c>
      <c r="Y22" s="3" t="str">
        <f>IFERROR(_xll.qlRateHelperQuoteName(X22,Trigger),"")</f>
        <v>USDAM3L30Y_Quote</v>
      </c>
      <c r="Z22" s="70">
        <f>IFERROR(_xll.qlRateHelperRate(X22,Trigger),"")</f>
        <v>1.728E-2</v>
      </c>
      <c r="AA22" s="106">
        <f>IF(ISERROR(_xll.qlSwapRateHelperSpread($X22)),IF(ISERROR(_xll.qlFuturesRateHelperConvexityAdjustment($X22)),"",_xll.qlFuturesRateHelperConvexityAdjustment($X22)),_xll.qlSwapRateHelperSpread($X22))</f>
        <v>1.4400000000000001E-3</v>
      </c>
      <c r="AB22" s="4">
        <f>IFERROR(_xll.qlRateHelperEarliestDate(X22,Trigger),"")</f>
        <v>42643</v>
      </c>
      <c r="AC22" s="4">
        <f>IFERROR(_xll.qlRateHelperPillarDate(X22,Trigger),"")</f>
        <v>53598</v>
      </c>
      <c r="AD22" s="76">
        <v>0.6155217299646415</v>
      </c>
    </row>
    <row r="23" spans="1:30" ht="11.25" customHeight="1" x14ac:dyDescent="0.2">
      <c r="A23" s="60" t="s">
        <v>150</v>
      </c>
      <c r="B23" s="61" t="s">
        <v>28</v>
      </c>
      <c r="C23" s="62" t="s">
        <v>6</v>
      </c>
      <c r="D23" s="62" t="s">
        <v>8</v>
      </c>
      <c r="E23" s="62" t="s">
        <v>7</v>
      </c>
      <c r="F23" s="62" t="s">
        <v>27</v>
      </c>
      <c r="G23" s="62" t="str">
        <f t="shared" ref="G23:G59" si="13">PROPER(Currency)&amp;FamilyName&amp;Tenor</f>
        <v>UsdLibor1M</v>
      </c>
      <c r="H23" s="60" t="str">
        <f t="shared" ref="H23:H59" si="14">Currency&amp;$G$21&amp;$F$21&amp;$B23&amp;QuoteSuffix</f>
        <v>USDAM3L1Y_Quote</v>
      </c>
      <c r="I23" s="145" t="str">
        <f t="shared" ref="I23:I59" si="15">Currency&amp;$F$21&amp;$H$21&amp;$B23&amp;QuoteSuffix</f>
        <v>USD3L1L1Y_Quote</v>
      </c>
      <c r="J23" s="175" t="str">
        <f>IF(P19,_xll.qlSwapRateHelper2(,H23,,B23,JoinCalendar,D23,E23,F23,G23,I23,C23,Discounting,PillarDate,,Permanent,Trigger,ObjectOverwrite),"--")</f>
        <v>--</v>
      </c>
      <c r="K23" s="50"/>
      <c r="L23" s="162" t="str">
        <f t="shared" si="10"/>
        <v>BasSw</v>
      </c>
      <c r="M23" s="183" t="str">
        <f t="shared" si="11"/>
        <v>USDAM3L2Y_Quote</v>
      </c>
      <c r="N23" s="164">
        <f>IFERROR(_xll.qlQuoteValue(H27,Trigger),"--")</f>
        <v>9.9600000000000001E-3</v>
      </c>
      <c r="O23" s="164">
        <f>IFERROR(_xll.qlQuoteValue(I27,Trigger),"--")</f>
        <v>2.2200000000000002E-3</v>
      </c>
      <c r="P23" s="101" t="b">
        <v>1</v>
      </c>
      <c r="Q23" s="98">
        <v>20</v>
      </c>
      <c r="R23" s="98">
        <v>1</v>
      </c>
      <c r="S23" s="98" t="str">
        <f t="shared" si="12"/>
        <v>obj_002b1#0003</v>
      </c>
      <c r="T23" s="102">
        <f>IFERROR(_xll.qlRateHelperEarliestDate(S23,Trigger),"--")</f>
        <v>42643</v>
      </c>
      <c r="U23" s="102">
        <f>IFERROR(_xll.qlRateHelperPillarDate(S23,Trigger),"--")</f>
        <v>43371</v>
      </c>
      <c r="W23" s="3" t="str">
        <f t="shared" si="1"/>
        <v>BasSw</v>
      </c>
      <c r="X23" s="3" t="str">
        <v>obj_0029e</v>
      </c>
      <c r="Y23" s="3" t="str">
        <f>IFERROR(_xll.qlRateHelperQuoteName(X23,Trigger),"")</f>
        <v>USDAM3L40Y_Quote</v>
      </c>
      <c r="Z23" s="70">
        <f>IFERROR(_xll.qlRateHelperRate(X23,Trigger),"")</f>
        <v>1.738E-2</v>
      </c>
      <c r="AA23" s="106">
        <f>IF(ISERROR(_xll.qlSwapRateHelperSpread($X23)),IF(ISERROR(_xll.qlFuturesRateHelperConvexityAdjustment($X23)),"",_xll.qlFuturesRateHelperConvexityAdjustment($X23)),_xll.qlSwapRateHelperSpread($X23))</f>
        <v>1.4400000000000001E-3</v>
      </c>
      <c r="AB23" s="4">
        <f>IFERROR(_xll.qlRateHelperEarliestDate(X23,Trigger),"")</f>
        <v>42643</v>
      </c>
      <c r="AC23" s="4">
        <f>IFERROR(_xll.qlRateHelperPillarDate(X23,Trigger),"")</f>
        <v>57252</v>
      </c>
      <c r="AD23" s="76">
        <v>0.52212223231976862</v>
      </c>
    </row>
    <row r="24" spans="1:30" ht="11.25" customHeight="1" x14ac:dyDescent="0.2">
      <c r="A24" s="60" t="s">
        <v>150</v>
      </c>
      <c r="B24" s="61" t="s">
        <v>61</v>
      </c>
      <c r="C24" s="62" t="s">
        <v>6</v>
      </c>
      <c r="D24" s="62" t="s">
        <v>8</v>
      </c>
      <c r="E24" s="62" t="s">
        <v>7</v>
      </c>
      <c r="F24" s="62" t="s">
        <v>27</v>
      </c>
      <c r="G24" s="62" t="str">
        <f t="shared" si="13"/>
        <v>UsdLibor1M</v>
      </c>
      <c r="H24" s="60" t="str">
        <f t="shared" si="14"/>
        <v>USDAM3L15M_Quote</v>
      </c>
      <c r="I24" s="145" t="str">
        <f t="shared" si="15"/>
        <v>USD3L1L15M_Quote</v>
      </c>
      <c r="J24" s="175" t="str">
        <f>IF(P20,_xll.qlSwapRateHelper2(,H24,,B24,JoinCalendar,D24,E24,F24,G24,I24,C24,Discounting,PillarDate,,Permanent,Trigger,ObjectOverwrite),"--")</f>
        <v>--</v>
      </c>
      <c r="K24" s="50"/>
      <c r="L24" s="162" t="str">
        <f t="shared" si="10"/>
        <v>BasSw</v>
      </c>
      <c r="M24" s="183" t="str">
        <f t="shared" si="11"/>
        <v>USDAM3L3Y_Quote</v>
      </c>
      <c r="N24" s="164">
        <f>IFERROR(_xll.qlQuoteValue(H28,Trigger),"--")</f>
        <v>1.048E-2</v>
      </c>
      <c r="O24" s="164">
        <f>IFERROR(_xll.qlQuoteValue(I28,Trigger),"--")</f>
        <v>2.0200000000000001E-3</v>
      </c>
      <c r="P24" s="101" t="b">
        <v>1</v>
      </c>
      <c r="Q24" s="98">
        <v>20</v>
      </c>
      <c r="R24" s="98">
        <v>1</v>
      </c>
      <c r="S24" s="98" t="str">
        <f t="shared" si="12"/>
        <v>obj_002b0#0003</v>
      </c>
      <c r="T24" s="102">
        <f>IFERROR(_xll.qlRateHelperEarliestDate(S24,Trigger),"--")</f>
        <v>42643</v>
      </c>
      <c r="U24" s="102">
        <f>IFERROR(_xll.qlRateHelperPillarDate(S24,Trigger),"--")</f>
        <v>43738</v>
      </c>
      <c r="W24" s="3" t="str">
        <f t="shared" si="1"/>
        <v>BasSw</v>
      </c>
      <c r="X24" s="3" t="str">
        <v>obj_002a9</v>
      </c>
      <c r="Y24" s="3" t="str">
        <f>IFERROR(_xll.qlRateHelperQuoteName(X24,Trigger),"")</f>
        <v>USDAM3L50Y_Quote</v>
      </c>
      <c r="Z24" s="70">
        <f>IFERROR(_xll.qlRateHelperRate(X24,Trigger),"")</f>
        <v>1.7330000000000002E-2</v>
      </c>
      <c r="AA24" s="106">
        <f>IF(ISERROR(_xll.qlSwapRateHelperSpread($X24)),IF(ISERROR(_xll.qlFuturesRateHelperConvexityAdjustment($X24)),"",_xll.qlFuturesRateHelperConvexityAdjustment($X24)),_xll.qlSwapRateHelperSpread($X24))</f>
        <v>1.4400000000000001E-3</v>
      </c>
      <c r="AB24" s="4">
        <f>IFERROR(_xll.qlRateHelperEarliestDate(X24,Trigger),"")</f>
        <v>42643</v>
      </c>
      <c r="AC24" s="4">
        <f>IFERROR(_xll.qlRateHelperPillarDate(X24,Trigger),"")</f>
        <v>60905</v>
      </c>
      <c r="AD24" s="76">
        <v>0.44618245970786802</v>
      </c>
    </row>
    <row r="25" spans="1:30" ht="11.25" customHeight="1" x14ac:dyDescent="0.2">
      <c r="A25" s="60" t="s">
        <v>150</v>
      </c>
      <c r="B25" s="61" t="s">
        <v>64</v>
      </c>
      <c r="C25" s="62" t="s">
        <v>6</v>
      </c>
      <c r="D25" s="62" t="s">
        <v>8</v>
      </c>
      <c r="E25" s="62" t="s">
        <v>7</v>
      </c>
      <c r="F25" s="62" t="s">
        <v>27</v>
      </c>
      <c r="G25" s="62" t="str">
        <f t="shared" si="13"/>
        <v>UsdLibor1M</v>
      </c>
      <c r="H25" s="60" t="str">
        <f t="shared" si="14"/>
        <v>USDAM3L18M_Quote</v>
      </c>
      <c r="I25" s="145" t="str">
        <f t="shared" si="15"/>
        <v>USD3L1L18M_Quote</v>
      </c>
      <c r="J25" s="175" t="str">
        <f>IF(P21,_xll.qlSwapRateHelper2(,H25,,B25,JoinCalendar,D25,E25,F25,G25,I25,C25,Discounting,PillarDate,,Permanent,Trigger,ObjectOverwrite),"--")</f>
        <v>--</v>
      </c>
      <c r="K25" s="50"/>
      <c r="L25" s="162" t="str">
        <f t="shared" si="10"/>
        <v>BasSw</v>
      </c>
      <c r="M25" s="183" t="str">
        <f t="shared" si="11"/>
        <v>USDAM3L4Y_Quote</v>
      </c>
      <c r="N25" s="164">
        <f>IFERROR(_xll.qlQuoteValue(H29,Trigger),"--")</f>
        <v>1.099E-2</v>
      </c>
      <c r="O25" s="164">
        <f>IFERROR(_xll.qlQuoteValue(I29,Trigger),"--")</f>
        <v>1.8800000000000002E-3</v>
      </c>
      <c r="P25" s="101" t="b">
        <v>1</v>
      </c>
      <c r="Q25" s="98">
        <v>20</v>
      </c>
      <c r="R25" s="98">
        <v>1</v>
      </c>
      <c r="S25" s="98" t="str">
        <f t="shared" si="12"/>
        <v>obj_002e2#0003</v>
      </c>
      <c r="T25" s="102">
        <f>IFERROR(_xll.qlRateHelperEarliestDate(S25,Trigger),"--")</f>
        <v>42643</v>
      </c>
      <c r="U25" s="102">
        <f>IFERROR(_xll.qlRateHelperPillarDate(S25,Trigger),"--")</f>
        <v>44104</v>
      </c>
      <c r="W25" s="3" t="str">
        <f t="shared" si="1"/>
        <v/>
      </c>
      <c r="X25" s="3" t="e">
        <v>#N/A</v>
      </c>
      <c r="Y25" s="3" t="str">
        <f>IFERROR(_xll.qlRateHelperQuoteName(X25,Trigger),"")</f>
        <v/>
      </c>
      <c r="Z25" s="70" t="str">
        <f>IFERROR(_xll.qlRateHelperRate(X25,Trigger),"")</f>
        <v/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6" t="e">
        <v>#N/A</v>
      </c>
    </row>
    <row r="26" spans="1:30" ht="11.25" customHeight="1" x14ac:dyDescent="0.2">
      <c r="A26" s="60" t="s">
        <v>150</v>
      </c>
      <c r="B26" s="61" t="s">
        <v>67</v>
      </c>
      <c r="C26" s="62" t="s">
        <v>6</v>
      </c>
      <c r="D26" s="62" t="s">
        <v>8</v>
      </c>
      <c r="E26" s="62" t="s">
        <v>7</v>
      </c>
      <c r="F26" s="62" t="s">
        <v>27</v>
      </c>
      <c r="G26" s="62" t="str">
        <f t="shared" si="13"/>
        <v>UsdLibor1M</v>
      </c>
      <c r="H26" s="60" t="str">
        <f t="shared" si="14"/>
        <v>USDAM3L21M_Quote</v>
      </c>
      <c r="I26" s="145" t="str">
        <f t="shared" si="15"/>
        <v>USD3L1L21M_Quote</v>
      </c>
      <c r="J26" s="175" t="str">
        <f>IF(P22,_xll.qlSwapRateHelper2(,H26,,B26,JoinCalendar,D26,E26,F26,G26,I26,C26,Discounting,PillarDate,,Permanent,Trigger,ObjectOverwrite),"--")</f>
        <v>--</v>
      </c>
      <c r="K26" s="50"/>
      <c r="L26" s="162" t="str">
        <f t="shared" si="10"/>
        <v>BasSw</v>
      </c>
      <c r="M26" s="183" t="str">
        <f t="shared" si="11"/>
        <v>USDAM3L5Y_Quote</v>
      </c>
      <c r="N26" s="164">
        <f>IFERROR(_xll.qlQuoteValue(H30,Trigger),"--")</f>
        <v>1.1520000000000001E-2</v>
      </c>
      <c r="O26" s="164">
        <f>IFERROR(_xll.qlQuoteValue(I30,Trigger),"--")</f>
        <v>1.7699999999999999E-3</v>
      </c>
      <c r="P26" s="101" t="b">
        <v>1</v>
      </c>
      <c r="Q26" s="98">
        <v>20</v>
      </c>
      <c r="R26" s="98">
        <v>1</v>
      </c>
      <c r="S26" s="98" t="str">
        <f t="shared" si="12"/>
        <v>obj_002da#0003</v>
      </c>
      <c r="T26" s="102">
        <f>IFERROR(_xll.qlRateHelperEarliestDate(S26,Trigger),"--")</f>
        <v>42643</v>
      </c>
      <c r="U26" s="102">
        <f>IFERROR(_xll.qlRateHelperPillarDate(S26,Trigger),"--")</f>
        <v>44469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70" t="str">
        <f>IFERROR(_xll.qlRateHelperRate(X26,Trigger),"")</f>
        <v/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6" t="e">
        <v>#N/A</v>
      </c>
    </row>
    <row r="27" spans="1:30" ht="11.25" customHeight="1" x14ac:dyDescent="0.2">
      <c r="A27" s="60" t="s">
        <v>150</v>
      </c>
      <c r="B27" s="61" t="s">
        <v>70</v>
      </c>
      <c r="C27" s="62" t="s">
        <v>6</v>
      </c>
      <c r="D27" s="62" t="s">
        <v>8</v>
      </c>
      <c r="E27" s="62" t="s">
        <v>7</v>
      </c>
      <c r="F27" s="62" t="s">
        <v>27</v>
      </c>
      <c r="G27" s="62" t="str">
        <f t="shared" si="13"/>
        <v>UsdLibor1M</v>
      </c>
      <c r="H27" s="60" t="str">
        <f t="shared" si="14"/>
        <v>USDAM3L2Y_Quote</v>
      </c>
      <c r="I27" s="145" t="str">
        <f t="shared" si="15"/>
        <v>USD3L1L2Y_Quote</v>
      </c>
      <c r="J27" s="175" t="str">
        <f>IF(P23,_xll.qlSwapRateHelper2(,H27,,B27,JoinCalendar,D27,E27,F27,G27,I27,C27,Discounting,PillarDate,,Permanent,Trigger,ObjectOverwrite),"--")</f>
        <v>obj_002b1#0003</v>
      </c>
      <c r="K27" s="50"/>
      <c r="L27" s="162" t="str">
        <f t="shared" si="10"/>
        <v>BasSw</v>
      </c>
      <c r="M27" s="183" t="str">
        <f t="shared" si="11"/>
        <v>USDAM3L6Y_Quote</v>
      </c>
      <c r="N27" s="164">
        <f>IFERROR(_xll.qlQuoteValue(H31,Trigger),"--")</f>
        <v>1.208E-2</v>
      </c>
      <c r="O27" s="164">
        <f>IFERROR(_xll.qlQuoteValue(I31,Trigger),"--")</f>
        <v>1.6600000000000002E-3</v>
      </c>
      <c r="P27" s="101" t="b">
        <v>1</v>
      </c>
      <c r="Q27" s="98">
        <v>20</v>
      </c>
      <c r="R27" s="98">
        <v>1</v>
      </c>
      <c r="S27" s="98" t="str">
        <f t="shared" si="12"/>
        <v>obj_002af#0003</v>
      </c>
      <c r="T27" s="102">
        <f>IFERROR(_xll.qlRateHelperEarliestDate(S27,Trigger),"--")</f>
        <v>42643</v>
      </c>
      <c r="U27" s="102">
        <f>IFERROR(_xll.qlRateHelperPillarDate(S27,Trigger),"--")</f>
        <v>44834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70" t="str">
        <f>IFERROR(_xll.qlRateHelperRate(X27,Trigger),"")</f>
        <v/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6" t="e">
        <v>#N/A</v>
      </c>
    </row>
    <row r="28" spans="1:30" ht="11.25" customHeight="1" x14ac:dyDescent="0.2">
      <c r="A28" s="60" t="s">
        <v>150</v>
      </c>
      <c r="B28" s="61" t="s">
        <v>74</v>
      </c>
      <c r="C28" s="62" t="s">
        <v>6</v>
      </c>
      <c r="D28" s="62" t="s">
        <v>8</v>
      </c>
      <c r="E28" s="62" t="s">
        <v>7</v>
      </c>
      <c r="F28" s="62" t="s">
        <v>27</v>
      </c>
      <c r="G28" s="62" t="str">
        <f t="shared" si="13"/>
        <v>UsdLibor1M</v>
      </c>
      <c r="H28" s="60" t="str">
        <f t="shared" si="14"/>
        <v>USDAM3L3Y_Quote</v>
      </c>
      <c r="I28" s="145" t="str">
        <f t="shared" si="15"/>
        <v>USD3L1L3Y_Quote</v>
      </c>
      <c r="J28" s="175" t="str">
        <f>IF(P24,_xll.qlSwapRateHelper2(,H28,,B28,JoinCalendar,D28,E28,F28,G28,I28,C28,Discounting,PillarDate,,Permanent,Trigger,ObjectOverwrite),"--")</f>
        <v>obj_002b0#0003</v>
      </c>
      <c r="K28" s="50"/>
      <c r="L28" s="162" t="str">
        <f t="shared" si="10"/>
        <v>BasSw</v>
      </c>
      <c r="M28" s="183" t="str">
        <f t="shared" si="11"/>
        <v>USDAM3L7Y_Quote</v>
      </c>
      <c r="N28" s="164">
        <f>IFERROR(_xll.qlQuoteValue(H32,Trigger),"--")</f>
        <v>1.2629999999999999E-2</v>
      </c>
      <c r="O28" s="164">
        <f>IFERROR(_xll.qlQuoteValue(I32,Trigger),"--")</f>
        <v>1.5600000000000002E-3</v>
      </c>
      <c r="P28" s="101" t="b">
        <v>1</v>
      </c>
      <c r="Q28" s="98">
        <v>20</v>
      </c>
      <c r="R28" s="98">
        <v>1</v>
      </c>
      <c r="S28" s="98" t="str">
        <f t="shared" si="12"/>
        <v>obj_002a3#0003</v>
      </c>
      <c r="T28" s="102">
        <f>IFERROR(_xll.qlRateHelperEarliestDate(S28,Trigger),"--")</f>
        <v>42643</v>
      </c>
      <c r="U28" s="102">
        <f>IFERROR(_xll.qlRateHelperPillarDate(S28,Trigger),"--")</f>
        <v>45198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70" t="str">
        <f>IFERROR(_xll.qlRateHelperRate(X28,Trigger),"")</f>
        <v/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6" t="e">
        <v>#N/A</v>
      </c>
    </row>
    <row r="29" spans="1:30" ht="11.25" customHeight="1" x14ac:dyDescent="0.2">
      <c r="A29" s="60" t="s">
        <v>150</v>
      </c>
      <c r="B29" s="61" t="s">
        <v>78</v>
      </c>
      <c r="C29" s="62" t="s">
        <v>6</v>
      </c>
      <c r="D29" s="62" t="s">
        <v>8</v>
      </c>
      <c r="E29" s="62" t="s">
        <v>7</v>
      </c>
      <c r="F29" s="62" t="s">
        <v>27</v>
      </c>
      <c r="G29" s="62" t="str">
        <f t="shared" si="13"/>
        <v>UsdLibor1M</v>
      </c>
      <c r="H29" s="60" t="str">
        <f t="shared" si="14"/>
        <v>USDAM3L4Y_Quote</v>
      </c>
      <c r="I29" s="145" t="str">
        <f t="shared" si="15"/>
        <v>USD3L1L4Y_Quote</v>
      </c>
      <c r="J29" s="175" t="str">
        <f>IF(P25,_xll.qlSwapRateHelper2(,H29,,B29,JoinCalendar,D29,E29,F29,G29,I29,C29,Discounting,PillarDate,,Permanent,Trigger,ObjectOverwrite),"--")</f>
        <v>obj_002e2#0003</v>
      </c>
      <c r="K29" s="50"/>
      <c r="L29" s="162" t="str">
        <f t="shared" si="10"/>
        <v>BasSw</v>
      </c>
      <c r="M29" s="183" t="str">
        <f t="shared" si="11"/>
        <v>USDAM3L8Y_Quote</v>
      </c>
      <c r="N29" s="164">
        <f>IFERROR(_xll.qlQuoteValue(H33,Trigger),"--")</f>
        <v>1.315E-2</v>
      </c>
      <c r="O29" s="164">
        <f>IFERROR(_xll.qlQuoteValue(I33,Trigger),"--")</f>
        <v>1.4700000000000002E-3</v>
      </c>
      <c r="P29" s="101" t="b">
        <v>1</v>
      </c>
      <c r="Q29" s="98">
        <v>20</v>
      </c>
      <c r="R29" s="98">
        <v>1</v>
      </c>
      <c r="S29" s="98" t="str">
        <f t="shared" si="12"/>
        <v>obj_002cf#0003</v>
      </c>
      <c r="T29" s="102">
        <f>IFERROR(_xll.qlRateHelperEarliestDate(S29,Trigger),"--")</f>
        <v>42643</v>
      </c>
      <c r="U29" s="102">
        <f>IFERROR(_xll.qlRateHelperPillarDate(S29,Trigger),"--")</f>
        <v>45565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70" t="str">
        <f>IFERROR(_xll.qlRateHelperRate(X29,Trigger),"")</f>
        <v/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6" t="e">
        <v>#N/A</v>
      </c>
    </row>
    <row r="30" spans="1:30" ht="11.25" customHeight="1" x14ac:dyDescent="0.2">
      <c r="A30" s="60" t="s">
        <v>150</v>
      </c>
      <c r="B30" s="61" t="s">
        <v>82</v>
      </c>
      <c r="C30" s="62" t="s">
        <v>6</v>
      </c>
      <c r="D30" s="62" t="s">
        <v>8</v>
      </c>
      <c r="E30" s="62" t="s">
        <v>7</v>
      </c>
      <c r="F30" s="62" t="s">
        <v>27</v>
      </c>
      <c r="G30" s="62" t="str">
        <f t="shared" si="13"/>
        <v>UsdLibor1M</v>
      </c>
      <c r="H30" s="60" t="str">
        <f t="shared" si="14"/>
        <v>USDAM3L5Y_Quote</v>
      </c>
      <c r="I30" s="145" t="str">
        <f t="shared" si="15"/>
        <v>USD3L1L5Y_Quote</v>
      </c>
      <c r="J30" s="175" t="str">
        <f>IF(P26,_xll.qlSwapRateHelper2(,H30,,B30,JoinCalendar,D30,E30,F30,G30,I30,C30,Discounting,PillarDate,,Permanent,Trigger,ObjectOverwrite),"--")</f>
        <v>obj_002da#0003</v>
      </c>
      <c r="K30" s="50"/>
      <c r="L30" s="162" t="str">
        <f t="shared" si="10"/>
        <v>BasSw</v>
      </c>
      <c r="M30" s="183" t="str">
        <f t="shared" si="11"/>
        <v>USDAM3L9Y_Quote</v>
      </c>
      <c r="N30" s="164">
        <f>IFERROR(_xll.qlQuoteValue(H34,Trigger),"--")</f>
        <v>1.3640000000000001E-2</v>
      </c>
      <c r="O30" s="164">
        <f>IFERROR(_xll.qlQuoteValue(I34,Trigger),"--")</f>
        <v>1.4E-3</v>
      </c>
      <c r="P30" s="101" t="b">
        <v>1</v>
      </c>
      <c r="Q30" s="98">
        <v>20</v>
      </c>
      <c r="R30" s="98">
        <v>1</v>
      </c>
      <c r="S30" s="98" t="str">
        <f t="shared" si="12"/>
        <v>obj_002ad#0003</v>
      </c>
      <c r="T30" s="102">
        <f>IFERROR(_xll.qlRateHelperEarliestDate(S30,Trigger),"--")</f>
        <v>42643</v>
      </c>
      <c r="U30" s="102">
        <f>IFERROR(_xll.qlRateHelperPillarDate(S30,Trigger),"--")</f>
        <v>45930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150</v>
      </c>
      <c r="B31" s="61" t="s">
        <v>83</v>
      </c>
      <c r="C31" s="62" t="s">
        <v>6</v>
      </c>
      <c r="D31" s="62" t="s">
        <v>8</v>
      </c>
      <c r="E31" s="62" t="s">
        <v>7</v>
      </c>
      <c r="F31" s="62" t="s">
        <v>27</v>
      </c>
      <c r="G31" s="62" t="str">
        <f t="shared" si="13"/>
        <v>UsdLibor1M</v>
      </c>
      <c r="H31" s="60" t="str">
        <f t="shared" si="14"/>
        <v>USDAM3L6Y_Quote</v>
      </c>
      <c r="I31" s="145" t="str">
        <f t="shared" si="15"/>
        <v>USD3L1L6Y_Quote</v>
      </c>
      <c r="J31" s="175" t="str">
        <f>IF(P27,_xll.qlSwapRateHelper2(,H31,,B31,JoinCalendar,D31,E31,F31,G31,I31,C31,Discounting,PillarDate,,Permanent,Trigger,ObjectOverwrite),"--")</f>
        <v>obj_002af#0003</v>
      </c>
      <c r="K31" s="50"/>
      <c r="L31" s="162" t="str">
        <f t="shared" si="10"/>
        <v>BasSw</v>
      </c>
      <c r="M31" s="183" t="str">
        <f t="shared" si="11"/>
        <v>USDAM3L10Y_Quote</v>
      </c>
      <c r="N31" s="164">
        <f>IFERROR(_xll.qlQuoteValue(H35,Trigger),"--")</f>
        <v>1.4100000000000001E-2</v>
      </c>
      <c r="O31" s="164">
        <f>IFERROR(_xll.qlQuoteValue(I35,Trigger),"--")</f>
        <v>1.34E-3</v>
      </c>
      <c r="P31" s="101" t="b">
        <v>1</v>
      </c>
      <c r="Q31" s="98">
        <v>40</v>
      </c>
      <c r="R31" s="98">
        <v>1</v>
      </c>
      <c r="S31" s="98" t="str">
        <f t="shared" si="12"/>
        <v>obj_0029a#0003</v>
      </c>
      <c r="T31" s="102">
        <f>IFERROR(_xll.qlRateHelperEarliestDate(S31,Trigger),"--")</f>
        <v>42643</v>
      </c>
      <c r="U31" s="102">
        <f>IFERROR(_xll.qlRateHelperPillarDate(S31,Trigger),"--")</f>
        <v>46295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150</v>
      </c>
      <c r="B32" s="61" t="s">
        <v>84</v>
      </c>
      <c r="C32" s="62" t="s">
        <v>6</v>
      </c>
      <c r="D32" s="62" t="s">
        <v>8</v>
      </c>
      <c r="E32" s="62" t="s">
        <v>7</v>
      </c>
      <c r="F32" s="62" t="s">
        <v>27</v>
      </c>
      <c r="G32" s="62" t="str">
        <f t="shared" si="13"/>
        <v>UsdLibor1M</v>
      </c>
      <c r="H32" s="60" t="str">
        <f t="shared" si="14"/>
        <v>USDAM3L7Y_Quote</v>
      </c>
      <c r="I32" s="145" t="str">
        <f t="shared" si="15"/>
        <v>USD3L1L7Y_Quote</v>
      </c>
      <c r="J32" s="175" t="str">
        <f>IF(P28,_xll.qlSwapRateHelper2(,H32,,B32,JoinCalendar,D32,E32,F32,G32,I32,C32,Discounting,PillarDate,,Permanent,Trigger,ObjectOverwrite),"--")</f>
        <v>obj_002a3#0003</v>
      </c>
      <c r="K32" s="50"/>
      <c r="L32" s="162" t="str">
        <f t="shared" si="10"/>
        <v>BasSw</v>
      </c>
      <c r="M32" s="183" t="str">
        <f t="shared" si="11"/>
        <v>USDAM3L11Y_Quote</v>
      </c>
      <c r="N32" s="164" t="str">
        <f>IFERROR(_xll.qlQuoteValue(H36,Trigger),"--")</f>
        <v>--</v>
      </c>
      <c r="O32" s="164">
        <f>IFERROR(_xll.qlQuoteValue(I36,Trigger),"--")</f>
        <v>1.2872144710585846E-3</v>
      </c>
      <c r="P32" s="101" t="b">
        <v>0</v>
      </c>
      <c r="Q32" s="98">
        <v>40</v>
      </c>
      <c r="R32" s="98">
        <v>1</v>
      </c>
      <c r="S32" s="98" t="str">
        <f t="shared" si="12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150</v>
      </c>
      <c r="B33" s="61" t="s">
        <v>85</v>
      </c>
      <c r="C33" s="62" t="s">
        <v>6</v>
      </c>
      <c r="D33" s="62" t="s">
        <v>8</v>
      </c>
      <c r="E33" s="62" t="s">
        <v>7</v>
      </c>
      <c r="F33" s="62" t="s">
        <v>27</v>
      </c>
      <c r="G33" s="62" t="str">
        <f t="shared" si="13"/>
        <v>UsdLibor1M</v>
      </c>
      <c r="H33" s="60" t="str">
        <f t="shared" si="14"/>
        <v>USDAM3L8Y_Quote</v>
      </c>
      <c r="I33" s="145" t="str">
        <f t="shared" si="15"/>
        <v>USD3L1L8Y_Quote</v>
      </c>
      <c r="J33" s="175" t="str">
        <f>IF(P29,_xll.qlSwapRateHelper2(,H33,,B33,JoinCalendar,D33,E33,F33,G33,I33,C33,Discounting,PillarDate,,Permanent,Trigger,ObjectOverwrite),"--")</f>
        <v>obj_002cf#0003</v>
      </c>
      <c r="K33" s="50"/>
      <c r="L33" s="162" t="str">
        <f t="shared" si="10"/>
        <v>BasSw</v>
      </c>
      <c r="M33" s="183" t="str">
        <f t="shared" si="11"/>
        <v>USDAM3L12Y_Quote</v>
      </c>
      <c r="N33" s="164">
        <f>IFERROR(_xll.qlQuoteValue(H37,Trigger),"--")</f>
        <v>1.489E-2</v>
      </c>
      <c r="O33" s="164">
        <f>IFERROR(_xll.qlQuoteValue(I37,Trigger),"--")</f>
        <v>1.24E-3</v>
      </c>
      <c r="P33" s="101" t="b">
        <v>1</v>
      </c>
      <c r="Q33" s="98">
        <v>40</v>
      </c>
      <c r="R33" s="98">
        <v>1</v>
      </c>
      <c r="S33" s="98" t="str">
        <f t="shared" si="12"/>
        <v>obj_002a5#0003</v>
      </c>
      <c r="T33" s="102">
        <f>IFERROR(_xll.qlRateHelperEarliestDate(S33,Trigger),"--")</f>
        <v>42643</v>
      </c>
      <c r="U33" s="102">
        <f>IFERROR(_xll.qlRateHelperPillarDate(S33,Trigger),"--")</f>
        <v>47025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150</v>
      </c>
      <c r="B34" s="61" t="s">
        <v>86</v>
      </c>
      <c r="C34" s="62" t="s">
        <v>6</v>
      </c>
      <c r="D34" s="62" t="s">
        <v>8</v>
      </c>
      <c r="E34" s="62" t="s">
        <v>7</v>
      </c>
      <c r="F34" s="62" t="s">
        <v>27</v>
      </c>
      <c r="G34" s="62" t="str">
        <f t="shared" si="13"/>
        <v>UsdLibor1M</v>
      </c>
      <c r="H34" s="60" t="str">
        <f t="shared" si="14"/>
        <v>USDAM3L9Y_Quote</v>
      </c>
      <c r="I34" s="145" t="str">
        <f t="shared" si="15"/>
        <v>USD3L1L9Y_Quote</v>
      </c>
      <c r="J34" s="175" t="str">
        <f>IF(P30,_xll.qlSwapRateHelper2(,H34,,B34,JoinCalendar,D34,E34,F34,G34,I34,C34,Discounting,PillarDate,,Permanent,Trigger,ObjectOverwrite),"--")</f>
        <v>obj_002ad#0003</v>
      </c>
      <c r="K34" s="50"/>
      <c r="L34" s="162" t="str">
        <f t="shared" si="10"/>
        <v>BasSw</v>
      </c>
      <c r="M34" s="183" t="str">
        <f t="shared" si="11"/>
        <v>USDAM3L13Y_Quote</v>
      </c>
      <c r="N34" s="164" t="str">
        <f>IFERROR(_xll.qlQuoteValue(H38,Trigger),"--")</f>
        <v>--</v>
      </c>
      <c r="O34" s="164">
        <f>IFERROR(_xll.qlQuoteValue(I38,Trigger),"--")</f>
        <v>1.1972027003766714E-3</v>
      </c>
      <c r="P34" s="101" t="b">
        <v>0</v>
      </c>
      <c r="Q34" s="98">
        <v>40</v>
      </c>
      <c r="R34" s="98">
        <v>1</v>
      </c>
      <c r="S34" s="98" t="str">
        <f t="shared" si="12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150</v>
      </c>
      <c r="B35" s="61" t="s">
        <v>87</v>
      </c>
      <c r="C35" s="62" t="s">
        <v>6</v>
      </c>
      <c r="D35" s="62" t="s">
        <v>8</v>
      </c>
      <c r="E35" s="62" t="s">
        <v>7</v>
      </c>
      <c r="F35" s="62" t="s">
        <v>27</v>
      </c>
      <c r="G35" s="62" t="str">
        <f t="shared" si="13"/>
        <v>UsdLibor1M</v>
      </c>
      <c r="H35" s="60" t="str">
        <f t="shared" si="14"/>
        <v>USDAM3L10Y_Quote</v>
      </c>
      <c r="I35" s="145" t="str">
        <f t="shared" si="15"/>
        <v>USD3L1L10Y_Quote</v>
      </c>
      <c r="J35" s="175" t="str">
        <f>IF(P31,_xll.qlSwapRateHelper2(,H35,,B35,JoinCalendar,D35,E35,F35,G35,I35,C35,Discounting,PillarDate,,Permanent,Trigger,ObjectOverwrite),"--")</f>
        <v>obj_0029a#0003</v>
      </c>
      <c r="K35" s="50"/>
      <c r="L35" s="162" t="str">
        <f t="shared" si="10"/>
        <v>BasSw</v>
      </c>
      <c r="M35" s="183" t="str">
        <f t="shared" si="11"/>
        <v>USDAM3L14Y_Quote</v>
      </c>
      <c r="N35" s="164" t="str">
        <f>IFERROR(_xll.qlQuoteValue(H39,Trigger),"--")</f>
        <v>--</v>
      </c>
      <c r="O35" s="164">
        <f>IFERROR(_xll.qlQuoteValue(I39,Trigger),"--")</f>
        <v>1.1623171399420867E-3</v>
      </c>
      <c r="P35" s="101" t="b">
        <v>0</v>
      </c>
      <c r="Q35" s="98">
        <v>40</v>
      </c>
      <c r="R35" s="98">
        <v>1</v>
      </c>
      <c r="S35" s="98" t="str">
        <f t="shared" si="12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55" si="16">IFERROR(INDEX($L$3:$L$55,MATCH(Y35,$M$3:$M$55,0),1),"")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150</v>
      </c>
      <c r="B36" s="61" t="s">
        <v>127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3"/>
        <v>UsdLibor1M</v>
      </c>
      <c r="H36" s="60" t="str">
        <f t="shared" si="14"/>
        <v>USDAM3L11Y_Quote</v>
      </c>
      <c r="I36" s="145" t="str">
        <f t="shared" si="15"/>
        <v>USD3L1L11Y_Quote</v>
      </c>
      <c r="J36" s="175" t="str">
        <f>IF(P32,_xll.qlSwapRateHelper2(,H36,,B36,JoinCalendar,D36,E36,F36,G36,I36,C36,Discounting,PillarDate,,Permanent,Trigger,ObjectOverwrite),"--")</f>
        <v>--</v>
      </c>
      <c r="K36" s="50"/>
      <c r="L36" s="162" t="str">
        <f t="shared" si="10"/>
        <v>BasSw</v>
      </c>
      <c r="M36" s="183" t="str">
        <f t="shared" si="11"/>
        <v>USDAM3L15Y_Quote</v>
      </c>
      <c r="N36" s="164">
        <f>IFERROR(_xll.qlQuoteValue(H40,Trigger),"--")</f>
        <v>1.575E-2</v>
      </c>
      <c r="O36" s="164">
        <f>IFERROR(_xll.qlQuoteValue(I40,Trigger),"--")</f>
        <v>1.14E-3</v>
      </c>
      <c r="P36" s="101" t="b">
        <v>1</v>
      </c>
      <c r="Q36" s="98">
        <v>40</v>
      </c>
      <c r="R36" s="98">
        <v>1</v>
      </c>
      <c r="S36" s="98" t="str">
        <f t="shared" si="12"/>
        <v>obj_002b3#0003</v>
      </c>
      <c r="T36" s="102">
        <f>IFERROR(_xll.qlRateHelperEarliestDate(S36,Trigger),"--")</f>
        <v>42643</v>
      </c>
      <c r="U36" s="102">
        <f>IFERROR(_xll.qlRateHelperPillarDate(S36,Trigger),"--")</f>
        <v>48121</v>
      </c>
      <c r="W36" s="3" t="str">
        <f t="shared" si="16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150</v>
      </c>
      <c r="B37" s="61" t="s">
        <v>88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3"/>
        <v>UsdLibor1M</v>
      </c>
      <c r="H37" s="60" t="str">
        <f t="shared" si="14"/>
        <v>USDAM3L12Y_Quote</v>
      </c>
      <c r="I37" s="145" t="str">
        <f t="shared" si="15"/>
        <v>USD3L1L12Y_Quote</v>
      </c>
      <c r="J37" s="175" t="str">
        <f>IF(P33,_xll.qlSwapRateHelper2(,H37,,B37,JoinCalendar,D37,E37,F37,G37,I37,C37,Discounting,PillarDate,,Permanent,Trigger,ObjectOverwrite),"--")</f>
        <v>obj_002a5#0003</v>
      </c>
      <c r="K37" s="50"/>
      <c r="L37" s="162" t="str">
        <f t="shared" si="10"/>
        <v>BasSw</v>
      </c>
      <c r="M37" s="183" t="str">
        <f t="shared" si="11"/>
        <v>USDAM3L16Y_Quote</v>
      </c>
      <c r="N37" s="164" t="str">
        <f>IFERROR(_xll.qlQuoteValue(H41,Trigger),"--")</f>
        <v>--</v>
      </c>
      <c r="O37" s="164">
        <f>IFERROR(_xll.qlQuoteValue(I41,Trigger),"--")</f>
        <v>1.133548566227698E-3</v>
      </c>
      <c r="P37" s="101" t="b">
        <v>0</v>
      </c>
      <c r="Q37" s="98">
        <v>40</v>
      </c>
      <c r="R37" s="98">
        <v>1</v>
      </c>
      <c r="S37" s="98" t="str">
        <f t="shared" si="12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6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150</v>
      </c>
      <c r="B38" s="61" t="s">
        <v>128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3"/>
        <v>UsdLibor1M</v>
      </c>
      <c r="H38" s="60" t="str">
        <f t="shared" si="14"/>
        <v>USDAM3L13Y_Quote</v>
      </c>
      <c r="I38" s="145" t="str">
        <f t="shared" si="15"/>
        <v>USD3L1L13Y_Quote</v>
      </c>
      <c r="J38" s="175" t="str">
        <f>IF(P34,_xll.qlSwapRateHelper2(,H38,,B38,JoinCalendar,D38,E38,F38,G38,I38,C38,Discounting,PillarDate,,Permanent,Trigger,ObjectOverwrite),"--")</f>
        <v>--</v>
      </c>
      <c r="K38" s="50"/>
      <c r="L38" s="162" t="str">
        <f t="shared" si="10"/>
        <v>BasSw</v>
      </c>
      <c r="M38" s="183" t="str">
        <f t="shared" si="11"/>
        <v>USDAM3L17Y_Quote</v>
      </c>
      <c r="N38" s="164" t="str">
        <f>IFERROR(_xll.qlQuoteValue(H42,Trigger),"--")</f>
        <v>--</v>
      </c>
      <c r="O38" s="164">
        <f>IFERROR(_xll.qlQuoteValue(I42,Trigger),"--")</f>
        <v>1.1408225417965977E-3</v>
      </c>
      <c r="P38" s="101" t="b">
        <v>0</v>
      </c>
      <c r="Q38" s="98">
        <v>40</v>
      </c>
      <c r="R38" s="98">
        <v>1</v>
      </c>
      <c r="S38" s="98" t="str">
        <f t="shared" si="12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6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150</v>
      </c>
      <c r="B39" s="61" t="s">
        <v>129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3"/>
        <v>UsdLibor1M</v>
      </c>
      <c r="H39" s="60" t="str">
        <f t="shared" si="14"/>
        <v>USDAM3L14Y_Quote</v>
      </c>
      <c r="I39" s="145" t="str">
        <f t="shared" si="15"/>
        <v>USD3L1L14Y_Quote</v>
      </c>
      <c r="J39" s="175" t="str">
        <f>IF(P35,_xll.qlSwapRateHelper2(,H39,,B39,JoinCalendar,D39,E39,F39,G39,I39,C39,Discounting,PillarDate,,Permanent,Trigger,ObjectOverwrite),"--")</f>
        <v>--</v>
      </c>
      <c r="K39" s="50"/>
      <c r="L39" s="162" t="str">
        <f t="shared" si="10"/>
        <v>BasSw</v>
      </c>
      <c r="M39" s="183" t="str">
        <f t="shared" si="11"/>
        <v>USDAM3L18Y_Quote</v>
      </c>
      <c r="N39" s="164" t="str">
        <f>IFERROR(_xll.qlQuoteValue(H43,Trigger),"--")</f>
        <v>--</v>
      </c>
      <c r="O39" s="164">
        <f>IFERROR(_xll.qlQuoteValue(I43,Trigger),"--")</f>
        <v>1.1583222342516481E-3</v>
      </c>
      <c r="P39" s="101" t="b">
        <v>0</v>
      </c>
      <c r="Q39" s="98">
        <v>40</v>
      </c>
      <c r="R39" s="98">
        <v>1</v>
      </c>
      <c r="S39" s="98" t="str">
        <f t="shared" si="12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6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150</v>
      </c>
      <c r="B40" s="61" t="s">
        <v>89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3"/>
        <v>UsdLibor1M</v>
      </c>
      <c r="H40" s="60" t="str">
        <f t="shared" si="14"/>
        <v>USDAM3L15Y_Quote</v>
      </c>
      <c r="I40" s="145" t="str">
        <f t="shared" si="15"/>
        <v>USD3L1L15Y_Quote</v>
      </c>
      <c r="J40" s="175" t="str">
        <f>IF(P36,_xll.qlSwapRateHelper2(,H40,,B40,JoinCalendar,D40,E40,F40,G40,I40,C40,Discounting,PillarDate,,Permanent,Trigger,ObjectOverwrite),"--")</f>
        <v>obj_002b3#0003</v>
      </c>
      <c r="K40" s="50"/>
      <c r="L40" s="162" t="str">
        <f t="shared" si="10"/>
        <v>BasSw</v>
      </c>
      <c r="M40" s="183" t="str">
        <f t="shared" si="11"/>
        <v>USDAM3L19Y_Quote</v>
      </c>
      <c r="N40" s="164" t="str">
        <f>IFERROR(_xll.qlQuoteValue(H44,Trigger),"--")</f>
        <v>--</v>
      </c>
      <c r="O40" s="164">
        <f>IFERROR(_xll.qlQuoteValue(I44,Trigger),"--")</f>
        <v>1.1825479511377991E-3</v>
      </c>
      <c r="P40" s="101" t="b">
        <v>0</v>
      </c>
      <c r="Q40" s="98">
        <v>40</v>
      </c>
      <c r="R40" s="98">
        <v>1</v>
      </c>
      <c r="S40" s="98" t="str">
        <f t="shared" si="12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6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150</v>
      </c>
      <c r="B41" s="61" t="s">
        <v>130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3"/>
        <v>UsdLibor1M</v>
      </c>
      <c r="H41" s="60" t="str">
        <f t="shared" si="14"/>
        <v>USDAM3L16Y_Quote</v>
      </c>
      <c r="I41" s="145" t="str">
        <f t="shared" si="15"/>
        <v>USD3L1L16Y_Quote</v>
      </c>
      <c r="J41" s="175" t="str">
        <f>IF(P37,_xll.qlSwapRateHelper2(,H41,,B41,JoinCalendar,D41,E41,F41,G41,I41,C41,Discounting,PillarDate,,Permanent,Trigger,ObjectOverwrite),"--")</f>
        <v>--</v>
      </c>
      <c r="L41" s="162" t="str">
        <f t="shared" si="10"/>
        <v>BasSw</v>
      </c>
      <c r="M41" s="183" t="str">
        <f t="shared" si="11"/>
        <v>USDAM3L20Y_Quote</v>
      </c>
      <c r="N41" s="164">
        <f>IFERROR(_xll.qlQuoteValue(H45,Trigger),"--")</f>
        <v>1.6640000000000002E-2</v>
      </c>
      <c r="O41" s="164">
        <f>IFERROR(_xll.qlQuoteValue(I45,Trigger),"--")</f>
        <v>1.2100000000000001E-3</v>
      </c>
      <c r="P41" s="101" t="b">
        <v>1</v>
      </c>
      <c r="Q41" s="98">
        <v>40</v>
      </c>
      <c r="R41" s="98">
        <v>1</v>
      </c>
      <c r="S41" s="98" t="str">
        <f t="shared" si="12"/>
        <v>obj_002b7#0003</v>
      </c>
      <c r="T41" s="102">
        <f>IFERROR(_xll.qlRateHelperEarliestDate(S41,Trigger),"--")</f>
        <v>42643</v>
      </c>
      <c r="U41" s="102">
        <f>IFERROR(_xll.qlRateHelperPillarDate(S41,Trigger),"--")</f>
        <v>49948</v>
      </c>
      <c r="W41" s="3" t="str">
        <f t="shared" si="16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150</v>
      </c>
      <c r="B42" s="61" t="s">
        <v>131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3"/>
        <v>UsdLibor1M</v>
      </c>
      <c r="H42" s="60" t="str">
        <f t="shared" si="14"/>
        <v>USDAM3L17Y_Quote</v>
      </c>
      <c r="I42" s="145" t="str">
        <f t="shared" si="15"/>
        <v>USD3L1L17Y_Quote</v>
      </c>
      <c r="J42" s="175" t="str">
        <f>IF(P38,_xll.qlSwapRateHelper2(,H42,,B42,JoinCalendar,D42,E42,F42,G42,I42,C42,Discounting,PillarDate,,Permanent,Trigger,ObjectOverwrite),"--")</f>
        <v>--</v>
      </c>
      <c r="L42" s="162" t="str">
        <f t="shared" si="10"/>
        <v>BasSw</v>
      </c>
      <c r="M42" s="183" t="str">
        <f t="shared" si="11"/>
        <v>USDAM3L21Y_Quote</v>
      </c>
      <c r="N42" s="164" t="str">
        <f>IFERROR(_xll.qlQuoteValue(H46,Trigger),"--")</f>
        <v>--</v>
      </c>
      <c r="O42" s="164">
        <f>IFERROR(_xll.qlQuoteValue(I46,Trigger),"--")</f>
        <v>1.2377133604790007E-3</v>
      </c>
      <c r="P42" s="101" t="b">
        <v>0</v>
      </c>
      <c r="Q42" s="98">
        <v>40</v>
      </c>
      <c r="R42" s="98">
        <v>1</v>
      </c>
      <c r="S42" s="98" t="str">
        <f t="shared" si="12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16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150</v>
      </c>
      <c r="B43" s="61" t="s">
        <v>132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3"/>
        <v>UsdLibor1M</v>
      </c>
      <c r="H43" s="60" t="str">
        <f t="shared" si="14"/>
        <v>USDAM3L18Y_Quote</v>
      </c>
      <c r="I43" s="145" t="str">
        <f t="shared" si="15"/>
        <v>USD3L1L18Y_Quote</v>
      </c>
      <c r="J43" s="175" t="str">
        <f>IF(P39,_xll.qlSwapRateHelper2(,H43,,B43,JoinCalendar,D43,E43,F43,G43,I43,C43,Discounting,PillarDate,,Permanent,Trigger,ObjectOverwrite),"--")</f>
        <v>--</v>
      </c>
      <c r="L43" s="162" t="str">
        <f t="shared" si="10"/>
        <v>BasSw</v>
      </c>
      <c r="M43" s="183" t="str">
        <f t="shared" si="11"/>
        <v>USDAM3L22Y_Quote</v>
      </c>
      <c r="N43" s="164" t="str">
        <f>IFERROR(_xll.qlQuoteValue(H47,Trigger),"--")</f>
        <v>--</v>
      </c>
      <c r="O43" s="164">
        <f>IFERROR(_xll.qlQuoteValue(I47,Trigger),"--")</f>
        <v>1.2648617005987506E-3</v>
      </c>
      <c r="P43" s="101" t="b">
        <v>0</v>
      </c>
      <c r="Q43" s="98">
        <v>40</v>
      </c>
      <c r="R43" s="98">
        <v>1</v>
      </c>
      <c r="S43" s="98" t="str">
        <f t="shared" si="12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16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150</v>
      </c>
      <c r="B44" s="61" t="s">
        <v>133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3"/>
        <v>UsdLibor1M</v>
      </c>
      <c r="H44" s="60" t="str">
        <f t="shared" si="14"/>
        <v>USDAM3L19Y_Quote</v>
      </c>
      <c r="I44" s="145" t="str">
        <f t="shared" si="15"/>
        <v>USD3L1L19Y_Quote</v>
      </c>
      <c r="J44" s="175" t="str">
        <f>IF(P40,_xll.qlSwapRateHelper2(,H44,,B44,JoinCalendar,D44,E44,F44,G44,I44,C44,Discounting,PillarDate,,Permanent,Trigger,ObjectOverwrite),"--")</f>
        <v>--</v>
      </c>
      <c r="L44" s="162" t="str">
        <f t="shared" si="10"/>
        <v>BasSw</v>
      </c>
      <c r="M44" s="183" t="str">
        <f t="shared" si="11"/>
        <v>USDAM3L23Y_Quote</v>
      </c>
      <c r="N44" s="164" t="str">
        <f>IFERROR(_xll.qlQuoteValue(H48,Trigger),"--")</f>
        <v>--</v>
      </c>
      <c r="O44" s="164">
        <f>IFERROR(_xll.qlQuoteValue(I48,Trigger),"--")</f>
        <v>1.2911533604790008E-3</v>
      </c>
      <c r="P44" s="101" t="b">
        <v>0</v>
      </c>
      <c r="Q44" s="98">
        <v>40</v>
      </c>
      <c r="R44" s="98">
        <v>1</v>
      </c>
      <c r="S44" s="98" t="str">
        <f t="shared" si="12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16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150</v>
      </c>
      <c r="B45" s="61" t="s">
        <v>90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3"/>
        <v>UsdLibor1M</v>
      </c>
      <c r="H45" s="60" t="str">
        <f t="shared" si="14"/>
        <v>USDAM3L20Y_Quote</v>
      </c>
      <c r="I45" s="145" t="str">
        <f t="shared" si="15"/>
        <v>USD3L1L20Y_Quote</v>
      </c>
      <c r="J45" s="175" t="str">
        <f>IF(P41,_xll.qlSwapRateHelper2(,H45,,B45,JoinCalendar,D45,E45,F45,G45,I45,C45,Discounting,PillarDate,,Permanent,Trigger,ObjectOverwrite),"--")</f>
        <v>obj_002b7#0003</v>
      </c>
      <c r="L45" s="162" t="str">
        <f t="shared" si="10"/>
        <v>BasSw</v>
      </c>
      <c r="M45" s="183" t="str">
        <f t="shared" si="11"/>
        <v>USDAM3L24Y_Quote</v>
      </c>
      <c r="N45" s="164" t="str">
        <f>IFERROR(_xll.qlQuoteValue(H49,Trigger),"--")</f>
        <v>--</v>
      </c>
      <c r="O45" s="164">
        <f>IFERROR(_xll.qlQuoteValue(I49,Trigger),"--")</f>
        <v>1.3162966802395004E-3</v>
      </c>
      <c r="P45" s="101" t="b">
        <v>0</v>
      </c>
      <c r="Q45" s="98">
        <v>40</v>
      </c>
      <c r="R45" s="98">
        <v>1</v>
      </c>
      <c r="S45" s="98" t="str">
        <f t="shared" si="12"/>
        <v>--</v>
      </c>
      <c r="T45" s="102" t="str">
        <f>IFERROR(_xll.qlRateHelperEarliestDate(S45,Trigger),"--")</f>
        <v>--</v>
      </c>
      <c r="U45" s="102" t="str">
        <f>IFERROR(_xll.qlRateHelperPillarDate(S45,Trigger),"--")</f>
        <v>--</v>
      </c>
      <c r="W45" s="3" t="str">
        <f t="shared" si="16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150</v>
      </c>
      <c r="B46" s="61" t="s">
        <v>134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3"/>
        <v>UsdLibor1M</v>
      </c>
      <c r="H46" s="60" t="str">
        <f t="shared" si="14"/>
        <v>USDAM3L21Y_Quote</v>
      </c>
      <c r="I46" s="145" t="str">
        <f t="shared" si="15"/>
        <v>USD3L1L21Y_Quote</v>
      </c>
      <c r="J46" s="175" t="str">
        <f>IF(P42,_xll.qlSwapRateHelper2(,H46,,B46,JoinCalendar,D46,E46,F46,G46,I46,C46,Discounting,PillarDate,,Permanent,Trigger,ObjectOverwrite),"--")</f>
        <v>--</v>
      </c>
      <c r="L46" s="162" t="str">
        <f t="shared" si="10"/>
        <v>BasSw</v>
      </c>
      <c r="M46" s="183" t="str">
        <f t="shared" si="11"/>
        <v>USDAM3L25Y_Quote</v>
      </c>
      <c r="N46" s="164">
        <f>IFERROR(_xll.qlQuoteValue(H50,Trigger),"--")</f>
        <v>1.7059999999999999E-2</v>
      </c>
      <c r="O46" s="164">
        <f>IFERROR(_xll.qlQuoteValue(I50,Trigger),"--")</f>
        <v>1.34E-3</v>
      </c>
      <c r="P46" s="101" t="b">
        <v>1</v>
      </c>
      <c r="Q46" s="98">
        <v>40</v>
      </c>
      <c r="R46" s="98">
        <v>1</v>
      </c>
      <c r="S46" s="98" t="str">
        <f t="shared" si="12"/>
        <v>obj_002c5#0003</v>
      </c>
      <c r="T46" s="102">
        <f>IFERROR(_xll.qlRateHelperEarliestDate(S46,Trigger),"--")</f>
        <v>42643</v>
      </c>
      <c r="U46" s="102">
        <f>IFERROR(_xll.qlRateHelperPillarDate(S46,Trigger),"--")</f>
        <v>51774</v>
      </c>
      <c r="W46" s="3" t="str">
        <f t="shared" si="16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150</v>
      </c>
      <c r="B47" s="61" t="s">
        <v>135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3"/>
        <v>UsdLibor1M</v>
      </c>
      <c r="H47" s="60" t="str">
        <f t="shared" si="14"/>
        <v>USDAM3L22Y_Quote</v>
      </c>
      <c r="I47" s="145" t="str">
        <f t="shared" si="15"/>
        <v>USD3L1L22Y_Quote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0"/>
        <v>BasSw</v>
      </c>
      <c r="M47" s="183" t="str">
        <f t="shared" si="11"/>
        <v>USDAM3L26Y_Quote</v>
      </c>
      <c r="N47" s="164" t="str">
        <f>IFERROR(_xll.qlQuoteValue(H51,Trigger),"--")</f>
        <v>--</v>
      </c>
      <c r="O47" s="164">
        <f>IFERROR(_xll.qlQuoteValue(I51,Trigger),"--")</f>
        <v>1.3620779918562999E-3</v>
      </c>
      <c r="P47" s="101" t="b">
        <v>0</v>
      </c>
      <c r="Q47" s="98">
        <v>40</v>
      </c>
      <c r="R47" s="98">
        <v>1</v>
      </c>
      <c r="S47" s="98" t="str">
        <f t="shared" si="12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16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150</v>
      </c>
      <c r="B48" s="61" t="s">
        <v>136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3"/>
        <v>UsdLibor1M</v>
      </c>
      <c r="H48" s="60" t="str">
        <f t="shared" si="14"/>
        <v>USDAM3L23Y_Quote</v>
      </c>
      <c r="I48" s="145" t="str">
        <f t="shared" si="15"/>
        <v>USD3L1L23Y_Quote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0"/>
        <v>BasSw</v>
      </c>
      <c r="M48" s="183" t="str">
        <f t="shared" si="11"/>
        <v>USDAM3L27Y_Quote</v>
      </c>
      <c r="N48" s="164" t="str">
        <f>IFERROR(_xll.qlQuoteValue(H52,Trigger),"--")</f>
        <v>--</v>
      </c>
      <c r="O48" s="164">
        <f>IFERROR(_xll.qlQuoteValue(I52,Trigger),"--")</f>
        <v>1.3827706558083997E-3</v>
      </c>
      <c r="P48" s="101" t="b">
        <v>0</v>
      </c>
      <c r="Q48" s="98">
        <v>40</v>
      </c>
      <c r="R48" s="98">
        <v>1</v>
      </c>
      <c r="S48" s="98" t="str">
        <f t="shared" si="12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16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150</v>
      </c>
      <c r="B49" s="61" t="s">
        <v>137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3"/>
        <v>UsdLibor1M</v>
      </c>
      <c r="H49" s="60" t="str">
        <f t="shared" si="14"/>
        <v>USDAM3L24Y_Quote</v>
      </c>
      <c r="I49" s="145" t="str">
        <f t="shared" si="15"/>
        <v>USD3L1L24Y_Quote</v>
      </c>
      <c r="J49" s="175" t="str">
        <f>IF(P45,_xll.qlSwapRateHelper2(,H49,,B49,JoinCalendar,D49,E49,F49,G49,I49,C49,Discounting,PillarDate,,Permanent,Trigger,ObjectOverwrite),"--")</f>
        <v>--</v>
      </c>
      <c r="L49" s="162" t="str">
        <f t="shared" si="10"/>
        <v>BasSw</v>
      </c>
      <c r="M49" s="183" t="str">
        <f t="shared" si="11"/>
        <v>USDAM3L28Y_Quote</v>
      </c>
      <c r="N49" s="164" t="str">
        <f>IFERROR(_xll.qlQuoteValue(H53,Trigger),"--")</f>
        <v>--</v>
      </c>
      <c r="O49" s="164">
        <f>IFERROR(_xll.qlQuoteValue(I53,Trigger),"--")</f>
        <v>1.4024243238323498E-3</v>
      </c>
      <c r="P49" s="101" t="b">
        <v>0</v>
      </c>
      <c r="Q49" s="98">
        <v>40</v>
      </c>
      <c r="R49" s="98">
        <v>1</v>
      </c>
      <c r="S49" s="98" t="str">
        <f t="shared" si="12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16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150</v>
      </c>
      <c r="B50" s="61" t="s">
        <v>91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3"/>
        <v>UsdLibor1M</v>
      </c>
      <c r="H50" s="60" t="str">
        <f t="shared" si="14"/>
        <v>USDAM3L25Y_Quote</v>
      </c>
      <c r="I50" s="145" t="str">
        <f t="shared" si="15"/>
        <v>USD3L1L25Y_Quote</v>
      </c>
      <c r="J50" s="175" t="str">
        <f>IF(P46,_xll.qlSwapRateHelper2(,H50,,B50,JoinCalendar,D50,E50,F50,G50,I50,C50,Discounting,PillarDate,,Permanent,Trigger,ObjectOverwrite),"--")</f>
        <v>obj_002c5#0003</v>
      </c>
      <c r="L50" s="162" t="str">
        <f t="shared" si="10"/>
        <v>BasSw</v>
      </c>
      <c r="M50" s="183" t="str">
        <f t="shared" si="11"/>
        <v>USDAM3L29Y_Quote</v>
      </c>
      <c r="N50" s="164" t="str">
        <f>IFERROR(_xll.qlQuoteValue(H54,Trigger),"--")</f>
        <v>--</v>
      </c>
      <c r="O50" s="164">
        <f>IFERROR(_xll.qlQuoteValue(I54,Trigger),"--")</f>
        <v>1.4213853279041999E-3</v>
      </c>
      <c r="P50" s="101" t="b">
        <v>0</v>
      </c>
      <c r="Q50" s="98">
        <v>40</v>
      </c>
      <c r="R50" s="98">
        <v>1</v>
      </c>
      <c r="S50" s="98" t="str">
        <f t="shared" si="12"/>
        <v>--</v>
      </c>
      <c r="T50" s="102" t="str">
        <f>IFERROR(_xll.qlRateHelperEarliestDate(S50,Trigger),"--")</f>
        <v>--</v>
      </c>
      <c r="U50" s="102" t="str">
        <f>IFERROR(_xll.qlRateHelperPillarDate(S50,Trigger),"--")</f>
        <v>--</v>
      </c>
      <c r="W50" s="3" t="str">
        <f t="shared" si="16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150</v>
      </c>
      <c r="B51" s="61" t="s">
        <v>138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3"/>
        <v>UsdLibor1M</v>
      </c>
      <c r="H51" s="60" t="str">
        <f t="shared" si="14"/>
        <v>USDAM3L26Y_Quote</v>
      </c>
      <c r="I51" s="145" t="str">
        <f t="shared" si="15"/>
        <v>USD3L1L26Y_Quote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0"/>
        <v>BasSw</v>
      </c>
      <c r="M51" s="183" t="str">
        <f t="shared" si="11"/>
        <v>USDAM3L30Y_Quote</v>
      </c>
      <c r="N51" s="164">
        <f>IFERROR(_xll.qlQuoteValue(H55,Trigger),"--")</f>
        <v>1.728E-2</v>
      </c>
      <c r="O51" s="164">
        <f>IFERROR(_xll.qlQuoteValue(I55,Trigger),"--")</f>
        <v>1.4400000000000001E-3</v>
      </c>
      <c r="P51" s="101" t="b">
        <v>1</v>
      </c>
      <c r="Q51" s="98">
        <v>40</v>
      </c>
      <c r="R51" s="98">
        <v>1</v>
      </c>
      <c r="S51" s="98" t="str">
        <f t="shared" si="12"/>
        <v>obj_002d8#0003</v>
      </c>
      <c r="T51" s="102">
        <f>IFERROR(_xll.qlRateHelperEarliestDate(S51,Trigger),"--")</f>
        <v>42643</v>
      </c>
      <c r="U51" s="102">
        <f>IFERROR(_xll.qlRateHelperPillarDate(S51,Trigger),"--")</f>
        <v>53598</v>
      </c>
      <c r="W51" s="3" t="str">
        <f t="shared" si="16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150</v>
      </c>
      <c r="B52" s="61" t="s">
        <v>92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3"/>
        <v>UsdLibor1M</v>
      </c>
      <c r="H52" s="60" t="str">
        <f t="shared" si="14"/>
        <v>USDAM3L27Y_Quote</v>
      </c>
      <c r="I52" s="145" t="str">
        <f t="shared" si="15"/>
        <v>USD3L1L27Y_Quote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0"/>
        <v>BasSw</v>
      </c>
      <c r="M52" s="183" t="str">
        <f t="shared" si="11"/>
        <v>USDAM3L35Y_Quote</v>
      </c>
      <c r="N52" s="164" t="str">
        <f>IFERROR(_xll.qlQuoteValue(H56,Trigger),"--")</f>
        <v>--</v>
      </c>
      <c r="O52" s="164">
        <f>IFERROR(_xll.qlQuoteValue(I56,Trigger),"--")</f>
        <v>1.4400000000000001E-3</v>
      </c>
      <c r="P52" s="101" t="b">
        <v>0</v>
      </c>
      <c r="Q52" s="98">
        <v>40</v>
      </c>
      <c r="R52" s="98">
        <v>1</v>
      </c>
      <c r="S52" s="98" t="str">
        <f t="shared" si="12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16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150</v>
      </c>
      <c r="B53" s="61" t="s">
        <v>139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3"/>
        <v>UsdLibor1M</v>
      </c>
      <c r="H53" s="60" t="str">
        <f t="shared" si="14"/>
        <v>USDAM3L28Y_Quote</v>
      </c>
      <c r="I53" s="145" t="str">
        <f t="shared" si="15"/>
        <v>USD3L1L28Y_Quote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0"/>
        <v>BasSw</v>
      </c>
      <c r="M53" s="183" t="str">
        <f t="shared" si="11"/>
        <v>USDAM3L40Y_Quote</v>
      </c>
      <c r="N53" s="164">
        <f>IFERROR(_xll.qlQuoteValue(H57,Trigger),"--")</f>
        <v>1.738E-2</v>
      </c>
      <c r="O53" s="164">
        <f>IFERROR(_xll.qlQuoteValue(I57,Trigger),"--")</f>
        <v>1.4400000000000001E-3</v>
      </c>
      <c r="P53" s="149" t="b">
        <f>NOT(ISERROR(_xll.qlQuoteValue(M53)))</f>
        <v>1</v>
      </c>
      <c r="Q53" s="98">
        <v>40</v>
      </c>
      <c r="R53" s="98">
        <v>1</v>
      </c>
      <c r="S53" s="98" t="str">
        <f t="shared" si="12"/>
        <v>obj_0029e#0003</v>
      </c>
      <c r="T53" s="102">
        <f>IFERROR(_xll.qlRateHelperEarliestDate(S53,Trigger),"--")</f>
        <v>42643</v>
      </c>
      <c r="U53" s="102">
        <f>IFERROR(_xll.qlRateHelperPillarDate(S53,Trigger),"--")</f>
        <v>57252</v>
      </c>
      <c r="W53" s="3" t="str">
        <f t="shared" si="16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150</v>
      </c>
      <c r="B54" s="61" t="s">
        <v>140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3"/>
        <v>UsdLibor1M</v>
      </c>
      <c r="H54" s="60" t="str">
        <f t="shared" si="14"/>
        <v>USDAM3L29Y_Quote</v>
      </c>
      <c r="I54" s="145" t="str">
        <f t="shared" si="15"/>
        <v>USD3L1L29Y_Quote</v>
      </c>
      <c r="J54" s="175" t="str">
        <f>IF(P50,_xll.qlSwapRateHelper2(,H54,,B54,JoinCalendar,D54,E54,F54,G54,I54,C54,Discounting,PillarDate,,Permanent,Trigger,ObjectOverwrite),"--")</f>
        <v>--</v>
      </c>
      <c r="L54" s="162" t="str">
        <f t="shared" si="10"/>
        <v>BasSw</v>
      </c>
      <c r="M54" s="183" t="str">
        <f t="shared" si="11"/>
        <v>USDAM3L50Y_Quote</v>
      </c>
      <c r="N54" s="164">
        <f>IFERROR(_xll.qlQuoteValue(H58,Trigger),"--")</f>
        <v>1.7330000000000002E-2</v>
      </c>
      <c r="O54" s="164">
        <f>IFERROR(_xll.qlQuoteValue(I58,Trigger),"--")</f>
        <v>1.4400000000000001E-3</v>
      </c>
      <c r="P54" s="149" t="b">
        <f>NOT(ISERROR(_xll.qlQuoteValue(M54)))</f>
        <v>1</v>
      </c>
      <c r="Q54" s="98">
        <v>40</v>
      </c>
      <c r="R54" s="98">
        <v>1</v>
      </c>
      <c r="S54" s="98" t="str">
        <f t="shared" si="12"/>
        <v>obj_002a9#0003</v>
      </c>
      <c r="T54" s="102">
        <f>IFERROR(_xll.qlRateHelperEarliestDate(S54,Trigger),"--")</f>
        <v>42643</v>
      </c>
      <c r="U54" s="102">
        <f>IFERROR(_xll.qlRateHelperPillarDate(S54,Trigger),"--")</f>
        <v>60905</v>
      </c>
      <c r="W54" s="3" t="str">
        <f t="shared" si="16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150</v>
      </c>
      <c r="B55" s="61" t="s">
        <v>93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3"/>
        <v>UsdLibor1M</v>
      </c>
      <c r="H55" s="60" t="str">
        <f t="shared" si="14"/>
        <v>USDAM3L30Y_Quote</v>
      </c>
      <c r="I55" s="145" t="str">
        <f t="shared" si="15"/>
        <v>USD3L1L30Y_Quote</v>
      </c>
      <c r="J55" s="175" t="str">
        <f>IF(P51,_xll.qlSwapRateHelper2(,H55,,B55,JoinCalendar,D55,E55,F55,G55,I55,C55,Discounting,PillarDate,,Permanent,Trigger,ObjectOverwrite),"--")</f>
        <v>obj_002d8#0003</v>
      </c>
      <c r="L55" s="168" t="str">
        <f t="shared" si="10"/>
        <v>BasSw</v>
      </c>
      <c r="M55" s="184" t="str">
        <f t="shared" si="11"/>
        <v>USDAM3L60Y_Quote</v>
      </c>
      <c r="N55" s="170" t="str">
        <f>IFERROR(_xll.qlQuoteValue(H59,Trigger),"--")</f>
        <v>--</v>
      </c>
      <c r="O55" s="170">
        <f>IFERROR(_xll.qlQuoteValue(I59,Trigger),"--")</f>
        <v>1.4400000000000001E-3</v>
      </c>
      <c r="P55" s="103" t="b">
        <v>0</v>
      </c>
      <c r="Q55" s="99">
        <v>40</v>
      </c>
      <c r="R55" s="99">
        <v>1</v>
      </c>
      <c r="S55" s="99" t="str">
        <f t="shared" si="12"/>
        <v>--</v>
      </c>
      <c r="T55" s="104" t="str">
        <f>IFERROR(_xll.qlRateHelperEarliestDate(S55,Trigger),"--")</f>
        <v>--</v>
      </c>
      <c r="U55" s="104" t="str">
        <f>IFERROR(_xll.qlRateHelperPillarDate(S55,Trigger),"--")</f>
        <v>--</v>
      </c>
      <c r="W55" s="5" t="str">
        <f t="shared" si="16"/>
        <v/>
      </c>
      <c r="X55" s="5" t="e">
        <v>#N/A</v>
      </c>
      <c r="Y55" s="5" t="str">
        <f>IFERROR(_xll.qlRateHelperQuoteName(X55,Trigger),"")</f>
        <v/>
      </c>
      <c r="Z55" s="78" t="str">
        <f>IFERROR(_xll.qlRateHelperRate(X55,Trigger),"")</f>
        <v/>
      </c>
      <c r="AA55" s="107" t="str">
        <f>IF(ISERROR(_xll.qlSwapRateHelperSpread($X55)),IF(ISERROR(_xll.qlFuturesRateHelperConvexityAdjustment($X55)),"",_xll.qlFuturesRateHelperConvexityAdjustment($X55)),_xll.qlSwapRateHelperSpread($X55))</f>
        <v/>
      </c>
      <c r="AB55" s="10" t="str">
        <f>IFERROR(_xll.qlRateHelperEarliestDate(X55,Trigger),"")</f>
        <v/>
      </c>
      <c r="AC55" s="10" t="str">
        <f>IFERROR(_xll.qlRateHelperPillarDate(X55,Trigger),"")</f>
        <v/>
      </c>
      <c r="AD55" s="77" t="e">
        <v>#N/A</v>
      </c>
    </row>
    <row r="56" spans="1:30" ht="11.25" customHeight="1" x14ac:dyDescent="0.2">
      <c r="A56" s="60" t="s">
        <v>150</v>
      </c>
      <c r="B56" s="61" t="s">
        <v>94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3"/>
        <v>UsdLibor1M</v>
      </c>
      <c r="H56" s="60" t="str">
        <f t="shared" si="14"/>
        <v>USDAM3L35Y_Quote</v>
      </c>
      <c r="I56" s="145" t="str">
        <f t="shared" si="15"/>
        <v>USD3L1L35Y_Quote</v>
      </c>
      <c r="J56" s="175" t="str">
        <f>IF(P52,_xll.qlSwapRateHelper2(,H56,,B56,JoinCalendar,D56,E56,F56,G56,I56,C56,Discounting,PillarDate,,Permanent,Trigger,ObjectOverwrite),"--")</f>
        <v>--</v>
      </c>
      <c r="Y56" s="192" t="str">
        <f>_xll.ohGroup(W1&amp;"_instruments",Y3:Y55,Permanent,Trigger,ObjectOverwrite)</f>
        <v>USD1M_instruments#0007</v>
      </c>
    </row>
    <row r="57" spans="1:30" ht="11.25" customHeight="1" x14ac:dyDescent="0.2">
      <c r="A57" s="60" t="s">
        <v>150</v>
      </c>
      <c r="B57" s="61" t="s">
        <v>95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3"/>
        <v>UsdLibor1M</v>
      </c>
      <c r="H57" s="60" t="str">
        <f t="shared" si="14"/>
        <v>USDAM3L40Y_Quote</v>
      </c>
      <c r="I57" s="145" t="str">
        <f t="shared" si="15"/>
        <v>USD3L1L40Y_Quote</v>
      </c>
      <c r="J57" s="179" t="str">
        <f>_xll.qlSwapRateHelper2(,H57,,B57,JoinCalendar,D57,E57,F57,G57,I57,C57,Discounting,PillarDate,,Permanent,Trigger,ObjectOverwrite)</f>
        <v>obj_0029e#0003</v>
      </c>
    </row>
    <row r="58" spans="1:30" ht="11.25" customHeight="1" x14ac:dyDescent="0.2">
      <c r="A58" s="60" t="s">
        <v>150</v>
      </c>
      <c r="B58" s="61" t="s">
        <v>97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3"/>
        <v>UsdLibor1M</v>
      </c>
      <c r="H58" s="60" t="str">
        <f t="shared" si="14"/>
        <v>USDAM3L50Y_Quote</v>
      </c>
      <c r="I58" s="145" t="str">
        <f t="shared" si="15"/>
        <v>USD3L1L50Y_Quote</v>
      </c>
      <c r="J58" s="179" t="str">
        <f>_xll.qlSwapRateHelper2(,H58,,B58,JoinCalendar,D58,E58,F58,G58,I58,C58,Discounting,PillarDate,,Permanent,Trigger,ObjectOverwrite)</f>
        <v>obj_002a9#0003</v>
      </c>
    </row>
    <row r="59" spans="1:30" ht="11.25" customHeight="1" x14ac:dyDescent="0.2">
      <c r="A59" s="1" t="s">
        <v>150</v>
      </c>
      <c r="B59" s="8" t="s">
        <v>141</v>
      </c>
      <c r="C59" s="6" t="s">
        <v>6</v>
      </c>
      <c r="D59" s="6" t="s">
        <v>8</v>
      </c>
      <c r="E59" s="6" t="s">
        <v>7</v>
      </c>
      <c r="F59" s="6" t="s">
        <v>27</v>
      </c>
      <c r="G59" s="6" t="str">
        <f t="shared" si="13"/>
        <v>UsdLibor1M</v>
      </c>
      <c r="H59" s="1" t="str">
        <f t="shared" si="14"/>
        <v>USDAM3L60Y_Quote</v>
      </c>
      <c r="I59" s="146" t="str">
        <f t="shared" si="15"/>
        <v>USD3L1L60Y_Quote</v>
      </c>
      <c r="J59" s="174" t="str">
        <f>IF(P55,_xll.qlSwapRateHelper2(,H59,,B59,JoinCalendar,D59,E59,F59,G59,I59,C59,Discounting,PillarDate,,Permanent,Trigger,ObjectOverwrite),"--")</f>
        <v>--</v>
      </c>
    </row>
    <row r="60" spans="1:30" ht="11.25" customHeight="1" x14ac:dyDescent="0.2"/>
    <row r="61" spans="1:30" ht="11.25" customHeight="1" x14ac:dyDescent="0.2"/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55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28</v>
      </c>
      <c r="H1" s="52" t="str">
        <f>"_SYNTH"&amp;Tenor</f>
        <v>_SYNTH1Y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USD1Y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78">_xll.qlPiecewiseYieldCurveData(YieldCurve_1Y,Trigger)</f>
        <v>1</v>
      </c>
      <c r="AF2" s="201" t="s">
        <v>113</v>
      </c>
      <c r="AG2" s="202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obj_0023b#0003</v>
      </c>
      <c r="H3" s="121" t="str">
        <f t="shared" ref="H3:H18" si="0">Currency&amp;$B3&amp;"D"&amp;$H$1&amp;QuoteSuffix</f>
        <v>USDSND_SYNTH1Y_Quote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USDSND_SYNTH1Y_Quote</v>
      </c>
      <c r="N3" s="182">
        <f>IFERROR(_xll.qlQuoteValue(H3,Trigger),"--")</f>
        <v>1.3735000000000001E-2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78">_xll.qlRateHelperSelection(_xll.ohFilter(RateHelpers,IncludeFlag),_xll.ohFilter(Priority,IncludeFlag),$AG$3,$AG$4,$AG$5,$AG$6,_xll.ohFilter(MinDistance,IncludeFlag),Trigger)</f>
        <v>obj_00293</v>
      </c>
      <c r="Y3" s="3" t="str">
        <f>IFERROR(_xll.qlRateHelperQuoteName(X3,Trigger),"")</f>
        <v>USD1MD_SYNTH1Y_Quote</v>
      </c>
      <c r="Z3" s="70">
        <f>IFERROR(_xll.qlRateHelperRate(X3,Trigger),"")</f>
        <v>1.3538E-2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42643</v>
      </c>
      <c r="AC3" s="4">
        <f>IFERROR(_xll.qlRateHelperPillarDate(X3,Trigger),"")</f>
        <v>42674</v>
      </c>
      <c r="AD3" s="76">
        <v>0.99883558522018323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Currency&amp;FamilyName&amp;B4</f>
        <v>USDLiborSW</v>
      </c>
      <c r="H4" s="144" t="str">
        <f t="shared" si="0"/>
        <v>USDSWD_SYNTH1Y_Quote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18" si="2">A4</f>
        <v>Dp</v>
      </c>
      <c r="M4" s="183" t="str">
        <f t="shared" ref="M4:M18" si="3">H4</f>
        <v>USDSWD_SYNTH1Y_Quote</v>
      </c>
      <c r="N4" s="164">
        <f>IFERROR(_xll.qlQuoteValue(H4,Trigger),"--")</f>
        <v>1.3684999999999999E-2</v>
      </c>
      <c r="O4" s="167"/>
      <c r="P4" s="101" t="b">
        <v>0</v>
      </c>
      <c r="Q4" s="98">
        <v>10</v>
      </c>
      <c r="R4" s="98">
        <v>1</v>
      </c>
      <c r="S4" s="98" t="str">
        <f t="shared" ref="S4:S18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obj_00281</v>
      </c>
      <c r="Y4" s="3" t="str">
        <f>IFERROR(_xll.qlRateHelperQuoteName(X4,Trigger),"")</f>
        <v>USD2MD_SYNTH1Y_Quote</v>
      </c>
      <c r="Z4" s="70">
        <f>IFERROR(_xll.qlRateHelperRate(X4,Trigger),"")</f>
        <v>1.3658999999999999E-2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42643</v>
      </c>
      <c r="AC4" s="4">
        <f>IFERROR(_xll.qlRateHelperPillarDate(X4,Trigger),"")</f>
        <v>42704</v>
      </c>
      <c r="AD4" s="76">
        <v>0.99769090260455784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obj_00244#0003</v>
      </c>
      <c r="H5" s="154" t="str">
        <f t="shared" si="0"/>
        <v>USD2WD_SYNTH1Y_Quote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USD2WD_SYNTH1Y_Quote</v>
      </c>
      <c r="N5" s="164">
        <f>IFERROR(_xll.qlQuoteValue(H5,Trigger),"--")</f>
        <v>1.3616E-2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obj_0026e</v>
      </c>
      <c r="Y5" s="3" t="str">
        <f>IFERROR(_xll.qlRateHelperQuoteName(X5,Trigger),"")</f>
        <v>USD3MD_SYNTH1Y_Quote</v>
      </c>
      <c r="Z5" s="70">
        <f>IFERROR(_xll.qlRateHelperRate(X5,Trigger),"")</f>
        <v>1.3939999999999999E-2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42643</v>
      </c>
      <c r="AC5" s="4">
        <f>IFERROR(_xll.qlRateHelperPillarDate(X5,Trigger),"")</f>
        <v>42734</v>
      </c>
      <c r="AD5" s="76">
        <v>0.99648865079699445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obj_0024a#0003</v>
      </c>
      <c r="H6" s="159" t="str">
        <f t="shared" si="0"/>
        <v>USD3WD_SYNTH1Y_Quote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USD3WD_SYNTH1Y_Quote</v>
      </c>
      <c r="N6" s="164">
        <f>IFERROR(_xll.qlQuoteValue(H6,Trigger),"--")</f>
        <v>1.3568E-2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obj_0027b</v>
      </c>
      <c r="Y6" s="3" t="str">
        <f>IFERROR(_xll.qlRateHelperQuoteName(X6,Trigger),"")</f>
        <v>USD4MD_SYNTH1Y_Quote</v>
      </c>
      <c r="Z6" s="70">
        <f>IFERROR(_xll.qlRateHelperRate(X6,Trigger),"")</f>
        <v>1.4215E-2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42643</v>
      </c>
      <c r="AC6" s="4">
        <f>IFERROR(_xll.qlRateHelperPillarDate(X6,Trigger),"")</f>
        <v>42766</v>
      </c>
      <c r="AD6" s="76">
        <v>0.99516668274828424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Currency&amp;FamilyName&amp;B7</f>
        <v>USDLibor1M</v>
      </c>
      <c r="H7" s="122" t="str">
        <f t="shared" si="0"/>
        <v>USD1MD_SYNTH1Y_Quote</v>
      </c>
      <c r="I7" s="125"/>
      <c r="J7" s="175" t="str">
        <f>IF(P7,_xll.qlDepositRateHelper(,H7,G7,Permanent,Trigger,ObjectOverwrite),"--")</f>
        <v>obj_00293#0003</v>
      </c>
      <c r="K7" s="50"/>
      <c r="L7" s="162" t="str">
        <f t="shared" si="2"/>
        <v>Dp</v>
      </c>
      <c r="M7" s="183" t="str">
        <f t="shared" si="3"/>
        <v>USD1MD_SYNTH1Y_Quote</v>
      </c>
      <c r="N7" s="164">
        <f>IFERROR(_xll.qlQuoteValue(H7,Trigger),"--")</f>
        <v>1.3538E-2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obj_00293#0003</v>
      </c>
      <c r="T7" s="102">
        <f>IFERROR(_xll.qlRateHelperEarliestDate(S7,Trigger),"--")</f>
        <v>42643</v>
      </c>
      <c r="U7" s="102">
        <f>IFERROR(_xll.qlRateHelperPillarDate(S7,Trigger),"--")</f>
        <v>42674</v>
      </c>
      <c r="W7" s="3" t="str">
        <f t="shared" si="1"/>
        <v>Dp</v>
      </c>
      <c r="X7" s="3" t="str">
        <v>obj_00276</v>
      </c>
      <c r="Y7" s="3" t="str">
        <f>IFERROR(_xll.qlRateHelperQuoteName(X7,Trigger),"")</f>
        <v>USD5MD_SYNTH1Y_Quote</v>
      </c>
      <c r="Z7" s="70">
        <f>IFERROR(_xll.qlRateHelperRate(X7,Trigger),"")</f>
        <v>1.4425E-2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42643</v>
      </c>
      <c r="AC7" s="4">
        <f>IFERROR(_xll.qlRateHelperPillarDate(X7,Trigger),"")</f>
        <v>42794</v>
      </c>
      <c r="AD7" s="76">
        <v>0.99398590210467574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Currency&amp;FamilyName&amp;B8</f>
        <v>USDLibor2M</v>
      </c>
      <c r="H8" s="122" t="str">
        <f t="shared" si="0"/>
        <v>USD2MD_SYNTH1Y_Quote</v>
      </c>
      <c r="I8" s="125"/>
      <c r="J8" s="175" t="str">
        <f>IF(P8,_xll.qlDepositRateHelper(,H8,G8,Permanent,Trigger,ObjectOverwrite),"--")</f>
        <v>obj_00281#0003</v>
      </c>
      <c r="K8" s="50"/>
      <c r="L8" s="162" t="str">
        <f t="shared" si="2"/>
        <v>Dp</v>
      </c>
      <c r="M8" s="183" t="str">
        <f t="shared" si="3"/>
        <v>USD2MD_SYNTH1Y_Quote</v>
      </c>
      <c r="N8" s="164">
        <f>IFERROR(_xll.qlQuoteValue(H8,Trigger),"--")</f>
        <v>1.3658999999999999E-2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obj_00281#0003</v>
      </c>
      <c r="T8" s="102">
        <f>IFERROR(_xll.qlRateHelperEarliestDate(S8,Trigger),"--")</f>
        <v>42643</v>
      </c>
      <c r="U8" s="102">
        <f>IFERROR(_xll.qlRateHelperPillarDate(S8,Trigger),"--")</f>
        <v>42704</v>
      </c>
      <c r="W8" s="3" t="str">
        <f t="shared" si="1"/>
        <v>Dp</v>
      </c>
      <c r="X8" s="3" t="str">
        <v>obj_0025c</v>
      </c>
      <c r="Y8" s="3" t="str">
        <f>IFERROR(_xll.qlRateHelperQuoteName(X8,Trigger),"")</f>
        <v>USD6MD_SYNTH1Y_Quote</v>
      </c>
      <c r="Z8" s="70">
        <f>IFERROR(_xll.qlRateHelperRate(X8,Trigger),"")</f>
        <v>1.4619E-2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42643</v>
      </c>
      <c r="AC8" s="4">
        <f>IFERROR(_xll.qlRateHelperPillarDate(X8,Trigger),"")</f>
        <v>42825</v>
      </c>
      <c r="AD8" s="76">
        <v>0.99266350528708347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Currency&amp;FamilyName&amp;B9</f>
        <v>USDLibor3M</v>
      </c>
      <c r="H9" s="122" t="str">
        <f t="shared" si="0"/>
        <v>USD3MD_SYNTH1Y_Quote</v>
      </c>
      <c r="I9" s="125"/>
      <c r="J9" s="175" t="str">
        <f>IF(P9,_xll.qlDepositRateHelper(,H9,G9,Permanent,Trigger,ObjectOverwrite),"--")</f>
        <v>obj_0026e#0003</v>
      </c>
      <c r="K9" s="50"/>
      <c r="L9" s="162" t="str">
        <f t="shared" si="2"/>
        <v>Dp</v>
      </c>
      <c r="M9" s="183" t="str">
        <f t="shared" si="3"/>
        <v>USD3MD_SYNTH1Y_Quote</v>
      </c>
      <c r="N9" s="164">
        <f>IFERROR(_xll.qlQuoteValue(H9,Trigger),"--")</f>
        <v>1.3939999999999999E-2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obj_0026e#0003</v>
      </c>
      <c r="T9" s="102">
        <f>IFERROR(_xll.qlRateHelperEarliestDate(S9,Trigger),"--")</f>
        <v>42643</v>
      </c>
      <c r="U9" s="102">
        <f>IFERROR(_xll.qlRateHelperPillarDate(S9,Trigger),"--")</f>
        <v>42734</v>
      </c>
      <c r="W9" s="3" t="str">
        <f t="shared" si="1"/>
        <v>Dp</v>
      </c>
      <c r="X9" s="3" t="str">
        <v>obj_00282</v>
      </c>
      <c r="Y9" s="3" t="str">
        <f>IFERROR(_xll.qlRateHelperQuoteName(X9,Trigger),"")</f>
        <v>USD9MD_SYNTH1Y_Quote</v>
      </c>
      <c r="Z9" s="70">
        <f>IFERROR(_xll.qlRateHelperRate(X9,Trigger),"")</f>
        <v>1.511E-2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42643</v>
      </c>
      <c r="AC9" s="4">
        <f>IFERROR(_xll.qlRateHelperPillarDate(X9,Trigger),"")</f>
        <v>42916</v>
      </c>
      <c r="AD9" s="76">
        <v>0.98867139125254289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obj_00246#0003</v>
      </c>
      <c r="H10" s="154" t="str">
        <f t="shared" si="0"/>
        <v>USD4MD_SYNTH1Y_Quote</v>
      </c>
      <c r="I10" s="152"/>
      <c r="J10" s="177" t="str">
        <f>IF(P10,_xll.qlDepositRateHelper(,H10,G10,Permanent,Trigger,ObjectOverwrite),"--")</f>
        <v>obj_0027b#0003</v>
      </c>
      <c r="K10" s="50"/>
      <c r="L10" s="162" t="str">
        <f t="shared" si="2"/>
        <v>Dp</v>
      </c>
      <c r="M10" s="183" t="str">
        <f t="shared" si="3"/>
        <v>USD4MD_SYNTH1Y_Quote</v>
      </c>
      <c r="N10" s="164">
        <f>IFERROR(_xll.qlQuoteValue(H10,Trigger),"--")</f>
        <v>1.4215E-2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obj_0027b#0003</v>
      </c>
      <c r="T10" s="102">
        <f>IFERROR(_xll.qlRateHelperEarliestDate(S10,Trigger),"--")</f>
        <v>42643</v>
      </c>
      <c r="U10" s="102">
        <f>IFERROR(_xll.qlRateHelperPillarDate(S10,Trigger),"--")</f>
        <v>42766</v>
      </c>
      <c r="W10" s="3" t="str">
        <f t="shared" si="1"/>
        <v>Dp</v>
      </c>
      <c r="X10" s="3" t="str">
        <v>obj_0028b</v>
      </c>
      <c r="Y10" s="3" t="str">
        <f>IFERROR(_xll.qlRateHelperQuoteName(X10,Trigger),"")</f>
        <v>USD1YD_SYNTH1Y_Quote</v>
      </c>
      <c r="Z10" s="70">
        <f>IFERROR(_xll.qlRateHelperRate(X10,Trigger),"")</f>
        <v>1.5512E-2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42643</v>
      </c>
      <c r="AC10" s="4">
        <f>IFERROR(_xll.qlRateHelperPillarDate(X10,Trigger),"")</f>
        <v>43007</v>
      </c>
      <c r="AD10" s="76">
        <v>0.98455784469873364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obj_0024b#0003</v>
      </c>
      <c r="H11" s="159" t="str">
        <f t="shared" si="0"/>
        <v>USD5MD_SYNTH1Y_Quote</v>
      </c>
      <c r="I11" s="157"/>
      <c r="J11" s="178" t="str">
        <f>IF(P11,_xll.qlDepositRateHelper(,H11,G11,Permanent,Trigger,ObjectOverwrite),"--")</f>
        <v>obj_00276#0003</v>
      </c>
      <c r="K11" s="50"/>
      <c r="L11" s="162" t="str">
        <f t="shared" si="2"/>
        <v>Dp</v>
      </c>
      <c r="M11" s="183" t="str">
        <f t="shared" si="3"/>
        <v>USD5MD_SYNTH1Y_Quote</v>
      </c>
      <c r="N11" s="164">
        <f>IFERROR(_xll.qlQuoteValue(H11,Trigger),"--")</f>
        <v>1.4425E-2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obj_00276#0003</v>
      </c>
      <c r="T11" s="102">
        <f>IFERROR(_xll.qlRateHelperEarliestDate(S11,Trigger),"--")</f>
        <v>42643</v>
      </c>
      <c r="U11" s="102">
        <f>IFERROR(_xll.qlRateHelperPillarDate(S11,Trigger),"--")</f>
        <v>42794</v>
      </c>
      <c r="W11" s="3" t="str">
        <f t="shared" si="1"/>
        <v>FRA</v>
      </c>
      <c r="X11" s="3" t="str">
        <v>obj_00262</v>
      </c>
      <c r="Y11" s="3" t="str">
        <f>IFERROR(_xll.qlRateHelperQuoteName(X11,Trigger),"")</f>
        <v>USD1x13F_Quote</v>
      </c>
      <c r="Z11" s="70">
        <f>IFERROR(_xll.qlRateHelperRate(X11,Trigger),"")</f>
        <v>1.5800000000000002E-2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42674</v>
      </c>
      <c r="AC11" s="4">
        <f>IFERROR(_xll.qlRateHelperPillarDate(X11,Trigger),"")</f>
        <v>43039</v>
      </c>
      <c r="AD11" s="76">
        <v>0.98308707641549509</v>
      </c>
    </row>
    <row r="12" spans="1:33" ht="11.25" customHeight="1" x14ac:dyDescent="0.2">
      <c r="A12" s="60" t="s">
        <v>26</v>
      </c>
      <c r="B12" s="61" t="s">
        <v>3</v>
      </c>
      <c r="C12" s="125"/>
      <c r="D12" s="125"/>
      <c r="E12" s="125"/>
      <c r="F12" s="125"/>
      <c r="G12" s="62" t="str">
        <f>Currency&amp;FamilyName&amp;B12</f>
        <v>USDLibor6M</v>
      </c>
      <c r="H12" s="122" t="str">
        <f t="shared" si="0"/>
        <v>USD6MD_SYNTH1Y_Quote</v>
      </c>
      <c r="I12" s="125"/>
      <c r="J12" s="175" t="str">
        <f>IF(P12,_xll.qlDepositRateHelper(,H12,G12,Permanent,Trigger,ObjectOverwrite),"--")</f>
        <v>obj_0025c#0003</v>
      </c>
      <c r="K12" s="50" t="s">
        <v>45</v>
      </c>
      <c r="L12" s="162" t="str">
        <f t="shared" si="2"/>
        <v>Dp</v>
      </c>
      <c r="M12" s="183" t="str">
        <f t="shared" si="3"/>
        <v>USD6MD_SYNTH1Y_Quote</v>
      </c>
      <c r="N12" s="164">
        <f>IFERROR(_xll.qlQuoteValue(H12,Trigger),"--")</f>
        <v>1.4619E-2</v>
      </c>
      <c r="O12" s="167"/>
      <c r="P12" s="101" t="b">
        <v>1</v>
      </c>
      <c r="Q12" s="98">
        <v>10</v>
      </c>
      <c r="R12" s="98">
        <v>1</v>
      </c>
      <c r="S12" s="98" t="str">
        <f t="shared" si="4"/>
        <v>obj_0025c#0003</v>
      </c>
      <c r="T12" s="102">
        <f>IFERROR(_xll.qlRateHelperEarliestDate(S12,Trigger),"--")</f>
        <v>42643</v>
      </c>
      <c r="U12" s="102">
        <f>IFERROR(_xll.qlRateHelperPillarDate(S12,Trigger),"--")</f>
        <v>42825</v>
      </c>
      <c r="W12" s="3" t="str">
        <f t="shared" si="1"/>
        <v>FRA</v>
      </c>
      <c r="X12" s="3" t="str">
        <v>obj_00255</v>
      </c>
      <c r="Y12" s="3" t="str">
        <f>IFERROR(_xll.qlRateHelperQuoteName(X12,Trigger),"")</f>
        <v>USD2x14F_Quote</v>
      </c>
      <c r="Z12" s="70">
        <f>IFERROR(_xll.qlRateHelperRate(X12,Trigger),"")</f>
        <v>1.6070000000000001E-2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42704</v>
      </c>
      <c r="AC12" s="4">
        <f>IFERROR(_xll.qlRateHelperPillarDate(X12,Trigger),"")</f>
        <v>43069</v>
      </c>
      <c r="AD12" s="76">
        <v>0.98169593977252334</v>
      </c>
    </row>
    <row r="13" spans="1:33" ht="11.25" customHeight="1" x14ac:dyDescent="0.2">
      <c r="A13" s="150" t="s">
        <v>26</v>
      </c>
      <c r="B13" s="151" t="s">
        <v>54</v>
      </c>
      <c r="C13" s="152"/>
      <c r="D13" s="152"/>
      <c r="E13" s="152"/>
      <c r="F13" s="152"/>
      <c r="G13" s="153" t="str">
        <f>_xll.qlLibor(,Currency,B13,,Permanent,Trigger,ObjectOverwrite)</f>
        <v>obj_00245#0003</v>
      </c>
      <c r="H13" s="154" t="str">
        <f t="shared" si="0"/>
        <v>USD7MD_SYNTH1Y_Quote</v>
      </c>
      <c r="I13" s="152"/>
      <c r="J13" s="177" t="str">
        <f>IF(P13,_xll.qlDepositRateHelper(,H13,G13,Permanent,Trigger,ObjectOverwrite),"--")</f>
        <v>--</v>
      </c>
      <c r="K13" s="50"/>
      <c r="L13" s="162" t="str">
        <f t="shared" si="2"/>
        <v>Dp</v>
      </c>
      <c r="M13" s="183" t="str">
        <f t="shared" si="3"/>
        <v>USD7MD_SYNTH1Y_Quote</v>
      </c>
      <c r="N13" s="164">
        <f>IFERROR(_xll.qlQuoteValue(H13,Trigger),"--")</f>
        <v>1.4779E-2</v>
      </c>
      <c r="O13" s="167"/>
      <c r="P13" s="101" t="b">
        <v>0</v>
      </c>
      <c r="Q13" s="98">
        <v>10</v>
      </c>
      <c r="R13" s="98">
        <v>1</v>
      </c>
      <c r="S13" s="98" t="str">
        <f t="shared" si="4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FRA</v>
      </c>
      <c r="X13" s="3" t="str">
        <v>obj_00261</v>
      </c>
      <c r="Y13" s="3" t="str">
        <f>IFERROR(_xll.qlRateHelperQuoteName(X13,Trigger),"")</f>
        <v>USD3x15F_Quote</v>
      </c>
      <c r="Z13" s="70">
        <f>IFERROR(_xll.qlRateHelperRate(X13,Trigger),"")</f>
        <v>1.6369999999999999E-2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42734</v>
      </c>
      <c r="AC13" s="4">
        <f>IFERROR(_xll.qlRateHelperPillarDate(X13,Trigger),"")</f>
        <v>43098</v>
      </c>
      <c r="AD13" s="76">
        <v>0.98026343926838755</v>
      </c>
    </row>
    <row r="14" spans="1:33" ht="11.25" customHeight="1" x14ac:dyDescent="0.2">
      <c r="A14" s="60" t="s">
        <v>26</v>
      </c>
      <c r="B14" s="61" t="s">
        <v>55</v>
      </c>
      <c r="C14" s="125"/>
      <c r="D14" s="125"/>
      <c r="E14" s="125"/>
      <c r="F14" s="125"/>
      <c r="G14" s="62" t="str">
        <f>_xll.qlLibor(,Currency,B14,,Permanent,Trigger,ObjectOverwrite)</f>
        <v>obj_00241#0003</v>
      </c>
      <c r="H14" s="122" t="str">
        <f t="shared" si="0"/>
        <v>USD8MD_SYNTH1Y_Quote</v>
      </c>
      <c r="I14" s="125"/>
      <c r="J14" s="175" t="str">
        <f>IF(P14,_xll.qlDepositRateHelper(,H14,G14,Permanent,Trigger,ObjectOverwrite),"--")</f>
        <v>--</v>
      </c>
      <c r="K14" s="50"/>
      <c r="L14" s="162" t="str">
        <f t="shared" si="2"/>
        <v>Dp</v>
      </c>
      <c r="M14" s="183" t="str">
        <f t="shared" si="3"/>
        <v>USD8MD_SYNTH1Y_Quote</v>
      </c>
      <c r="N14" s="164">
        <f>IFERROR(_xll.qlQuoteValue(H14,Trigger),"--")</f>
        <v>1.4956000000000001E-2</v>
      </c>
      <c r="O14" s="167"/>
      <c r="P14" s="101" t="b">
        <v>0</v>
      </c>
      <c r="Q14" s="98">
        <v>10</v>
      </c>
      <c r="R14" s="98">
        <v>1</v>
      </c>
      <c r="S14" s="98" t="str">
        <f t="shared" si="4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FRA</v>
      </c>
      <c r="X14" s="3" t="str">
        <v>obj_0025b</v>
      </c>
      <c r="Y14" s="3" t="str">
        <f>IFERROR(_xll.qlRateHelperQuoteName(X14,Trigger),"")</f>
        <v>USD4x16F_Quote</v>
      </c>
      <c r="Z14" s="70">
        <f>IFERROR(_xll.qlRateHelperRate(X14,Trigger),"")</f>
        <v>1.6250000000000001E-2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42766</v>
      </c>
      <c r="AC14" s="4">
        <f>IFERROR(_xll.qlRateHelperPillarDate(X14,Trigger),"")</f>
        <v>43131</v>
      </c>
      <c r="AD14" s="76">
        <v>0.97903637852569936</v>
      </c>
    </row>
    <row r="15" spans="1:33" ht="11.25" customHeight="1" x14ac:dyDescent="0.2">
      <c r="A15" s="60" t="s">
        <v>26</v>
      </c>
      <c r="B15" s="61" t="s">
        <v>56</v>
      </c>
      <c r="C15" s="125"/>
      <c r="D15" s="125"/>
      <c r="E15" s="125"/>
      <c r="F15" s="125"/>
      <c r="G15" s="62" t="str">
        <f>_xll.qlLibor(,Currency,B15,,Permanent,Trigger,ObjectOverwrite)</f>
        <v>obj_00248#0003</v>
      </c>
      <c r="H15" s="122" t="str">
        <f t="shared" si="0"/>
        <v>USD9MD_SYNTH1Y_Quote</v>
      </c>
      <c r="I15" s="125"/>
      <c r="J15" s="175" t="str">
        <f>IF(P15,_xll.qlDepositRateHelper(,H15,G15,Permanent,Trigger,ObjectOverwrite),"--")</f>
        <v>obj_00282#0003</v>
      </c>
      <c r="K15" s="50"/>
      <c r="L15" s="162" t="str">
        <f t="shared" si="2"/>
        <v>Dp</v>
      </c>
      <c r="M15" s="183" t="str">
        <f t="shared" si="3"/>
        <v>USD9MD_SYNTH1Y_Quote</v>
      </c>
      <c r="N15" s="164">
        <f>IFERROR(_xll.qlQuoteValue(H15,Trigger),"--")</f>
        <v>1.511E-2</v>
      </c>
      <c r="O15" s="167"/>
      <c r="P15" s="101" t="b">
        <v>1</v>
      </c>
      <c r="Q15" s="98">
        <v>10</v>
      </c>
      <c r="R15" s="98">
        <v>1</v>
      </c>
      <c r="S15" s="98" t="str">
        <f t="shared" si="4"/>
        <v>obj_00282#0003</v>
      </c>
      <c r="T15" s="102">
        <f>IFERROR(_xll.qlRateHelperEarliestDate(S15,Trigger),"--")</f>
        <v>42643</v>
      </c>
      <c r="U15" s="102">
        <f>IFERROR(_xll.qlRateHelperPillarDate(S15,Trigger),"--")</f>
        <v>42916</v>
      </c>
      <c r="W15" s="3" t="str">
        <f t="shared" si="1"/>
        <v>FRA</v>
      </c>
      <c r="X15" s="3" t="str">
        <v>obj_00257</v>
      </c>
      <c r="Y15" s="3" t="str">
        <f>IFERROR(_xll.qlRateHelperQuoteName(X15,Trigger),"")</f>
        <v>USD5x17F_Quote</v>
      </c>
      <c r="Z15" s="70">
        <f>IFERROR(_xll.qlRateHelperRate(X15,Trigger),"")</f>
        <v>1.6120000000000002E-2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42794</v>
      </c>
      <c r="AC15" s="4">
        <f>IFERROR(_xll.qlRateHelperPillarDate(X15,Trigger),"")</f>
        <v>43159</v>
      </c>
      <c r="AD15" s="76">
        <v>0.97800155338302275</v>
      </c>
    </row>
    <row r="16" spans="1:33" ht="11.25" customHeight="1" x14ac:dyDescent="0.2">
      <c r="A16" s="60" t="s">
        <v>26</v>
      </c>
      <c r="B16" s="61" t="s">
        <v>57</v>
      </c>
      <c r="C16" s="125"/>
      <c r="D16" s="125"/>
      <c r="E16" s="125"/>
      <c r="F16" s="125"/>
      <c r="G16" s="62" t="str">
        <f>_xll.qlLibor(,Currency,B16,,Permanent,Trigger,ObjectOverwrite)</f>
        <v>obj_00247#0003</v>
      </c>
      <c r="H16" s="122" t="str">
        <f t="shared" si="0"/>
        <v>USD10MD_SYNTH1Y_Quote</v>
      </c>
      <c r="I16" s="125"/>
      <c r="J16" s="175" t="str">
        <f>IF(P16,_xll.qlDepositRateHelper(,H16,G16,Permanent,Trigger,ObjectOverwrite),"--")</f>
        <v>--</v>
      </c>
      <c r="K16" s="50"/>
      <c r="L16" s="162" t="str">
        <f t="shared" si="2"/>
        <v>Dp</v>
      </c>
      <c r="M16" s="183" t="str">
        <f t="shared" si="3"/>
        <v>USD10MD_SYNTH1Y_Quote</v>
      </c>
      <c r="N16" s="164">
        <f>IFERROR(_xll.qlQuoteValue(H16,Trigger),"--")</f>
        <v>1.5254999999999999E-2</v>
      </c>
      <c r="O16" s="167"/>
      <c r="P16" s="101" t="b">
        <v>0</v>
      </c>
      <c r="Q16" s="98">
        <v>10</v>
      </c>
      <c r="R16" s="98">
        <v>1</v>
      </c>
      <c r="S16" s="98" t="str">
        <f t="shared" si="4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FRA</v>
      </c>
      <c r="X16" s="3" t="str">
        <v>obj_0025e</v>
      </c>
      <c r="Y16" s="3" t="str">
        <f>IFERROR(_xll.qlRateHelperQuoteName(X16,Trigger),"")</f>
        <v>USD6x18F_Quote</v>
      </c>
      <c r="Z16" s="70">
        <f>IFERROR(_xll.qlRateHelperRate(X16,Trigger),"")</f>
        <v>1.5980000000000001E-2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42825</v>
      </c>
      <c r="AC16" s="4">
        <f>IFERROR(_xll.qlRateHelperPillarDate(X16,Trigger),"")</f>
        <v>43188</v>
      </c>
      <c r="AD16" s="76">
        <v>0.97692219513648348</v>
      </c>
    </row>
    <row r="17" spans="1:30" ht="11.25" customHeight="1" x14ac:dyDescent="0.2">
      <c r="A17" s="155" t="s">
        <v>26</v>
      </c>
      <c r="B17" s="156" t="s">
        <v>58</v>
      </c>
      <c r="C17" s="157"/>
      <c r="D17" s="157"/>
      <c r="E17" s="157"/>
      <c r="F17" s="157"/>
      <c r="G17" s="158" t="str">
        <f>_xll.qlLibor(,Currency,B17,,Permanent,Trigger,ObjectOverwrite)</f>
        <v>obj_00242#0003</v>
      </c>
      <c r="H17" s="159" t="str">
        <f t="shared" si="0"/>
        <v>USD11MD_SYNTH1Y_Quote</v>
      </c>
      <c r="I17" s="157"/>
      <c r="J17" s="178" t="str">
        <f>IF(P17,_xll.qlDepositRateHelper(,H17,G17,Permanent,Trigger,ObjectOverwrite),"--")</f>
        <v>--</v>
      </c>
      <c r="K17" s="50"/>
      <c r="L17" s="162" t="str">
        <f t="shared" si="2"/>
        <v>Dp</v>
      </c>
      <c r="M17" s="183" t="str">
        <f t="shared" si="3"/>
        <v>USD11MD_SYNTH1Y_Quote</v>
      </c>
      <c r="N17" s="164">
        <f>IFERROR(_xll.qlQuoteValue(H17,Trigger),"--")</f>
        <v>1.54E-2</v>
      </c>
      <c r="O17" s="167"/>
      <c r="P17" s="101" t="b">
        <v>0</v>
      </c>
      <c r="Q17" s="98">
        <v>10</v>
      </c>
      <c r="R17" s="98">
        <v>1</v>
      </c>
      <c r="S17" s="98" t="str">
        <f t="shared" si="4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FRA</v>
      </c>
      <c r="X17" s="3" t="str">
        <v>obj_00266</v>
      </c>
      <c r="Y17" s="3" t="str">
        <f>IFERROR(_xll.qlRateHelperQuoteName(X17,Trigger),"")</f>
        <v>USD9x21F_Quote</v>
      </c>
      <c r="Z17" s="70">
        <f>IFERROR(_xll.qlRateHelperRate(X17,Trigger),"")</f>
        <v>1.5900000000000001E-2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42916</v>
      </c>
      <c r="AC17" s="4">
        <f>IFERROR(_xll.qlRateHelperPillarDate(X17,Trigger),"")</f>
        <v>43280</v>
      </c>
      <c r="AD17" s="76">
        <v>0.97302833898939156</v>
      </c>
    </row>
    <row r="18" spans="1:30" ht="11.25" customHeight="1" x14ac:dyDescent="0.2">
      <c r="A18" s="1" t="s">
        <v>26</v>
      </c>
      <c r="B18" s="8" t="s">
        <v>28</v>
      </c>
      <c r="C18" s="126"/>
      <c r="D18" s="126"/>
      <c r="E18" s="126"/>
      <c r="F18" s="126"/>
      <c r="G18" s="6" t="str">
        <f>Currency&amp;FamilyName&amp;B18</f>
        <v>USDLibor1Y</v>
      </c>
      <c r="H18" s="123" t="str">
        <f t="shared" si="0"/>
        <v>USD1YD_SYNTH1Y_Quote</v>
      </c>
      <c r="I18" s="126"/>
      <c r="J18" s="174" t="str">
        <f>IF(P18,_xll.qlDepositRateHelper(,H18,G18,Permanent,Trigger,ObjectOverwrite),"--")</f>
        <v>obj_0028b#0003</v>
      </c>
      <c r="K18" s="50"/>
      <c r="L18" s="168" t="str">
        <f t="shared" si="2"/>
        <v>Dp</v>
      </c>
      <c r="M18" s="184" t="str">
        <f t="shared" si="3"/>
        <v>USD1YD_SYNTH1Y_Quote</v>
      </c>
      <c r="N18" s="170">
        <f>IFERROR(_xll.qlQuoteValue(H18,Trigger),"--")</f>
        <v>1.5512E-2</v>
      </c>
      <c r="O18" s="171"/>
      <c r="P18" s="103" t="b">
        <v>1</v>
      </c>
      <c r="Q18" s="99">
        <v>10</v>
      </c>
      <c r="R18" s="99">
        <v>1</v>
      </c>
      <c r="S18" s="99" t="str">
        <f t="shared" si="4"/>
        <v>obj_0028b#0003</v>
      </c>
      <c r="T18" s="104">
        <f>IFERROR(_xll.qlRateHelperEarliestDate(S18,Trigger),"--")</f>
        <v>42643</v>
      </c>
      <c r="U18" s="104">
        <f>IFERROR(_xll.qlRateHelperPillarDate(S18,Trigger),"--")</f>
        <v>43007</v>
      </c>
      <c r="W18" s="3" t="str">
        <f t="shared" si="1"/>
        <v>BasSw</v>
      </c>
      <c r="X18" s="3" t="str">
        <v>obj_002c9</v>
      </c>
      <c r="Y18" s="3" t="str">
        <f>IFERROR(_xll.qlRateHelperQuoteName(X18,Trigger),"")</f>
        <v>USDAM3L2Y_S12L3L_Quote</v>
      </c>
      <c r="Z18" s="70">
        <f>IFERROR(_xll.qlRateHelperRate(X18,Trigger),"")</f>
        <v>1.5899883284887763E-2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42643</v>
      </c>
      <c r="AC18" s="4">
        <f>IFERROR(_xll.qlRateHelperPillarDate(X18,Trigger),"")</f>
        <v>43371</v>
      </c>
      <c r="AD18" s="76">
        <v>0.96860349236964316</v>
      </c>
    </row>
    <row r="19" spans="1:30" ht="11.25" customHeight="1" x14ac:dyDescent="0.2">
      <c r="B19" s="48"/>
      <c r="C19" s="48">
        <v>12</v>
      </c>
      <c r="D19" s="48"/>
      <c r="E19" s="48"/>
      <c r="F19" s="48"/>
      <c r="G19" s="48"/>
      <c r="H19" s="48"/>
      <c r="K19" s="50"/>
      <c r="L19" s="180" t="str">
        <f>A21</f>
        <v>FRA</v>
      </c>
      <c r="M19" s="181" t="str">
        <f>H21</f>
        <v>USD1x13F_Quote</v>
      </c>
      <c r="N19" s="182">
        <f>IFERROR(_xll.qlQuoteValue(H21,Trigger),"--")</f>
        <v>1.5800000000000002E-2</v>
      </c>
      <c r="O19" s="165"/>
      <c r="P19" s="134" t="b">
        <v>1</v>
      </c>
      <c r="Q19" s="133">
        <v>20</v>
      </c>
      <c r="R19" s="133">
        <v>1</v>
      </c>
      <c r="S19" s="133" t="str">
        <f>J21</f>
        <v>obj_00262#0003</v>
      </c>
      <c r="T19" s="135">
        <f>IFERROR(_xll.qlRateHelperEarliestDate(S19,Trigger),"--")</f>
        <v>42674</v>
      </c>
      <c r="U19" s="135">
        <f>IFERROR(_xll.qlRateHelperPillarDate(S19,Trigger),"--")</f>
        <v>43039</v>
      </c>
      <c r="W19" s="3" t="str">
        <f t="shared" si="1"/>
        <v>BasSw</v>
      </c>
      <c r="X19" s="3" t="str">
        <v>obj_0029f</v>
      </c>
      <c r="Y19" s="3" t="str">
        <f>IFERROR(_xll.qlRateHelperQuoteName(X19,Trigger),"")</f>
        <v>USDAM3L3Y_S12L3L_Quote</v>
      </c>
      <c r="Z19" s="70">
        <f>IFERROR(_xll.qlRateHelperRate(X19,Trigger),"")</f>
        <v>1.6082399336384751E-2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42643</v>
      </c>
      <c r="AC19" s="4">
        <f>IFERROR(_xll.qlRateHelperPillarDate(X19,Trigger),"")</f>
        <v>43738</v>
      </c>
      <c r="AD19" s="76">
        <v>0.95262936482935623</v>
      </c>
    </row>
    <row r="20" spans="1:30" ht="11.25" customHeight="1" x14ac:dyDescent="0.2">
      <c r="A20" s="66" t="s">
        <v>9</v>
      </c>
      <c r="B20" s="66" t="s">
        <v>120</v>
      </c>
      <c r="C20" s="66" t="s">
        <v>121</v>
      </c>
      <c r="D20" s="66"/>
      <c r="E20" s="66"/>
      <c r="F20" s="66"/>
      <c r="G20" s="66" t="s">
        <v>4</v>
      </c>
      <c r="H20" s="66" t="s">
        <v>1</v>
      </c>
      <c r="I20" s="66"/>
      <c r="J20" s="66" t="s">
        <v>24</v>
      </c>
      <c r="K20" s="50"/>
      <c r="L20" s="162" t="str">
        <f t="shared" ref="L20:L42" si="5">A22</f>
        <v>FRA</v>
      </c>
      <c r="M20" s="183" t="str">
        <f t="shared" ref="M20:M42" si="6">H22</f>
        <v>USD2x14F_Quote</v>
      </c>
      <c r="N20" s="164">
        <f>IFERROR(_xll.qlQuoteValue(H22,Trigger),"--")</f>
        <v>1.6070000000000001E-2</v>
      </c>
      <c r="O20" s="167"/>
      <c r="P20" s="101" t="b">
        <v>1</v>
      </c>
      <c r="Q20" s="98">
        <v>20</v>
      </c>
      <c r="R20" s="98">
        <v>1</v>
      </c>
      <c r="S20" s="98" t="str">
        <f t="shared" ref="S20:S42" si="7">J22</f>
        <v>obj_00255#0003</v>
      </c>
      <c r="T20" s="102">
        <f>IFERROR(_xll.qlRateHelperEarliestDate(S20,Trigger),"--")</f>
        <v>42704</v>
      </c>
      <c r="U20" s="102">
        <f>IFERROR(_xll.qlRateHelperPillarDate(S20,Trigger),"--")</f>
        <v>43069</v>
      </c>
      <c r="W20" s="3" t="str">
        <f t="shared" si="1"/>
        <v>BasSw</v>
      </c>
      <c r="X20" s="3" t="str">
        <v>obj_0029c</v>
      </c>
      <c r="Y20" s="3" t="str">
        <f>IFERROR(_xll.qlRateHelperQuoteName(X20,Trigger),"")</f>
        <v>USDAM3L4Y_S12L3L_Quote</v>
      </c>
      <c r="Z20" s="70">
        <f>IFERROR(_xll.qlRateHelperRate(X20,Trigger),"")</f>
        <v>1.6455563878544029E-2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42643</v>
      </c>
      <c r="AC20" s="4">
        <f>IFERROR(_xll.qlRateHelperPillarDate(X20,Trigger),"")</f>
        <v>44104</v>
      </c>
      <c r="AD20" s="76">
        <v>0.93589205069216397</v>
      </c>
    </row>
    <row r="21" spans="1:30" ht="11.25" customHeight="1" x14ac:dyDescent="0.2">
      <c r="A21" s="55" t="s">
        <v>122</v>
      </c>
      <c r="B21" s="115">
        <v>1</v>
      </c>
      <c r="C21" s="58" t="str">
        <f>"x"&amp;B21+$C$19&amp;"F"</f>
        <v>x13F</v>
      </c>
      <c r="D21" s="131"/>
      <c r="E21" s="131"/>
      <c r="F21" s="131"/>
      <c r="G21" s="57" t="str">
        <f t="shared" ref="G21:G44" si="8">PROPER(Currency)&amp;FamilyName&amp;Tenor</f>
        <v>UsdLibor1Y</v>
      </c>
      <c r="H21" s="118" t="str">
        <f t="shared" ref="H21:H29" si="9">Currency&amp;B21&amp;C21&amp;QuoteSuffix</f>
        <v>USD1x13F_Quote</v>
      </c>
      <c r="I21" s="131"/>
      <c r="J21" s="173" t="str">
        <f>IF(P19,_xll.qlFraRateHelper(,H21,B21&amp;"M",G21,PillarDate,,Permanent,Trigger,ObjectOverwrite),"--")</f>
        <v>obj_00262#0003</v>
      </c>
      <c r="K21" s="50"/>
      <c r="L21" s="162" t="str">
        <f t="shared" si="5"/>
        <v>FRA</v>
      </c>
      <c r="M21" s="183" t="str">
        <f t="shared" si="6"/>
        <v>USD3x15F_Quote</v>
      </c>
      <c r="N21" s="164">
        <f>IFERROR(_xll.qlQuoteValue(H23,Trigger),"--")</f>
        <v>1.6369999999999999E-2</v>
      </c>
      <c r="O21" s="167"/>
      <c r="P21" s="101" t="b">
        <v>1</v>
      </c>
      <c r="Q21" s="98">
        <v>20</v>
      </c>
      <c r="R21" s="98">
        <v>1</v>
      </c>
      <c r="S21" s="98" t="str">
        <f t="shared" si="7"/>
        <v>obj_00261#0003</v>
      </c>
      <c r="T21" s="102">
        <f>IFERROR(_xll.qlRateHelperEarliestDate(S21,Trigger),"--")</f>
        <v>42734</v>
      </c>
      <c r="U21" s="102">
        <f>IFERROR(_xll.qlRateHelperPillarDate(S21,Trigger),"--")</f>
        <v>43098</v>
      </c>
      <c r="W21" s="3" t="str">
        <f t="shared" si="1"/>
        <v>BasSw</v>
      </c>
      <c r="X21" s="3" t="str">
        <v>obj_002c8</v>
      </c>
      <c r="Y21" s="3" t="str">
        <f>IFERROR(_xll.qlRateHelperQuoteName(X21,Trigger),"")</f>
        <v>USDAM3L5Y_S12L3L_Quote</v>
      </c>
      <c r="Z21" s="70">
        <f>IFERROR(_xll.qlRateHelperRate(X21,Trigger),"")</f>
        <v>1.6823652222674155E-2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42643</v>
      </c>
      <c r="AC21" s="4">
        <f>IFERROR(_xll.qlRateHelperPillarDate(X21,Trigger),"")</f>
        <v>44469</v>
      </c>
      <c r="AD21" s="76">
        <v>0.91881578351580462</v>
      </c>
    </row>
    <row r="22" spans="1:30" ht="11.25" customHeight="1" x14ac:dyDescent="0.2">
      <c r="A22" s="60" t="s">
        <v>122</v>
      </c>
      <c r="B22" s="116">
        <v>2</v>
      </c>
      <c r="C22" s="64" t="str">
        <f t="shared" ref="C22:C44" si="10">"x"&amp;B22+$C$19&amp;"F"</f>
        <v>x14F</v>
      </c>
      <c r="D22" s="125"/>
      <c r="E22" s="125"/>
      <c r="F22" s="125"/>
      <c r="G22" s="62" t="str">
        <f t="shared" si="8"/>
        <v>UsdLibor1Y</v>
      </c>
      <c r="H22" s="119" t="str">
        <f t="shared" si="9"/>
        <v>USD2x14F_Quote</v>
      </c>
      <c r="I22" s="125"/>
      <c r="J22" s="175" t="str">
        <f>IF(P20,_xll.qlFraRateHelper(,H22,B22&amp;"M",G22,PillarDate,,Permanent,Trigger,ObjectOverwrite),"--")</f>
        <v>obj_00255#0003</v>
      </c>
      <c r="K22" s="50"/>
      <c r="L22" s="162" t="str">
        <f t="shared" si="5"/>
        <v>FRA</v>
      </c>
      <c r="M22" s="183" t="str">
        <f t="shared" si="6"/>
        <v>USD4x16F_Quote</v>
      </c>
      <c r="N22" s="164">
        <f>IFERROR(_xll.qlQuoteValue(H24,Trigger),"--")</f>
        <v>1.6250000000000001E-2</v>
      </c>
      <c r="O22" s="167"/>
      <c r="P22" s="101" t="b">
        <v>1</v>
      </c>
      <c r="Q22" s="98">
        <v>20</v>
      </c>
      <c r="R22" s="98">
        <v>1</v>
      </c>
      <c r="S22" s="98" t="str">
        <f t="shared" si="7"/>
        <v>obj_0025b#0003</v>
      </c>
      <c r="T22" s="102">
        <f>IFERROR(_xll.qlRateHelperEarliestDate(S22,Trigger),"--")</f>
        <v>42766</v>
      </c>
      <c r="U22" s="102">
        <f>IFERROR(_xll.qlRateHelperPillarDate(S22,Trigger),"--")</f>
        <v>43131</v>
      </c>
      <c r="W22" s="3" t="str">
        <f t="shared" si="1"/>
        <v>BasSw</v>
      </c>
      <c r="X22" s="3" t="str">
        <v>obj_002c4</v>
      </c>
      <c r="Y22" s="3" t="str">
        <f>IFERROR(_xll.qlRateHelperQuoteName(X22,Trigger),"")</f>
        <v>USDAM3L6Y_S12L3L_Quote</v>
      </c>
      <c r="Z22" s="70">
        <f>IFERROR(_xll.qlRateHelperRate(X22,Trigger),"")</f>
        <v>1.7284415751627098E-2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42643</v>
      </c>
      <c r="AC22" s="4">
        <f>IFERROR(_xll.qlRateHelperPillarDate(X22,Trigger),"")</f>
        <v>44834</v>
      </c>
      <c r="AD22" s="76">
        <v>0.9008607334311497</v>
      </c>
    </row>
    <row r="23" spans="1:30" ht="11.25" customHeight="1" x14ac:dyDescent="0.2">
      <c r="A23" s="60" t="s">
        <v>122</v>
      </c>
      <c r="B23" s="116">
        <v>3</v>
      </c>
      <c r="C23" s="64" t="str">
        <f t="shared" si="10"/>
        <v>x15F</v>
      </c>
      <c r="D23" s="125"/>
      <c r="E23" s="125"/>
      <c r="F23" s="125"/>
      <c r="G23" s="62" t="str">
        <f t="shared" si="8"/>
        <v>UsdLibor1Y</v>
      </c>
      <c r="H23" s="119" t="str">
        <f t="shared" si="9"/>
        <v>USD3x15F_Quote</v>
      </c>
      <c r="I23" s="125"/>
      <c r="J23" s="175" t="str">
        <f>IF(P21,_xll.qlFraRateHelper(,H23,B23&amp;"M",G23,PillarDate,,Permanent,Trigger,ObjectOverwrite),"--")</f>
        <v>obj_00261#0003</v>
      </c>
      <c r="K23" s="50"/>
      <c r="L23" s="162" t="str">
        <f t="shared" si="5"/>
        <v>FRA</v>
      </c>
      <c r="M23" s="183" t="str">
        <f t="shared" si="6"/>
        <v>USD5x17F_Quote</v>
      </c>
      <c r="N23" s="164">
        <f>IFERROR(_xll.qlQuoteValue(H25,Trigger),"--")</f>
        <v>1.6120000000000002E-2</v>
      </c>
      <c r="O23" s="167"/>
      <c r="P23" s="101" t="b">
        <v>1</v>
      </c>
      <c r="Q23" s="98">
        <v>20</v>
      </c>
      <c r="R23" s="98">
        <v>1</v>
      </c>
      <c r="S23" s="98" t="str">
        <f t="shared" si="7"/>
        <v>obj_00257#0003</v>
      </c>
      <c r="T23" s="102">
        <f>IFERROR(_xll.qlRateHelperEarliestDate(S23,Trigger),"--")</f>
        <v>42794</v>
      </c>
      <c r="U23" s="102">
        <f>IFERROR(_xll.qlRateHelperPillarDate(S23,Trigger),"--")</f>
        <v>43159</v>
      </c>
      <c r="W23" s="3" t="str">
        <f t="shared" si="1"/>
        <v>BasSw</v>
      </c>
      <c r="X23" s="3" t="str">
        <v>obj_002cd</v>
      </c>
      <c r="Y23" s="3" t="str">
        <f>IFERROR(_xll.qlRateHelperQuoteName(X23,Trigger),"")</f>
        <v>USDAM3L7Y_S12L3L_Quote</v>
      </c>
      <c r="Z23" s="70">
        <f>IFERROR(_xll.qlRateHelperRate(X23,Trigger),"")</f>
        <v>1.7640006897882865E-2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42643</v>
      </c>
      <c r="AC23" s="4">
        <f>IFERROR(_xll.qlRateHelperPillarDate(X23,Trigger),"")</f>
        <v>45198</v>
      </c>
      <c r="AD23" s="76">
        <v>0.88312663329764296</v>
      </c>
    </row>
    <row r="24" spans="1:30" ht="11.25" customHeight="1" x14ac:dyDescent="0.2">
      <c r="A24" s="60" t="s">
        <v>122</v>
      </c>
      <c r="B24" s="116">
        <v>4</v>
      </c>
      <c r="C24" s="64" t="str">
        <f t="shared" si="10"/>
        <v>x16F</v>
      </c>
      <c r="D24" s="125"/>
      <c r="E24" s="125"/>
      <c r="F24" s="125"/>
      <c r="G24" s="62" t="str">
        <f t="shared" si="8"/>
        <v>UsdLibor1Y</v>
      </c>
      <c r="H24" s="119" t="str">
        <f t="shared" si="9"/>
        <v>USD4x16F_Quote</v>
      </c>
      <c r="I24" s="125"/>
      <c r="J24" s="175" t="str">
        <f>IF(P22,_xll.qlFraRateHelper(,H24,B24&amp;"M",G24,PillarDate,,Permanent,Trigger,ObjectOverwrite),"--")</f>
        <v>obj_0025b#0003</v>
      </c>
      <c r="K24" s="50"/>
      <c r="L24" s="162" t="str">
        <f t="shared" si="5"/>
        <v>FRA</v>
      </c>
      <c r="M24" s="183" t="str">
        <f t="shared" si="6"/>
        <v>USD6x18F_Quote</v>
      </c>
      <c r="N24" s="164">
        <f>IFERROR(_xll.qlQuoteValue(H26,Trigger),"--")</f>
        <v>1.5980000000000001E-2</v>
      </c>
      <c r="O24" s="167"/>
      <c r="P24" s="101" t="b">
        <v>1</v>
      </c>
      <c r="Q24" s="98">
        <v>20</v>
      </c>
      <c r="R24" s="98">
        <v>1</v>
      </c>
      <c r="S24" s="98" t="str">
        <f t="shared" si="7"/>
        <v>obj_0025e#0003</v>
      </c>
      <c r="T24" s="102">
        <f>IFERROR(_xll.qlRateHelperEarliestDate(S24,Trigger),"--")</f>
        <v>42825</v>
      </c>
      <c r="U24" s="102">
        <f>IFERROR(_xll.qlRateHelperPillarDate(S24,Trigger),"--")</f>
        <v>43188</v>
      </c>
      <c r="W24" s="3" t="str">
        <f t="shared" si="1"/>
        <v>BasSw</v>
      </c>
      <c r="X24" s="3" t="str">
        <v>obj_002bf</v>
      </c>
      <c r="Y24" s="3" t="str">
        <f>IFERROR(_xll.qlRateHelperQuoteName(X24,Trigger),"")</f>
        <v>USDAM3L8Y_S12L3L_Quote</v>
      </c>
      <c r="Z24" s="70">
        <f>IFERROR(_xll.qlRateHelperRate(X24,Trigger),"")</f>
        <v>1.804276012708439E-2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42643</v>
      </c>
      <c r="AC24" s="4">
        <f>IFERROR(_xll.qlRateHelperPillarDate(X24,Trigger),"")</f>
        <v>45565</v>
      </c>
      <c r="AD24" s="76">
        <v>0.86463832574063648</v>
      </c>
    </row>
    <row r="25" spans="1:30" ht="11.25" customHeight="1" x14ac:dyDescent="0.2">
      <c r="A25" s="60" t="s">
        <v>122</v>
      </c>
      <c r="B25" s="116">
        <v>5</v>
      </c>
      <c r="C25" s="64" t="str">
        <f t="shared" si="10"/>
        <v>x17F</v>
      </c>
      <c r="D25" s="125"/>
      <c r="E25" s="125"/>
      <c r="F25" s="125"/>
      <c r="G25" s="62" t="str">
        <f t="shared" si="8"/>
        <v>UsdLibor1Y</v>
      </c>
      <c r="H25" s="119" t="str">
        <f t="shared" si="9"/>
        <v>USD5x17F_Quote</v>
      </c>
      <c r="I25" s="125"/>
      <c r="J25" s="175" t="str">
        <f>IF(P23,_xll.qlFraRateHelper(,H25,B25&amp;"M",G25,PillarDate,,Permanent,Trigger,ObjectOverwrite),"--")</f>
        <v>obj_00257#0003</v>
      </c>
      <c r="K25" s="50"/>
      <c r="L25" s="162" t="str">
        <f t="shared" si="5"/>
        <v>FRA</v>
      </c>
      <c r="M25" s="183" t="str">
        <f t="shared" si="6"/>
        <v>USD7x19F_Quote</v>
      </c>
      <c r="N25" s="164" t="str">
        <f>IFERROR(_xll.qlQuoteValue(H27,Trigger),"--")</f>
        <v>--</v>
      </c>
      <c r="O25" s="167"/>
      <c r="P25" s="101" t="b">
        <v>0</v>
      </c>
      <c r="Q25" s="98">
        <v>20</v>
      </c>
      <c r="R25" s="98">
        <v>1</v>
      </c>
      <c r="S25" s="98" t="str">
        <f t="shared" si="7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 t="shared" si="1"/>
        <v>BasSw</v>
      </c>
      <c r="X25" s="3" t="str">
        <v>obj_002ac</v>
      </c>
      <c r="Y25" s="3" t="str">
        <f>IFERROR(_xll.qlRateHelperQuoteName(X25,Trigger),"")</f>
        <v>USDAM3L9Y_S12L3L_Quote</v>
      </c>
      <c r="Z25" s="70">
        <f>IFERROR(_xll.qlRateHelperRate(X25,Trigger),"")</f>
        <v>1.8408129298755141E-2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42643</v>
      </c>
      <c r="AC25" s="4">
        <f>IFERROR(_xll.qlRateHelperPillarDate(X25,Trigger),"")</f>
        <v>45930</v>
      </c>
      <c r="AD25" s="76">
        <v>0.84619874293786246</v>
      </c>
    </row>
    <row r="26" spans="1:30" ht="11.25" customHeight="1" x14ac:dyDescent="0.2">
      <c r="A26" s="60" t="s">
        <v>122</v>
      </c>
      <c r="B26" s="116">
        <v>6</v>
      </c>
      <c r="C26" s="64" t="str">
        <f t="shared" si="10"/>
        <v>x18F</v>
      </c>
      <c r="D26" s="125"/>
      <c r="E26" s="125"/>
      <c r="F26" s="125"/>
      <c r="G26" s="62" t="str">
        <f t="shared" si="8"/>
        <v>UsdLibor1Y</v>
      </c>
      <c r="H26" s="119" t="str">
        <f t="shared" si="9"/>
        <v>USD6x18F_Quote</v>
      </c>
      <c r="I26" s="125"/>
      <c r="J26" s="175" t="str">
        <f>IF(P24,_xll.qlFraRateHelper(,H26,B26&amp;"M",G26,PillarDate,,Permanent,Trigger,ObjectOverwrite),"--")</f>
        <v>obj_0025e#0003</v>
      </c>
      <c r="K26" s="50"/>
      <c r="L26" s="162" t="str">
        <f t="shared" si="5"/>
        <v>FRA</v>
      </c>
      <c r="M26" s="183" t="str">
        <f t="shared" si="6"/>
        <v>USD8x20F_Quote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7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obj_002ca</v>
      </c>
      <c r="Y26" s="3" t="str">
        <f>IFERROR(_xll.qlRateHelperQuoteName(X26,Trigger),"")</f>
        <v>USDAM3L10Y_S12L3L_Quote</v>
      </c>
      <c r="Z26" s="70">
        <f>IFERROR(_xll.qlRateHelperRate(X26,Trigger),"")</f>
        <v>1.8768484979358721E-2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42643</v>
      </c>
      <c r="AC26" s="4">
        <f>IFERROR(_xll.qlRateHelperPillarDate(X26,Trigger),"")</f>
        <v>46295</v>
      </c>
      <c r="AD26" s="76">
        <v>0.82755461519187701</v>
      </c>
    </row>
    <row r="27" spans="1:30" ht="11.25" customHeight="1" x14ac:dyDescent="0.2">
      <c r="A27" s="60" t="s">
        <v>122</v>
      </c>
      <c r="B27" s="116">
        <v>7</v>
      </c>
      <c r="C27" s="64" t="str">
        <f t="shared" si="10"/>
        <v>x19F</v>
      </c>
      <c r="D27" s="125"/>
      <c r="E27" s="125"/>
      <c r="F27" s="125"/>
      <c r="G27" s="62" t="str">
        <f t="shared" si="8"/>
        <v>UsdLibor1Y</v>
      </c>
      <c r="H27" s="119" t="str">
        <f t="shared" si="9"/>
        <v>USD7x19F_Quote</v>
      </c>
      <c r="I27" s="125"/>
      <c r="J27" s="175" t="str">
        <f>IF(P25,_xll.qlFraRateHelper(,H27,B27&amp;"M",G27,PillarDate,,Permanent,Trigger,ObjectOverwrite),"--")</f>
        <v>--</v>
      </c>
      <c r="K27" s="50"/>
      <c r="L27" s="162" t="str">
        <f t="shared" si="5"/>
        <v>FRA</v>
      </c>
      <c r="M27" s="183" t="str">
        <f t="shared" si="6"/>
        <v>USD9x21F_Quote</v>
      </c>
      <c r="N27" s="164">
        <f>IFERROR(_xll.qlQuoteValue(H29,Trigger),"--")</f>
        <v>1.5900000000000001E-2</v>
      </c>
      <c r="O27" s="167"/>
      <c r="P27" s="101" t="b">
        <v>1</v>
      </c>
      <c r="Q27" s="98">
        <v>20</v>
      </c>
      <c r="R27" s="98">
        <v>1</v>
      </c>
      <c r="S27" s="98" t="str">
        <f t="shared" si="7"/>
        <v>obj_00266#0003</v>
      </c>
      <c r="T27" s="102">
        <f>IFERROR(_xll.qlRateHelperEarliestDate(S27,Trigger),"--")</f>
        <v>42916</v>
      </c>
      <c r="U27" s="102">
        <f>IFERROR(_xll.qlRateHelperPillarDate(S27,Trigger),"--")</f>
        <v>43280</v>
      </c>
      <c r="W27" s="3" t="str">
        <f t="shared" si="1"/>
        <v>BasSw</v>
      </c>
      <c r="X27" s="3" t="str">
        <v>obj_0029b</v>
      </c>
      <c r="Y27" s="3" t="str">
        <f>IFERROR(_xll.qlRateHelperQuoteName(X27,Trigger),"")</f>
        <v>USDAM3L11Y_S12L3L_Quote</v>
      </c>
      <c r="Z27" s="70">
        <f>IFERROR(_xll.qlRateHelperRate(X27,Trigger),"")</f>
        <v>1.9074812897416155E-2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42643</v>
      </c>
      <c r="AC27" s="4">
        <f>IFERROR(_xll.qlRateHelperPillarDate(X27,Trigger),"")</f>
        <v>46660</v>
      </c>
      <c r="AD27" s="76">
        <v>0.80920550148124193</v>
      </c>
    </row>
    <row r="28" spans="1:30" ht="11.25" customHeight="1" x14ac:dyDescent="0.2">
      <c r="A28" s="60" t="s">
        <v>122</v>
      </c>
      <c r="B28" s="116">
        <v>8</v>
      </c>
      <c r="C28" s="64" t="str">
        <f t="shared" si="10"/>
        <v>x20F</v>
      </c>
      <c r="D28" s="125"/>
      <c r="E28" s="125"/>
      <c r="F28" s="125"/>
      <c r="G28" s="62" t="str">
        <f t="shared" si="8"/>
        <v>UsdLibor1Y</v>
      </c>
      <c r="H28" s="119" t="str">
        <f t="shared" si="9"/>
        <v>USD8x20F_Quote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si="5"/>
        <v>FRA</v>
      </c>
      <c r="M28" s="183" t="str">
        <f t="shared" si="6"/>
        <v>USD10x22F_Quote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7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obj_002d5</v>
      </c>
      <c r="Y28" s="3" t="str">
        <f>IFERROR(_xll.qlRateHelperQuoteName(X28,Trigger),"")</f>
        <v>USDAM3L12Y_S12L3L_Quote</v>
      </c>
      <c r="Z28" s="70">
        <f>IFERROR(_xll.qlRateHelperRate(X28,Trigger),"")</f>
        <v>1.9334268527885327E-2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42643</v>
      </c>
      <c r="AC28" s="4">
        <f>IFERROR(_xll.qlRateHelperPillarDate(X28,Trigger),"")</f>
        <v>47025</v>
      </c>
      <c r="AD28" s="76">
        <v>0.79121402807842511</v>
      </c>
    </row>
    <row r="29" spans="1:30" ht="11.25" customHeight="1" x14ac:dyDescent="0.2">
      <c r="A29" s="60" t="s">
        <v>122</v>
      </c>
      <c r="B29" s="116">
        <v>9</v>
      </c>
      <c r="C29" s="64" t="str">
        <f t="shared" si="10"/>
        <v>x21F</v>
      </c>
      <c r="D29" s="125"/>
      <c r="E29" s="125"/>
      <c r="F29" s="125"/>
      <c r="G29" s="62" t="str">
        <f t="shared" si="8"/>
        <v>UsdLibor1Y</v>
      </c>
      <c r="H29" s="119" t="str">
        <f t="shared" si="9"/>
        <v>USD9x21F_Quote</v>
      </c>
      <c r="I29" s="125"/>
      <c r="J29" s="175" t="str">
        <f>IF(P27,_xll.qlFraRateHelper(,H29,B29&amp;"M",G29,PillarDate,,Permanent,Trigger,ObjectOverwrite),"--")</f>
        <v>obj_00266#0003</v>
      </c>
      <c r="K29" s="50"/>
      <c r="L29" s="162" t="str">
        <f t="shared" si="5"/>
        <v>FRA</v>
      </c>
      <c r="M29" s="183" t="str">
        <f t="shared" si="6"/>
        <v>USD11x23F_Quote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7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obj_002b4</v>
      </c>
      <c r="Y29" s="3" t="str">
        <f>IFERROR(_xll.qlRateHelperQuoteName(X29,Trigger),"")</f>
        <v>USDAM3L13Y_S12L3L_Quote</v>
      </c>
      <c r="Z29" s="70">
        <f>IFERROR(_xll.qlRateHelperRate(X29,Trigger),"")</f>
        <v>1.9595353961704635E-2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42643</v>
      </c>
      <c r="AC29" s="4">
        <f>IFERROR(_xll.qlRateHelperPillarDate(X29,Trigger),"")</f>
        <v>47389</v>
      </c>
      <c r="AD29" s="76">
        <v>0.77320848898406569</v>
      </c>
    </row>
    <row r="30" spans="1:30" ht="11.25" customHeight="1" x14ac:dyDescent="0.2">
      <c r="A30" s="60" t="s">
        <v>122</v>
      </c>
      <c r="B30" s="116">
        <v>10</v>
      </c>
      <c r="C30" s="64" t="str">
        <f t="shared" si="10"/>
        <v>x22F</v>
      </c>
      <c r="D30" s="125"/>
      <c r="E30" s="125"/>
      <c r="F30" s="125"/>
      <c r="G30" s="62" t="str">
        <f t="shared" si="8"/>
        <v>UsdLibor1Y</v>
      </c>
      <c r="H30" s="119" t="str">
        <f t="shared" ref="H30:H44" si="11">Currency&amp;B30&amp;C30&amp;QuoteSuffix</f>
        <v>USD10x22F_Quote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2" t="str">
        <f t="shared" si="5"/>
        <v>FRA</v>
      </c>
      <c r="M30" s="183" t="str">
        <f t="shared" si="6"/>
        <v>USD12x24F_Quote</v>
      </c>
      <c r="N30" s="164">
        <f>IFERROR(_xll.qlQuoteValue(H32,Trigger),"--")</f>
        <v>1.5810000000000001E-2</v>
      </c>
      <c r="O30" s="167"/>
      <c r="P30" s="101" t="b">
        <v>1</v>
      </c>
      <c r="Q30" s="98">
        <v>20</v>
      </c>
      <c r="R30" s="98">
        <v>1</v>
      </c>
      <c r="S30" s="98" t="str">
        <f t="shared" si="7"/>
        <v>obj_00258#0003</v>
      </c>
      <c r="T30" s="102">
        <f>IFERROR(_xll.qlRateHelperEarliestDate(S30,Trigger),"--")</f>
        <v>43007</v>
      </c>
      <c r="U30" s="102">
        <f>IFERROR(_xll.qlRateHelperPillarDate(S30,Trigger),"--")</f>
        <v>43371</v>
      </c>
      <c r="W30" s="3" t="str">
        <f t="shared" si="1"/>
        <v>BasSw</v>
      </c>
      <c r="X30" s="3" t="str">
        <v>obj_002cc</v>
      </c>
      <c r="Y30" s="3" t="str">
        <f>IFERROR(_xll.qlRateHelperQuoteName(X30,Trigger),"")</f>
        <v>USDAM3L14Y_S12L3L_Quote</v>
      </c>
      <c r="Z30" s="70">
        <f>IFERROR(_xll.qlRateHelperRate(X30,Trigger),"")</f>
        <v>1.9856618387249215E-2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42643</v>
      </c>
      <c r="AC30" s="4">
        <f>IFERROR(_xll.qlRateHelperPillarDate(X30,Trigger),"")</f>
        <v>47756</v>
      </c>
      <c r="AD30" s="76">
        <v>0.75505580823188667</v>
      </c>
    </row>
    <row r="31" spans="1:30" ht="11.25" customHeight="1" x14ac:dyDescent="0.2">
      <c r="A31" s="60" t="s">
        <v>122</v>
      </c>
      <c r="B31" s="116">
        <v>11</v>
      </c>
      <c r="C31" s="64" t="str">
        <f t="shared" si="10"/>
        <v>x23F</v>
      </c>
      <c r="D31" s="125"/>
      <c r="E31" s="125"/>
      <c r="F31" s="125"/>
      <c r="G31" s="62" t="str">
        <f t="shared" si="8"/>
        <v>UsdLibor1Y</v>
      </c>
      <c r="H31" s="119" t="str">
        <f t="shared" si="11"/>
        <v>USD11x23F_Quote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 t="shared" si="5"/>
        <v>FRA</v>
      </c>
      <c r="M31" s="183" t="str">
        <f t="shared" si="6"/>
        <v>USD13x25F_Quote</v>
      </c>
      <c r="N31" s="164" t="str">
        <f>IFERROR(_xll.qlQuoteValue(H33,Trigger),"--")</f>
        <v>--</v>
      </c>
      <c r="O31" s="167"/>
      <c r="P31" s="101" t="b">
        <v>0</v>
      </c>
      <c r="Q31" s="98">
        <v>40</v>
      </c>
      <c r="R31" s="98">
        <v>1</v>
      </c>
      <c r="S31" s="98" t="str">
        <f t="shared" si="7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obj_002d4</v>
      </c>
      <c r="Y31" s="3" t="str">
        <f>IFERROR(_xll.qlRateHelperQuoteName(X31,Trigger),"")</f>
        <v>USDAM3L15Y_S12L3L_Quote</v>
      </c>
      <c r="Z31" s="70">
        <f>IFERROR(_xll.qlRateHelperRate(X31,Trigger),"")</f>
        <v>2.0082098105606887E-2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42643</v>
      </c>
      <c r="AC31" s="4">
        <f>IFERROR(_xll.qlRateHelperPillarDate(X31,Trigger),"")</f>
        <v>48121</v>
      </c>
      <c r="AD31" s="76">
        <v>0.7374137349234916</v>
      </c>
    </row>
    <row r="32" spans="1:30" ht="11.25" customHeight="1" x14ac:dyDescent="0.2">
      <c r="A32" s="60" t="s">
        <v>122</v>
      </c>
      <c r="B32" s="116">
        <v>12</v>
      </c>
      <c r="C32" s="64" t="str">
        <f t="shared" si="10"/>
        <v>x24F</v>
      </c>
      <c r="D32" s="125"/>
      <c r="E32" s="125"/>
      <c r="F32" s="125"/>
      <c r="G32" s="62" t="str">
        <f t="shared" si="8"/>
        <v>UsdLibor1Y</v>
      </c>
      <c r="H32" s="119" t="str">
        <f t="shared" si="11"/>
        <v>USD12x24F_Quote</v>
      </c>
      <c r="I32" s="125"/>
      <c r="J32" s="175" t="str">
        <f>IF(P30,_xll.qlFraRateHelper(,H32,B32&amp;"M",G32,PillarDate,,Permanent,Trigger,ObjectOverwrite),"--")</f>
        <v>obj_00258#0003</v>
      </c>
      <c r="K32" s="50"/>
      <c r="L32" s="162" t="str">
        <f t="shared" si="5"/>
        <v>FRA</v>
      </c>
      <c r="M32" s="183" t="str">
        <f t="shared" si="6"/>
        <v>USD14x26F_Quote</v>
      </c>
      <c r="N32" s="164" t="str">
        <f>IFERROR(_xll.qlQuoteValue(H34,Trigger),"--")</f>
        <v>--</v>
      </c>
      <c r="O32" s="167"/>
      <c r="P32" s="101" t="b">
        <v>0</v>
      </c>
      <c r="Q32" s="98">
        <v>40</v>
      </c>
      <c r="R32" s="98">
        <v>1</v>
      </c>
      <c r="S32" s="98" t="str">
        <f t="shared" si="7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>BasSw</v>
      </c>
      <c r="X32" s="3" t="str">
        <v>obj_002e0</v>
      </c>
      <c r="Y32" s="3" t="str">
        <f>IFERROR(_xll.qlRateHelperQuoteName(X32,Trigger),"")</f>
        <v>USDAM3L20Y_S12L3L_Quote</v>
      </c>
      <c r="Z32" s="70">
        <f>IFERROR(_xll.qlRateHelperRate(X32,Trigger),"")</f>
        <v>2.0784987685126845E-2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42643</v>
      </c>
      <c r="AC32" s="4">
        <f>IFERROR(_xll.qlRateHelperPillarDate(X32,Trigger),"")</f>
        <v>49948</v>
      </c>
      <c r="AD32" s="76">
        <v>0.65633142271433176</v>
      </c>
    </row>
    <row r="33" spans="1:30" ht="11.25" customHeight="1" x14ac:dyDescent="0.2">
      <c r="A33" s="60" t="s">
        <v>122</v>
      </c>
      <c r="B33" s="116">
        <v>13</v>
      </c>
      <c r="C33" s="64" t="str">
        <f t="shared" si="10"/>
        <v>x25F</v>
      </c>
      <c r="D33" s="125"/>
      <c r="E33" s="125"/>
      <c r="F33" s="125"/>
      <c r="G33" s="62" t="str">
        <f t="shared" si="8"/>
        <v>UsdLibor1Y</v>
      </c>
      <c r="H33" s="119" t="str">
        <f t="shared" si="11"/>
        <v>USD13x25F_Quote</v>
      </c>
      <c r="I33" s="125"/>
      <c r="J33" s="175" t="str">
        <f>IF(P31,_xll.qlFraRateHelper(,H33,B33&amp;"M",G33,PillarDate,,Permanent,Trigger,ObjectOverwrite),"--")</f>
        <v>--</v>
      </c>
      <c r="K33" s="50"/>
      <c r="L33" s="162" t="str">
        <f t="shared" si="5"/>
        <v>FRA</v>
      </c>
      <c r="M33" s="183" t="str">
        <f t="shared" si="6"/>
        <v>USD15x27F_Quote</v>
      </c>
      <c r="N33" s="164">
        <f>IFERROR(_xll.qlQuoteValue(H35,Trigger),"--")</f>
        <v>1.575E-2</v>
      </c>
      <c r="O33" s="167"/>
      <c r="P33" s="101" t="b">
        <v>0</v>
      </c>
      <c r="Q33" s="98">
        <v>40</v>
      </c>
      <c r="R33" s="98">
        <v>1</v>
      </c>
      <c r="S33" s="98" t="str">
        <f t="shared" si="7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 t="shared" si="1"/>
        <v>BasSw</v>
      </c>
      <c r="X33" s="3" t="str">
        <v>obj_002d3</v>
      </c>
      <c r="Y33" s="3" t="str">
        <f>IFERROR(_xll.qlRateHelperQuoteName(X33,Trigger),"")</f>
        <v>USDAM3L25Y_S12L3L_Quote</v>
      </c>
      <c r="Z33" s="70">
        <f>IFERROR(_xll.qlRateHelperRate(X33,Trigger),"")</f>
        <v>2.1079902116867399E-2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42643</v>
      </c>
      <c r="AC33" s="4">
        <f>IFERROR(_xll.qlRateHelperPillarDate(X33,Trigger),"")</f>
        <v>51774</v>
      </c>
      <c r="AD33" s="76">
        <v>0.58630055665531933</v>
      </c>
    </row>
    <row r="34" spans="1:30" ht="11.25" customHeight="1" x14ac:dyDescent="0.2">
      <c r="A34" s="60" t="s">
        <v>122</v>
      </c>
      <c r="B34" s="116">
        <v>14</v>
      </c>
      <c r="C34" s="64" t="str">
        <f t="shared" si="10"/>
        <v>x26F</v>
      </c>
      <c r="D34" s="125"/>
      <c r="E34" s="125"/>
      <c r="F34" s="125"/>
      <c r="G34" s="62" t="str">
        <f t="shared" si="8"/>
        <v>UsdLibor1Y</v>
      </c>
      <c r="H34" s="119" t="str">
        <f t="shared" si="11"/>
        <v>USD14x26F_Quote</v>
      </c>
      <c r="I34" s="125"/>
      <c r="J34" s="175" t="str">
        <f>IF(P32,_xll.qlFraRateHelper(,H34,B34&amp;"M",G34,PillarDate,,Permanent,Trigger,ObjectOverwrite),"--")</f>
        <v>--</v>
      </c>
      <c r="K34" s="50"/>
      <c r="L34" s="162" t="str">
        <f t="shared" si="5"/>
        <v>FRA</v>
      </c>
      <c r="M34" s="183" t="str">
        <f t="shared" si="6"/>
        <v>USD16x28F_Quote</v>
      </c>
      <c r="N34" s="164" t="str">
        <f>IFERROR(_xll.qlQuoteValue(H36,Trigger),"--")</f>
        <v>--</v>
      </c>
      <c r="O34" s="167"/>
      <c r="P34" s="101" t="b">
        <v>0</v>
      </c>
      <c r="Q34" s="98">
        <v>40</v>
      </c>
      <c r="R34" s="98">
        <v>1</v>
      </c>
      <c r="S34" s="98" t="str">
        <f t="shared" si="7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>BasSw</v>
      </c>
      <c r="X34" s="3" t="str">
        <v>obj_002bd</v>
      </c>
      <c r="Y34" s="3" t="str">
        <f>IFERROR(_xll.qlRateHelperQuoteName(X34,Trigger),"")</f>
        <v>USDAM3L30Y_S12L3L_Quote</v>
      </c>
      <c r="Z34" s="70">
        <f>IFERROR(_xll.qlRateHelperRate(X34,Trigger),"")</f>
        <v>2.1157377697731544E-2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42643</v>
      </c>
      <c r="AC34" s="4">
        <f>IFERROR(_xll.qlRateHelperPillarDate(X34,Trigger),"")</f>
        <v>53598</v>
      </c>
      <c r="AD34" s="76">
        <v>0.52603184142237924</v>
      </c>
    </row>
    <row r="35" spans="1:30" ht="11.25" customHeight="1" x14ac:dyDescent="0.2">
      <c r="A35" s="60" t="s">
        <v>122</v>
      </c>
      <c r="B35" s="116">
        <v>15</v>
      </c>
      <c r="C35" s="64" t="str">
        <f t="shared" si="10"/>
        <v>x27F</v>
      </c>
      <c r="D35" s="125"/>
      <c r="E35" s="125"/>
      <c r="F35" s="125"/>
      <c r="G35" s="62" t="str">
        <f t="shared" si="8"/>
        <v>UsdLibor1Y</v>
      </c>
      <c r="H35" s="119" t="str">
        <f t="shared" si="11"/>
        <v>USD15x27F_Quote</v>
      </c>
      <c r="I35" s="125"/>
      <c r="J35" s="175" t="str">
        <f>IF(P33,_xll.qlFraRateHelper(,H35,B35&amp;"M",G35,PillarDate,,Permanent,Trigger,ObjectOverwrite),"--")</f>
        <v>--</v>
      </c>
      <c r="K35" s="50"/>
      <c r="L35" s="162" t="str">
        <f t="shared" si="5"/>
        <v>FRA</v>
      </c>
      <c r="M35" s="183" t="str">
        <f t="shared" si="6"/>
        <v>USD17x29F_Quote</v>
      </c>
      <c r="N35" s="164" t="str">
        <f>IFERROR(_xll.qlQuoteValue(H37,Trigger),"--")</f>
        <v>--</v>
      </c>
      <c r="O35" s="167"/>
      <c r="P35" s="101" t="b">
        <v>0</v>
      </c>
      <c r="Q35" s="98">
        <v>40</v>
      </c>
      <c r="R35" s="98">
        <v>1</v>
      </c>
      <c r="S35" s="98" t="str">
        <f t="shared" si="7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66" si="12">IFERROR(INDEX($L$3:$L$88,MATCH(Y35,$M$3:$M$88,0),1),"")</f>
        <v>BasSw</v>
      </c>
      <c r="X35" s="3" t="str">
        <v>obj_002d7</v>
      </c>
      <c r="Y35" s="3" t="str">
        <f>IFERROR(_xll.qlRateHelperQuoteName(X35,Trigger),"")</f>
        <v>USDAM3L35Y_S12L3L_Quote</v>
      </c>
      <c r="Z35" s="70">
        <f>IFERROR(_xll.qlRateHelperRate(X35,Trigger),"")</f>
        <v>2.1245706499034196E-2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42643</v>
      </c>
      <c r="AC35" s="4">
        <f>IFERROR(_xll.qlRateHelperPillarDate(X35,Trigger),"")</f>
        <v>55425</v>
      </c>
      <c r="AD35" s="76">
        <v>0.47119095083933515</v>
      </c>
    </row>
    <row r="36" spans="1:30" ht="11.25" customHeight="1" x14ac:dyDescent="0.2">
      <c r="A36" s="60" t="s">
        <v>122</v>
      </c>
      <c r="B36" s="116">
        <v>16</v>
      </c>
      <c r="C36" s="64" t="str">
        <f t="shared" si="10"/>
        <v>x28F</v>
      </c>
      <c r="D36" s="125"/>
      <c r="E36" s="125"/>
      <c r="F36" s="125"/>
      <c r="G36" s="62" t="str">
        <f t="shared" si="8"/>
        <v>UsdLibor1Y</v>
      </c>
      <c r="H36" s="119" t="str">
        <f t="shared" si="11"/>
        <v>USD16x28F_Quote</v>
      </c>
      <c r="I36" s="125"/>
      <c r="J36" s="175" t="str">
        <f>IF(P34,_xll.qlFraRateHelper(,H36,B36&amp;"M",G36,PillarDate,,Permanent,Trigger,ObjectOverwrite),"--")</f>
        <v>--</v>
      </c>
      <c r="K36" s="50"/>
      <c r="L36" s="162" t="str">
        <f t="shared" si="5"/>
        <v>FRA</v>
      </c>
      <c r="M36" s="183" t="str">
        <f t="shared" si="6"/>
        <v>USD18x30F_Quote</v>
      </c>
      <c r="N36" s="164">
        <f>IFERROR(_xll.qlQuoteValue(H38,Trigger),"--")</f>
        <v>1.5670000000000003E-2</v>
      </c>
      <c r="O36" s="167"/>
      <c r="P36" s="101" t="b">
        <v>0</v>
      </c>
      <c r="Q36" s="98">
        <v>40</v>
      </c>
      <c r="R36" s="98">
        <v>1</v>
      </c>
      <c r="S36" s="98" t="str">
        <f t="shared" si="7"/>
        <v>--</v>
      </c>
      <c r="T36" s="102" t="str">
        <f>IFERROR(_xll.qlRateHelperEarliestDate(S36,Trigger),"--")</f>
        <v>--</v>
      </c>
      <c r="U36" s="102" t="str">
        <f>IFERROR(_xll.qlRateHelperPillarDate(S36,Trigger),"--")</f>
        <v>--</v>
      </c>
      <c r="W36" s="3" t="str">
        <f t="shared" si="12"/>
        <v>BasSw</v>
      </c>
      <c r="X36" s="3" t="str">
        <v>obj_002a1</v>
      </c>
      <c r="Y36" s="3" t="str">
        <f>IFERROR(_xll.qlRateHelperQuoteName(X36,Trigger),"")</f>
        <v>USDAM3L40Y_S12L3L_Quote</v>
      </c>
      <c r="Z36" s="70">
        <f>IFERROR(_xll.qlRateHelperRate(X36,Trigger),"")</f>
        <v>2.1258877054639493E-2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42643</v>
      </c>
      <c r="AC36" s="4">
        <f>IFERROR(_xll.qlRateHelperPillarDate(X36,Trigger),"")</f>
        <v>57252</v>
      </c>
      <c r="AD36" s="76">
        <v>0.42323284854841947</v>
      </c>
    </row>
    <row r="37" spans="1:30" ht="11.25" customHeight="1" x14ac:dyDescent="0.2">
      <c r="A37" s="60" t="s">
        <v>122</v>
      </c>
      <c r="B37" s="116">
        <v>17</v>
      </c>
      <c r="C37" s="64" t="str">
        <f t="shared" si="10"/>
        <v>x29F</v>
      </c>
      <c r="D37" s="125"/>
      <c r="E37" s="125"/>
      <c r="F37" s="125"/>
      <c r="G37" s="62" t="str">
        <f t="shared" si="8"/>
        <v>UsdLibor1Y</v>
      </c>
      <c r="H37" s="119" t="str">
        <f t="shared" si="11"/>
        <v>USD17x29F_Quote</v>
      </c>
      <c r="I37" s="125"/>
      <c r="J37" s="175" t="str">
        <f>IF(P35,_xll.qlFraRateHelper(,H37,B37&amp;"M",G37,PillarDate,,Permanent,Trigger,ObjectOverwrite),"--")</f>
        <v>--</v>
      </c>
      <c r="K37" s="50"/>
      <c r="L37" s="162" t="str">
        <f t="shared" si="5"/>
        <v>FRA</v>
      </c>
      <c r="M37" s="183" t="str">
        <f t="shared" si="6"/>
        <v>USD19x31F_Quote</v>
      </c>
      <c r="N37" s="164" t="str">
        <f>IFERROR(_xll.qlQuoteValue(H39,Trigger),"--")</f>
        <v>--</v>
      </c>
      <c r="O37" s="167"/>
      <c r="P37" s="101" t="b">
        <v>0</v>
      </c>
      <c r="Q37" s="98">
        <v>40</v>
      </c>
      <c r="R37" s="98">
        <v>1</v>
      </c>
      <c r="S37" s="98" t="str">
        <f t="shared" si="7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2"/>
        <v>BasSw</v>
      </c>
      <c r="X37" s="3" t="str">
        <v>obj_002ae</v>
      </c>
      <c r="Y37" s="3" t="str">
        <f>IFERROR(_xll.qlRateHelperQuoteName(X37,Trigger),"")</f>
        <v>USDAM3L50Y_S12L3L_Quote</v>
      </c>
      <c r="Z37" s="70">
        <f>IFERROR(_xll.qlRateHelperRate(X37,Trigger),"")</f>
        <v>2.1211885722762447E-2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42643</v>
      </c>
      <c r="AC37" s="4">
        <f>IFERROR(_xll.qlRateHelperPillarDate(X37,Trigger),"")</f>
        <v>60905</v>
      </c>
      <c r="AD37" s="76">
        <v>0.3429813974426506</v>
      </c>
    </row>
    <row r="38" spans="1:30" ht="11.25" customHeight="1" x14ac:dyDescent="0.2">
      <c r="A38" s="60" t="s">
        <v>122</v>
      </c>
      <c r="B38" s="116">
        <v>18</v>
      </c>
      <c r="C38" s="64" t="str">
        <f t="shared" si="10"/>
        <v>x30F</v>
      </c>
      <c r="D38" s="125"/>
      <c r="E38" s="125"/>
      <c r="F38" s="125"/>
      <c r="G38" s="62" t="str">
        <f t="shared" si="8"/>
        <v>UsdLibor1Y</v>
      </c>
      <c r="H38" s="119" t="str">
        <f t="shared" si="11"/>
        <v>USD18x30F_Quote</v>
      </c>
      <c r="I38" s="125"/>
      <c r="J38" s="175" t="str">
        <f>IF(P36,_xll.qlFraRateHelper(,H38,B38&amp;"M",G38,PillarDate,,Permanent,Trigger,ObjectOverwrite),"--")</f>
        <v>--</v>
      </c>
      <c r="K38" s="50"/>
      <c r="L38" s="162" t="str">
        <f t="shared" si="5"/>
        <v>FRA</v>
      </c>
      <c r="M38" s="183" t="str">
        <f t="shared" si="6"/>
        <v>USD20x32F_Quote</v>
      </c>
      <c r="N38" s="164" t="str">
        <f>IFERROR(_xll.qlQuoteValue(H40,Trigger),"--")</f>
        <v>--</v>
      </c>
      <c r="O38" s="167"/>
      <c r="P38" s="101" t="b">
        <v>0</v>
      </c>
      <c r="Q38" s="98">
        <v>40</v>
      </c>
      <c r="R38" s="98">
        <v>1</v>
      </c>
      <c r="S38" s="98" t="str">
        <f t="shared" si="7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2"/>
        <v>BasSw</v>
      </c>
      <c r="X38" s="3" t="str">
        <v>obj_002aa</v>
      </c>
      <c r="Y38" s="3" t="str">
        <f>IFERROR(_xll.qlRateHelperQuoteName(X38,Trigger),"")</f>
        <v>USDAM3L60Y_S12L3L_Quote</v>
      </c>
      <c r="Z38" s="70">
        <f>IFERROR(_xll.qlRateHelperRate(X38,Trigger),"")</f>
        <v>2.116385498250407E-2</v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42643</v>
      </c>
      <c r="AC38" s="4">
        <f>IFERROR(_xll.qlRateHelperPillarDate(X38,Trigger),"")</f>
        <v>64558</v>
      </c>
      <c r="AD38" s="76">
        <v>0.2783385228539702</v>
      </c>
    </row>
    <row r="39" spans="1:30" ht="11.25" customHeight="1" x14ac:dyDescent="0.2">
      <c r="A39" s="60" t="s">
        <v>122</v>
      </c>
      <c r="B39" s="116">
        <v>19</v>
      </c>
      <c r="C39" s="64" t="str">
        <f t="shared" si="10"/>
        <v>x31F</v>
      </c>
      <c r="D39" s="125"/>
      <c r="E39" s="125"/>
      <c r="F39" s="125"/>
      <c r="G39" s="62" t="str">
        <f t="shared" si="8"/>
        <v>UsdLibor1Y</v>
      </c>
      <c r="H39" s="119" t="str">
        <f t="shared" si="11"/>
        <v>USD19x31F_Quote</v>
      </c>
      <c r="I39" s="125"/>
      <c r="J39" s="175" t="str">
        <f>IF(P37,_xll.qlFraRateHelper(,H39,B39&amp;"M",G39,PillarDate,,Permanent,Trigger,ObjectOverwrite),"--")</f>
        <v>--</v>
      </c>
      <c r="K39" s="50"/>
      <c r="L39" s="162" t="str">
        <f t="shared" si="5"/>
        <v>FRA</v>
      </c>
      <c r="M39" s="183" t="str">
        <f t="shared" si="6"/>
        <v>USD21x33F_Quote</v>
      </c>
      <c r="N39" s="164">
        <f>IFERROR(_xll.qlQuoteValue(H41,Trigger),"--")</f>
        <v>1.609E-2</v>
      </c>
      <c r="O39" s="167"/>
      <c r="P39" s="101" t="b">
        <v>0</v>
      </c>
      <c r="Q39" s="98">
        <v>40</v>
      </c>
      <c r="R39" s="98">
        <v>1</v>
      </c>
      <c r="S39" s="98" t="str">
        <f t="shared" si="7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2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122</v>
      </c>
      <c r="B40" s="116">
        <v>20</v>
      </c>
      <c r="C40" s="64" t="str">
        <f t="shared" si="10"/>
        <v>x32F</v>
      </c>
      <c r="D40" s="125"/>
      <c r="E40" s="125"/>
      <c r="F40" s="125"/>
      <c r="G40" s="62" t="str">
        <f t="shared" si="8"/>
        <v>UsdLibor1Y</v>
      </c>
      <c r="H40" s="119" t="str">
        <f t="shared" si="11"/>
        <v>USD20x32F_Quote</v>
      </c>
      <c r="I40" s="125"/>
      <c r="J40" s="175" t="str">
        <f>IF(P38,_xll.qlFraRateHelper(,H40,B40&amp;"M",G40,PillarDate,,Permanent,Trigger,ObjectOverwrite),"--")</f>
        <v>--</v>
      </c>
      <c r="K40" s="50"/>
      <c r="L40" s="162" t="str">
        <f t="shared" si="5"/>
        <v>FRA</v>
      </c>
      <c r="M40" s="183" t="str">
        <f t="shared" si="6"/>
        <v>USD22x34F_Quote</v>
      </c>
      <c r="N40" s="164" t="str">
        <f>IFERROR(_xll.qlQuoteValue(H42,Trigger),"--")</f>
        <v>--</v>
      </c>
      <c r="O40" s="167"/>
      <c r="P40" s="101" t="b">
        <v>0</v>
      </c>
      <c r="Q40" s="98">
        <v>40</v>
      </c>
      <c r="R40" s="98">
        <v>1</v>
      </c>
      <c r="S40" s="98" t="str">
        <f t="shared" si="7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2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122</v>
      </c>
      <c r="B41" s="116">
        <v>21</v>
      </c>
      <c r="C41" s="64" t="str">
        <f t="shared" si="10"/>
        <v>x33F</v>
      </c>
      <c r="D41" s="125"/>
      <c r="E41" s="125"/>
      <c r="F41" s="125"/>
      <c r="G41" s="62" t="str">
        <f t="shared" si="8"/>
        <v>UsdLibor1Y</v>
      </c>
      <c r="H41" s="119" t="str">
        <f t="shared" si="11"/>
        <v>USD21x33F_Quote</v>
      </c>
      <c r="I41" s="125"/>
      <c r="J41" s="175" t="str">
        <f>IF(P39,_xll.qlFraRateHelper(,H41,B41&amp;"M",G41,PillarDate,,Permanent,Trigger,ObjectOverwrite),"--")</f>
        <v>--</v>
      </c>
      <c r="L41" s="162" t="str">
        <f t="shared" si="5"/>
        <v>FRA</v>
      </c>
      <c r="M41" s="183" t="str">
        <f t="shared" si="6"/>
        <v>USD23x35F_Quote</v>
      </c>
      <c r="N41" s="164" t="str">
        <f>IFERROR(_xll.qlQuoteValue(H43,Trigger),"--")</f>
        <v>--</v>
      </c>
      <c r="O41" s="167"/>
      <c r="P41" s="101" t="b">
        <v>0</v>
      </c>
      <c r="Q41" s="98">
        <v>40</v>
      </c>
      <c r="R41" s="98">
        <v>1</v>
      </c>
      <c r="S41" s="98" t="str">
        <f t="shared" si="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12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122</v>
      </c>
      <c r="B42" s="116">
        <v>22</v>
      </c>
      <c r="C42" s="64" t="str">
        <f t="shared" si="10"/>
        <v>x34F</v>
      </c>
      <c r="D42" s="125"/>
      <c r="E42" s="125"/>
      <c r="F42" s="125"/>
      <c r="G42" s="62" t="str">
        <f t="shared" si="8"/>
        <v>UsdLibor1Y</v>
      </c>
      <c r="H42" s="119" t="str">
        <f t="shared" si="11"/>
        <v>USD22x34F_Quote</v>
      </c>
      <c r="I42" s="125"/>
      <c r="J42" s="175" t="str">
        <f>IF(P40,_xll.qlFraRateHelper(,H42,B42&amp;"M",G42,PillarDate,,Permanent,Trigger,ObjectOverwrite),"--")</f>
        <v>--</v>
      </c>
      <c r="L42" s="168" t="str">
        <f t="shared" si="5"/>
        <v>FRA</v>
      </c>
      <c r="M42" s="184" t="str">
        <f t="shared" si="6"/>
        <v>USD24x36F_Quote</v>
      </c>
      <c r="N42" s="170">
        <f>IFERROR(_xll.qlQuoteValue(H44,Trigger),"--")</f>
        <v>1.651E-2</v>
      </c>
      <c r="O42" s="171"/>
      <c r="P42" s="103" t="b">
        <v>0</v>
      </c>
      <c r="Q42" s="99">
        <v>40</v>
      </c>
      <c r="R42" s="99">
        <v>1</v>
      </c>
      <c r="S42" s="99" t="str">
        <f t="shared" si="7"/>
        <v>--</v>
      </c>
      <c r="T42" s="104" t="str">
        <f>IFERROR(_xll.qlRateHelperEarliestDate(S42,Trigger),"--")</f>
        <v>--</v>
      </c>
      <c r="U42" s="104" t="str">
        <f>IFERROR(_xll.qlRateHelperPillarDate(S42,Trigger),"--")</f>
        <v>--</v>
      </c>
      <c r="W42" s="3" t="str">
        <f t="shared" si="12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122</v>
      </c>
      <c r="B43" s="116">
        <v>23</v>
      </c>
      <c r="C43" s="64" t="str">
        <f t="shared" si="10"/>
        <v>x35F</v>
      </c>
      <c r="D43" s="125"/>
      <c r="E43" s="125"/>
      <c r="F43" s="125"/>
      <c r="G43" s="62" t="str">
        <f t="shared" si="8"/>
        <v>UsdLibor1Y</v>
      </c>
      <c r="H43" s="119" t="str">
        <f t="shared" si="11"/>
        <v>USD23x35F_Quote</v>
      </c>
      <c r="I43" s="125"/>
      <c r="J43" s="175" t="str">
        <f>IF(P41,_xll.qlFraRateHelper(,H43,B43&amp;"M",G43,PillarDate,,Permanent,Trigger,ObjectOverwrite),"--")</f>
        <v>--</v>
      </c>
      <c r="L43" s="180" t="str">
        <f>A47</f>
        <v>BasSw</v>
      </c>
      <c r="M43" s="188" t="str">
        <f>H47</f>
        <v>USDAM3L1Y_S12L3L_Quote</v>
      </c>
      <c r="N43" s="182">
        <f>IFERROR(_xll.qlQuoteValue(H47,Trigger),"--")</f>
        <v>1.5476665530427069E-2</v>
      </c>
      <c r="O43" s="182">
        <f>I47</f>
        <v>0</v>
      </c>
      <c r="P43" s="134" t="b">
        <v>0</v>
      </c>
      <c r="Q43" s="133">
        <v>40</v>
      </c>
      <c r="R43" s="133">
        <v>1</v>
      </c>
      <c r="S43" s="133" t="str">
        <f>J47</f>
        <v>--</v>
      </c>
      <c r="T43" s="135" t="str">
        <f>IFERROR(_xll.qlRateHelperEarliestDate(S43,Trigger),"--")</f>
        <v>--</v>
      </c>
      <c r="U43" s="135" t="str">
        <f>IFERROR(_xll.qlRateHelperPillarDate(S43,Trigger),"--")</f>
        <v>--</v>
      </c>
      <c r="W43" s="3" t="str">
        <f t="shared" si="12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1" t="s">
        <v>122</v>
      </c>
      <c r="B44" s="117">
        <v>24</v>
      </c>
      <c r="C44" s="9" t="str">
        <f t="shared" si="10"/>
        <v>x36F</v>
      </c>
      <c r="D44" s="126"/>
      <c r="E44" s="126"/>
      <c r="F44" s="126"/>
      <c r="G44" s="6" t="str">
        <f t="shared" si="8"/>
        <v>UsdLibor1Y</v>
      </c>
      <c r="H44" s="120" t="str">
        <f t="shared" si="11"/>
        <v>USD24x36F_Quote</v>
      </c>
      <c r="I44" s="126"/>
      <c r="J44" s="174" t="str">
        <f>IF(P42,_xll.qlFraRateHelper(,H44,B44&amp;"M",G44,PillarDate,,Permanent,Trigger,ObjectOverwrite),"--")</f>
        <v>--</v>
      </c>
      <c r="L44" s="162" t="str">
        <f t="shared" ref="L44:L78" si="13">A48</f>
        <v>BasSw</v>
      </c>
      <c r="M44" s="183" t="str">
        <f t="shared" ref="M44:M78" si="14">H48</f>
        <v>USDAM3L2Y_S12L3L_Quote</v>
      </c>
      <c r="N44" s="164">
        <f>IFERROR(_xll.qlQuoteValue(H48,Trigger),"--")</f>
        <v>1.5899883284887763E-2</v>
      </c>
      <c r="O44" s="164">
        <f t="shared" ref="O44:O78" si="15">I48</f>
        <v>0</v>
      </c>
      <c r="P44" s="101" t="b">
        <v>1</v>
      </c>
      <c r="Q44" s="98">
        <v>40</v>
      </c>
      <c r="R44" s="98">
        <v>7</v>
      </c>
      <c r="S44" s="98" t="str">
        <f t="shared" ref="S44:S78" si="16">J48</f>
        <v>obj_002c9#0003</v>
      </c>
      <c r="T44" s="102">
        <f>IFERROR(_xll.qlRateHelperEarliestDate(S44,Trigger),"--")</f>
        <v>42643</v>
      </c>
      <c r="U44" s="102">
        <f>IFERROR(_xll.qlRateHelperPillarDate(S44,Trigger),"--")</f>
        <v>43371</v>
      </c>
      <c r="W44" s="3" t="str">
        <f t="shared" si="12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B45" s="48"/>
      <c r="C45" s="48"/>
      <c r="D45" s="48"/>
      <c r="E45" s="48"/>
      <c r="F45" s="48" t="s">
        <v>144</v>
      </c>
      <c r="G45" s="48" t="s">
        <v>143</v>
      </c>
      <c r="H45" s="48" t="s">
        <v>151</v>
      </c>
      <c r="L45" s="162" t="str">
        <f t="shared" si="13"/>
        <v>BasSw</v>
      </c>
      <c r="M45" s="183" t="str">
        <f t="shared" si="14"/>
        <v>USDAM3L3Y_S12L3L_Quote</v>
      </c>
      <c r="N45" s="164">
        <f>IFERROR(_xll.qlQuoteValue(H49,Trigger),"--")</f>
        <v>1.6082399336384751E-2</v>
      </c>
      <c r="O45" s="164">
        <f t="shared" si="15"/>
        <v>0</v>
      </c>
      <c r="P45" s="101" t="b">
        <v>1</v>
      </c>
      <c r="Q45" s="98">
        <v>40</v>
      </c>
      <c r="R45" s="98">
        <v>1</v>
      </c>
      <c r="S45" s="98" t="str">
        <f t="shared" si="16"/>
        <v>obj_0029f#0003</v>
      </c>
      <c r="T45" s="102">
        <f>IFERROR(_xll.qlRateHelperEarliestDate(S45,Trigger),"--")</f>
        <v>42643</v>
      </c>
      <c r="U45" s="102">
        <f>IFERROR(_xll.qlRateHelperPillarDate(S45,Trigger),"--")</f>
        <v>43738</v>
      </c>
      <c r="W45" s="3" t="str">
        <f t="shared" si="12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6" t="s">
        <v>9</v>
      </c>
      <c r="B46" s="66" t="s">
        <v>29</v>
      </c>
      <c r="C46" s="66" t="s">
        <v>145</v>
      </c>
      <c r="D46" s="66" t="s">
        <v>5</v>
      </c>
      <c r="E46" s="66" t="s">
        <v>34</v>
      </c>
      <c r="F46" s="66" t="s">
        <v>146</v>
      </c>
      <c r="G46" s="66" t="s">
        <v>4</v>
      </c>
      <c r="H46" s="66" t="s">
        <v>1</v>
      </c>
      <c r="I46" s="66" t="s">
        <v>142</v>
      </c>
      <c r="J46" s="66" t="s">
        <v>24</v>
      </c>
      <c r="L46" s="162" t="str">
        <f t="shared" si="13"/>
        <v>BasSw</v>
      </c>
      <c r="M46" s="183" t="str">
        <f t="shared" si="14"/>
        <v>USDAM3L4Y_S12L3L_Quote</v>
      </c>
      <c r="N46" s="164">
        <f>IFERROR(_xll.qlQuoteValue(H50,Trigger),"--")</f>
        <v>1.6455563878544029E-2</v>
      </c>
      <c r="O46" s="164">
        <f t="shared" si="15"/>
        <v>0</v>
      </c>
      <c r="P46" s="101" t="b">
        <v>1</v>
      </c>
      <c r="Q46" s="98">
        <v>40</v>
      </c>
      <c r="R46" s="98">
        <v>1</v>
      </c>
      <c r="S46" s="98" t="str">
        <f t="shared" si="16"/>
        <v>obj_0029c#0003</v>
      </c>
      <c r="T46" s="102">
        <f>IFERROR(_xll.qlRateHelperEarliestDate(S46,Trigger),"--")</f>
        <v>42643</v>
      </c>
      <c r="U46" s="102">
        <f>IFERROR(_xll.qlRateHelperPillarDate(S46,Trigger),"--")</f>
        <v>44104</v>
      </c>
      <c r="W46" s="3" t="str">
        <f t="shared" si="12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55" t="s">
        <v>150</v>
      </c>
      <c r="B47" s="56" t="s">
        <v>28</v>
      </c>
      <c r="C47" s="57" t="s">
        <v>6</v>
      </c>
      <c r="D47" s="57" t="s">
        <v>8</v>
      </c>
      <c r="E47" s="57" t="s">
        <v>7</v>
      </c>
      <c r="F47" s="57" t="s">
        <v>27</v>
      </c>
      <c r="G47" s="57" t="str">
        <f t="shared" ref="G47:G82" si="17">PROPER(Currency)&amp;FamilyName&amp;Tenor</f>
        <v>UsdLibor1Y</v>
      </c>
      <c r="H47" s="55" t="str">
        <f t="shared" ref="H47:H82" si="18">Currency&amp;$G$45&amp;$F$45&amp;$B47&amp;"_S"&amp;$H$45&amp;$F$45&amp;QuoteSuffix</f>
        <v>USDAM3L1Y_S12L3L_Quote</v>
      </c>
      <c r="I47" s="128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3"/>
        <v>BasSw</v>
      </c>
      <c r="M47" s="183" t="str">
        <f t="shared" si="14"/>
        <v>USDAM3L5Y_S12L3L_Quote</v>
      </c>
      <c r="N47" s="164">
        <f>IFERROR(_xll.qlQuoteValue(H51,Trigger),"--")</f>
        <v>1.6823652222674155E-2</v>
      </c>
      <c r="O47" s="164">
        <f t="shared" si="15"/>
        <v>0</v>
      </c>
      <c r="P47" s="101" t="b">
        <v>1</v>
      </c>
      <c r="Q47" s="98">
        <v>40</v>
      </c>
      <c r="R47" s="98">
        <v>1</v>
      </c>
      <c r="S47" s="98" t="str">
        <f t="shared" si="16"/>
        <v>obj_002c8#0003</v>
      </c>
      <c r="T47" s="102">
        <f>IFERROR(_xll.qlRateHelperEarliestDate(S47,Trigger),"--")</f>
        <v>42643</v>
      </c>
      <c r="U47" s="102">
        <f>IFERROR(_xll.qlRateHelperPillarDate(S47,Trigger),"--")</f>
        <v>44469</v>
      </c>
      <c r="W47" s="3" t="str">
        <f t="shared" si="12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150</v>
      </c>
      <c r="B48" s="61" t="s">
        <v>70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7"/>
        <v>UsdLibor1Y</v>
      </c>
      <c r="H48" s="60" t="str">
        <f t="shared" si="18"/>
        <v>USDAM3L2Y_S12L3L_Quote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obj_002c9#0003</v>
      </c>
      <c r="L48" s="162" t="str">
        <f t="shared" si="13"/>
        <v>BasSw</v>
      </c>
      <c r="M48" s="183" t="str">
        <f t="shared" si="14"/>
        <v>USDAM3L6Y_S12L3L_Quote</v>
      </c>
      <c r="N48" s="164">
        <f>IFERROR(_xll.qlQuoteValue(H52,Trigger),"--")</f>
        <v>1.7284415751627098E-2</v>
      </c>
      <c r="O48" s="164">
        <f t="shared" si="15"/>
        <v>0</v>
      </c>
      <c r="P48" s="101" t="b">
        <v>1</v>
      </c>
      <c r="Q48" s="98">
        <v>40</v>
      </c>
      <c r="R48" s="98">
        <v>1</v>
      </c>
      <c r="S48" s="98" t="str">
        <f t="shared" si="16"/>
        <v>obj_002c4#0003</v>
      </c>
      <c r="T48" s="102">
        <f>IFERROR(_xll.qlRateHelperEarliestDate(S48,Trigger),"--")</f>
        <v>42643</v>
      </c>
      <c r="U48" s="102">
        <f>IFERROR(_xll.qlRateHelperPillarDate(S48,Trigger),"--")</f>
        <v>44834</v>
      </c>
      <c r="W48" s="3" t="str">
        <f t="shared" si="12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150</v>
      </c>
      <c r="B49" s="61" t="s">
        <v>74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7"/>
        <v>UsdLibor1Y</v>
      </c>
      <c r="H49" s="60" t="str">
        <f t="shared" si="18"/>
        <v>USDAM3L3Y_S12L3L_Quote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obj_0029f#0003</v>
      </c>
      <c r="L49" s="162" t="str">
        <f t="shared" si="13"/>
        <v>BasSw</v>
      </c>
      <c r="M49" s="183" t="str">
        <f t="shared" si="14"/>
        <v>USDAM3L7Y_S12L3L_Quote</v>
      </c>
      <c r="N49" s="164">
        <f>IFERROR(_xll.qlQuoteValue(H53,Trigger),"--")</f>
        <v>1.7640006897882865E-2</v>
      </c>
      <c r="O49" s="164">
        <f t="shared" si="15"/>
        <v>0</v>
      </c>
      <c r="P49" s="101" t="b">
        <v>1</v>
      </c>
      <c r="Q49" s="98">
        <v>40</v>
      </c>
      <c r="R49" s="98">
        <v>1</v>
      </c>
      <c r="S49" s="98" t="str">
        <f t="shared" si="16"/>
        <v>obj_002cd#0003</v>
      </c>
      <c r="T49" s="102">
        <f>IFERROR(_xll.qlRateHelperEarliestDate(S49,Trigger),"--")</f>
        <v>42643</v>
      </c>
      <c r="U49" s="102">
        <f>IFERROR(_xll.qlRateHelperPillarDate(S49,Trigger),"--")</f>
        <v>45198</v>
      </c>
      <c r="W49" s="3" t="str">
        <f t="shared" si="12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150</v>
      </c>
      <c r="B50" s="61" t="s">
        <v>78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7"/>
        <v>UsdLibor1Y</v>
      </c>
      <c r="H50" s="60" t="str">
        <f t="shared" si="18"/>
        <v>USDAM3L4Y_S12L3L_Quote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obj_0029c#0003</v>
      </c>
      <c r="L50" s="162" t="str">
        <f t="shared" si="13"/>
        <v>BasSw</v>
      </c>
      <c r="M50" s="183" t="str">
        <f t="shared" si="14"/>
        <v>USDAM3L8Y_S12L3L_Quote</v>
      </c>
      <c r="N50" s="164">
        <f>IFERROR(_xll.qlQuoteValue(H54,Trigger),"--")</f>
        <v>1.804276012708439E-2</v>
      </c>
      <c r="O50" s="164">
        <f t="shared" si="15"/>
        <v>0</v>
      </c>
      <c r="P50" s="101" t="b">
        <v>1</v>
      </c>
      <c r="Q50" s="98">
        <v>40</v>
      </c>
      <c r="R50" s="98">
        <v>1</v>
      </c>
      <c r="S50" s="98" t="str">
        <f t="shared" si="16"/>
        <v>obj_002bf#0003</v>
      </c>
      <c r="T50" s="102">
        <f>IFERROR(_xll.qlRateHelperEarliestDate(S50,Trigger),"--")</f>
        <v>42643</v>
      </c>
      <c r="U50" s="102">
        <f>IFERROR(_xll.qlRateHelperPillarDate(S50,Trigger),"--")</f>
        <v>45565</v>
      </c>
      <c r="W50" s="3" t="str">
        <f t="shared" si="12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150</v>
      </c>
      <c r="B51" s="61" t="s">
        <v>82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7"/>
        <v>UsdLibor1Y</v>
      </c>
      <c r="H51" s="60" t="str">
        <f t="shared" si="18"/>
        <v>USDAM3L5Y_S12L3L_Quote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obj_002c8#0003</v>
      </c>
      <c r="L51" s="162" t="str">
        <f t="shared" si="13"/>
        <v>BasSw</v>
      </c>
      <c r="M51" s="183" t="str">
        <f t="shared" si="14"/>
        <v>USDAM3L9Y_S12L3L_Quote</v>
      </c>
      <c r="N51" s="164">
        <f>IFERROR(_xll.qlQuoteValue(H55,Trigger),"--")</f>
        <v>1.8408129298755141E-2</v>
      </c>
      <c r="O51" s="164">
        <f t="shared" si="15"/>
        <v>0</v>
      </c>
      <c r="P51" s="101" t="b">
        <v>1</v>
      </c>
      <c r="Q51" s="98">
        <v>40</v>
      </c>
      <c r="R51" s="98">
        <v>1</v>
      </c>
      <c r="S51" s="98" t="str">
        <f t="shared" si="16"/>
        <v>obj_002ac#0003</v>
      </c>
      <c r="T51" s="102">
        <f>IFERROR(_xll.qlRateHelperEarliestDate(S51,Trigger),"--")</f>
        <v>42643</v>
      </c>
      <c r="U51" s="102">
        <f>IFERROR(_xll.qlRateHelperPillarDate(S51,Trigger),"--")</f>
        <v>45930</v>
      </c>
      <c r="W51" s="3" t="str">
        <f t="shared" si="12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150</v>
      </c>
      <c r="B52" s="61" t="s">
        <v>83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7"/>
        <v>UsdLibor1Y</v>
      </c>
      <c r="H52" s="60" t="str">
        <f t="shared" si="18"/>
        <v>USDAM3L6Y_S12L3L_Quote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obj_002c4#0003</v>
      </c>
      <c r="L52" s="162" t="str">
        <f t="shared" si="13"/>
        <v>BasSw</v>
      </c>
      <c r="M52" s="183" t="str">
        <f t="shared" si="14"/>
        <v>USDAM3L10Y_S12L3L_Quote</v>
      </c>
      <c r="N52" s="164">
        <f>IFERROR(_xll.qlQuoteValue(H56,Trigger),"--")</f>
        <v>1.8768484979358721E-2</v>
      </c>
      <c r="O52" s="164">
        <f t="shared" si="15"/>
        <v>0</v>
      </c>
      <c r="P52" s="101" t="b">
        <v>1</v>
      </c>
      <c r="Q52" s="98">
        <v>40</v>
      </c>
      <c r="R52" s="98">
        <v>1</v>
      </c>
      <c r="S52" s="98" t="str">
        <f t="shared" si="16"/>
        <v>obj_002ca#0003</v>
      </c>
      <c r="T52" s="102">
        <f>IFERROR(_xll.qlRateHelperEarliestDate(S52,Trigger),"--")</f>
        <v>42643</v>
      </c>
      <c r="U52" s="102">
        <f>IFERROR(_xll.qlRateHelperPillarDate(S52,Trigger),"--")</f>
        <v>46295</v>
      </c>
      <c r="W52" s="3" t="str">
        <f t="shared" si="12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150</v>
      </c>
      <c r="B53" s="61" t="s">
        <v>84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7"/>
        <v>UsdLibor1Y</v>
      </c>
      <c r="H53" s="60" t="str">
        <f t="shared" si="18"/>
        <v>USDAM3L7Y_S12L3L_Quote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obj_002cd#0003</v>
      </c>
      <c r="L53" s="162" t="str">
        <f t="shared" si="13"/>
        <v>BasSw</v>
      </c>
      <c r="M53" s="183" t="str">
        <f t="shared" si="14"/>
        <v>USDAM3L11Y_S12L3L_Quote</v>
      </c>
      <c r="N53" s="164">
        <f>IFERROR(_xll.qlQuoteValue(H57,Trigger),"--")</f>
        <v>1.9074812897416155E-2</v>
      </c>
      <c r="O53" s="164">
        <f t="shared" si="15"/>
        <v>0</v>
      </c>
      <c r="P53" s="101" t="b">
        <v>1</v>
      </c>
      <c r="Q53" s="98">
        <v>40</v>
      </c>
      <c r="R53" s="98">
        <v>1</v>
      </c>
      <c r="S53" s="98" t="str">
        <f t="shared" si="16"/>
        <v>obj_0029b#0003</v>
      </c>
      <c r="T53" s="102">
        <f>IFERROR(_xll.qlRateHelperEarliestDate(S53,Trigger),"--")</f>
        <v>42643</v>
      </c>
      <c r="U53" s="102">
        <f>IFERROR(_xll.qlRateHelperPillarDate(S53,Trigger),"--")</f>
        <v>46660</v>
      </c>
      <c r="W53" s="3" t="str">
        <f t="shared" si="12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150</v>
      </c>
      <c r="B54" s="61" t="s">
        <v>85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7"/>
        <v>UsdLibor1Y</v>
      </c>
      <c r="H54" s="60" t="str">
        <f t="shared" si="18"/>
        <v>USDAM3L8Y_S12L3L_Quote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obj_002bf#0003</v>
      </c>
      <c r="L54" s="162" t="str">
        <f t="shared" si="13"/>
        <v>BasSw</v>
      </c>
      <c r="M54" s="183" t="str">
        <f t="shared" si="14"/>
        <v>USDAM3L12Y_S12L3L_Quote</v>
      </c>
      <c r="N54" s="164">
        <f>IFERROR(_xll.qlQuoteValue(H58,Trigger),"--")</f>
        <v>1.9334268527885327E-2</v>
      </c>
      <c r="O54" s="164">
        <f t="shared" si="15"/>
        <v>0</v>
      </c>
      <c r="P54" s="101" t="b">
        <v>1</v>
      </c>
      <c r="Q54" s="98">
        <v>40</v>
      </c>
      <c r="R54" s="98">
        <v>1</v>
      </c>
      <c r="S54" s="98" t="str">
        <f t="shared" si="16"/>
        <v>obj_002d5#0003</v>
      </c>
      <c r="T54" s="102">
        <f>IFERROR(_xll.qlRateHelperEarliestDate(S54,Trigger),"--")</f>
        <v>42643</v>
      </c>
      <c r="U54" s="102">
        <f>IFERROR(_xll.qlRateHelperPillarDate(S54,Trigger),"--")</f>
        <v>47025</v>
      </c>
      <c r="W54" s="3" t="str">
        <f t="shared" si="12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150</v>
      </c>
      <c r="B55" s="61" t="s">
        <v>86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7"/>
        <v>UsdLibor1Y</v>
      </c>
      <c r="H55" s="60" t="str">
        <f t="shared" si="18"/>
        <v>USDAM3L9Y_S12L3L_Quote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obj_002ac#0003</v>
      </c>
      <c r="L55" s="162" t="str">
        <f t="shared" si="13"/>
        <v>BasSw</v>
      </c>
      <c r="M55" s="183" t="str">
        <f t="shared" si="14"/>
        <v>USDAM3L13Y_S12L3L_Quote</v>
      </c>
      <c r="N55" s="164">
        <f>IFERROR(_xll.qlQuoteValue(H59,Trigger),"--")</f>
        <v>1.9595353961704635E-2</v>
      </c>
      <c r="O55" s="164">
        <f t="shared" si="15"/>
        <v>0</v>
      </c>
      <c r="P55" s="101" t="b">
        <v>1</v>
      </c>
      <c r="Q55" s="98">
        <v>40</v>
      </c>
      <c r="R55" s="98">
        <v>1</v>
      </c>
      <c r="S55" s="98" t="str">
        <f t="shared" si="16"/>
        <v>obj_002b4#0003</v>
      </c>
      <c r="T55" s="102">
        <f>IFERROR(_xll.qlRateHelperEarliestDate(S55,Trigger),"--")</f>
        <v>42643</v>
      </c>
      <c r="U55" s="102">
        <f>IFERROR(_xll.qlRateHelperPillarDate(S55,Trigger),"--")</f>
        <v>47389</v>
      </c>
      <c r="W55" s="3" t="str">
        <f t="shared" si="12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150</v>
      </c>
      <c r="B56" s="61" t="s">
        <v>87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7"/>
        <v>UsdLibor1Y</v>
      </c>
      <c r="H56" s="60" t="str">
        <f t="shared" si="18"/>
        <v>USDAM3L10Y_S12L3L_Quote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obj_002ca#0003</v>
      </c>
      <c r="L56" s="162" t="str">
        <f t="shared" si="13"/>
        <v>BasSw</v>
      </c>
      <c r="M56" s="183" t="str">
        <f t="shared" si="14"/>
        <v>USDAM3L14Y_S12L3L_Quote</v>
      </c>
      <c r="N56" s="164">
        <f>IFERROR(_xll.qlQuoteValue(H60,Trigger),"--")</f>
        <v>1.9856618387249215E-2</v>
      </c>
      <c r="O56" s="164">
        <f t="shared" si="15"/>
        <v>0</v>
      </c>
      <c r="P56" s="101" t="b">
        <v>1</v>
      </c>
      <c r="Q56" s="98">
        <v>40</v>
      </c>
      <c r="R56" s="98">
        <v>1</v>
      </c>
      <c r="S56" s="98" t="str">
        <f t="shared" si="16"/>
        <v>obj_002cc#0003</v>
      </c>
      <c r="T56" s="102">
        <f>IFERROR(_xll.qlRateHelperEarliestDate(S56,Trigger),"--")</f>
        <v>42643</v>
      </c>
      <c r="U56" s="102">
        <f>IFERROR(_xll.qlRateHelperPillarDate(S56,Trigger),"--")</f>
        <v>47756</v>
      </c>
      <c r="W56" s="3" t="str">
        <f t="shared" si="12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150</v>
      </c>
      <c r="B57" s="61" t="s">
        <v>127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7"/>
        <v>UsdLibor1Y</v>
      </c>
      <c r="H57" s="60" t="str">
        <f t="shared" si="18"/>
        <v>USDAM3L11Y_S12L3L_Quote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obj_0029b#0003</v>
      </c>
      <c r="L57" s="162" t="str">
        <f t="shared" si="13"/>
        <v>BasSw</v>
      </c>
      <c r="M57" s="183" t="str">
        <f t="shared" si="14"/>
        <v>USDAM3L15Y_S12L3L_Quote</v>
      </c>
      <c r="N57" s="164">
        <f>IFERROR(_xll.qlQuoteValue(H61,Trigger),"--")</f>
        <v>2.0082098105606887E-2</v>
      </c>
      <c r="O57" s="164">
        <f t="shared" si="15"/>
        <v>0</v>
      </c>
      <c r="P57" s="101" t="b">
        <v>1</v>
      </c>
      <c r="Q57" s="98">
        <v>40</v>
      </c>
      <c r="R57" s="98">
        <v>1</v>
      </c>
      <c r="S57" s="98" t="str">
        <f t="shared" si="16"/>
        <v>obj_002d4#0003</v>
      </c>
      <c r="T57" s="102">
        <f>IFERROR(_xll.qlRateHelperEarliestDate(S57,Trigger),"--")</f>
        <v>42643</v>
      </c>
      <c r="U57" s="102">
        <f>IFERROR(_xll.qlRateHelperPillarDate(S57,Trigger),"--")</f>
        <v>48121</v>
      </c>
      <c r="W57" s="3" t="str">
        <f t="shared" si="12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150</v>
      </c>
      <c r="B58" s="61" t="s">
        <v>88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7"/>
        <v>UsdLibor1Y</v>
      </c>
      <c r="H58" s="60" t="str">
        <f t="shared" si="18"/>
        <v>USDAM3L12Y_S12L3L_Quote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obj_002d5#0003</v>
      </c>
      <c r="L58" s="162" t="str">
        <f t="shared" si="13"/>
        <v>BasSw</v>
      </c>
      <c r="M58" s="183" t="str">
        <f t="shared" si="14"/>
        <v>USDAM3L16Y_S12L3L_Quote</v>
      </c>
      <c r="N58" s="164">
        <f>IFERROR(_xll.qlQuoteValue(H62,Trigger),"--")</f>
        <v>2.0276101566233669E-2</v>
      </c>
      <c r="O58" s="164">
        <f t="shared" si="15"/>
        <v>0</v>
      </c>
      <c r="P58" s="101" t="b">
        <v>0</v>
      </c>
      <c r="Q58" s="98">
        <v>40</v>
      </c>
      <c r="R58" s="98">
        <v>1</v>
      </c>
      <c r="S58" s="98" t="str">
        <f t="shared" si="16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12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150</v>
      </c>
      <c r="B59" s="61" t="s">
        <v>128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7"/>
        <v>UsdLibor1Y</v>
      </c>
      <c r="H59" s="60" t="str">
        <f t="shared" si="18"/>
        <v>USDAM3L13Y_S12L3L_Quote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obj_002b4#0003</v>
      </c>
      <c r="L59" s="162" t="str">
        <f t="shared" si="13"/>
        <v>BasSw</v>
      </c>
      <c r="M59" s="183" t="str">
        <f t="shared" si="14"/>
        <v>USDAM3L17Y_S12L3L_Quote</v>
      </c>
      <c r="N59" s="164">
        <f>IFERROR(_xll.qlQuoteValue(H63,Trigger),"--")</f>
        <v>2.0438853386112753E-2</v>
      </c>
      <c r="O59" s="164">
        <f t="shared" si="15"/>
        <v>0</v>
      </c>
      <c r="P59" s="101" t="b">
        <v>0</v>
      </c>
      <c r="Q59" s="98">
        <v>40</v>
      </c>
      <c r="R59" s="98">
        <v>1</v>
      </c>
      <c r="S59" s="98" t="str">
        <f t="shared" si="16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12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150</v>
      </c>
      <c r="B60" s="61" t="s">
        <v>129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7"/>
        <v>UsdLibor1Y</v>
      </c>
      <c r="H60" s="60" t="str">
        <f t="shared" si="18"/>
        <v>USDAM3L14Y_S12L3L_Quote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obj_002cc#0003</v>
      </c>
      <c r="L60" s="162" t="str">
        <f t="shared" si="13"/>
        <v>BasSw</v>
      </c>
      <c r="M60" s="183" t="str">
        <f t="shared" si="14"/>
        <v>USDAM3L18Y_S12L3L_Quote</v>
      </c>
      <c r="N60" s="164">
        <f>IFERROR(_xll.qlQuoteValue(H64,Trigger),"--")</f>
        <v>2.0566587659465747E-2</v>
      </c>
      <c r="O60" s="164">
        <f t="shared" si="15"/>
        <v>0</v>
      </c>
      <c r="P60" s="101" t="b">
        <v>0</v>
      </c>
      <c r="Q60" s="98">
        <v>40</v>
      </c>
      <c r="R60" s="98">
        <v>1</v>
      </c>
      <c r="S60" s="98" t="str">
        <f t="shared" si="16"/>
        <v>--</v>
      </c>
      <c r="T60" s="102" t="str">
        <f>IFERROR(_xll.qlRateHelperEarliestDate(S60,Trigger),"--")</f>
        <v>--</v>
      </c>
      <c r="U60" s="102" t="str">
        <f>IFERROR(_xll.qlRateHelperPillarDate(S60,Trigger),"--")</f>
        <v>--</v>
      </c>
      <c r="W60" s="3" t="str">
        <f t="shared" si="12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150</v>
      </c>
      <c r="B61" s="61" t="s">
        <v>89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7"/>
        <v>UsdLibor1Y</v>
      </c>
      <c r="H61" s="60" t="str">
        <f t="shared" si="18"/>
        <v>USDAM3L15Y_S12L3L_Quote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obj_002d4#0003</v>
      </c>
      <c r="L61" s="162" t="str">
        <f t="shared" si="13"/>
        <v>BasSw</v>
      </c>
      <c r="M61" s="183" t="str">
        <f t="shared" si="14"/>
        <v>USDAM3L19Y_S12L3L_Quote</v>
      </c>
      <c r="N61" s="164">
        <f>IFERROR(_xll.qlQuoteValue(H65,Trigger),"--")</f>
        <v>2.0680652516616493E-2</v>
      </c>
      <c r="O61" s="164">
        <f t="shared" si="15"/>
        <v>0</v>
      </c>
      <c r="P61" s="101" t="b">
        <v>0</v>
      </c>
      <c r="Q61" s="98">
        <v>40</v>
      </c>
      <c r="R61" s="98">
        <v>1</v>
      </c>
      <c r="S61" s="98" t="str">
        <f t="shared" si="16"/>
        <v>--</v>
      </c>
      <c r="T61" s="102" t="str">
        <f>IFERROR(_xll.qlRateHelperEarliestDate(S61,Trigger),"--")</f>
        <v>--</v>
      </c>
      <c r="U61" s="102" t="str">
        <f>IFERROR(_xll.qlRateHelperPillarDate(S61,Trigger),"--")</f>
        <v>--</v>
      </c>
      <c r="W61" s="3" t="str">
        <f t="shared" si="12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150</v>
      </c>
      <c r="B62" s="61" t="s">
        <v>130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7"/>
        <v>UsdLibor1Y</v>
      </c>
      <c r="H62" s="60" t="str">
        <f t="shared" si="18"/>
        <v>USDAM3L16Y_S12L3L_Quote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3"/>
        <v>BasSw</v>
      </c>
      <c r="M62" s="183" t="str">
        <f t="shared" si="14"/>
        <v>USDAM3L20Y_S12L3L_Quote</v>
      </c>
      <c r="N62" s="164">
        <f>IFERROR(_xll.qlQuoteValue(H66,Trigger),"--")</f>
        <v>2.0784987685126845E-2</v>
      </c>
      <c r="O62" s="164">
        <f t="shared" si="15"/>
        <v>0</v>
      </c>
      <c r="P62" s="101" t="b">
        <v>1</v>
      </c>
      <c r="Q62" s="98">
        <v>40</v>
      </c>
      <c r="R62" s="98">
        <v>1</v>
      </c>
      <c r="S62" s="98" t="str">
        <f t="shared" si="16"/>
        <v>obj_002e0#0003</v>
      </c>
      <c r="T62" s="102">
        <f>IFERROR(_xll.qlRateHelperEarliestDate(S62,Trigger),"--")</f>
        <v>42643</v>
      </c>
      <c r="U62" s="102">
        <f>IFERROR(_xll.qlRateHelperPillarDate(S62,Trigger),"--")</f>
        <v>49948</v>
      </c>
      <c r="W62" s="3" t="str">
        <f t="shared" si="12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150</v>
      </c>
      <c r="B63" s="61" t="s">
        <v>131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7"/>
        <v>UsdLibor1Y</v>
      </c>
      <c r="H63" s="60" t="str">
        <f t="shared" si="18"/>
        <v>USDAM3L17Y_S12L3L_Quote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3"/>
        <v>BasSw</v>
      </c>
      <c r="M63" s="183" t="str">
        <f t="shared" si="14"/>
        <v>USDAM3L21Y_S12L3L_Quote</v>
      </c>
      <c r="N63" s="164">
        <f>IFERROR(_xll.qlQuoteValue(H67,Trigger),"--")</f>
        <v>2.0865517600841939E-2</v>
      </c>
      <c r="O63" s="164">
        <f t="shared" si="15"/>
        <v>0</v>
      </c>
      <c r="P63" s="101" t="b">
        <v>0</v>
      </c>
      <c r="Q63" s="98">
        <v>40</v>
      </c>
      <c r="R63" s="98">
        <v>1</v>
      </c>
      <c r="S63" s="98" t="str">
        <f t="shared" si="16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12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150</v>
      </c>
      <c r="B64" s="61" t="s">
        <v>132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7"/>
        <v>UsdLibor1Y</v>
      </c>
      <c r="H64" s="60" t="str">
        <f t="shared" si="18"/>
        <v>USDAM3L18Y_S12L3L_Quote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--</v>
      </c>
      <c r="L64" s="162" t="str">
        <f t="shared" si="13"/>
        <v>BasSw</v>
      </c>
      <c r="M64" s="183" t="str">
        <f t="shared" si="14"/>
        <v>USDAM3L22Y_S12L3L_Quote</v>
      </c>
      <c r="N64" s="164">
        <f>IFERROR(_xll.qlQuoteValue(H68,Trigger),"--")</f>
        <v>2.0933803675815706E-2</v>
      </c>
      <c r="O64" s="164">
        <f t="shared" si="15"/>
        <v>0</v>
      </c>
      <c r="P64" s="101" t="b">
        <v>0</v>
      </c>
      <c r="Q64" s="98">
        <v>40</v>
      </c>
      <c r="R64" s="98">
        <v>1</v>
      </c>
      <c r="S64" s="98" t="str">
        <f t="shared" si="16"/>
        <v>--</v>
      </c>
      <c r="T64" s="102" t="str">
        <f>IFERROR(_xll.qlRateHelperEarliestDate(S64,Trigger),"--")</f>
        <v>--</v>
      </c>
      <c r="U64" s="102" t="str">
        <f>IFERROR(_xll.qlRateHelperPillarDate(S64,Trigger),"--")</f>
        <v>--</v>
      </c>
      <c r="W64" s="3" t="str">
        <f t="shared" si="12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150</v>
      </c>
      <c r="B65" s="61" t="s">
        <v>133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7"/>
        <v>UsdLibor1Y</v>
      </c>
      <c r="H65" s="60" t="str">
        <f t="shared" si="18"/>
        <v>USDAM3L19Y_S12L3L_Quote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--</v>
      </c>
      <c r="L65" s="162" t="str">
        <f t="shared" si="13"/>
        <v>BasSw</v>
      </c>
      <c r="M65" s="183" t="str">
        <f t="shared" si="14"/>
        <v>USDAM3L23Y_S12L3L_Quote</v>
      </c>
      <c r="N65" s="164">
        <f>IFERROR(_xll.qlQuoteValue(H69,Trigger),"--")</f>
        <v>2.0991596060548196E-2</v>
      </c>
      <c r="O65" s="164">
        <f t="shared" si="15"/>
        <v>0</v>
      </c>
      <c r="P65" s="101" t="b">
        <v>0</v>
      </c>
      <c r="Q65" s="98">
        <v>40</v>
      </c>
      <c r="R65" s="98">
        <v>1</v>
      </c>
      <c r="S65" s="98" t="str">
        <f t="shared" si="16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12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150</v>
      </c>
      <c r="B66" s="61" t="s">
        <v>90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7"/>
        <v>UsdLibor1Y</v>
      </c>
      <c r="H66" s="60" t="str">
        <f t="shared" si="18"/>
        <v>USDAM3L20Y_S12L3L_Quote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obj_002e0#0003</v>
      </c>
      <c r="L66" s="162" t="str">
        <f t="shared" si="13"/>
        <v>BasSw</v>
      </c>
      <c r="M66" s="183" t="str">
        <f t="shared" si="14"/>
        <v>USDAM3L24Y_S12L3L_Quote</v>
      </c>
      <c r="N66" s="164">
        <f>IFERROR(_xll.qlQuoteValue(H70,Trigger),"--")</f>
        <v>2.1033875231465011E-2</v>
      </c>
      <c r="O66" s="164">
        <f t="shared" si="15"/>
        <v>0</v>
      </c>
      <c r="P66" s="101" t="b">
        <v>0</v>
      </c>
      <c r="Q66" s="98">
        <v>40</v>
      </c>
      <c r="R66" s="98">
        <v>1</v>
      </c>
      <c r="S66" s="98" t="str">
        <f t="shared" si="16"/>
        <v>--</v>
      </c>
      <c r="T66" s="102" t="str">
        <f>IFERROR(_xll.qlRateHelperEarliestDate(S66,Trigger),"--")</f>
        <v>--</v>
      </c>
      <c r="U66" s="102" t="str">
        <f>IFERROR(_xll.qlRateHelperPillarDate(S66,Trigger),"--")</f>
        <v>--</v>
      </c>
      <c r="W66" s="3" t="str">
        <f t="shared" si="12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#N/A</v>
      </c>
    </row>
    <row r="67" spans="1:30" ht="11.25" customHeight="1" x14ac:dyDescent="0.2">
      <c r="A67" s="60" t="s">
        <v>150</v>
      </c>
      <c r="B67" s="61" t="s">
        <v>134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7"/>
        <v>UsdLibor1Y</v>
      </c>
      <c r="H67" s="60" t="str">
        <f t="shared" si="18"/>
        <v>USDAM3L21Y_S12L3L_Quote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L67" s="162" t="str">
        <f t="shared" si="13"/>
        <v>BasSw</v>
      </c>
      <c r="M67" s="183" t="str">
        <f t="shared" si="14"/>
        <v>USDAM3L25Y_S12L3L_Quote</v>
      </c>
      <c r="N67" s="164">
        <f>IFERROR(_xll.qlQuoteValue(H71,Trigger),"--")</f>
        <v>2.1079902116867399E-2</v>
      </c>
      <c r="O67" s="164">
        <f t="shared" si="15"/>
        <v>0</v>
      </c>
      <c r="P67" s="101" t="b">
        <v>1</v>
      </c>
      <c r="Q67" s="98">
        <v>40</v>
      </c>
      <c r="R67" s="98">
        <v>1</v>
      </c>
      <c r="S67" s="98" t="str">
        <f t="shared" si="16"/>
        <v>obj_002d3#0003</v>
      </c>
      <c r="T67" s="102">
        <f>IFERROR(_xll.qlRateHelperEarliestDate(S67,Trigger),"--")</f>
        <v>42643</v>
      </c>
      <c r="U67" s="102">
        <f>IFERROR(_xll.qlRateHelperPillarDate(S67,Trigger),"--")</f>
        <v>51774</v>
      </c>
      <c r="W67" s="3" t="str">
        <f t="shared" ref="W67:W78" si="19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#N/A</v>
      </c>
    </row>
    <row r="68" spans="1:30" ht="11.25" customHeight="1" x14ac:dyDescent="0.2">
      <c r="A68" s="60" t="s">
        <v>150</v>
      </c>
      <c r="B68" s="61" t="s">
        <v>135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7"/>
        <v>UsdLibor1Y</v>
      </c>
      <c r="H68" s="60" t="str">
        <f t="shared" si="18"/>
        <v>USDAM3L22Y_S12L3L_Quote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--</v>
      </c>
      <c r="L68" s="162" t="str">
        <f t="shared" si="13"/>
        <v>BasSw</v>
      </c>
      <c r="M68" s="183" t="str">
        <f t="shared" si="14"/>
        <v>USDAM3L26Y_S12L3L_Quote</v>
      </c>
      <c r="N68" s="164">
        <f>IFERROR(_xll.qlQuoteValue(H72,Trigger),"--")</f>
        <v>2.1111186692244426E-2</v>
      </c>
      <c r="O68" s="164">
        <f t="shared" si="15"/>
        <v>0</v>
      </c>
      <c r="P68" s="101" t="b">
        <v>0</v>
      </c>
      <c r="Q68" s="98">
        <v>40</v>
      </c>
      <c r="R68" s="98">
        <v>1</v>
      </c>
      <c r="S68" s="98" t="str">
        <f t="shared" si="16"/>
        <v>--</v>
      </c>
      <c r="T68" s="102" t="str">
        <f>IFERROR(_xll.qlRateHelperEarliestDate(S68,Trigger),"--")</f>
        <v>--</v>
      </c>
      <c r="U68" s="102" t="str">
        <f>IFERROR(_xll.qlRateHelperPillarDate(S68,Trigger),"--")</f>
        <v>--</v>
      </c>
      <c r="W68" s="3" t="str">
        <f t="shared" si="19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#N/A</v>
      </c>
    </row>
    <row r="69" spans="1:30" ht="11.25" customHeight="1" x14ac:dyDescent="0.2">
      <c r="A69" s="60" t="s">
        <v>150</v>
      </c>
      <c r="B69" s="61" t="s">
        <v>136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7"/>
        <v>UsdLibor1Y</v>
      </c>
      <c r="H69" s="60" t="str">
        <f t="shared" si="18"/>
        <v>USDAM3L23Y_S12L3L_Quote</v>
      </c>
      <c r="I69" s="129">
        <v>0</v>
      </c>
      <c r="J69" s="175" t="str">
        <f>IF(P65,_xll.qlSwapRateHelper2(,H69,,B69,JoinCalendar,D69,E69,F69,G69,I69,C69,Discounting,PillarDate,,Permanent,Trigger,ObjectOverwrite),"--")</f>
        <v>--</v>
      </c>
      <c r="L69" s="162" t="str">
        <f t="shared" si="13"/>
        <v>BasSw</v>
      </c>
      <c r="M69" s="183" t="str">
        <f t="shared" si="14"/>
        <v>USDAM3L27Y_S12L3L_Quote</v>
      </c>
      <c r="N69" s="164">
        <f>IFERROR(_xll.qlQuoteValue(H73,Trigger),"--")</f>
        <v>2.1134525122738976E-2</v>
      </c>
      <c r="O69" s="164">
        <f t="shared" si="15"/>
        <v>0</v>
      </c>
      <c r="P69" s="101" t="b">
        <v>0</v>
      </c>
      <c r="Q69" s="98">
        <v>40</v>
      </c>
      <c r="R69" s="98">
        <v>1</v>
      </c>
      <c r="S69" s="98" t="str">
        <f t="shared" si="16"/>
        <v>--</v>
      </c>
      <c r="T69" s="102" t="str">
        <f>IFERROR(_xll.qlRateHelperEarliestDate(S69,Trigger),"--")</f>
        <v>--</v>
      </c>
      <c r="U69" s="102" t="str">
        <f>IFERROR(_xll.qlRateHelperPillarDate(S69,Trigger),"--")</f>
        <v>--</v>
      </c>
      <c r="W69" s="3" t="str">
        <f t="shared" si="19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#N/A</v>
      </c>
    </row>
    <row r="70" spans="1:30" ht="11.25" customHeight="1" x14ac:dyDescent="0.2">
      <c r="A70" s="60" t="s">
        <v>150</v>
      </c>
      <c r="B70" s="61" t="s">
        <v>137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17"/>
        <v>UsdLibor1Y</v>
      </c>
      <c r="H70" s="60" t="str">
        <f t="shared" si="18"/>
        <v>USDAM3L24Y_S12L3L_Quote</v>
      </c>
      <c r="I70" s="129">
        <v>0</v>
      </c>
      <c r="J70" s="175" t="str">
        <f>IF(P66,_xll.qlSwapRateHelper2(,H70,,B70,JoinCalendar,D70,E70,F70,G70,I70,C70,Discounting,PillarDate,,Permanent,Trigger,ObjectOverwrite),"--")</f>
        <v>--</v>
      </c>
      <c r="L70" s="162" t="str">
        <f t="shared" si="13"/>
        <v>BasSw</v>
      </c>
      <c r="M70" s="183" t="str">
        <f t="shared" si="14"/>
        <v>USDAM3L28Y_S12L3L_Quote</v>
      </c>
      <c r="N70" s="164">
        <f>IFERROR(_xll.qlQuoteValue(H74,Trigger),"--")</f>
        <v>2.1150558659078049E-2</v>
      </c>
      <c r="O70" s="164">
        <f t="shared" si="15"/>
        <v>0</v>
      </c>
      <c r="P70" s="101" t="b">
        <v>0</v>
      </c>
      <c r="Q70" s="98">
        <v>40</v>
      </c>
      <c r="R70" s="98">
        <v>1</v>
      </c>
      <c r="S70" s="98" t="str">
        <f t="shared" si="16"/>
        <v>--</v>
      </c>
      <c r="T70" s="102" t="str">
        <f>IFERROR(_xll.qlRateHelperEarliestDate(S70,Trigger),"--")</f>
        <v>--</v>
      </c>
      <c r="U70" s="102" t="str">
        <f>IFERROR(_xll.qlRateHelperPillarDate(S70,Trigger),"--")</f>
        <v>--</v>
      </c>
      <c r="W70" s="3" t="str">
        <f t="shared" si="19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#N/A</v>
      </c>
    </row>
    <row r="71" spans="1:30" ht="11.25" customHeight="1" x14ac:dyDescent="0.2">
      <c r="A71" s="60" t="s">
        <v>150</v>
      </c>
      <c r="B71" s="61" t="s">
        <v>91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17"/>
        <v>UsdLibor1Y</v>
      </c>
      <c r="H71" s="60" t="str">
        <f t="shared" si="18"/>
        <v>USDAM3L25Y_S12L3L_Quote</v>
      </c>
      <c r="I71" s="129">
        <v>0</v>
      </c>
      <c r="J71" s="175" t="str">
        <f>IF(P67,_xll.qlSwapRateHelper2(,H71,,B71,JoinCalendar,D71,E71,F71,G71,I71,C71,Discounting,PillarDate,,Permanent,Trigger,ObjectOverwrite),"--")</f>
        <v>obj_002d3#0003</v>
      </c>
      <c r="L71" s="162" t="str">
        <f t="shared" si="13"/>
        <v>BasSw</v>
      </c>
      <c r="M71" s="183" t="str">
        <f t="shared" si="14"/>
        <v>USDAM3L29Y_S12L3L_Quote</v>
      </c>
      <c r="N71" s="164">
        <f>IFERROR(_xll.qlQuoteValue(H75,Trigger),"--")</f>
        <v>2.1154662327267301E-2</v>
      </c>
      <c r="O71" s="164">
        <f t="shared" si="15"/>
        <v>0</v>
      </c>
      <c r="P71" s="101" t="b">
        <v>0</v>
      </c>
      <c r="Q71" s="98">
        <v>40</v>
      </c>
      <c r="R71" s="98">
        <v>1</v>
      </c>
      <c r="S71" s="98" t="str">
        <f t="shared" si="16"/>
        <v>--</v>
      </c>
      <c r="T71" s="102" t="str">
        <f>IFERROR(_xll.qlRateHelperEarliestDate(S71,Trigger),"--")</f>
        <v>--</v>
      </c>
      <c r="U71" s="102" t="str">
        <f>IFERROR(_xll.qlRateHelperPillarDate(S71,Trigger),"--")</f>
        <v>--</v>
      </c>
      <c r="W71" s="3" t="str">
        <f t="shared" si="19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#N/A</v>
      </c>
    </row>
    <row r="72" spans="1:30" ht="11.25" customHeight="1" x14ac:dyDescent="0.2">
      <c r="A72" s="60" t="s">
        <v>150</v>
      </c>
      <c r="B72" s="61" t="s">
        <v>138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17"/>
        <v>UsdLibor1Y</v>
      </c>
      <c r="H72" s="60" t="str">
        <f t="shared" si="18"/>
        <v>USDAM3L26Y_S12L3L_Quote</v>
      </c>
      <c r="I72" s="129">
        <v>0</v>
      </c>
      <c r="J72" s="175" t="str">
        <f>IF(P68,_xll.qlSwapRateHelper2(,H72,,B72,JoinCalendar,D72,E72,F72,G72,I72,C72,Discounting,PillarDate,,Permanent,Trigger,ObjectOverwrite),"--")</f>
        <v>--</v>
      </c>
      <c r="L72" s="162" t="str">
        <f t="shared" si="13"/>
        <v>BasSw</v>
      </c>
      <c r="M72" s="183" t="str">
        <f t="shared" si="14"/>
        <v>USDAM3L30Y_S12L3L_Quote</v>
      </c>
      <c r="N72" s="164">
        <f>IFERROR(_xll.qlQuoteValue(H76,Trigger),"--")</f>
        <v>2.1157377697731544E-2</v>
      </c>
      <c r="O72" s="164">
        <f t="shared" si="15"/>
        <v>0</v>
      </c>
      <c r="P72" s="101" t="b">
        <v>1</v>
      </c>
      <c r="Q72" s="98">
        <v>40</v>
      </c>
      <c r="R72" s="98">
        <v>1</v>
      </c>
      <c r="S72" s="98" t="str">
        <f t="shared" si="16"/>
        <v>obj_002bd#0003</v>
      </c>
      <c r="T72" s="102">
        <f>IFERROR(_xll.qlRateHelperEarliestDate(S72,Trigger),"--")</f>
        <v>42643</v>
      </c>
      <c r="U72" s="102">
        <f>IFERROR(_xll.qlRateHelperPillarDate(S72,Trigger),"--")</f>
        <v>53598</v>
      </c>
      <c r="W72" s="3" t="str">
        <f t="shared" si="19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#N/A</v>
      </c>
    </row>
    <row r="73" spans="1:30" ht="11.25" customHeight="1" x14ac:dyDescent="0.2">
      <c r="A73" s="60" t="s">
        <v>150</v>
      </c>
      <c r="B73" s="61" t="s">
        <v>92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17"/>
        <v>UsdLibor1Y</v>
      </c>
      <c r="H73" s="60" t="str">
        <f t="shared" si="18"/>
        <v>USDAM3L27Y_S12L3L_Quote</v>
      </c>
      <c r="I73" s="129">
        <v>0</v>
      </c>
      <c r="J73" s="175" t="str">
        <f>IF(P69,_xll.qlSwapRateHelper2(,H73,,B73,JoinCalendar,D73,E73,F73,G73,I73,C73,Discounting,PillarDate,,Permanent,Trigger,ObjectOverwrite),"--")</f>
        <v>--</v>
      </c>
      <c r="L73" s="162" t="str">
        <f t="shared" si="13"/>
        <v>BasSw</v>
      </c>
      <c r="M73" s="183" t="str">
        <f t="shared" si="14"/>
        <v>USDAM3L35Y_S12L3L_Quote</v>
      </c>
      <c r="N73" s="164">
        <f>IFERROR(_xll.qlQuoteValue(H77,Trigger),"--")</f>
        <v>2.1245706499034196E-2</v>
      </c>
      <c r="O73" s="164">
        <f t="shared" si="15"/>
        <v>0</v>
      </c>
      <c r="P73" s="101" t="b">
        <v>1</v>
      </c>
      <c r="Q73" s="98">
        <v>40</v>
      </c>
      <c r="R73" s="98">
        <v>1</v>
      </c>
      <c r="S73" s="98" t="str">
        <f t="shared" si="16"/>
        <v>obj_002d7#0003</v>
      </c>
      <c r="T73" s="102">
        <f>IFERROR(_xll.qlRateHelperEarliestDate(S73,Trigger),"--")</f>
        <v>42643</v>
      </c>
      <c r="U73" s="102">
        <f>IFERROR(_xll.qlRateHelperPillarDate(S73,Trigger),"--")</f>
        <v>55425</v>
      </c>
      <c r="W73" s="3" t="str">
        <f t="shared" si="19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#N/A</v>
      </c>
    </row>
    <row r="74" spans="1:30" ht="11.25" customHeight="1" x14ac:dyDescent="0.2">
      <c r="A74" s="60" t="s">
        <v>150</v>
      </c>
      <c r="B74" s="61" t="s">
        <v>139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17"/>
        <v>UsdLibor1Y</v>
      </c>
      <c r="H74" s="60" t="str">
        <f t="shared" si="18"/>
        <v>USDAM3L28Y_S12L3L_Quote</v>
      </c>
      <c r="I74" s="129">
        <v>0</v>
      </c>
      <c r="J74" s="175" t="str">
        <f>IF(P70,_xll.qlSwapRateHelper2(,H74,,B74,JoinCalendar,D74,E74,F74,G74,I74,C74,Discounting,PillarDate,,Permanent,Trigger,ObjectOverwrite),"--")</f>
        <v>--</v>
      </c>
      <c r="L74" s="162" t="str">
        <f t="shared" si="13"/>
        <v>BasSw</v>
      </c>
      <c r="M74" s="183" t="str">
        <f t="shared" si="14"/>
        <v>USDAM3L40Y_S12L3L_Quote</v>
      </c>
      <c r="N74" s="164">
        <f>IFERROR(_xll.qlQuoteValue(H78,Trigger),"--")</f>
        <v>2.1258877054639493E-2</v>
      </c>
      <c r="O74" s="164">
        <f t="shared" si="15"/>
        <v>0</v>
      </c>
      <c r="P74" s="101" t="b">
        <v>1</v>
      </c>
      <c r="Q74" s="98">
        <v>40</v>
      </c>
      <c r="R74" s="98">
        <v>1</v>
      </c>
      <c r="S74" s="98" t="str">
        <f t="shared" si="16"/>
        <v>obj_002a1#0003</v>
      </c>
      <c r="T74" s="102">
        <f>IFERROR(_xll.qlRateHelperEarliestDate(S74,Trigger),"--")</f>
        <v>42643</v>
      </c>
      <c r="U74" s="102">
        <f>IFERROR(_xll.qlRateHelperPillarDate(S74,Trigger),"--")</f>
        <v>57252</v>
      </c>
      <c r="W74" s="3" t="str">
        <f t="shared" si="19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#N/A</v>
      </c>
    </row>
    <row r="75" spans="1:30" ht="11.25" customHeight="1" x14ac:dyDescent="0.2">
      <c r="A75" s="60" t="s">
        <v>150</v>
      </c>
      <c r="B75" s="61" t="s">
        <v>140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17"/>
        <v>UsdLibor1Y</v>
      </c>
      <c r="H75" s="60" t="str">
        <f t="shared" si="18"/>
        <v>USDAM3L29Y_S12L3L_Quote</v>
      </c>
      <c r="I75" s="129">
        <v>0</v>
      </c>
      <c r="J75" s="175" t="str">
        <f>IF(P71,_xll.qlSwapRateHelper2(,H75,,B75,JoinCalendar,D75,E75,F75,G75,I75,C75,Discounting,PillarDate,,Permanent,Trigger,ObjectOverwrite),"--")</f>
        <v>--</v>
      </c>
      <c r="L75" s="162" t="str">
        <f t="shared" si="13"/>
        <v>BasSw</v>
      </c>
      <c r="M75" s="183" t="str">
        <f t="shared" si="14"/>
        <v>USDAM3L45Y_S12L3L_Quote</v>
      </c>
      <c r="N75" s="164" t="str">
        <f>IFERROR(_xll.qlQuoteValue(H79,Trigger),"--")</f>
        <v>--</v>
      </c>
      <c r="O75" s="164">
        <f t="shared" si="15"/>
        <v>0</v>
      </c>
      <c r="P75" s="101" t="b">
        <v>0</v>
      </c>
      <c r="Q75" s="98">
        <v>40</v>
      </c>
      <c r="R75" s="98">
        <v>1</v>
      </c>
      <c r="S75" s="98" t="str">
        <f t="shared" si="16"/>
        <v>--</v>
      </c>
      <c r="T75" s="102" t="str">
        <f>IFERROR(_xll.qlRateHelperEarliestDate(S75,Trigger),"--")</f>
        <v>--</v>
      </c>
      <c r="U75" s="102" t="str">
        <f>IFERROR(_xll.qlRateHelperPillarDate(S75,Trigger),"--")</f>
        <v>--</v>
      </c>
      <c r="W75" s="3" t="str">
        <f t="shared" si="19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#N/A</v>
      </c>
    </row>
    <row r="76" spans="1:30" ht="11.25" customHeight="1" x14ac:dyDescent="0.2">
      <c r="A76" s="60" t="s">
        <v>150</v>
      </c>
      <c r="B76" s="61" t="s">
        <v>93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17"/>
        <v>UsdLibor1Y</v>
      </c>
      <c r="H76" s="60" t="str">
        <f t="shared" si="18"/>
        <v>USDAM3L30Y_S12L3L_Quote</v>
      </c>
      <c r="I76" s="129">
        <v>0</v>
      </c>
      <c r="J76" s="175" t="str">
        <f>IF(P72,_xll.qlSwapRateHelper2(,H76,,B76,JoinCalendar,D76,E76,F76,G76,I76,C76,Discounting,PillarDate,,Permanent,Trigger,ObjectOverwrite),"--")</f>
        <v>obj_002bd#0003</v>
      </c>
      <c r="L76" s="162" t="str">
        <f>A80</f>
        <v>BasSw</v>
      </c>
      <c r="M76" s="183" t="str">
        <f t="shared" si="14"/>
        <v>USDAM3L50Y_S12L3L_Quote</v>
      </c>
      <c r="N76" s="164">
        <f>IFERROR(_xll.qlQuoteValue(H80,Trigger),"--")</f>
        <v>2.1211885722762447E-2</v>
      </c>
      <c r="O76" s="164">
        <f t="shared" si="15"/>
        <v>0</v>
      </c>
      <c r="P76" s="101" t="b">
        <v>1</v>
      </c>
      <c r="Q76" s="98">
        <v>40</v>
      </c>
      <c r="R76" s="98">
        <v>1</v>
      </c>
      <c r="S76" s="98" t="str">
        <f t="shared" si="16"/>
        <v>obj_002ae#0003</v>
      </c>
      <c r="T76" s="102">
        <f>IFERROR(_xll.qlRateHelperEarliestDate(S76,Trigger),"--")</f>
        <v>42643</v>
      </c>
      <c r="U76" s="102">
        <f>IFERROR(_xll.qlRateHelperPillarDate(S76,Trigger),"--")</f>
        <v>60905</v>
      </c>
      <c r="W76" s="3" t="str">
        <f t="shared" si="19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#N/A</v>
      </c>
    </row>
    <row r="77" spans="1:30" ht="11.25" customHeight="1" x14ac:dyDescent="0.2">
      <c r="A77" s="60" t="s">
        <v>150</v>
      </c>
      <c r="B77" s="61" t="s">
        <v>94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17"/>
        <v>UsdLibor1Y</v>
      </c>
      <c r="H77" s="60" t="str">
        <f t="shared" si="18"/>
        <v>USDAM3L35Y_S12L3L_Quote</v>
      </c>
      <c r="I77" s="129">
        <v>0</v>
      </c>
      <c r="J77" s="175" t="str">
        <f>IF(P73,_xll.qlSwapRateHelper2(,H77,,B77,JoinCalendar,D77,E77,F77,G77,I77,C77,Discounting,PillarDate,,Permanent,Trigger,ObjectOverwrite),"--")</f>
        <v>obj_002d7#0003</v>
      </c>
      <c r="L77" s="162" t="str">
        <f t="shared" si="13"/>
        <v>BasSw</v>
      </c>
      <c r="M77" s="183" t="str">
        <f t="shared" si="14"/>
        <v>USDAM3L55Y_S12L3L_Quote</v>
      </c>
      <c r="N77" s="164" t="str">
        <f>IFERROR(_xll.qlQuoteValue(H81,Trigger),"--")</f>
        <v>--</v>
      </c>
      <c r="O77" s="164">
        <f t="shared" si="15"/>
        <v>0</v>
      </c>
      <c r="P77" s="101" t="b">
        <v>0</v>
      </c>
      <c r="Q77" s="98">
        <v>40</v>
      </c>
      <c r="R77" s="98">
        <v>1</v>
      </c>
      <c r="S77" s="98" t="str">
        <f t="shared" si="16"/>
        <v>--</v>
      </c>
      <c r="T77" s="102" t="str">
        <f>IFERROR(_xll.qlRateHelperEarliestDate(S77,Trigger),"--")</f>
        <v>--</v>
      </c>
      <c r="U77" s="102" t="str">
        <f>IFERROR(_xll.qlRateHelperPillarDate(S77,Trigger),"--")</f>
        <v>--</v>
      </c>
      <c r="W77" s="3" t="str">
        <f t="shared" si="19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#N/A</v>
      </c>
    </row>
    <row r="78" spans="1:30" ht="11.25" customHeight="1" x14ac:dyDescent="0.2">
      <c r="A78" s="60" t="s">
        <v>150</v>
      </c>
      <c r="B78" s="61" t="s">
        <v>95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17"/>
        <v>UsdLibor1Y</v>
      </c>
      <c r="H78" s="60" t="str">
        <f t="shared" si="18"/>
        <v>USDAM3L40Y_S12L3L_Quote</v>
      </c>
      <c r="I78" s="129">
        <v>0</v>
      </c>
      <c r="J78" s="175" t="str">
        <f>IF(P74,_xll.qlSwapRateHelper2(,H78,,B78,JoinCalendar,D78,E78,F78,G78,I78,C78,Discounting,PillarDate,,Permanent,Trigger,ObjectOverwrite),"--")</f>
        <v>obj_002a1#0003</v>
      </c>
      <c r="L78" s="168" t="str">
        <f t="shared" si="13"/>
        <v>BasSw</v>
      </c>
      <c r="M78" s="184" t="str">
        <f t="shared" si="14"/>
        <v>USDAM3L60Y_S12L3L_Quote</v>
      </c>
      <c r="N78" s="170">
        <f>IFERROR(_xll.qlQuoteValue(H82,Trigger),"--")</f>
        <v>2.116385498250407E-2</v>
      </c>
      <c r="O78" s="170">
        <f t="shared" si="15"/>
        <v>0</v>
      </c>
      <c r="P78" s="103" t="b">
        <v>1</v>
      </c>
      <c r="Q78" s="99">
        <v>40</v>
      </c>
      <c r="R78" s="99">
        <v>1</v>
      </c>
      <c r="S78" s="99" t="str">
        <f t="shared" si="16"/>
        <v>obj_002aa#0003</v>
      </c>
      <c r="T78" s="104">
        <f>IFERROR(_xll.qlRateHelperEarliestDate(S78,Trigger),"--")</f>
        <v>42643</v>
      </c>
      <c r="U78" s="104">
        <f>IFERROR(_xll.qlRateHelperPillarDate(S78,Trigger),"--")</f>
        <v>64558</v>
      </c>
      <c r="W78" s="5" t="str">
        <f t="shared" si="19"/>
        <v/>
      </c>
      <c r="X78" s="5" t="e">
        <v>#N/A</v>
      </c>
      <c r="Y78" s="5" t="str">
        <f>IFERROR(_xll.qlRateHelperQuoteName(X78,Trigger),"")</f>
        <v/>
      </c>
      <c r="Z78" s="78" t="str">
        <f>IFERROR(_xll.qlRateHelperRate(X78,Trigger),"")</f>
        <v/>
      </c>
      <c r="AA78" s="107" t="str">
        <f>IF(ISERROR(_xll.qlSwapRateHelperSpread($X78)),IF(ISERROR(_xll.qlFuturesRateHelperConvexityAdjustment($X78)),"",_xll.qlFuturesRateHelperConvexityAdjustment($X78)),_xll.qlSwapRateHelperSpread($X78))</f>
        <v/>
      </c>
      <c r="AB78" s="10" t="str">
        <f>IFERROR(_xll.qlRateHelperEarliestDate(X78,Trigger),"")</f>
        <v/>
      </c>
      <c r="AC78" s="10" t="str">
        <f>IFERROR(_xll.qlRateHelperPillarDate(X78,Trigger),"")</f>
        <v/>
      </c>
      <c r="AD78" s="77" t="e">
        <v>#N/A</v>
      </c>
    </row>
    <row r="79" spans="1:30" ht="11.25" customHeight="1" x14ac:dyDescent="0.2">
      <c r="A79" s="60" t="s">
        <v>150</v>
      </c>
      <c r="B79" s="61" t="s">
        <v>96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17"/>
        <v>UsdLibor1Y</v>
      </c>
      <c r="H79" s="60" t="str">
        <f t="shared" si="18"/>
        <v>USDAM3L45Y_S12L3L_Quote</v>
      </c>
      <c r="I79" s="129">
        <v>0</v>
      </c>
      <c r="J79" s="175" t="str">
        <f>IF(P75,_xll.qlSwapRateHelper2(,H79,,B79,JoinCalendar,D79,E79,F79,G79,I79,C79,Discounting,PillarDate,,Permanent,Trigger,ObjectOverwrite),"--")</f>
        <v>--</v>
      </c>
      <c r="Y79" s="192" t="str">
        <f>_xll.ohGroup(W1&amp;"_instruments",Y3:Y78,Permanent,Trigger,ObjectOverwrite)</f>
        <v>USD1Y_instruments#0003</v>
      </c>
    </row>
    <row r="80" spans="1:30" ht="11.25" customHeight="1" x14ac:dyDescent="0.2">
      <c r="A80" s="60" t="s">
        <v>150</v>
      </c>
      <c r="B80" s="61" t="s">
        <v>97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17"/>
        <v>UsdLibor1Y</v>
      </c>
      <c r="H80" s="60" t="str">
        <f t="shared" si="18"/>
        <v>USDAM3L50Y_S12L3L_Quote</v>
      </c>
      <c r="I80" s="129">
        <v>0</v>
      </c>
      <c r="J80" s="175" t="str">
        <f>IF(P76,_xll.qlSwapRateHelper2(,H80,,B80,JoinCalendar,D80,E80,F80,G80,I80,C80,Discounting,PillarDate,,Permanent,Trigger,ObjectOverwrite),"--")</f>
        <v>obj_002ae#0003</v>
      </c>
    </row>
    <row r="81" spans="1:11" x14ac:dyDescent="0.2">
      <c r="A81" s="60" t="s">
        <v>150</v>
      </c>
      <c r="B81" s="61" t="s">
        <v>147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17"/>
        <v>UsdLibor1Y</v>
      </c>
      <c r="H81" s="60" t="str">
        <f t="shared" si="18"/>
        <v>USDAM3L55Y_S12L3L_Quote</v>
      </c>
      <c r="I81" s="127">
        <v>0</v>
      </c>
      <c r="J81" s="175" t="str">
        <f>IF(P77,_xll.qlSwapRateHelper2(,H81,,B81,JoinCalendar,D81,E81,F81,G81,I81,C81,Discounting,PillarDate,,Permanent,Trigger,ObjectOverwrite),"--")</f>
        <v>--</v>
      </c>
    </row>
    <row r="82" spans="1:11" x14ac:dyDescent="0.2">
      <c r="A82" s="1" t="s">
        <v>150</v>
      </c>
      <c r="B82" s="8" t="s">
        <v>141</v>
      </c>
      <c r="C82" s="6" t="s">
        <v>6</v>
      </c>
      <c r="D82" s="6" t="s">
        <v>8</v>
      </c>
      <c r="E82" s="6" t="s">
        <v>7</v>
      </c>
      <c r="F82" s="6" t="s">
        <v>27</v>
      </c>
      <c r="G82" s="6" t="str">
        <f t="shared" si="17"/>
        <v>UsdLibor1Y</v>
      </c>
      <c r="H82" s="1" t="str">
        <f t="shared" si="18"/>
        <v>USDAM3L60Y_S12L3L_Quote</v>
      </c>
      <c r="I82" s="130">
        <v>0</v>
      </c>
      <c r="J82" s="174" t="str">
        <f>IF(P78,_xll.qlSwapRateHelper2(,H82,,B82,JoinCalendar,D82,E82,F82,G82,I82,C82,Discounting,PillarDate,,Permanent,Trigger,ObjectOverwrite),"--")</f>
        <v>obj_002aa#0003</v>
      </c>
    </row>
    <row r="90" spans="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78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GeneralSettings</vt:lpstr>
      <vt:lpstr>USDON</vt:lpstr>
      <vt:lpstr>USD3M</vt:lpstr>
      <vt:lpstr>USD6M</vt:lpstr>
      <vt:lpstr>USD1M</vt:lpstr>
      <vt:lpstr>USD1Y</vt:lpstr>
      <vt:lpstr>Currency</vt:lpstr>
      <vt:lpstr>CurveCalendar</vt:lpstr>
      <vt:lpstr>Discounting</vt:lpstr>
      <vt:lpstr>Evaluationdate</vt:lpstr>
      <vt:lpstr>FamilyName</vt:lpstr>
      <vt:lpstr>FirstLiborFixingDate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LiborSettlementDate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2016-09-28T09:16:07Z</dcterms:modified>
</cp:coreProperties>
</file>