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60" windowWidth="15360" windowHeight="8370"/>
  </bookViews>
  <sheets>
    <sheet name="Working Locations" sheetId="1" r:id="rId1"/>
    <sheet name="SimioInputs" sheetId="7" r:id="rId2"/>
    <sheet name="Weather" sheetId="3" r:id="rId3"/>
    <sheet name="Equipment" sheetId="4" r:id="rId4"/>
    <sheet name="ExcavatorFailureRates" sheetId="9" r:id="rId5"/>
    <sheet name="Shifts" sheetId="8" r:id="rId6"/>
    <sheet name="ROM" sheetId="5" r:id="rId7"/>
    <sheet name="CHF" sheetId="6" r:id="rId8"/>
  </sheets>
  <calcPr calcId="152511"/>
</workbook>
</file>

<file path=xl/calcChain.xml><?xml version="1.0" encoding="utf-8"?>
<calcChain xmlns="http://schemas.openxmlformats.org/spreadsheetml/2006/main">
  <c r="V29" i="1" l="1"/>
  <c r="V30" i="1"/>
  <c r="V31" i="1"/>
  <c r="V32" i="1"/>
  <c r="V33" i="1"/>
  <c r="V34" i="1"/>
  <c r="V35" i="1"/>
  <c r="V36" i="1"/>
  <c r="V37" i="1"/>
  <c r="V38" i="1"/>
  <c r="V39" i="1"/>
  <c r="V28" i="1"/>
  <c r="T29" i="1" l="1"/>
  <c r="T30" i="1"/>
  <c r="T31" i="1"/>
  <c r="T32" i="1"/>
  <c r="T33" i="1"/>
  <c r="T34" i="1"/>
  <c r="T35" i="1"/>
  <c r="T36" i="1"/>
  <c r="T37" i="1"/>
  <c r="T38" i="1"/>
  <c r="T39" i="1"/>
  <c r="T28" i="1"/>
  <c r="V157" i="1"/>
  <c r="V158" i="1"/>
  <c r="V159" i="1"/>
  <c r="V160" i="1"/>
  <c r="V161" i="1"/>
  <c r="V162" i="1"/>
  <c r="V163" i="1"/>
  <c r="V164" i="1"/>
  <c r="V165" i="1"/>
  <c r="V166" i="1"/>
  <c r="V167" i="1"/>
  <c r="V156" i="1"/>
  <c r="V154" i="1"/>
  <c r="S167" i="1"/>
  <c r="T157" i="1"/>
  <c r="T158" i="1"/>
  <c r="T159" i="1"/>
  <c r="T160" i="1"/>
  <c r="T161" i="1"/>
  <c r="T162" i="1"/>
  <c r="T163" i="1"/>
  <c r="T164" i="1"/>
  <c r="T165" i="1"/>
  <c r="T166" i="1"/>
  <c r="T167" i="1"/>
  <c r="S154" i="1"/>
  <c r="S153" i="1"/>
  <c r="T153" i="1"/>
  <c r="S159" i="1" s="1"/>
  <c r="U159" i="1" s="1"/>
  <c r="R153" i="1"/>
  <c r="Q157" i="1"/>
  <c r="Q158" i="1"/>
  <c r="Q159" i="1"/>
  <c r="Q160" i="1"/>
  <c r="Q161" i="1"/>
  <c r="Q162" i="1"/>
  <c r="Q163" i="1"/>
  <c r="Q164" i="1"/>
  <c r="Q165" i="1"/>
  <c r="Q166" i="1"/>
  <c r="Q167" i="1"/>
  <c r="Q156" i="1"/>
  <c r="S29" i="1"/>
  <c r="S30" i="1"/>
  <c r="S31" i="1"/>
  <c r="S32" i="1"/>
  <c r="S33" i="1"/>
  <c r="S34" i="1"/>
  <c r="S35" i="1"/>
  <c r="S36" i="1"/>
  <c r="S37" i="1"/>
  <c r="S38" i="1"/>
  <c r="S39" i="1"/>
  <c r="S28" i="1"/>
  <c r="R29" i="1"/>
  <c r="R30" i="1"/>
  <c r="R31" i="1"/>
  <c r="R32" i="1"/>
  <c r="R33" i="1"/>
  <c r="R34" i="1"/>
  <c r="R35" i="1"/>
  <c r="R36" i="1"/>
  <c r="R37" i="1"/>
  <c r="R38" i="1"/>
  <c r="R39" i="1"/>
  <c r="R28" i="1"/>
  <c r="R21" i="1"/>
  <c r="Q21" i="1"/>
  <c r="P21" i="1"/>
  <c r="Q29" i="1"/>
  <c r="Q30" i="1"/>
  <c r="Q31" i="1"/>
  <c r="Q32" i="1"/>
  <c r="Q33" i="1"/>
  <c r="Q34" i="1"/>
  <c r="Q35" i="1"/>
  <c r="Q36" i="1"/>
  <c r="Q37" i="1"/>
  <c r="Q38" i="1"/>
  <c r="Q39" i="1"/>
  <c r="Q28" i="1"/>
  <c r="S162" i="1" l="1"/>
  <c r="U162" i="1" s="1"/>
  <c r="S165" i="1"/>
  <c r="U165" i="1" s="1"/>
  <c r="S161" i="1"/>
  <c r="U161" i="1" s="1"/>
  <c r="S157" i="1"/>
  <c r="U157" i="1" s="1"/>
  <c r="S164" i="1"/>
  <c r="U164" i="1" s="1"/>
  <c r="S160" i="1"/>
  <c r="U160" i="1" s="1"/>
  <c r="S166" i="1"/>
  <c r="U166" i="1" s="1"/>
  <c r="S158" i="1"/>
  <c r="U158" i="1" s="1"/>
  <c r="S156" i="1"/>
  <c r="T156" i="1" s="1"/>
  <c r="U156" i="1" s="1"/>
  <c r="S163" i="1"/>
  <c r="U163" i="1" s="1"/>
  <c r="V108" i="1"/>
  <c r="V105" i="1"/>
  <c r="V106" i="1"/>
  <c r="V107" i="1" s="1"/>
  <c r="V104" i="1"/>
  <c r="V103" i="1"/>
  <c r="V99" i="1"/>
  <c r="V100" i="1" s="1"/>
  <c r="V101" i="1" s="1"/>
  <c r="V102" i="1" s="1"/>
  <c r="V98" i="1"/>
  <c r="V97" i="1"/>
  <c r="T93" i="1"/>
  <c r="T94" i="1"/>
  <c r="T95" i="1"/>
  <c r="T96" i="1"/>
  <c r="W96" i="1" s="1"/>
  <c r="T97" i="1"/>
  <c r="T98" i="1"/>
  <c r="T99" i="1"/>
  <c r="T100" i="1"/>
  <c r="W100" i="1" s="1"/>
  <c r="T101" i="1"/>
  <c r="T102" i="1"/>
  <c r="T103" i="1"/>
  <c r="T92" i="1"/>
  <c r="U104" i="1"/>
  <c r="W93" i="1"/>
  <c r="W94" i="1"/>
  <c r="W95" i="1"/>
  <c r="W97" i="1"/>
  <c r="W98" i="1"/>
  <c r="W99" i="1"/>
  <c r="W101" i="1"/>
  <c r="W102" i="1"/>
  <c r="W103" i="1"/>
  <c r="W92" i="1"/>
  <c r="U93" i="1"/>
  <c r="U94" i="1"/>
  <c r="U95" i="1"/>
  <c r="U96" i="1"/>
  <c r="U97" i="1"/>
  <c r="U98" i="1"/>
  <c r="U99" i="1"/>
  <c r="U100" i="1"/>
  <c r="U101" i="1"/>
  <c r="U102" i="1"/>
  <c r="U103" i="1"/>
  <c r="U92" i="1"/>
  <c r="I7" i="8"/>
  <c r="S93" i="1"/>
  <c r="S94" i="1"/>
  <c r="S95" i="1"/>
  <c r="S96" i="1"/>
  <c r="S97" i="1"/>
  <c r="S98" i="1"/>
  <c r="S99" i="1"/>
  <c r="S100" i="1"/>
  <c r="S101" i="1"/>
  <c r="S102" i="1"/>
  <c r="S103" i="1"/>
  <c r="S92" i="1"/>
  <c r="R93" i="1"/>
  <c r="R94" i="1"/>
  <c r="R95" i="1"/>
  <c r="R96" i="1"/>
  <c r="R97" i="1"/>
  <c r="R98" i="1"/>
  <c r="R99" i="1"/>
  <c r="R100" i="1"/>
  <c r="R101" i="1"/>
  <c r="R102" i="1"/>
  <c r="R103" i="1"/>
  <c r="R92" i="1"/>
  <c r="Q93" i="1"/>
  <c r="Q94" i="1"/>
  <c r="Q95" i="1"/>
  <c r="Q96" i="1"/>
  <c r="Q97" i="1"/>
  <c r="Q98" i="1"/>
  <c r="Q99" i="1"/>
  <c r="Q100" i="1"/>
  <c r="Q101" i="1"/>
  <c r="Q102" i="1"/>
  <c r="Q103" i="1"/>
  <c r="Q92" i="1"/>
  <c r="B7" i="9" l="1"/>
  <c r="B8" i="9" s="1"/>
  <c r="B6" i="9"/>
  <c r="D7" i="9"/>
  <c r="D5" i="9"/>
  <c r="E5" i="9" s="1"/>
  <c r="B9" i="9" l="1"/>
  <c r="D8" i="9"/>
  <c r="E8" i="9" s="1"/>
  <c r="B10" i="9" l="1"/>
  <c r="D9" i="9"/>
  <c r="E9" i="9" s="1"/>
  <c r="M45" i="1"/>
  <c r="N45" i="1" s="1"/>
  <c r="M44" i="1"/>
  <c r="N44" i="1" s="1"/>
  <c r="N43" i="1"/>
  <c r="M43" i="1"/>
  <c r="Z94" i="1"/>
  <c r="Z98" i="1"/>
  <c r="Z102" i="1"/>
  <c r="Y93" i="1"/>
  <c r="Z93" i="1" s="1"/>
  <c r="Y94" i="1"/>
  <c r="Y95" i="1"/>
  <c r="Z95" i="1" s="1"/>
  <c r="Y96" i="1"/>
  <c r="Z96" i="1" s="1"/>
  <c r="Y97" i="1"/>
  <c r="Z97" i="1" s="1"/>
  <c r="Y98" i="1"/>
  <c r="Y99" i="1"/>
  <c r="Z99" i="1" s="1"/>
  <c r="Y100" i="1"/>
  <c r="Z100" i="1" s="1"/>
  <c r="Y101" i="1"/>
  <c r="Z101" i="1" s="1"/>
  <c r="Y102" i="1"/>
  <c r="Y103" i="1"/>
  <c r="Z103" i="1" s="1"/>
  <c r="Y92" i="1"/>
  <c r="Z92" i="1" s="1"/>
  <c r="X93" i="1"/>
  <c r="X94" i="1"/>
  <c r="X95" i="1"/>
  <c r="X96" i="1"/>
  <c r="X97" i="1"/>
  <c r="X98" i="1"/>
  <c r="X99" i="1"/>
  <c r="X100" i="1"/>
  <c r="X101" i="1"/>
  <c r="X102" i="1"/>
  <c r="X103" i="1"/>
  <c r="X92" i="1"/>
  <c r="Z104" i="1" l="1"/>
  <c r="B11" i="9"/>
  <c r="D10" i="9"/>
  <c r="E10" i="9" s="1"/>
  <c r="E8" i="8"/>
  <c r="E16" i="8"/>
  <c r="E12" i="8"/>
  <c r="F18" i="8"/>
  <c r="G18" i="8"/>
  <c r="F19" i="8"/>
  <c r="G19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G4" i="8"/>
  <c r="F4" i="8"/>
  <c r="D18" i="8"/>
  <c r="D4" i="8"/>
  <c r="C15" i="8"/>
  <c r="D15" i="8" s="1"/>
  <c r="C7" i="8"/>
  <c r="D7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6" i="8"/>
  <c r="D16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6" i="8"/>
  <c r="D6" i="8" s="1"/>
  <c r="AA95" i="1" l="1"/>
  <c r="AA99" i="1"/>
  <c r="AA103" i="1"/>
  <c r="AA96" i="1"/>
  <c r="AA100" i="1"/>
  <c r="AA94" i="1"/>
  <c r="AA102" i="1"/>
  <c r="AA93" i="1"/>
  <c r="AA97" i="1"/>
  <c r="AA101" i="1"/>
  <c r="AA98" i="1"/>
  <c r="AA92" i="1"/>
  <c r="B12" i="9"/>
  <c r="D11" i="9"/>
  <c r="E11" i="9" s="1"/>
  <c r="H34" i="5"/>
  <c r="I34" i="5" s="1"/>
  <c r="G34" i="5"/>
  <c r="F34" i="5"/>
  <c r="B13" i="9" l="1"/>
  <c r="D12" i="9"/>
  <c r="E12" i="9" s="1"/>
  <c r="D32" i="5"/>
  <c r="B14" i="9" l="1"/>
  <c r="D13" i="9"/>
  <c r="E13" i="9" s="1"/>
  <c r="H21" i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B15" i="9" l="1"/>
  <c r="D14" i="9"/>
  <c r="E14" i="9" s="1"/>
  <c r="I211" i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N187" i="1" s="1"/>
  <c r="P187" i="1" s="1"/>
  <c r="D179" i="1"/>
  <c r="D178" i="1"/>
  <c r="N185" i="1" s="1"/>
  <c r="P185" i="1" s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B16" i="9" l="1"/>
  <c r="D15" i="9"/>
  <c r="E15" i="9" s="1"/>
  <c r="I214" i="1"/>
  <c r="I215" i="1"/>
  <c r="I216" i="1"/>
  <c r="I217" i="1"/>
  <c r="I218" i="1"/>
  <c r="I219" i="1"/>
  <c r="I220" i="1"/>
  <c r="I221" i="1"/>
  <c r="I222" i="1"/>
  <c r="D16" i="9" l="1"/>
  <c r="E16" i="9" s="1"/>
  <c r="B17" i="9"/>
  <c r="D90" i="1"/>
  <c r="B18" i="9" l="1"/>
  <c r="D17" i="9"/>
  <c r="E17" i="9" s="1"/>
  <c r="D233" i="1"/>
  <c r="B19" i="9" l="1"/>
  <c r="D18" i="9"/>
  <c r="E18" i="9" s="1"/>
  <c r="I29" i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B45" i="7" s="1"/>
  <c r="J45" i="7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B44" i="7" s="1"/>
  <c r="J44" i="7" s="1"/>
  <c r="J159" i="1"/>
  <c r="B46" i="7" s="1"/>
  <c r="J46" i="7" s="1"/>
  <c r="J161" i="1"/>
  <c r="B48" i="7" s="1"/>
  <c r="J48" i="7" s="1"/>
  <c r="J163" i="1"/>
  <c r="B50" i="7" s="1"/>
  <c r="J50" i="7" s="1"/>
  <c r="J165" i="1"/>
  <c r="B52" i="7" s="1"/>
  <c r="J52" i="7" s="1"/>
  <c r="J167" i="1"/>
  <c r="B54" i="7" s="1"/>
  <c r="J54" i="7" s="1"/>
  <c r="J93" i="1"/>
  <c r="B28" i="7" s="1"/>
  <c r="J28" i="7" s="1"/>
  <c r="J94" i="1"/>
  <c r="B29" i="7" s="1"/>
  <c r="J29" i="7" s="1"/>
  <c r="J95" i="1"/>
  <c r="B30" i="7" s="1"/>
  <c r="J30" i="7" s="1"/>
  <c r="J96" i="1"/>
  <c r="B31" i="7" s="1"/>
  <c r="J31" i="7" s="1"/>
  <c r="J97" i="1"/>
  <c r="B32" i="7" s="1"/>
  <c r="J32" i="7" s="1"/>
  <c r="J98" i="1"/>
  <c r="B33" i="7" s="1"/>
  <c r="J33" i="7" s="1"/>
  <c r="J99" i="1"/>
  <c r="B34" i="7" s="1"/>
  <c r="J34" i="7" s="1"/>
  <c r="J100" i="1"/>
  <c r="B35" i="7" s="1"/>
  <c r="J35" i="7" s="1"/>
  <c r="J101" i="1"/>
  <c r="B36" i="7" s="1"/>
  <c r="J36" i="7" s="1"/>
  <c r="J102" i="1"/>
  <c r="B37" i="7" s="1"/>
  <c r="J37" i="7" s="1"/>
  <c r="J103" i="1"/>
  <c r="B38" i="7" s="1"/>
  <c r="J38" i="7" s="1"/>
  <c r="J92" i="1"/>
  <c r="B27" i="7" s="1"/>
  <c r="J27" i="7" s="1"/>
  <c r="B20" i="9" l="1"/>
  <c r="D19" i="9"/>
  <c r="E19" i="9" s="1"/>
  <c r="J39" i="7"/>
  <c r="J156" i="1"/>
  <c r="B43" i="7" s="1"/>
  <c r="J43" i="7" s="1"/>
  <c r="J166" i="1"/>
  <c r="B53" i="7" s="1"/>
  <c r="J53" i="7" s="1"/>
  <c r="J164" i="1"/>
  <c r="B51" i="7" s="1"/>
  <c r="J51" i="7" s="1"/>
  <c r="J162" i="1"/>
  <c r="B49" i="7" s="1"/>
  <c r="J49" i="7" s="1"/>
  <c r="J160" i="1"/>
  <c r="B47" i="7" s="1"/>
  <c r="J47" i="7" s="1"/>
  <c r="B21" i="9" l="1"/>
  <c r="D20" i="9"/>
  <c r="E20" i="9" s="1"/>
  <c r="J55" i="7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B22" i="9" l="1"/>
  <c r="D21" i="9"/>
  <c r="E21" i="9" s="1"/>
  <c r="D27" i="6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B23" i="9" l="1"/>
  <c r="D22" i="9"/>
  <c r="E22" i="9" s="1"/>
  <c r="N28" i="1"/>
  <c r="F11" i="7" s="1"/>
  <c r="N156" i="1"/>
  <c r="F43" i="7" s="1"/>
  <c r="N157" i="1"/>
  <c r="F44" i="7" s="1"/>
  <c r="N158" i="1"/>
  <c r="F45" i="7" s="1"/>
  <c r="N159" i="1"/>
  <c r="F46" i="7" s="1"/>
  <c r="N160" i="1"/>
  <c r="F47" i="7" s="1"/>
  <c r="N161" i="1"/>
  <c r="F48" i="7" s="1"/>
  <c r="N162" i="1"/>
  <c r="F49" i="7" s="1"/>
  <c r="N163" i="1"/>
  <c r="F50" i="7" s="1"/>
  <c r="N164" i="1"/>
  <c r="F51" i="7" s="1"/>
  <c r="N165" i="1"/>
  <c r="F52" i="7" s="1"/>
  <c r="N166" i="1"/>
  <c r="F53" i="7" s="1"/>
  <c r="N167" i="1"/>
  <c r="F54" i="7" s="1"/>
  <c r="J29" i="1"/>
  <c r="B12" i="7" s="1"/>
  <c r="J31" i="1"/>
  <c r="B14" i="7" s="1"/>
  <c r="J28" i="1"/>
  <c r="B11" i="7" s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C11" i="7" s="1"/>
  <c r="K29" i="1"/>
  <c r="C12" i="7" s="1"/>
  <c r="K32" i="1"/>
  <c r="C15" i="7" s="1"/>
  <c r="K34" i="1"/>
  <c r="C17" i="7" s="1"/>
  <c r="K36" i="1"/>
  <c r="C19" i="7" s="1"/>
  <c r="K31" i="1"/>
  <c r="C14" i="7" s="1"/>
  <c r="K30" i="1"/>
  <c r="C13" i="7" s="1"/>
  <c r="K157" i="1"/>
  <c r="C44" i="7" s="1"/>
  <c r="K44" i="7" s="1"/>
  <c r="K160" i="1"/>
  <c r="C47" i="7" s="1"/>
  <c r="K47" i="7" s="1"/>
  <c r="K162" i="1"/>
  <c r="C49" i="7" s="1"/>
  <c r="K49" i="7" s="1"/>
  <c r="K164" i="1"/>
  <c r="C51" i="7" s="1"/>
  <c r="K51" i="7" s="1"/>
  <c r="K166" i="1"/>
  <c r="C53" i="7" s="1"/>
  <c r="K53" i="7" s="1"/>
  <c r="K156" i="1"/>
  <c r="C43" i="7" s="1"/>
  <c r="K43" i="7" s="1"/>
  <c r="K158" i="1"/>
  <c r="C45" i="7" s="1"/>
  <c r="K45" i="7" s="1"/>
  <c r="K159" i="1"/>
  <c r="C46" i="7" s="1"/>
  <c r="K46" i="7" s="1"/>
  <c r="K161" i="1"/>
  <c r="C48" i="7" s="1"/>
  <c r="K48" i="7" s="1"/>
  <c r="K163" i="1"/>
  <c r="C50" i="7" s="1"/>
  <c r="K50" i="7" s="1"/>
  <c r="K165" i="1"/>
  <c r="C52" i="7" s="1"/>
  <c r="K52" i="7" s="1"/>
  <c r="K167" i="1"/>
  <c r="C54" i="7" s="1"/>
  <c r="K54" i="7" s="1"/>
  <c r="K100" i="1"/>
  <c r="K101" i="1"/>
  <c r="K93" i="1"/>
  <c r="K97" i="1"/>
  <c r="K98" i="1"/>
  <c r="K95" i="1"/>
  <c r="K102" i="1"/>
  <c r="K92" i="1"/>
  <c r="K94" i="1"/>
  <c r="K96" i="1"/>
  <c r="K103" i="1"/>
  <c r="K99" i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F15" i="7" s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B24" i="9" l="1"/>
  <c r="D23" i="9"/>
  <c r="E23" i="9" s="1"/>
  <c r="C37" i="7"/>
  <c r="K37" i="7" s="1"/>
  <c r="C31" i="7"/>
  <c r="K31" i="7" s="1"/>
  <c r="C30" i="7"/>
  <c r="K30" i="7" s="1"/>
  <c r="C36" i="7"/>
  <c r="K36" i="7" s="1"/>
  <c r="C38" i="7"/>
  <c r="K38" i="7" s="1"/>
  <c r="C29" i="7"/>
  <c r="K29" i="7" s="1"/>
  <c r="C33" i="7"/>
  <c r="K33" i="7" s="1"/>
  <c r="C35" i="7"/>
  <c r="K35" i="7" s="1"/>
  <c r="C28" i="7"/>
  <c r="K28" i="7" s="1"/>
  <c r="C34" i="7"/>
  <c r="K34" i="7" s="1"/>
  <c r="C27" i="7"/>
  <c r="K27" i="7" s="1"/>
  <c r="C32" i="7"/>
  <c r="K32" i="7" s="1"/>
  <c r="K55" i="7"/>
  <c r="I26" i="1"/>
  <c r="G4" i="7" s="1"/>
  <c r="N10" i="7" s="1"/>
  <c r="L157" i="1"/>
  <c r="D44" i="7" s="1"/>
  <c r="L44" i="7" s="1"/>
  <c r="L159" i="1"/>
  <c r="D46" i="7" s="1"/>
  <c r="L46" i="7" s="1"/>
  <c r="L161" i="1"/>
  <c r="D48" i="7" s="1"/>
  <c r="L48" i="7" s="1"/>
  <c r="L163" i="1"/>
  <c r="D50" i="7" s="1"/>
  <c r="L50" i="7" s="1"/>
  <c r="L165" i="1"/>
  <c r="D52" i="7" s="1"/>
  <c r="L52" i="7" s="1"/>
  <c r="L167" i="1"/>
  <c r="D54" i="7" s="1"/>
  <c r="L54" i="7" s="1"/>
  <c r="L156" i="1"/>
  <c r="D43" i="7" s="1"/>
  <c r="L43" i="7" s="1"/>
  <c r="L158" i="1"/>
  <c r="D45" i="7" s="1"/>
  <c r="L45" i="7" s="1"/>
  <c r="L160" i="1"/>
  <c r="D47" i="7" s="1"/>
  <c r="L47" i="7" s="1"/>
  <c r="L162" i="1"/>
  <c r="D49" i="7" s="1"/>
  <c r="L49" i="7" s="1"/>
  <c r="L164" i="1"/>
  <c r="D51" i="7" s="1"/>
  <c r="L51" i="7" s="1"/>
  <c r="L166" i="1"/>
  <c r="D53" i="7" s="1"/>
  <c r="L53" i="7" s="1"/>
  <c r="M92" i="1"/>
  <c r="E27" i="7" s="1"/>
  <c r="M27" i="7" s="1"/>
  <c r="M93" i="1"/>
  <c r="E28" i="7" s="1"/>
  <c r="M28" i="7" s="1"/>
  <c r="M96" i="1"/>
  <c r="E31" i="7" s="1"/>
  <c r="M31" i="7" s="1"/>
  <c r="M97" i="1"/>
  <c r="E32" i="7" s="1"/>
  <c r="M32" i="7" s="1"/>
  <c r="M103" i="1"/>
  <c r="E38" i="7" s="1"/>
  <c r="M38" i="7" s="1"/>
  <c r="M100" i="1"/>
  <c r="E35" i="7" s="1"/>
  <c r="M35" i="7" s="1"/>
  <c r="M94" i="1"/>
  <c r="E29" i="7" s="1"/>
  <c r="M29" i="7" s="1"/>
  <c r="M98" i="1"/>
  <c r="E33" i="7" s="1"/>
  <c r="M33" i="7" s="1"/>
  <c r="M99" i="1"/>
  <c r="E34" i="7" s="1"/>
  <c r="M34" i="7" s="1"/>
  <c r="M101" i="1"/>
  <c r="E36" i="7" s="1"/>
  <c r="M36" i="7" s="1"/>
  <c r="M95" i="1"/>
  <c r="E30" i="7" s="1"/>
  <c r="M30" i="7" s="1"/>
  <c r="M102" i="1"/>
  <c r="E37" i="7" s="1"/>
  <c r="M37" i="7" s="1"/>
  <c r="I90" i="1"/>
  <c r="G6" i="7" s="1"/>
  <c r="N26" i="7" s="1"/>
  <c r="L98" i="1"/>
  <c r="D33" i="7" s="1"/>
  <c r="L33" i="7" s="1"/>
  <c r="L99" i="1"/>
  <c r="D34" i="7" s="1"/>
  <c r="L34" i="7" s="1"/>
  <c r="L95" i="1"/>
  <c r="D30" i="7" s="1"/>
  <c r="L30" i="7" s="1"/>
  <c r="L102" i="1"/>
  <c r="D37" i="7" s="1"/>
  <c r="L37" i="7" s="1"/>
  <c r="L94" i="1"/>
  <c r="D29" i="7" s="1"/>
  <c r="L29" i="7" s="1"/>
  <c r="L96" i="1"/>
  <c r="D31" i="7" s="1"/>
  <c r="L31" i="7" s="1"/>
  <c r="L103" i="1"/>
  <c r="D38" i="7" s="1"/>
  <c r="L38" i="7" s="1"/>
  <c r="L100" i="1"/>
  <c r="D35" i="7" s="1"/>
  <c r="L35" i="7" s="1"/>
  <c r="L101" i="1"/>
  <c r="D36" i="7" s="1"/>
  <c r="L36" i="7" s="1"/>
  <c r="L92" i="1"/>
  <c r="D27" i="7" s="1"/>
  <c r="L27" i="7" s="1"/>
  <c r="L93" i="1"/>
  <c r="D28" i="7" s="1"/>
  <c r="L28" i="7" s="1"/>
  <c r="L97" i="1"/>
  <c r="D32" i="7" s="1"/>
  <c r="L32" i="7" s="1"/>
  <c r="M156" i="1"/>
  <c r="E43" i="7" s="1"/>
  <c r="M43" i="7" s="1"/>
  <c r="M157" i="1"/>
  <c r="E44" i="7" s="1"/>
  <c r="M44" i="7" s="1"/>
  <c r="M158" i="1"/>
  <c r="E45" i="7" s="1"/>
  <c r="M45" i="7" s="1"/>
  <c r="M159" i="1"/>
  <c r="E46" i="7" s="1"/>
  <c r="M46" i="7" s="1"/>
  <c r="M160" i="1"/>
  <c r="E47" i="7" s="1"/>
  <c r="M47" i="7" s="1"/>
  <c r="M161" i="1"/>
  <c r="E48" i="7" s="1"/>
  <c r="M48" i="7" s="1"/>
  <c r="M162" i="1"/>
  <c r="E49" i="7" s="1"/>
  <c r="M49" i="7" s="1"/>
  <c r="M163" i="1"/>
  <c r="E50" i="7" s="1"/>
  <c r="M50" i="7" s="1"/>
  <c r="M164" i="1"/>
  <c r="E51" i="7" s="1"/>
  <c r="M51" i="7" s="1"/>
  <c r="M165" i="1"/>
  <c r="E52" i="7" s="1"/>
  <c r="M52" i="7" s="1"/>
  <c r="M166" i="1"/>
  <c r="E53" i="7" s="1"/>
  <c r="M53" i="7" s="1"/>
  <c r="M167" i="1"/>
  <c r="E54" i="7" s="1"/>
  <c r="M54" i="7" s="1"/>
  <c r="I154" i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D11" i="7" s="1"/>
  <c r="L11" i="7" s="1"/>
  <c r="L29" i="1"/>
  <c r="D12" i="7" s="1"/>
  <c r="L12" i="7" s="1"/>
  <c r="L30" i="1"/>
  <c r="D13" i="7" s="1"/>
  <c r="L13" i="7" s="1"/>
  <c r="L31" i="1"/>
  <c r="D14" i="7" s="1"/>
  <c r="L14" i="7" s="1"/>
  <c r="L32" i="1"/>
  <c r="D15" i="7" s="1"/>
  <c r="L15" i="7" s="1"/>
  <c r="L33" i="1"/>
  <c r="D16" i="7" s="1"/>
  <c r="L16" i="7" s="1"/>
  <c r="L34" i="1"/>
  <c r="D17" i="7" s="1"/>
  <c r="L17" i="7" s="1"/>
  <c r="L35" i="1"/>
  <c r="D18" i="7" s="1"/>
  <c r="L18" i="7" s="1"/>
  <c r="L36" i="1"/>
  <c r="D19" i="7" s="1"/>
  <c r="L19" i="7" s="1"/>
  <c r="L37" i="1"/>
  <c r="D20" i="7" s="1"/>
  <c r="L20" i="7" s="1"/>
  <c r="L38" i="1"/>
  <c r="D21" i="7" s="1"/>
  <c r="L21" i="7" s="1"/>
  <c r="L39" i="1"/>
  <c r="D22" i="7" s="1"/>
  <c r="L22" i="7" s="1"/>
  <c r="M28" i="1"/>
  <c r="E11" i="7" s="1"/>
  <c r="M11" i="7" s="1"/>
  <c r="M29" i="1"/>
  <c r="E12" i="7" s="1"/>
  <c r="M12" i="7" s="1"/>
  <c r="M30" i="1"/>
  <c r="E13" i="7" s="1"/>
  <c r="M13" i="7" s="1"/>
  <c r="M31" i="1"/>
  <c r="E14" i="7" s="1"/>
  <c r="M14" i="7" s="1"/>
  <c r="M32" i="1"/>
  <c r="E15" i="7" s="1"/>
  <c r="M15" i="7" s="1"/>
  <c r="M33" i="1"/>
  <c r="E16" i="7" s="1"/>
  <c r="M16" i="7" s="1"/>
  <c r="M34" i="1"/>
  <c r="E17" i="7" s="1"/>
  <c r="M17" i="7" s="1"/>
  <c r="M35" i="1"/>
  <c r="E18" i="7" s="1"/>
  <c r="M18" i="7" s="1"/>
  <c r="M36" i="1"/>
  <c r="E19" i="7" s="1"/>
  <c r="M19" i="7" s="1"/>
  <c r="M37" i="1"/>
  <c r="E20" i="7" s="1"/>
  <c r="M20" i="7" s="1"/>
  <c r="M38" i="1"/>
  <c r="E21" i="7" s="1"/>
  <c r="M21" i="7" s="1"/>
  <c r="M39" i="1"/>
  <c r="E22" i="7" s="1"/>
  <c r="M22" i="7" s="1"/>
  <c r="K39" i="7" l="1"/>
  <c r="L26" i="1"/>
  <c r="D4" i="7" s="1"/>
  <c r="D24" i="9"/>
  <c r="E24" i="9" s="1"/>
  <c r="B25" i="9"/>
  <c r="O34" i="1"/>
  <c r="O39" i="1"/>
  <c r="O37" i="1"/>
  <c r="L154" i="1"/>
  <c r="D5" i="7" s="1"/>
  <c r="G5" i="7"/>
  <c r="N42" i="7" s="1"/>
  <c r="L10" i="7"/>
  <c r="M39" i="7"/>
  <c r="L39" i="7"/>
  <c r="K26" i="1"/>
  <c r="C4" i="7" s="1"/>
  <c r="K10" i="7" s="1"/>
  <c r="O30" i="1"/>
  <c r="O31" i="1"/>
  <c r="O28" i="1"/>
  <c r="M55" i="7"/>
  <c r="J26" i="1"/>
  <c r="B4" i="7" s="1"/>
  <c r="J10" i="7" s="1"/>
  <c r="J11" i="7" s="1"/>
  <c r="J23" i="7" s="1"/>
  <c r="O35" i="1"/>
  <c r="O33" i="1"/>
  <c r="O36" i="1"/>
  <c r="M23" i="7"/>
  <c r="L23" i="7"/>
  <c r="M26" i="1"/>
  <c r="E4" i="7" s="1"/>
  <c r="M10" i="7" s="1"/>
  <c r="M90" i="1"/>
  <c r="E6" i="7" s="1"/>
  <c r="M26" i="7" s="1"/>
  <c r="L55" i="7"/>
  <c r="N26" i="1"/>
  <c r="F4" i="7" s="1"/>
  <c r="O38" i="1"/>
  <c r="O29" i="1"/>
  <c r="O32" i="1"/>
  <c r="L90" i="1"/>
  <c r="D6" i="7" s="1"/>
  <c r="L26" i="7" s="1"/>
  <c r="O94" i="1"/>
  <c r="O92" i="1"/>
  <c r="O101" i="1"/>
  <c r="O103" i="1"/>
  <c r="O99" i="1"/>
  <c r="O95" i="1"/>
  <c r="O102" i="1"/>
  <c r="O97" i="1"/>
  <c r="J90" i="1"/>
  <c r="B6" i="7" s="1"/>
  <c r="J26" i="7" s="1"/>
  <c r="O100" i="1"/>
  <c r="O96" i="1"/>
  <c r="O98" i="1"/>
  <c r="O93" i="1"/>
  <c r="N90" i="1"/>
  <c r="F6" i="7" s="1"/>
  <c r="K90" i="1"/>
  <c r="C6" i="7" s="1"/>
  <c r="K26" i="7" s="1"/>
  <c r="O156" i="1"/>
  <c r="O161" i="1"/>
  <c r="O157" i="1"/>
  <c r="O165" i="1"/>
  <c r="J154" i="1"/>
  <c r="B5" i="7" s="1"/>
  <c r="O167" i="1"/>
  <c r="O164" i="1"/>
  <c r="O163" i="1"/>
  <c r="O162" i="1"/>
  <c r="O159" i="1"/>
  <c r="O160" i="1"/>
  <c r="O166" i="1"/>
  <c r="O158" i="1"/>
  <c r="N154" i="1"/>
  <c r="F5" i="7" s="1"/>
  <c r="K154" i="1"/>
  <c r="C5" i="7" s="1"/>
  <c r="M154" i="1"/>
  <c r="E5" i="7" s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B26" i="9" l="1"/>
  <c r="D25" i="9"/>
  <c r="E25" i="9" s="1"/>
  <c r="N32" i="7"/>
  <c r="N29" i="7"/>
  <c r="N34" i="7"/>
  <c r="N37" i="7"/>
  <c r="N33" i="7"/>
  <c r="N36" i="7"/>
  <c r="N35" i="7"/>
  <c r="N28" i="7"/>
  <c r="N27" i="7"/>
  <c r="N30" i="7"/>
  <c r="N31" i="7"/>
  <c r="N38" i="7"/>
  <c r="J42" i="7"/>
  <c r="K42" i="7"/>
  <c r="L42" i="7"/>
  <c r="M42" i="7"/>
  <c r="O26" i="1"/>
  <c r="N15" i="7"/>
  <c r="N19" i="7"/>
  <c r="N11" i="7"/>
  <c r="N16" i="7"/>
  <c r="N13" i="7"/>
  <c r="N17" i="7"/>
  <c r="N14" i="7"/>
  <c r="N18" i="7"/>
  <c r="N22" i="7"/>
  <c r="N12" i="7"/>
  <c r="N20" i="7"/>
  <c r="N21" i="7"/>
  <c r="O90" i="1"/>
  <c r="O154" i="1"/>
  <c r="O209" i="1"/>
  <c r="B27" i="9" l="1"/>
  <c r="D26" i="9"/>
  <c r="E26" i="9" s="1"/>
  <c r="N23" i="7"/>
  <c r="N47" i="7"/>
  <c r="N51" i="7"/>
  <c r="N43" i="7"/>
  <c r="N48" i="7"/>
  <c r="N49" i="7"/>
  <c r="N46" i="7"/>
  <c r="N50" i="7"/>
  <c r="N54" i="7"/>
  <c r="N44" i="7"/>
  <c r="N52" i="7"/>
  <c r="N45" i="7"/>
  <c r="N53" i="7"/>
  <c r="B28" i="9" l="1"/>
  <c r="D27" i="9"/>
  <c r="E27" i="9" s="1"/>
  <c r="N55" i="7"/>
  <c r="D6" i="9"/>
  <c r="E6" i="9" s="1"/>
  <c r="B29" i="9" l="1"/>
  <c r="D28" i="9"/>
  <c r="E28" i="9" s="1"/>
  <c r="E7" i="9"/>
  <c r="B30" i="9" l="1"/>
  <c r="D30" i="9" s="1"/>
  <c r="D29" i="9"/>
  <c r="E29" i="9" s="1"/>
  <c r="E30" i="9" l="1"/>
</calcChain>
</file>

<file path=xl/sharedStrings.xml><?xml version="1.0" encoding="utf-8"?>
<sst xmlns="http://schemas.openxmlformats.org/spreadsheetml/2006/main" count="1010" uniqueCount="272">
  <si>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</si>
  <si>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</si>
  <si>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</si>
  <si>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</si>
  <si>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</si>
  <si>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</si>
  <si>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</si>
  <si>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</si>
  <si>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</si>
  <si>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</si>
  <si>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</si>
  <si>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</si>
  <si>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</si>
  <si>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</si>
  <si>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</si>
  <si>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</si>
  <si>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</si>
  <si>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</si>
  <si>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</si>
  <si>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</si>
  <si>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</si>
  <si>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</si>
  <si>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</si>
  <si>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</si>
  <si>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</si>
  <si>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</si>
  <si>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</si>
  <si>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</si>
  <si>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</si>
  <si>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</si>
  <si>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</si>
  <si>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</si>
  <si>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</si>
  <si>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</si>
  <si>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</si>
  <si>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</si>
  <si>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</si>
  <si>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</si>
  <si>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</si>
  <si>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</si>
  <si>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</si>
  <si>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</si>
  <si>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</si>
  <si>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</si>
  <si>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</si>
  <si>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</si>
  <si>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</si>
  <si>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</si>
  <si>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</si>
  <si>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</si>
  <si>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</si>
  <si>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</si>
  <si>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</si>
  <si>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</si>
  <si>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</si>
  <si>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</si>
  <si>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</si>
  <si>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</si>
  <si>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</si>
  <si>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</si>
  <si>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</si>
  <si>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</si>
  <si>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</si>
  <si>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</si>
  <si>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</si>
  <si>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</si>
  <si>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</si>
  <si>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</si>
  <si>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</si>
  <si>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</si>
  <si>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</si>
  <si>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</si>
  <si>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</si>
  <si>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</si>
  <si>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</si>
  <si>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</si>
  <si>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</si>
  <si>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</si>
  <si>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</si>
  <si>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</si>
  <si>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</si>
  <si>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</si>
  <si>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</si>
  <si>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</si>
  <si>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</si>
  <si>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</si>
  <si>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</si>
  <si>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</si>
  <si>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</si>
  <si>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</si>
  <si>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</si>
  <si>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</si>
  <si>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</si>
  <si>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</si>
  <si>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</si>
  <si>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</si>
  <si>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</si>
  <si>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</si>
  <si>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</si>
  <si>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</si>
  <si>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</si>
  <si>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</si>
  <si>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</si>
  <si>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</si>
  <si>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</si>
  <si>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</si>
  <si>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</si>
  <si>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</si>
  <si>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</si>
  <si>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</si>
  <si>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</si>
  <si>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</si>
  <si>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</si>
  <si>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</si>
  <si>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</si>
  <si>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</si>
  <si>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</si>
  <si>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</si>
  <si>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</si>
  <si>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</si>
  <si>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</si>
  <si>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</si>
  <si>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</si>
  <si>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</si>
  <si>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</si>
  <si>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</si>
  <si>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</si>
  <si>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</si>
  <si>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</si>
  <si>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</si>
  <si>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</si>
  <si>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</si>
  <si>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</si>
  <si>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</si>
  <si>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</si>
  <si>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</si>
  <si>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</si>
  <si>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</si>
  <si>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</si>
  <si>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</si>
  <si>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</si>
  <si>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</si>
  <si>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</si>
  <si>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</si>
  <si>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</si>
  <si>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</si>
  <si>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</si>
  <si>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</si>
  <si>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</si>
  <si>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</si>
  <si>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</si>
  <si>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</si>
  <si>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</si>
  <si>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</si>
  <si>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</si>
  <si>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</si>
  <si>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</si>
  <si>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</si>
  <si>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</si>
  <si>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</si>
  <si>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</si>
  <si>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</si>
  <si>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</si>
  <si>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</si>
  <si>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</si>
  <si>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</si>
  <si>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</si>
  <si>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</si>
  <si>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</si>
  <si>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</si>
  <si>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</si>
  <si>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</si>
  <si>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</si>
  <si>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</si>
  <si>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</si>
  <si>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</si>
  <si>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</si>
  <si>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</si>
  <si>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</si>
  <si>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</si>
  <si>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</si>
  <si>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</si>
  <si>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</si>
  <si>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</si>
  <si>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</si>
  <si>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</si>
  <si>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</si>
  <si>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</si>
  <si>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</si>
  <si>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</si>
  <si>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</si>
  <si>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</si>
  <si>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</si>
  <si>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</si>
  <si>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</si>
  <si>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</si>
  <si>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</si>
  <si>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</si>
  <si>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</si>
  <si>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</si>
  <si>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</si>
  <si>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</si>
  <si>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</si>
  <si>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</si>
  <si>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</si>
  <si>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</si>
  <si>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</si>
  <si>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</si>
  <si>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</si>
  <si>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</si>
  <si>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</si>
  <si>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</si>
  <si>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</si>
  <si>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</si>
  <si>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</si>
  <si>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</si>
  <si>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</si>
  <si>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</si>
  <si>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</si>
  <si>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</si>
  <si>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</si>
  <si>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</si>
  <si>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</si>
  <si>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</si>
  <si>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</si>
  <si>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</si>
  <si>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</si>
  <si>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</si>
  <si>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</si>
  <si>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</si>
  <si>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</si>
  <si>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</si>
  <si>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</si>
  <si>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</si>
  <si>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</si>
  <si>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</si>
  <si>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</si>
  <si>
    <t>s</t>
  </si>
  <si>
    <t>Stop watch measurements on 16/04/2014</t>
  </si>
  <si>
    <t>Hopper Level Marks</t>
  </si>
  <si>
    <t>Hopper full - stop trucks</t>
  </si>
  <si>
    <t>Hopper almost ready - allow trucks</t>
  </si>
  <si>
    <t>Limited flow rate factor</t>
  </si>
  <si>
    <t>Percent of full working rate to limit outfeed to while nearly empty</t>
  </si>
  <si>
    <t>Hopper almost empty - limit outfeed</t>
  </si>
  <si>
    <t>Hopper empty - stop outfeed</t>
  </si>
  <si>
    <t>First Break Start</t>
  </si>
  <si>
    <t>First break End</t>
  </si>
  <si>
    <t>Second Break Start</t>
  </si>
  <si>
    <t>Second break End</t>
  </si>
  <si>
    <t>Hours</t>
  </si>
  <si>
    <t>Delay</t>
  </si>
  <si>
    <t>Task</t>
  </si>
  <si>
    <t>Day Shift Staff Arrive</t>
  </si>
  <si>
    <t>Excavator Stops Loading Trucks, Truck Cycles Stop</t>
  </si>
  <si>
    <t>Excavator product begins, Trucks Cycles Begin</t>
  </si>
  <si>
    <t>Excavator Stops Loading Trucks, Trucks Cycles Stop</t>
  </si>
  <si>
    <t>Night Shift</t>
  </si>
  <si>
    <t>Day Shift</t>
  </si>
  <si>
    <t>Preshift Finishes, Excavator Product Begin, Trucks Cycles Begin</t>
  </si>
  <si>
    <t>Night Shift Staff Arrive</t>
  </si>
  <si>
    <t>Day Shift Ends</t>
  </si>
  <si>
    <t>Night Shift Ends</t>
  </si>
  <si>
    <t>Random.Gamma(4,5.9/4)</t>
  </si>
  <si>
    <t>Alpha</t>
  </si>
  <si>
    <t>Beta</t>
  </si>
  <si>
    <t>Gamma-C</t>
  </si>
  <si>
    <t>Gamma</t>
  </si>
  <si>
    <t>Inputs</t>
  </si>
  <si>
    <t>Base</t>
  </si>
  <si>
    <t>Cuml. Diff</t>
  </si>
  <si>
    <t>Total Monthly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</si>
</sst>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  <numFmt numFmtId="167" formatCode="[$-409]h:mm:ss\ AM/PM;@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15" borderId="12" xfId="0" applyFill="1" applyBorder="1" applyAlignment="1">
      <alignment horizontal="center"/>
    </xf>
    <xf numFmtId="0" fontId="4" fillId="0" borderId="1" xfId="0" applyFont="1" applyBorder="1"/>
    <xf numFmtId="9" fontId="0" fillId="11" borderId="12" xfId="1" applyFont="1" applyFill="1" applyBorder="1" applyAlignment="1">
      <alignment horizontal="center"/>
    </xf>
    <xf numFmtId="167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NumberFormat="1"/>
    <xf numFmtId="167" fontId="0" fillId="0" borderId="0" xfId="0" applyNumberFormat="1" applyAlignment="1">
      <alignment vertical="center"/>
    </xf>
    <xf numFmtId="167" fontId="11" fillId="0" borderId="34" xfId="0" applyNumberFormat="1" applyFont="1" applyBorder="1" applyAlignment="1">
      <alignment horizontal="center" vertical="center" wrapText="1"/>
    </xf>
    <xf numFmtId="167" fontId="11" fillId="0" borderId="34" xfId="0" applyNumberFormat="1" applyFont="1" applyBorder="1" applyAlignment="1">
      <alignment horizontal="left" vertical="center" wrapText="1"/>
    </xf>
    <xf numFmtId="2" fontId="0" fillId="0" borderId="0" xfId="0" applyNumberFormat="1"/>
    <xf numFmtId="0" fontId="0" fillId="0" borderId="0" xfId="1" applyNumberFormat="1" applyFont="1" applyFill="1" applyBorder="1"/>
    <xf numFmtId="43" fontId="0" fillId="0" borderId="0" xfId="17" applyFont="1" applyFill="1" applyBorder="1"/>
    <xf numFmtId="166" fontId="0" fillId="0" borderId="0" xfId="0" applyNumberFormat="1"/>
  </cellXfs>
  <cellStyles count="18">
    <cellStyle name="Comma" xfId="17" builtinId="3"/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'Working Locations'!$V$97:$V$108</c:f>
              <c:numCache>
                <c:formatCode>0.0</c:formatCode>
                <c:ptCount val="12"/>
                <c:pt idx="0">
                  <c:v>-209183.6986301369</c:v>
                </c:pt>
                <c:pt idx="1">
                  <c:v>-484528.52054794505</c:v>
                </c:pt>
                <c:pt idx="2">
                  <c:v>-545473.3424657532</c:v>
                </c:pt>
                <c:pt idx="3">
                  <c:v>-409217.04109588987</c:v>
                </c:pt>
                <c:pt idx="4">
                  <c:v>-171411.86301369802</c:v>
                </c:pt>
                <c:pt idx="5">
                  <c:v>9754.4383561650757</c:v>
                </c:pt>
                <c:pt idx="6">
                  <c:v>339709.61643835693</c:v>
                </c:pt>
                <c:pt idx="7">
                  <c:v>321024.79452054866</c:v>
                </c:pt>
                <c:pt idx="8">
                  <c:v>338213.34246575425</c:v>
                </c:pt>
                <c:pt idx="9">
                  <c:v>228028.5205479461</c:v>
                </c:pt>
                <c:pt idx="10">
                  <c:v>-121255.1780821908</c:v>
                </c:pt>
                <c:pt idx="11">
                  <c:v>1.0477378964424133E-9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884224"/>
        <c:axId val="703884616"/>
      </c:barChart>
      <c:catAx>
        <c:axId val="70388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84616"/>
        <c:crosses val="autoZero"/>
        <c:auto val="1"/>
        <c:lblAlgn val="ctr"/>
        <c:lblOffset val="100"/>
        <c:noMultiLvlLbl val="0"/>
      </c:catAx>
      <c:valAx>
        <c:axId val="7038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ExcavatorFailureRates!$E$4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ExcavatorFailureRates!$B$5:$B$30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cat>
          <c:val>
            <c:numRef>
              <c:f>ExcavatorFailureRates!$E$5:$E$30</c:f>
              <c:numCache>
                <c:formatCode>General</c:formatCode>
                <c:ptCount val="26"/>
                <c:pt idx="0">
                  <c:v>0.1563907261086146</c:v>
                </c:pt>
                <c:pt idx="1">
                  <c:v>0.17687830301204899</c:v>
                </c:pt>
                <c:pt idx="2">
                  <c:v>0.1523855945104966</c:v>
                </c:pt>
                <c:pt idx="3">
                  <c:v>0.12306713644864675</c:v>
                </c:pt>
                <c:pt idx="4">
                  <c:v>9.6378974878812418E-2</c:v>
                </c:pt>
                <c:pt idx="5">
                  <c:v>7.4124061557933052E-2</c:v>
                </c:pt>
                <c:pt idx="6">
                  <c:v>5.6330614312739447E-2</c:v>
                </c:pt>
                <c:pt idx="7">
                  <c:v>4.2446569459928085E-2</c:v>
                </c:pt>
                <c:pt idx="8">
                  <c:v>3.1782316877985717E-2</c:v>
                </c:pt>
                <c:pt idx="9">
                  <c:v>2.3680513013434323E-2</c:v>
                </c:pt>
                <c:pt idx="10">
                  <c:v>1.7574781158911645E-2</c:v>
                </c:pt>
                <c:pt idx="11">
                  <c:v>1.3001524960393307E-2</c:v>
                </c:pt>
                <c:pt idx="12">
                  <c:v>9.5926344425723009E-3</c:v>
                </c:pt>
                <c:pt idx="13">
                  <c:v>7.0615520853820613E-3</c:v>
                </c:pt>
                <c:pt idx="14">
                  <c:v>5.1882620032035476E-3</c:v>
                </c:pt>
                <c:pt idx="15">
                  <c:v>3.8055338941764827E-3</c:v>
                </c:pt>
                <c:pt idx="16">
                  <c:v>2.7872284845351647E-3</c:v>
                </c:pt>
                <c:pt idx="17">
                  <c:v>2.038768787712808E-3</c:v>
                </c:pt>
                <c:pt idx="18">
                  <c:v>1.4895818971639718E-3</c:v>
                </c:pt>
                <c:pt idx="19">
                  <c:v>1.0872125738857763E-3</c:v>
                </c:pt>
                <c:pt idx="20">
                  <c:v>7.9279875966498103E-4</c:v>
                </c:pt>
                <c:pt idx="21">
                  <c:v>5.7762795973603787E-4</c:v>
                </c:pt>
                <c:pt idx="22">
                  <c:v>4.2053611179482253E-4</c:v>
                </c:pt>
                <c:pt idx="23">
                  <c:v>3.0595460470950187E-4</c:v>
                </c:pt>
                <c:pt idx="24">
                  <c:v>2.2245105362550532E-4</c:v>
                </c:pt>
                <c:pt idx="25">
                  <c:v>1.6164335375468131E-4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877560"/>
        <c:axId val="703878736"/>
      </c:barChart>
      <c:lineChart>
        <c:grouping val="standard"/>
        <c:varyColors val="0"/>
        <c:ser>
          <c:idx val="0"/>
          <c:order val="0"/>
          <c:tx>
            <c:strRef>
              <c:f>ExcavatorFailureRates!$D$4</c:f>
              <c:strCache>
                <c:ptCount val="1"/>
                <c:pt idx="0">
                  <c:v>Gamma-C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ExcavatorFailureRates!$B$5:$B$30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cat>
          <c:val>
            <c:numRef>
              <c:f>ExcavatorFailureRates!$D$5:$D$30</c:f>
              <c:numCache>
                <c:formatCode>General</c:formatCode>
                <c:ptCount val="26"/>
                <c:pt idx="0">
                  <c:v>0.1563907261086146</c:v>
                </c:pt>
                <c:pt idx="1">
                  <c:v>0.33326902912066358</c:v>
                </c:pt>
                <c:pt idx="2">
                  <c:v>0.48565462363116019</c:v>
                </c:pt>
                <c:pt idx="3">
                  <c:v>0.60872176007980694</c:v>
                </c:pt>
                <c:pt idx="4">
                  <c:v>0.70510073495861936</c:v>
                </c:pt>
                <c:pt idx="5">
                  <c:v>0.77922479651655241</c:v>
                </c:pt>
                <c:pt idx="6">
                  <c:v>0.83555541082929186</c:v>
                </c:pt>
                <c:pt idx="7">
                  <c:v>0.87800198028921994</c:v>
                </c:pt>
                <c:pt idx="8">
                  <c:v>0.90978429716720566</c:v>
                </c:pt>
                <c:pt idx="9">
                  <c:v>0.93346481018063998</c:v>
                </c:pt>
                <c:pt idx="10">
                  <c:v>0.95103959133955163</c:v>
                </c:pt>
                <c:pt idx="11">
                  <c:v>0.96404111629994493</c:v>
                </c:pt>
                <c:pt idx="12">
                  <c:v>0.97363375074251723</c:v>
                </c:pt>
                <c:pt idx="13">
                  <c:v>0.9806953028278993</c:v>
                </c:pt>
                <c:pt idx="14">
                  <c:v>0.98588356483110284</c:v>
                </c:pt>
                <c:pt idx="15">
                  <c:v>0.98968909872527933</c:v>
                </c:pt>
                <c:pt idx="16">
                  <c:v>0.99247632720981449</c:v>
                </c:pt>
                <c:pt idx="17">
                  <c:v>0.9945150959975273</c:v>
                </c:pt>
                <c:pt idx="18">
                  <c:v>0.99600467789469127</c:v>
                </c:pt>
                <c:pt idx="19">
                  <c:v>0.99709189046857705</c:v>
                </c:pt>
                <c:pt idx="20">
                  <c:v>0.99788468922824203</c:v>
                </c:pt>
                <c:pt idx="21">
                  <c:v>0.99846231718797807</c:v>
                </c:pt>
                <c:pt idx="22">
                  <c:v>0.99888285329977289</c:v>
                </c:pt>
                <c:pt idx="23">
                  <c:v>0.99918880790448239</c:v>
                </c:pt>
                <c:pt idx="24">
                  <c:v>0.9994112589581079</c:v>
                </c:pt>
                <c:pt idx="25">
                  <c:v>0.99957290231186258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20672"/>
        <c:axId val="703879520"/>
      </c:lineChart>
      <c:catAx>
        <c:axId val="70387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8736"/>
        <c:crosses val="autoZero"/>
        <c:auto val="1"/>
        <c:lblAlgn val="ctr"/>
        <c:lblOffset val="100"/>
        <c:noMultiLvlLbl val="0"/>
      </c:catAx>
      <c:valAx>
        <c:axId val="7038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7560"/>
        <c:crosses val="autoZero"/>
        <c:crossBetween val="between"/>
      </c:valAx>
      <c:valAx>
        <c:axId val="70387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20672"/>
        <c:crosses val="max"/>
        <c:crossBetween val="between"/>
      </c:valAx>
      <c:catAx>
        <c:axId val="6327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704850</xdr:colOff>
      <xdr:row>108</xdr:row>
      <xdr:rowOff>123825</xdr:rowOff>
    </xdr:from>
    <xdr:to>
      <xdr:col>22</xdr:col>
      <xdr:colOff>200025</xdr:colOff>
      <xdr:row>122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49"/>
  <sheetViews>
    <sheetView tabSelected="1" topLeftCell="I13" workbookViewId="0">
      <selection activeCell="V28" sqref="V28:V39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  <col min="19" max="19" width="15.7109375" customWidth="1"/>
    <col min="20" max="23" width="20.140625" customWidth="1"/>
    <col min="24" max="24" width="14.28515625" bestFit="1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2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2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2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  <c r="Q19">
        <v>2400</v>
      </c>
      <c r="S19">
        <v>2400</v>
      </c>
    </row>
    <row r="20" spans="1:2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  <c r="Q20">
        <v>2100</v>
      </c>
      <c r="S20">
        <v>2100</v>
      </c>
    </row>
    <row r="21" spans="1:2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  <c r="P21">
        <f>SUM(Q28:Q39)</f>
        <v>4727000</v>
      </c>
      <c r="Q21">
        <f>Q20*Q19</f>
        <v>5040000</v>
      </c>
      <c r="R21">
        <f>SUM(P21:Q21)</f>
        <v>9767000</v>
      </c>
      <c r="S21">
        <v>11000000</v>
      </c>
    </row>
    <row r="22" spans="1:25" x14ac:dyDescent="0.25">
      <c r="A22" s="182"/>
    </row>
    <row r="23" spans="1:25" ht="15.75" thickBot="1" x14ac:dyDescent="0.3">
      <c r="A23" s="182"/>
      <c r="B23" s="21" t="s">
        <v>84</v>
      </c>
      <c r="C23" s="131" t="s">
        <v>200</v>
      </c>
    </row>
    <row r="24" spans="1:2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  <c r="V24" t="s">
        <v>271</v>
      </c>
    </row>
    <row r="25" spans="1:2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  <c r="S25">
        <v>10000000</v>
      </c>
      <c r="T25" s="44"/>
      <c r="U25" s="44"/>
      <c r="V25" s="44"/>
      <c r="W25" s="44"/>
      <c r="X25" s="44"/>
    </row>
    <row r="26" spans="1:2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2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  <c r="T27" s="212"/>
      <c r="U27" s="212"/>
      <c r="V27" s="212"/>
      <c r="W27" s="212"/>
      <c r="X27" s="212"/>
      <c r="Y27" s="212"/>
    </row>
    <row r="28" spans="1:2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  <c r="P28">
        <v>31</v>
      </c>
      <c r="Q28" s="217">
        <f>I28*1000</f>
        <v>481000</v>
      </c>
      <c r="R28">
        <f>($R$21/365)*P28</f>
        <v>829526.0273972603</v>
      </c>
      <c r="S28">
        <f>R28-Q28</f>
        <v>348526.0273972603</v>
      </c>
      <c r="T28" s="217">
        <f>S28/$Q$21</f>
        <v>6.9151989562948477E-2</v>
      </c>
      <c r="U28" s="217"/>
      <c r="V28" s="217">
        <f>Q28+Q156</f>
        <v>1119000</v>
      </c>
      <c r="W28" s="217"/>
      <c r="X28" s="212"/>
      <c r="Y28" s="212"/>
    </row>
    <row r="29" spans="1:2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  <c r="P29">
        <v>28</v>
      </c>
      <c r="Q29" s="217">
        <f t="shared" ref="Q29:Q39" si="11">I29*1000</f>
        <v>181000</v>
      </c>
      <c r="R29">
        <f t="shared" ref="R29:R39" si="12">($R$21/365)*P29</f>
        <v>749249.31506849313</v>
      </c>
      <c r="S29">
        <f t="shared" ref="S29:S39" si="13">R29-Q29</f>
        <v>568249.31506849313</v>
      </c>
      <c r="T29" s="217">
        <f t="shared" ref="T29:T39" si="14">S29/$Q$21</f>
        <v>0.11274787997390737</v>
      </c>
      <c r="U29" s="217"/>
      <c r="V29" s="217">
        <f t="shared" ref="V29:V39" si="15">Q29+Q157</f>
        <v>754000</v>
      </c>
      <c r="W29" s="217"/>
      <c r="X29" s="212"/>
      <c r="Y29" s="212"/>
    </row>
    <row r="30" spans="1:2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  <c r="P30">
        <v>31</v>
      </c>
      <c r="Q30" s="217">
        <f t="shared" si="11"/>
        <v>563000</v>
      </c>
      <c r="R30">
        <f t="shared" si="12"/>
        <v>829526.0273972603</v>
      </c>
      <c r="S30">
        <f t="shared" si="13"/>
        <v>266526.0273972603</v>
      </c>
      <c r="T30" s="217">
        <f t="shared" si="14"/>
        <v>5.2882148293107202E-2</v>
      </c>
      <c r="U30" s="217"/>
      <c r="V30" s="217">
        <f t="shared" si="15"/>
        <v>1089000</v>
      </c>
      <c r="W30" s="217"/>
      <c r="X30" s="212"/>
      <c r="Y30" s="212"/>
    </row>
    <row r="31" spans="1:2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  <c r="P31">
        <v>30</v>
      </c>
      <c r="Q31" s="217">
        <f t="shared" si="11"/>
        <v>431000</v>
      </c>
      <c r="R31">
        <f t="shared" si="12"/>
        <v>802767.12328767125</v>
      </c>
      <c r="S31">
        <f t="shared" si="13"/>
        <v>371767.12328767125</v>
      </c>
      <c r="T31" s="217">
        <f t="shared" si="14"/>
        <v>7.3763318112633189E-2</v>
      </c>
      <c r="U31" s="217"/>
      <c r="V31" s="217">
        <f t="shared" si="15"/>
        <v>703000</v>
      </c>
      <c r="W31" s="217"/>
      <c r="X31" s="212"/>
      <c r="Y31" s="212"/>
    </row>
    <row r="32" spans="1:2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  <c r="P32">
        <v>31</v>
      </c>
      <c r="Q32" s="217">
        <f t="shared" si="11"/>
        <v>286000</v>
      </c>
      <c r="R32">
        <f t="shared" si="12"/>
        <v>829526.0273972603</v>
      </c>
      <c r="S32">
        <f t="shared" si="13"/>
        <v>543526.0273972603</v>
      </c>
      <c r="T32" s="217">
        <f t="shared" si="14"/>
        <v>0.10784246575342467</v>
      </c>
      <c r="U32" s="217"/>
      <c r="V32" s="217">
        <f t="shared" si="15"/>
        <v>1050000</v>
      </c>
      <c r="W32" s="217"/>
      <c r="X32" s="212"/>
      <c r="Y32" s="212"/>
    </row>
    <row r="33" spans="1:2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  <c r="P33">
        <v>30</v>
      </c>
      <c r="Q33" s="217">
        <f t="shared" si="11"/>
        <v>534000</v>
      </c>
      <c r="R33">
        <f t="shared" si="12"/>
        <v>802767.12328767125</v>
      </c>
      <c r="S33">
        <f t="shared" si="13"/>
        <v>268767.12328767125</v>
      </c>
      <c r="T33" s="217">
        <f t="shared" si="14"/>
        <v>5.3326810176125249E-2</v>
      </c>
      <c r="U33" s="217"/>
      <c r="V33" s="217">
        <f t="shared" si="15"/>
        <v>942000</v>
      </c>
      <c r="W33" s="217"/>
      <c r="X33" s="212"/>
      <c r="Y33" s="212"/>
    </row>
    <row r="34" spans="1:2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  <c r="P34">
        <v>31</v>
      </c>
      <c r="Q34" s="217">
        <f t="shared" si="11"/>
        <v>304000</v>
      </c>
      <c r="R34">
        <f t="shared" si="12"/>
        <v>829526.0273972603</v>
      </c>
      <c r="S34">
        <f t="shared" si="13"/>
        <v>525526.0273972603</v>
      </c>
      <c r="T34" s="217">
        <f t="shared" si="14"/>
        <v>0.1042710371819961</v>
      </c>
      <c r="U34" s="217"/>
      <c r="V34" s="217">
        <f t="shared" si="15"/>
        <v>860000</v>
      </c>
      <c r="W34" s="217"/>
      <c r="X34" s="212"/>
      <c r="Y34" s="212"/>
    </row>
    <row r="35" spans="1:2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  <c r="P35">
        <v>31</v>
      </c>
      <c r="Q35" s="217">
        <f t="shared" si="11"/>
        <v>364000</v>
      </c>
      <c r="R35">
        <f t="shared" si="12"/>
        <v>829526.0273972603</v>
      </c>
      <c r="S35">
        <f t="shared" si="13"/>
        <v>465526.0273972603</v>
      </c>
      <c r="T35" s="217">
        <f t="shared" si="14"/>
        <v>9.2366275277234192E-2</v>
      </c>
      <c r="U35" s="217"/>
      <c r="V35" s="217">
        <f t="shared" si="15"/>
        <v>913000</v>
      </c>
      <c r="W35" s="217"/>
      <c r="X35" s="212"/>
      <c r="Y35" s="212"/>
    </row>
    <row r="36" spans="1:2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  <c r="P36">
        <v>30</v>
      </c>
      <c r="Q36" s="217">
        <f t="shared" si="11"/>
        <v>522000</v>
      </c>
      <c r="R36">
        <f t="shared" si="12"/>
        <v>802767.12328767125</v>
      </c>
      <c r="S36">
        <f t="shared" si="13"/>
        <v>280767.12328767125</v>
      </c>
      <c r="T36" s="217">
        <f t="shared" si="14"/>
        <v>5.5707762557077628E-2</v>
      </c>
      <c r="U36" s="217"/>
      <c r="V36" s="217">
        <f t="shared" si="15"/>
        <v>1241000</v>
      </c>
      <c r="W36" s="217"/>
      <c r="X36" s="212"/>
      <c r="Y36" s="212"/>
    </row>
    <row r="37" spans="1:2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  <c r="P37">
        <v>31</v>
      </c>
      <c r="Q37" s="217">
        <f t="shared" si="11"/>
        <v>282000</v>
      </c>
      <c r="R37">
        <f t="shared" si="12"/>
        <v>829526.0273972603</v>
      </c>
      <c r="S37">
        <f t="shared" si="13"/>
        <v>547526.0273972603</v>
      </c>
      <c r="T37" s="217">
        <f t="shared" si="14"/>
        <v>0.10863611654707546</v>
      </c>
      <c r="U37" s="217"/>
      <c r="V37" s="217">
        <f t="shared" si="15"/>
        <v>1140000</v>
      </c>
      <c r="W37" s="217"/>
      <c r="X37" s="212"/>
      <c r="Y37" s="212"/>
    </row>
    <row r="38" spans="1:2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  <c r="P38">
        <v>30</v>
      </c>
      <c r="Q38" s="217">
        <f t="shared" si="11"/>
        <v>505000</v>
      </c>
      <c r="R38">
        <f t="shared" si="12"/>
        <v>802767.12328767125</v>
      </c>
      <c r="S38">
        <f t="shared" si="13"/>
        <v>297767.12328767125</v>
      </c>
      <c r="T38" s="217">
        <f t="shared" si="14"/>
        <v>5.9080778430093503E-2</v>
      </c>
      <c r="U38" s="217"/>
      <c r="V38" s="217">
        <f t="shared" si="15"/>
        <v>1289000</v>
      </c>
      <c r="W38" s="217"/>
      <c r="X38" s="212"/>
      <c r="Y38" s="212"/>
    </row>
    <row r="39" spans="1:2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  <c r="P39">
        <v>31</v>
      </c>
      <c r="Q39" s="217">
        <f t="shared" si="11"/>
        <v>274000</v>
      </c>
      <c r="R39">
        <f t="shared" si="12"/>
        <v>829526.0273972603</v>
      </c>
      <c r="S39">
        <f t="shared" si="13"/>
        <v>555526.0273972603</v>
      </c>
      <c r="T39" s="217">
        <f t="shared" si="14"/>
        <v>0.11022341813437704</v>
      </c>
      <c r="U39" s="217"/>
      <c r="V39" s="217">
        <f t="shared" si="15"/>
        <v>1259000</v>
      </c>
      <c r="W39" s="217"/>
      <c r="X39" s="212"/>
      <c r="Y39" s="212"/>
    </row>
    <row r="40" spans="1:2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  <c r="Y40" s="212"/>
    </row>
    <row r="41" spans="1:25" x14ac:dyDescent="0.25">
      <c r="A41" s="182"/>
    </row>
    <row r="42" spans="1:25" ht="15.75" thickBot="1" x14ac:dyDescent="0.3">
      <c r="A42" s="182"/>
      <c r="B42" s="21" t="s">
        <v>201</v>
      </c>
      <c r="I42" s="70" t="s">
        <v>108</v>
      </c>
    </row>
    <row r="43" spans="1:2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  <c r="K43" s="144">
        <v>1900</v>
      </c>
      <c r="L43">
        <v>180</v>
      </c>
      <c r="M43">
        <f>L43/K43</f>
        <v>9.4736842105263161E-2</v>
      </c>
      <c r="N43">
        <f>M43*60</f>
        <v>5.6842105263157894</v>
      </c>
    </row>
    <row r="44" spans="1:2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  <c r="K44" s="144">
        <v>1750</v>
      </c>
      <c r="L44">
        <v>180</v>
      </c>
      <c r="M44">
        <f>L44/K44</f>
        <v>0.10285714285714286</v>
      </c>
      <c r="N44">
        <f>M44*60</f>
        <v>6.1714285714285717</v>
      </c>
    </row>
    <row r="45" spans="1:2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  <c r="K45" s="144">
        <v>1750</v>
      </c>
      <c r="L45">
        <v>210</v>
      </c>
      <c r="M45">
        <f>L45/K45</f>
        <v>0.12</v>
      </c>
      <c r="N45">
        <f>M45*60</f>
        <v>7.1999999999999993</v>
      </c>
    </row>
    <row r="46" spans="1:2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2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2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6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6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6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6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6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28" x14ac:dyDescent="0.25">
      <c r="A81" s="184"/>
      <c r="B81" s="41"/>
      <c r="C81" s="29" t="s">
        <v>28</v>
      </c>
      <c r="D81" s="29">
        <f t="shared" ref="D81:D85" si="17">E81*F81/60</f>
        <v>10</v>
      </c>
      <c r="E81" s="9">
        <v>30</v>
      </c>
      <c r="F81" s="11">
        <v>20</v>
      </c>
    </row>
    <row r="82" spans="1:28" x14ac:dyDescent="0.25">
      <c r="A82" s="184"/>
      <c r="B82" s="41"/>
      <c r="C82" s="29" t="s">
        <v>29</v>
      </c>
      <c r="D82" s="29">
        <f t="shared" si="17"/>
        <v>10</v>
      </c>
      <c r="E82" s="9">
        <v>30</v>
      </c>
      <c r="F82" s="11">
        <v>20</v>
      </c>
    </row>
    <row r="83" spans="1:28" x14ac:dyDescent="0.25">
      <c r="A83" s="184"/>
      <c r="B83" s="8" t="s">
        <v>31</v>
      </c>
      <c r="C83" s="29" t="s">
        <v>32</v>
      </c>
      <c r="D83" s="29">
        <f t="shared" si="17"/>
        <v>0</v>
      </c>
      <c r="E83" s="9">
        <v>30</v>
      </c>
      <c r="F83" s="11">
        <v>0</v>
      </c>
    </row>
    <row r="84" spans="1:28" x14ac:dyDescent="0.25">
      <c r="A84" s="184"/>
      <c r="B84" s="41"/>
      <c r="C84" s="29" t="s">
        <v>28</v>
      </c>
      <c r="D84" s="29">
        <f t="shared" si="17"/>
        <v>0</v>
      </c>
      <c r="E84" s="9">
        <v>30</v>
      </c>
      <c r="F84" s="11">
        <v>0</v>
      </c>
    </row>
    <row r="85" spans="1:28" ht="15.75" thickBot="1" x14ac:dyDescent="0.3">
      <c r="A85" s="184"/>
      <c r="B85" s="42"/>
      <c r="C85" s="193" t="s">
        <v>29</v>
      </c>
      <c r="D85" s="193">
        <f t="shared" si="17"/>
        <v>0</v>
      </c>
      <c r="E85" s="14">
        <v>50</v>
      </c>
      <c r="F85" s="16">
        <v>0</v>
      </c>
    </row>
    <row r="86" spans="1:28" x14ac:dyDescent="0.25">
      <c r="A86" s="184"/>
      <c r="B86" s="37"/>
      <c r="C86" s="37"/>
      <c r="D86" s="37"/>
      <c r="E86" s="194"/>
      <c r="F86" s="195"/>
    </row>
    <row r="87" spans="1:28" ht="15.75" thickBot="1" x14ac:dyDescent="0.3">
      <c r="A87" s="184"/>
      <c r="B87" s="21" t="s">
        <v>84</v>
      </c>
    </row>
    <row r="88" spans="1:28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28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  <c r="R89">
        <v>5.25</v>
      </c>
    </row>
    <row r="90" spans="1:28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8">SUM(E92:E103)</f>
        <v>8</v>
      </c>
      <c r="F90" s="144">
        <f t="shared" si="18"/>
        <v>409</v>
      </c>
      <c r="G90" s="144">
        <f t="shared" si="18"/>
        <v>2631</v>
      </c>
      <c r="H90" s="144">
        <f t="shared" si="18"/>
        <v>0</v>
      </c>
      <c r="I90" s="145">
        <f>SUM(D90:H90)</f>
        <v>3048</v>
      </c>
      <c r="J90" s="46">
        <f>D90/$I$90</f>
        <v>0</v>
      </c>
      <c r="K90" s="46">
        <f t="shared" ref="K90:N90" si="19">E90/$I$90</f>
        <v>2.6246719160104987E-3</v>
      </c>
      <c r="L90" s="46">
        <f t="shared" si="19"/>
        <v>0.13418635170603674</v>
      </c>
      <c r="M90" s="46">
        <f t="shared" si="19"/>
        <v>0.86318897637795278</v>
      </c>
      <c r="N90" s="46">
        <f t="shared" si="19"/>
        <v>0</v>
      </c>
      <c r="O90" s="47">
        <f>SUM(J90:N90)</f>
        <v>1</v>
      </c>
      <c r="T90" s="212"/>
      <c r="U90" s="212"/>
      <c r="V90" s="212"/>
      <c r="W90" s="212"/>
      <c r="X90" s="212">
        <v>14000000</v>
      </c>
      <c r="Y90" s="212"/>
      <c r="Z90" s="212"/>
      <c r="AA90" s="212"/>
      <c r="AB90" s="212"/>
    </row>
    <row r="91" spans="1:28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  <c r="T91" s="212" t="s">
        <v>269</v>
      </c>
      <c r="U91" s="212" t="s">
        <v>268</v>
      </c>
      <c r="V91" s="212" t="s">
        <v>270</v>
      </c>
      <c r="W91" s="212"/>
      <c r="X91" s="212"/>
      <c r="Y91" s="212"/>
      <c r="Z91" s="212"/>
      <c r="AA91" s="212"/>
      <c r="AB91" s="212"/>
    </row>
    <row r="92" spans="1:28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20">IF(E$90&gt;0,E92/E$90,0)</f>
        <v>0</v>
      </c>
      <c r="L92" s="46">
        <f t="shared" si="20"/>
        <v>0.1100244498777506</v>
      </c>
      <c r="M92" s="46">
        <f t="shared" si="20"/>
        <v>0</v>
      </c>
      <c r="N92" s="46">
        <f t="shared" si="20"/>
        <v>0</v>
      </c>
      <c r="O92" s="48">
        <f>IF(I$90&gt;0,I92/I$90,0)</f>
        <v>1.4763779527559055E-2</v>
      </c>
      <c r="P92">
        <v>31</v>
      </c>
      <c r="Q92" s="217">
        <f>P92*24</f>
        <v>744</v>
      </c>
      <c r="R92" s="212">
        <f>Q92/$R$89</f>
        <v>141.71428571428572</v>
      </c>
      <c r="S92" s="212">
        <f>R92*8100</f>
        <v>1147885.7142857143</v>
      </c>
      <c r="T92" s="212">
        <f>($U$104/365)*P92</f>
        <v>1046594.8219178081</v>
      </c>
      <c r="U92" s="219">
        <f>(I92+I156+I211)*1000</f>
        <v>1027909.9999999999</v>
      </c>
      <c r="V92" s="219"/>
      <c r="W92" s="219">
        <f>U92-T92</f>
        <v>-18684.821917808265</v>
      </c>
      <c r="X92" s="217">
        <f>(I92+I156)*1000</f>
        <v>638000</v>
      </c>
      <c r="Y92" s="212">
        <f>T92-X92</f>
        <v>408594.82191780815</v>
      </c>
      <c r="Z92" s="212">
        <f>Y92/2</f>
        <v>204297.41095890407</v>
      </c>
      <c r="AA92" s="212">
        <f>Z92/$Z$104</f>
        <v>8.7105387324962702E-2</v>
      </c>
    </row>
    <row r="93" spans="1:28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21">SUM(D93:H93)</f>
        <v>405</v>
      </c>
      <c r="J93" s="45">
        <f t="shared" ref="J93:J103" si="22">IF(D$90&gt;0,D93/D$90,0)</f>
        <v>0</v>
      </c>
      <c r="K93" s="46">
        <f t="shared" si="20"/>
        <v>1</v>
      </c>
      <c r="L93" s="46">
        <f t="shared" si="20"/>
        <v>0.28117359413202936</v>
      </c>
      <c r="M93" s="46">
        <f t="shared" si="20"/>
        <v>0.10718358038768529</v>
      </c>
      <c r="N93" s="46">
        <f t="shared" si="20"/>
        <v>0</v>
      </c>
      <c r="O93" s="48">
        <f t="shared" si="20"/>
        <v>0.13287401574803151</v>
      </c>
      <c r="P93">
        <v>28</v>
      </c>
      <c r="Q93" s="217">
        <f t="shared" ref="Q93:Q103" si="23">P93*24</f>
        <v>672</v>
      </c>
      <c r="R93" s="212">
        <f t="shared" ref="R93:R103" si="24">Q93/$R$89</f>
        <v>128</v>
      </c>
      <c r="S93" s="212">
        <f t="shared" ref="S93:S103" si="25">R93*8100</f>
        <v>1036800</v>
      </c>
      <c r="T93" s="212">
        <f t="shared" ref="T93:T103" si="26">($U$104/365)*P93</f>
        <v>945311.45205479441</v>
      </c>
      <c r="U93" s="219">
        <f t="shared" ref="U93:U103" si="27">(I93+I157+I212)*1000</f>
        <v>962500</v>
      </c>
      <c r="V93" s="219"/>
      <c r="W93" s="219">
        <f t="shared" ref="W93:W103" si="28">U93-T93</f>
        <v>17188.547945205588</v>
      </c>
      <c r="X93" s="217">
        <f t="shared" ref="X93:X103" si="29">(I93+I157)*1000</f>
        <v>573000</v>
      </c>
      <c r="Y93" s="212">
        <f t="shared" ref="Y93:Y103" si="30">T93-X93</f>
        <v>372311.45205479441</v>
      </c>
      <c r="Z93" s="212">
        <f t="shared" ref="Z93:Z103" si="31">Y93/2</f>
        <v>186155.72602739721</v>
      </c>
      <c r="AA93" s="212">
        <f t="shared" ref="AA93:AA103" si="32">Z93/$Z$104</f>
        <v>7.9370397022005698E-2</v>
      </c>
    </row>
    <row r="94" spans="1:28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21"/>
        <v>352</v>
      </c>
      <c r="J94" s="45">
        <f t="shared" si="22"/>
        <v>0</v>
      </c>
      <c r="K94" s="46">
        <f t="shared" si="20"/>
        <v>0</v>
      </c>
      <c r="L94" s="46">
        <f t="shared" si="20"/>
        <v>0</v>
      </c>
      <c r="M94" s="46">
        <f>IF(G$90&gt;0,G94/G$90,0)</f>
        <v>0.1337894336754086</v>
      </c>
      <c r="N94" s="46">
        <f t="shared" si="20"/>
        <v>0</v>
      </c>
      <c r="O94" s="48">
        <f>IF(I$90&gt;0,I94/I$90,0)</f>
        <v>0.11548556430446194</v>
      </c>
      <c r="P94">
        <v>31</v>
      </c>
      <c r="Q94" s="217">
        <f t="shared" si="23"/>
        <v>744</v>
      </c>
      <c r="R94" s="212">
        <f t="shared" si="24"/>
        <v>141.71428571428572</v>
      </c>
      <c r="S94" s="212">
        <f t="shared" si="25"/>
        <v>1147885.7142857143</v>
      </c>
      <c r="T94" s="212">
        <f t="shared" si="26"/>
        <v>1046594.8219178081</v>
      </c>
      <c r="U94" s="219">
        <f t="shared" si="27"/>
        <v>936410</v>
      </c>
      <c r="V94" s="219"/>
      <c r="W94" s="219">
        <f t="shared" si="28"/>
        <v>-110184.82191780815</v>
      </c>
      <c r="X94" s="217">
        <f t="shared" si="29"/>
        <v>526000</v>
      </c>
      <c r="Y94" s="212">
        <f t="shared" si="30"/>
        <v>520594.82191780815</v>
      </c>
      <c r="Z94" s="212">
        <f t="shared" si="31"/>
        <v>260297.41095890407</v>
      </c>
      <c r="AA94" s="212">
        <f t="shared" si="32"/>
        <v>0.11098186068457438</v>
      </c>
    </row>
    <row r="95" spans="1:28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21"/>
        <v>272</v>
      </c>
      <c r="J95" s="45">
        <f t="shared" si="22"/>
        <v>0</v>
      </c>
      <c r="K95" s="46">
        <f t="shared" si="20"/>
        <v>0</v>
      </c>
      <c r="L95" s="46">
        <f t="shared" si="20"/>
        <v>0</v>
      </c>
      <c r="M95" s="46">
        <f t="shared" si="20"/>
        <v>0.10338274420372481</v>
      </c>
      <c r="N95" s="46">
        <f t="shared" si="20"/>
        <v>0</v>
      </c>
      <c r="O95" s="48">
        <f t="shared" si="20"/>
        <v>8.9238845144356954E-2</v>
      </c>
      <c r="P95">
        <v>30</v>
      </c>
      <c r="Q95" s="217">
        <f t="shared" si="23"/>
        <v>720</v>
      </c>
      <c r="R95" s="212">
        <f t="shared" si="24"/>
        <v>137.14285714285714</v>
      </c>
      <c r="S95" s="212">
        <f t="shared" si="25"/>
        <v>1110857.1428571427</v>
      </c>
      <c r="T95" s="212">
        <f t="shared" si="26"/>
        <v>1012833.6986301369</v>
      </c>
      <c r="U95" s="219">
        <f t="shared" si="27"/>
        <v>663550</v>
      </c>
      <c r="V95" s="219"/>
      <c r="W95" s="219">
        <f t="shared" si="28"/>
        <v>-349283.6986301369</v>
      </c>
      <c r="X95" s="217">
        <f t="shared" si="29"/>
        <v>272000</v>
      </c>
      <c r="Y95" s="212">
        <f t="shared" si="30"/>
        <v>740833.6986301369</v>
      </c>
      <c r="Z95" s="212">
        <f t="shared" si="31"/>
        <v>370416.84931506845</v>
      </c>
      <c r="AA95" s="212">
        <f t="shared" si="32"/>
        <v>0.15793300061825935</v>
      </c>
    </row>
    <row r="96" spans="1:28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21"/>
        <v>263</v>
      </c>
      <c r="J96" s="45">
        <f t="shared" si="22"/>
        <v>0</v>
      </c>
      <c r="K96" s="46">
        <f t="shared" si="20"/>
        <v>0</v>
      </c>
      <c r="L96" s="46">
        <f t="shared" si="20"/>
        <v>0</v>
      </c>
      <c r="M96" s="46">
        <f t="shared" si="20"/>
        <v>9.99619916381604E-2</v>
      </c>
      <c r="N96" s="46">
        <f t="shared" si="20"/>
        <v>0</v>
      </c>
      <c r="O96" s="48">
        <f t="shared" si="20"/>
        <v>8.6286089238845148E-2</v>
      </c>
      <c r="P96">
        <v>31</v>
      </c>
      <c r="Q96" s="217">
        <f t="shared" si="23"/>
        <v>744</v>
      </c>
      <c r="R96" s="212">
        <f t="shared" si="24"/>
        <v>141.71428571428572</v>
      </c>
      <c r="S96" s="212">
        <f t="shared" si="25"/>
        <v>1147885.7142857143</v>
      </c>
      <c r="T96" s="212">
        <f t="shared" si="26"/>
        <v>1046594.8219178081</v>
      </c>
      <c r="U96" s="219">
        <f t="shared" si="27"/>
        <v>1167850</v>
      </c>
      <c r="V96" s="219"/>
      <c r="W96" s="219">
        <f t="shared" si="28"/>
        <v>121255.17808219185</v>
      </c>
      <c r="X96" s="217">
        <f t="shared" si="29"/>
        <v>764000</v>
      </c>
      <c r="Y96" s="212">
        <f t="shared" si="30"/>
        <v>282594.82191780815</v>
      </c>
      <c r="Z96" s="212">
        <f t="shared" si="31"/>
        <v>141297.41095890407</v>
      </c>
      <c r="AA96" s="212">
        <f t="shared" si="32"/>
        <v>6.0244354795399573E-2</v>
      </c>
    </row>
    <row r="97" spans="1:27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21"/>
        <v>0</v>
      </c>
      <c r="J97" s="45">
        <f t="shared" si="22"/>
        <v>0</v>
      </c>
      <c r="K97" s="46">
        <f t="shared" si="20"/>
        <v>0</v>
      </c>
      <c r="L97" s="46">
        <f t="shared" si="20"/>
        <v>0</v>
      </c>
      <c r="M97" s="46">
        <f t="shared" si="20"/>
        <v>0</v>
      </c>
      <c r="N97" s="46">
        <f t="shared" si="20"/>
        <v>0</v>
      </c>
      <c r="O97" s="48">
        <f t="shared" si="20"/>
        <v>0</v>
      </c>
      <c r="P97">
        <v>30</v>
      </c>
      <c r="Q97" s="217">
        <f t="shared" si="23"/>
        <v>720</v>
      </c>
      <c r="R97" s="212">
        <f t="shared" si="24"/>
        <v>137.14285714285714</v>
      </c>
      <c r="S97" s="212">
        <f t="shared" si="25"/>
        <v>1110857.1428571427</v>
      </c>
      <c r="T97" s="212">
        <f t="shared" si="26"/>
        <v>1012833.6986301369</v>
      </c>
      <c r="U97" s="219">
        <f t="shared" si="27"/>
        <v>803650</v>
      </c>
      <c r="V97" s="219">
        <f>0+W97</f>
        <v>-209183.6986301369</v>
      </c>
      <c r="W97" s="219">
        <f t="shared" si="28"/>
        <v>-209183.6986301369</v>
      </c>
      <c r="X97" s="217">
        <f t="shared" si="29"/>
        <v>408000</v>
      </c>
      <c r="Y97" s="212">
        <f t="shared" si="30"/>
        <v>604833.6986301369</v>
      </c>
      <c r="Z97" s="212">
        <f t="shared" si="31"/>
        <v>302416.84931506845</v>
      </c>
      <c r="AA97" s="212">
        <f t="shared" si="32"/>
        <v>0.12894014011015947</v>
      </c>
    </row>
    <row r="98" spans="1:27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21"/>
        <v>66</v>
      </c>
      <c r="J98" s="45">
        <f t="shared" si="22"/>
        <v>0</v>
      </c>
      <c r="K98" s="46">
        <f t="shared" si="20"/>
        <v>0</v>
      </c>
      <c r="L98" s="46">
        <f t="shared" si="20"/>
        <v>0</v>
      </c>
      <c r="M98" s="46">
        <f t="shared" si="20"/>
        <v>2.5085518814139111E-2</v>
      </c>
      <c r="N98" s="46">
        <f t="shared" si="20"/>
        <v>0</v>
      </c>
      <c r="O98" s="48">
        <f t="shared" si="20"/>
        <v>2.1653543307086614E-2</v>
      </c>
      <c r="P98">
        <v>31</v>
      </c>
      <c r="Q98" s="217">
        <f t="shared" si="23"/>
        <v>744</v>
      </c>
      <c r="R98" s="212">
        <f t="shared" si="24"/>
        <v>141.71428571428572</v>
      </c>
      <c r="S98" s="212">
        <f t="shared" si="25"/>
        <v>1147885.7142857143</v>
      </c>
      <c r="T98" s="212">
        <f t="shared" si="26"/>
        <v>1046594.8219178081</v>
      </c>
      <c r="U98" s="219">
        <f t="shared" si="27"/>
        <v>771250</v>
      </c>
      <c r="V98" s="219">
        <f>V97+W98</f>
        <v>-484528.52054794505</v>
      </c>
      <c r="W98" s="219">
        <f t="shared" si="28"/>
        <v>-275344.82191780815</v>
      </c>
      <c r="X98" s="217">
        <f t="shared" si="29"/>
        <v>556000</v>
      </c>
      <c r="Y98" s="212">
        <f t="shared" si="30"/>
        <v>490594.82191780815</v>
      </c>
      <c r="Z98" s="212">
        <f t="shared" si="31"/>
        <v>245297.41095890407</v>
      </c>
      <c r="AA98" s="212">
        <f t="shared" si="32"/>
        <v>0.10458637674896411</v>
      </c>
    </row>
    <row r="99" spans="1:27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21"/>
        <v>253</v>
      </c>
      <c r="J99" s="45">
        <f t="shared" si="22"/>
        <v>0</v>
      </c>
      <c r="K99" s="46">
        <f t="shared" si="20"/>
        <v>0</v>
      </c>
      <c r="L99" s="46">
        <f t="shared" si="20"/>
        <v>0</v>
      </c>
      <c r="M99" s="46">
        <f t="shared" si="20"/>
        <v>9.6161155454199926E-2</v>
      </c>
      <c r="N99" s="46">
        <f t="shared" si="20"/>
        <v>0</v>
      </c>
      <c r="O99" s="48">
        <f t="shared" si="20"/>
        <v>8.3005249343832022E-2</v>
      </c>
      <c r="P99">
        <v>31</v>
      </c>
      <c r="Q99" s="217">
        <f t="shared" si="23"/>
        <v>744</v>
      </c>
      <c r="R99" s="212">
        <f t="shared" si="24"/>
        <v>141.71428571428572</v>
      </c>
      <c r="S99" s="212">
        <f t="shared" si="25"/>
        <v>1147885.7142857143</v>
      </c>
      <c r="T99" s="212">
        <f t="shared" si="26"/>
        <v>1046594.8219178081</v>
      </c>
      <c r="U99" s="219">
        <f t="shared" si="27"/>
        <v>985650</v>
      </c>
      <c r="V99" s="219">
        <f t="shared" ref="V99:V102" si="33">V98+W99</f>
        <v>-545473.3424657532</v>
      </c>
      <c r="W99" s="219">
        <f t="shared" si="28"/>
        <v>-60944.821917808149</v>
      </c>
      <c r="X99" s="217">
        <f t="shared" si="29"/>
        <v>549000</v>
      </c>
      <c r="Y99" s="212">
        <f t="shared" si="30"/>
        <v>497594.82191780815</v>
      </c>
      <c r="Z99" s="212">
        <f t="shared" si="31"/>
        <v>248797.41095890407</v>
      </c>
      <c r="AA99" s="212">
        <f t="shared" si="32"/>
        <v>0.10607865633393984</v>
      </c>
    </row>
    <row r="100" spans="1:27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21"/>
        <v>473</v>
      </c>
      <c r="J100" s="45">
        <f t="shared" si="22"/>
        <v>0</v>
      </c>
      <c r="K100" s="46">
        <f t="shared" si="20"/>
        <v>0</v>
      </c>
      <c r="L100" s="46">
        <f t="shared" si="20"/>
        <v>0.44254278728606355</v>
      </c>
      <c r="M100" s="46">
        <f t="shared" si="20"/>
        <v>0.11098441657164576</v>
      </c>
      <c r="N100" s="46">
        <f t="shared" si="20"/>
        <v>0</v>
      </c>
      <c r="O100" s="48">
        <f t="shared" si="20"/>
        <v>0.15518372703412073</v>
      </c>
      <c r="P100">
        <v>30</v>
      </c>
      <c r="Q100" s="217">
        <f t="shared" si="23"/>
        <v>720</v>
      </c>
      <c r="R100" s="212">
        <f t="shared" si="24"/>
        <v>137.14285714285714</v>
      </c>
      <c r="S100" s="212">
        <f t="shared" si="25"/>
        <v>1110857.1428571427</v>
      </c>
      <c r="T100" s="212">
        <f t="shared" si="26"/>
        <v>1012833.6986301369</v>
      </c>
      <c r="U100" s="219">
        <f t="shared" si="27"/>
        <v>1149090.0000000002</v>
      </c>
      <c r="V100" s="219">
        <f t="shared" si="33"/>
        <v>-409217.04109588987</v>
      </c>
      <c r="W100" s="219">
        <f t="shared" si="28"/>
        <v>136256.30136986333</v>
      </c>
      <c r="X100" s="217">
        <f t="shared" si="29"/>
        <v>719000</v>
      </c>
      <c r="Y100" s="212">
        <f t="shared" si="30"/>
        <v>293833.6986301369</v>
      </c>
      <c r="Z100" s="212">
        <f t="shared" si="31"/>
        <v>146916.84931506845</v>
      </c>
      <c r="AA100" s="212">
        <f t="shared" si="32"/>
        <v>6.2640289977666339E-2</v>
      </c>
    </row>
    <row r="101" spans="1:27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21"/>
        <v>204</v>
      </c>
      <c r="J101" s="45">
        <f t="shared" si="22"/>
        <v>0</v>
      </c>
      <c r="K101" s="46">
        <f t="shared" si="20"/>
        <v>0</v>
      </c>
      <c r="L101" s="46">
        <f t="shared" si="20"/>
        <v>0</v>
      </c>
      <c r="M101" s="46">
        <f t="shared" si="20"/>
        <v>7.7537058152793617E-2</v>
      </c>
      <c r="N101" s="46">
        <f t="shared" si="20"/>
        <v>0</v>
      </c>
      <c r="O101" s="48">
        <f t="shared" si="20"/>
        <v>6.6929133858267723E-2</v>
      </c>
      <c r="P101">
        <v>31</v>
      </c>
      <c r="Q101" s="217">
        <f t="shared" si="23"/>
        <v>744</v>
      </c>
      <c r="R101" s="212">
        <f t="shared" si="24"/>
        <v>141.71428571428572</v>
      </c>
      <c r="S101" s="212">
        <f t="shared" si="25"/>
        <v>1147885.7142857143</v>
      </c>
      <c r="T101" s="212">
        <f t="shared" si="26"/>
        <v>1046594.8219178081</v>
      </c>
      <c r="U101" s="219">
        <f t="shared" si="27"/>
        <v>1284400</v>
      </c>
      <c r="V101" s="219">
        <f t="shared" si="33"/>
        <v>-171411.86301369802</v>
      </c>
      <c r="W101" s="219">
        <f t="shared" si="28"/>
        <v>237805.17808219185</v>
      </c>
      <c r="X101" s="217">
        <f t="shared" si="29"/>
        <v>858000</v>
      </c>
      <c r="Y101" s="212">
        <f t="shared" si="30"/>
        <v>188594.82191780815</v>
      </c>
      <c r="Z101" s="212">
        <f t="shared" si="31"/>
        <v>94297.410958904075</v>
      </c>
      <c r="AA101" s="212">
        <f t="shared" si="32"/>
        <v>4.0205171797154056E-2</v>
      </c>
    </row>
    <row r="102" spans="1:27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21"/>
        <v>345</v>
      </c>
      <c r="J102" s="45">
        <f t="shared" si="22"/>
        <v>0</v>
      </c>
      <c r="K102" s="46">
        <f t="shared" si="20"/>
        <v>0</v>
      </c>
      <c r="L102" s="46">
        <f t="shared" si="20"/>
        <v>0.1100244498777506</v>
      </c>
      <c r="M102" s="46">
        <f t="shared" si="20"/>
        <v>0.11402508551881414</v>
      </c>
      <c r="N102" s="46">
        <f t="shared" si="20"/>
        <v>0</v>
      </c>
      <c r="O102" s="48">
        <f t="shared" si="20"/>
        <v>0.11318897637795275</v>
      </c>
      <c r="P102">
        <v>30</v>
      </c>
      <c r="Q102" s="217">
        <f t="shared" si="23"/>
        <v>720</v>
      </c>
      <c r="R102" s="212">
        <f t="shared" si="24"/>
        <v>137.14285714285714</v>
      </c>
      <c r="S102" s="212">
        <f t="shared" si="25"/>
        <v>1110857.1428571427</v>
      </c>
      <c r="T102" s="212">
        <f t="shared" si="26"/>
        <v>1012833.6986301369</v>
      </c>
      <c r="U102" s="219">
        <f t="shared" si="27"/>
        <v>1194000</v>
      </c>
      <c r="V102" s="219">
        <f t="shared" si="33"/>
        <v>9754.4383561650757</v>
      </c>
      <c r="W102" s="219">
        <f t="shared" si="28"/>
        <v>181166.3013698631</v>
      </c>
      <c r="X102" s="217">
        <f t="shared" si="29"/>
        <v>784000</v>
      </c>
      <c r="Y102" s="212">
        <f t="shared" si="30"/>
        <v>228833.6986301369</v>
      </c>
      <c r="Z102" s="212">
        <f t="shared" si="31"/>
        <v>114416.84931506845</v>
      </c>
      <c r="AA102" s="212">
        <f t="shared" si="32"/>
        <v>4.8783408117177414E-2</v>
      </c>
    </row>
    <row r="103" spans="1:27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21"/>
        <v>370</v>
      </c>
      <c r="J103" s="49">
        <f t="shared" si="22"/>
        <v>0</v>
      </c>
      <c r="K103" s="50">
        <f t="shared" si="20"/>
        <v>0</v>
      </c>
      <c r="L103" s="50">
        <f t="shared" si="20"/>
        <v>5.623471882640587E-2</v>
      </c>
      <c r="M103" s="50">
        <f t="shared" si="20"/>
        <v>0.13188901558342836</v>
      </c>
      <c r="N103" s="50">
        <f t="shared" si="20"/>
        <v>0</v>
      </c>
      <c r="O103" s="51">
        <f t="shared" si="20"/>
        <v>0.12139107611548557</v>
      </c>
      <c r="P103">
        <v>31</v>
      </c>
      <c r="Q103" s="217">
        <f t="shared" si="23"/>
        <v>744</v>
      </c>
      <c r="R103" s="212">
        <f t="shared" si="24"/>
        <v>141.71428571428572</v>
      </c>
      <c r="S103" s="212">
        <f t="shared" si="25"/>
        <v>1147885.7142857143</v>
      </c>
      <c r="T103" s="212">
        <f t="shared" si="26"/>
        <v>1046594.8219178081</v>
      </c>
      <c r="U103" s="219">
        <f t="shared" si="27"/>
        <v>1376550</v>
      </c>
      <c r="V103" s="219">
        <f>V102+W103</f>
        <v>339709.61643835693</v>
      </c>
      <c r="W103" s="219">
        <f t="shared" si="28"/>
        <v>329955.17808219185</v>
      </c>
      <c r="X103" s="217">
        <f t="shared" si="29"/>
        <v>985000</v>
      </c>
      <c r="Y103" s="212">
        <f t="shared" si="30"/>
        <v>61594.821917808149</v>
      </c>
      <c r="Z103" s="212">
        <f t="shared" si="31"/>
        <v>30797.410958904075</v>
      </c>
      <c r="AA103" s="212">
        <f t="shared" si="32"/>
        <v>1.3130956469737247E-2</v>
      </c>
    </row>
    <row r="104" spans="1:27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  <c r="U104" s="219">
        <f>SUM(U92:U103)</f>
        <v>12322810</v>
      </c>
      <c r="V104" s="219">
        <f>V103+W92</f>
        <v>321024.79452054866</v>
      </c>
      <c r="X104" s="218"/>
      <c r="Z104" s="212">
        <f>SUM(Z92:Z103)</f>
        <v>2345404.9999999991</v>
      </c>
    </row>
    <row r="105" spans="1:27" x14ac:dyDescent="0.25">
      <c r="A105" s="184"/>
      <c r="V105" s="219">
        <f t="shared" ref="V105:V107" si="34">V104+W93</f>
        <v>338213.34246575425</v>
      </c>
    </row>
    <row r="106" spans="1:27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  <c r="V106" s="219">
        <f t="shared" si="34"/>
        <v>228028.5205479461</v>
      </c>
    </row>
    <row r="107" spans="1:27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  <c r="V107" s="219">
        <f t="shared" si="34"/>
        <v>-121255.1780821908</v>
      </c>
    </row>
    <row r="108" spans="1:27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  <c r="V108" s="219">
        <f>V107+W96</f>
        <v>1.0477378964424133E-9</v>
      </c>
    </row>
    <row r="109" spans="1:27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27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27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27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35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35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35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35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35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24" x14ac:dyDescent="0.25">
      <c r="A145" s="185"/>
      <c r="B145" s="41"/>
      <c r="C145" s="29" t="s">
        <v>28</v>
      </c>
      <c r="D145" s="29">
        <f t="shared" ref="D145:D149" si="36">E145*F145/60</f>
        <v>15.25</v>
      </c>
      <c r="E145" s="9">
        <v>30</v>
      </c>
      <c r="F145" s="11">
        <v>30.5</v>
      </c>
    </row>
    <row r="146" spans="1:24" x14ac:dyDescent="0.25">
      <c r="A146" s="185"/>
      <c r="B146" s="41"/>
      <c r="C146" s="29" t="s">
        <v>29</v>
      </c>
      <c r="D146" s="29">
        <f t="shared" si="36"/>
        <v>13.25</v>
      </c>
      <c r="E146" s="9">
        <v>30</v>
      </c>
      <c r="F146" s="11">
        <v>26.5</v>
      </c>
    </row>
    <row r="147" spans="1:24" x14ac:dyDescent="0.25">
      <c r="A147" s="185"/>
      <c r="B147" s="8" t="s">
        <v>31</v>
      </c>
      <c r="C147" s="29" t="s">
        <v>32</v>
      </c>
      <c r="D147" s="29">
        <f t="shared" si="36"/>
        <v>0</v>
      </c>
      <c r="E147" s="9">
        <v>30</v>
      </c>
      <c r="F147" s="11">
        <v>0</v>
      </c>
    </row>
    <row r="148" spans="1:24" x14ac:dyDescent="0.25">
      <c r="A148" s="185"/>
      <c r="B148" s="41"/>
      <c r="C148" s="29" t="s">
        <v>28</v>
      </c>
      <c r="D148" s="29">
        <f t="shared" si="36"/>
        <v>0</v>
      </c>
      <c r="E148" s="9">
        <v>30</v>
      </c>
      <c r="F148" s="11">
        <v>0</v>
      </c>
    </row>
    <row r="149" spans="1:24" ht="15.75" thickBot="1" x14ac:dyDescent="0.3">
      <c r="A149" s="185"/>
      <c r="B149" s="42"/>
      <c r="C149" s="193" t="s">
        <v>29</v>
      </c>
      <c r="D149" s="193">
        <f t="shared" si="36"/>
        <v>0</v>
      </c>
      <c r="E149" s="14">
        <v>50</v>
      </c>
      <c r="F149" s="16">
        <v>0</v>
      </c>
    </row>
    <row r="150" spans="1:24" x14ac:dyDescent="0.25">
      <c r="A150" s="185"/>
      <c r="B150" s="37"/>
      <c r="C150" s="37"/>
      <c r="D150" s="37"/>
      <c r="E150" s="194"/>
      <c r="F150" s="195"/>
    </row>
    <row r="151" spans="1:24" ht="15.75" thickBot="1" x14ac:dyDescent="0.3">
      <c r="A151" s="185"/>
      <c r="B151" s="21" t="s">
        <v>84</v>
      </c>
      <c r="S151">
        <v>1600</v>
      </c>
      <c r="X151">
        <v>16000000</v>
      </c>
    </row>
    <row r="152" spans="1:24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  <c r="S152">
        <v>2100</v>
      </c>
    </row>
    <row r="153" spans="1:24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  <c r="R153">
        <f>SUM(Q156:Q167)</f>
        <v>7632000</v>
      </c>
      <c r="S153">
        <f>S152*S151</f>
        <v>3360000</v>
      </c>
      <c r="T153">
        <f>SUM(R153:S153)</f>
        <v>10992000</v>
      </c>
    </row>
    <row r="154" spans="1:24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37">SUM(E156:E167)</f>
        <v>469</v>
      </c>
      <c r="F154" s="144">
        <f t="shared" si="37"/>
        <v>1526</v>
      </c>
      <c r="G154" s="144">
        <f t="shared" si="37"/>
        <v>2589</v>
      </c>
      <c r="H154" s="144">
        <f t="shared" si="37"/>
        <v>0</v>
      </c>
      <c r="I154" s="145">
        <f>SUM(D154:H154)</f>
        <v>4584</v>
      </c>
      <c r="J154" s="46">
        <f>D154/$I$154</f>
        <v>0</v>
      </c>
      <c r="K154" s="46">
        <f t="shared" ref="K154:N154" si="38">E154/$I$154</f>
        <v>0.10231239092495636</v>
      </c>
      <c r="L154" s="46">
        <f t="shared" si="38"/>
        <v>0.33289703315881325</v>
      </c>
      <c r="M154" s="46">
        <f t="shared" si="38"/>
        <v>0.56479057591623039</v>
      </c>
      <c r="N154" s="46">
        <f t="shared" si="38"/>
        <v>0</v>
      </c>
      <c r="O154" s="47">
        <f>SUM(J154:N154)</f>
        <v>1</v>
      </c>
      <c r="S154">
        <f>S153/2</f>
        <v>1680000</v>
      </c>
      <c r="V154">
        <f>SUM(U156:U167)</f>
        <v>1705716.4383561644</v>
      </c>
    </row>
    <row r="155" spans="1:24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24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39">IF(E$154&gt;0,E156/E$154,0)</f>
        <v>0</v>
      </c>
      <c r="L156" s="46">
        <f t="shared" si="39"/>
        <v>0.11336828309305373</v>
      </c>
      <c r="M156" s="46">
        <f t="shared" si="39"/>
        <v>0.16222479721900349</v>
      </c>
      <c r="N156" s="46">
        <f t="shared" si="39"/>
        <v>0</v>
      </c>
      <c r="O156" s="48">
        <f t="shared" si="39"/>
        <v>0.12936300174520071</v>
      </c>
      <c r="P156">
        <v>31</v>
      </c>
      <c r="Q156" s="217">
        <f>(I156+I92)*1000</f>
        <v>638000</v>
      </c>
      <c r="S156">
        <f>($T$153/365)*P156</f>
        <v>933567.12328767125</v>
      </c>
      <c r="T156">
        <f>S156-Q156</f>
        <v>295567.12328767125</v>
      </c>
      <c r="U156">
        <f>T156/2</f>
        <v>147783.56164383562</v>
      </c>
      <c r="V156">
        <f>U156/$V$154</f>
        <v>8.6640169679233325E-2</v>
      </c>
    </row>
    <row r="157" spans="1:24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40">SUM(D157:H157)</f>
        <v>168</v>
      </c>
      <c r="J157" s="45">
        <f t="shared" ref="J157:J167" si="41">IF(D$154&gt;0,D157/D$154,0)</f>
        <v>0</v>
      </c>
      <c r="K157" s="46">
        <f t="shared" si="39"/>
        <v>0</v>
      </c>
      <c r="L157" s="46">
        <f t="shared" si="39"/>
        <v>3.1454783748361727E-2</v>
      </c>
      <c r="M157" s="46">
        <f t="shared" si="39"/>
        <v>4.6349942062572425E-2</v>
      </c>
      <c r="N157" s="46">
        <f t="shared" si="39"/>
        <v>0</v>
      </c>
      <c r="O157" s="48">
        <f t="shared" si="39"/>
        <v>3.6649214659685861E-2</v>
      </c>
      <c r="P157">
        <v>28</v>
      </c>
      <c r="Q157" s="217">
        <f t="shared" ref="Q157:Q167" si="42">(I157+I93)*1000</f>
        <v>573000</v>
      </c>
      <c r="S157">
        <f t="shared" ref="S157:S167" si="43">($T$153/365)*P157</f>
        <v>843221.91780821909</v>
      </c>
      <c r="T157">
        <f t="shared" ref="T157:T167" si="44">S157-Q157</f>
        <v>270221.91780821909</v>
      </c>
      <c r="U157">
        <f t="shared" ref="U157:U166" si="45">T157/2</f>
        <v>135110.95890410955</v>
      </c>
      <c r="V157">
        <f t="shared" ref="V157:V167" si="46">U157/$V$154</f>
        <v>7.9210679961740235E-2</v>
      </c>
    </row>
    <row r="158" spans="1:24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40"/>
        <v>174</v>
      </c>
      <c r="J158" s="45">
        <f t="shared" si="41"/>
        <v>0</v>
      </c>
      <c r="K158" s="46">
        <f t="shared" si="39"/>
        <v>2.1321961620469083E-3</v>
      </c>
      <c r="L158" s="46">
        <f t="shared" si="39"/>
        <v>0</v>
      </c>
      <c r="M158" s="46">
        <f t="shared" si="39"/>
        <v>6.6821166473541901E-2</v>
      </c>
      <c r="N158" s="46">
        <f t="shared" si="39"/>
        <v>0</v>
      </c>
      <c r="O158" s="48">
        <f t="shared" si="39"/>
        <v>3.7958115183246072E-2</v>
      </c>
      <c r="P158">
        <v>31</v>
      </c>
      <c r="Q158" s="217">
        <f t="shared" si="42"/>
        <v>526000</v>
      </c>
      <c r="S158">
        <f t="shared" si="43"/>
        <v>933567.12328767125</v>
      </c>
      <c r="T158">
        <f t="shared" si="44"/>
        <v>407567.12328767125</v>
      </c>
      <c r="U158">
        <f t="shared" si="45"/>
        <v>203783.56164383562</v>
      </c>
      <c r="V158">
        <f t="shared" si="46"/>
        <v>0.11947094901672298</v>
      </c>
    </row>
    <row r="159" spans="1:24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40"/>
        <v>0</v>
      </c>
      <c r="J159" s="45">
        <f t="shared" si="41"/>
        <v>0</v>
      </c>
      <c r="K159" s="46">
        <f t="shared" si="39"/>
        <v>0</v>
      </c>
      <c r="L159" s="46">
        <f t="shared" si="39"/>
        <v>0</v>
      </c>
      <c r="M159" s="46">
        <f t="shared" si="39"/>
        <v>0</v>
      </c>
      <c r="N159" s="46">
        <f t="shared" si="39"/>
        <v>0</v>
      </c>
      <c r="O159" s="48">
        <f t="shared" si="39"/>
        <v>0</v>
      </c>
      <c r="P159">
        <v>30</v>
      </c>
      <c r="Q159" s="217">
        <f t="shared" si="42"/>
        <v>272000</v>
      </c>
      <c r="S159">
        <f t="shared" si="43"/>
        <v>903452.05479452049</v>
      </c>
      <c r="T159">
        <f t="shared" si="44"/>
        <v>631452.05479452049</v>
      </c>
      <c r="U159">
        <f t="shared" si="45"/>
        <v>315726.02739726024</v>
      </c>
      <c r="V159">
        <f t="shared" si="46"/>
        <v>0.18509877743895828</v>
      </c>
    </row>
    <row r="160" spans="1:24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40"/>
        <v>501</v>
      </c>
      <c r="J160" s="45">
        <f t="shared" si="41"/>
        <v>0</v>
      </c>
      <c r="K160" s="46">
        <f t="shared" si="39"/>
        <v>6.8230277185501065E-2</v>
      </c>
      <c r="L160" s="46">
        <f t="shared" si="39"/>
        <v>9.8296199213630409E-3</v>
      </c>
      <c r="M160" s="46">
        <f t="shared" si="39"/>
        <v>0.17535728080339899</v>
      </c>
      <c r="N160" s="46">
        <f t="shared" si="39"/>
        <v>0</v>
      </c>
      <c r="O160" s="48">
        <f t="shared" si="39"/>
        <v>0.10929319371727748</v>
      </c>
      <c r="P160">
        <v>31</v>
      </c>
      <c r="Q160" s="217">
        <f t="shared" si="42"/>
        <v>764000</v>
      </c>
      <c r="S160">
        <f t="shared" si="43"/>
        <v>933567.12328767125</v>
      </c>
      <c r="T160">
        <f t="shared" si="44"/>
        <v>169567.12328767125</v>
      </c>
      <c r="U160">
        <f t="shared" si="45"/>
        <v>84783.561643835623</v>
      </c>
      <c r="V160">
        <f t="shared" si="46"/>
        <v>4.9705542924557478E-2</v>
      </c>
    </row>
    <row r="161" spans="1:23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40"/>
        <v>408</v>
      </c>
      <c r="J161" s="45">
        <f t="shared" si="41"/>
        <v>0</v>
      </c>
      <c r="K161" s="46">
        <f t="shared" si="39"/>
        <v>2.1321961620469083E-3</v>
      </c>
      <c r="L161" s="46">
        <f t="shared" si="39"/>
        <v>5.8977719528178242E-2</v>
      </c>
      <c r="M161" s="46">
        <f t="shared" si="39"/>
        <v>0.12244109694862881</v>
      </c>
      <c r="N161" s="46">
        <f t="shared" si="39"/>
        <v>0</v>
      </c>
      <c r="O161" s="48">
        <f t="shared" si="39"/>
        <v>8.9005235602094238E-2</v>
      </c>
      <c r="P161">
        <v>30</v>
      </c>
      <c r="Q161" s="217">
        <f t="shared" si="42"/>
        <v>408000</v>
      </c>
      <c r="S161">
        <f t="shared" si="43"/>
        <v>903452.05479452049</v>
      </c>
      <c r="T161">
        <f t="shared" si="44"/>
        <v>495452.05479452049</v>
      </c>
      <c r="U161">
        <f t="shared" si="45"/>
        <v>247726.02739726024</v>
      </c>
      <c r="V161">
        <f t="shared" si="46"/>
        <v>0.14523283110057797</v>
      </c>
    </row>
    <row r="162" spans="1:23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40"/>
        <v>490</v>
      </c>
      <c r="J162" s="45">
        <f t="shared" si="41"/>
        <v>0</v>
      </c>
      <c r="K162" s="46">
        <f t="shared" si="39"/>
        <v>5.3304904051172705E-2</v>
      </c>
      <c r="L162" s="46">
        <f t="shared" si="39"/>
        <v>0.10091743119266056</v>
      </c>
      <c r="M162" s="46">
        <f t="shared" si="39"/>
        <v>0.1201235998455002</v>
      </c>
      <c r="N162" s="46">
        <f t="shared" si="39"/>
        <v>0</v>
      </c>
      <c r="O162" s="48">
        <f t="shared" si="39"/>
        <v>0.10689354275741711</v>
      </c>
      <c r="P162">
        <v>31</v>
      </c>
      <c r="Q162" s="217">
        <f t="shared" si="42"/>
        <v>556000</v>
      </c>
      <c r="S162">
        <f t="shared" si="43"/>
        <v>933567.12328767125</v>
      </c>
      <c r="T162">
        <f t="shared" si="44"/>
        <v>377567.12328767125</v>
      </c>
      <c r="U162">
        <f t="shared" si="45"/>
        <v>188783.56164383562</v>
      </c>
      <c r="V162">
        <f t="shared" si="46"/>
        <v>0.11067699026560968</v>
      </c>
    </row>
    <row r="163" spans="1:23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40"/>
        <v>296</v>
      </c>
      <c r="J163" s="45">
        <f t="shared" si="41"/>
        <v>0</v>
      </c>
      <c r="K163" s="46">
        <f t="shared" si="39"/>
        <v>0.22601279317697229</v>
      </c>
      <c r="L163" s="46">
        <f t="shared" si="39"/>
        <v>9.1743119266055051E-3</v>
      </c>
      <c r="M163" s="46">
        <f t="shared" si="39"/>
        <v>6.7979915025106225E-2</v>
      </c>
      <c r="N163" s="46">
        <f t="shared" si="39"/>
        <v>0</v>
      </c>
      <c r="O163" s="48">
        <f t="shared" si="39"/>
        <v>6.4572425828970326E-2</v>
      </c>
      <c r="P163">
        <v>31</v>
      </c>
      <c r="Q163" s="217">
        <f t="shared" si="42"/>
        <v>549000</v>
      </c>
      <c r="S163">
        <f t="shared" si="43"/>
        <v>933567.12328767125</v>
      </c>
      <c r="T163">
        <f t="shared" si="44"/>
        <v>384567.12328767125</v>
      </c>
      <c r="U163">
        <f t="shared" si="45"/>
        <v>192283.56164383562</v>
      </c>
      <c r="V163">
        <f t="shared" si="46"/>
        <v>0.11272891397420279</v>
      </c>
    </row>
    <row r="164" spans="1:23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40"/>
        <v>246</v>
      </c>
      <c r="J164" s="45">
        <f t="shared" si="41"/>
        <v>0</v>
      </c>
      <c r="K164" s="46">
        <f t="shared" si="39"/>
        <v>3.4115138592750532E-2</v>
      </c>
      <c r="L164" s="46">
        <f t="shared" si="39"/>
        <v>0.15072083879423329</v>
      </c>
      <c r="M164" s="46">
        <f t="shared" si="39"/>
        <v>0</v>
      </c>
      <c r="N164" s="46">
        <f t="shared" si="39"/>
        <v>0</v>
      </c>
      <c r="O164" s="48">
        <f t="shared" si="39"/>
        <v>5.3664921465968587E-2</v>
      </c>
      <c r="P164">
        <v>30</v>
      </c>
      <c r="Q164" s="217">
        <f t="shared" si="42"/>
        <v>719000</v>
      </c>
      <c r="S164">
        <f t="shared" si="43"/>
        <v>903452.05479452049</v>
      </c>
      <c r="T164">
        <f t="shared" si="44"/>
        <v>184452.05479452049</v>
      </c>
      <c r="U164">
        <f t="shared" si="45"/>
        <v>92226.027397260244</v>
      </c>
      <c r="V164">
        <f t="shared" si="46"/>
        <v>5.4068792047370105E-2</v>
      </c>
    </row>
    <row r="165" spans="1:23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40"/>
        <v>654</v>
      </c>
      <c r="J165" s="45">
        <f t="shared" si="41"/>
        <v>0</v>
      </c>
      <c r="K165" s="46">
        <f t="shared" si="39"/>
        <v>0.15991471215351813</v>
      </c>
      <c r="L165" s="46">
        <f t="shared" si="39"/>
        <v>0.30013106159895153</v>
      </c>
      <c r="M165" s="46">
        <f t="shared" si="39"/>
        <v>4.6736191579760528E-2</v>
      </c>
      <c r="N165" s="46">
        <f t="shared" si="39"/>
        <v>0</v>
      </c>
      <c r="O165" s="48">
        <f t="shared" si="39"/>
        <v>0.14267015706806283</v>
      </c>
      <c r="P165">
        <v>31</v>
      </c>
      <c r="Q165" s="217">
        <f t="shared" si="42"/>
        <v>858000</v>
      </c>
      <c r="S165">
        <f t="shared" si="43"/>
        <v>933567.12328767125</v>
      </c>
      <c r="T165">
        <f t="shared" si="44"/>
        <v>75567.123287671246</v>
      </c>
      <c r="U165">
        <f t="shared" si="45"/>
        <v>37783.561643835623</v>
      </c>
      <c r="V165">
        <f t="shared" si="46"/>
        <v>2.2151138837735805E-2</v>
      </c>
    </row>
    <row r="166" spans="1:23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40"/>
        <v>439</v>
      </c>
      <c r="J166" s="45">
        <f t="shared" si="41"/>
        <v>0</v>
      </c>
      <c r="K166" s="46">
        <f t="shared" si="39"/>
        <v>2.5586353944562899E-2</v>
      </c>
      <c r="L166" s="46">
        <f t="shared" si="39"/>
        <v>5.3079947575360421E-2</v>
      </c>
      <c r="M166" s="46">
        <f t="shared" si="39"/>
        <v>0.1336423329470838</v>
      </c>
      <c r="N166" s="46">
        <f t="shared" si="39"/>
        <v>0</v>
      </c>
      <c r="O166" s="48">
        <f t="shared" si="39"/>
        <v>9.5767888307155324E-2</v>
      </c>
      <c r="P166">
        <v>30</v>
      </c>
      <c r="Q166" s="217">
        <f t="shared" si="42"/>
        <v>784000</v>
      </c>
      <c r="S166">
        <f t="shared" si="43"/>
        <v>903452.05479452049</v>
      </c>
      <c r="T166">
        <f t="shared" si="44"/>
        <v>119452.05479452049</v>
      </c>
      <c r="U166">
        <f t="shared" si="45"/>
        <v>59726.027397260244</v>
      </c>
      <c r="V166">
        <f t="shared" si="46"/>
        <v>3.5015214753291293E-2</v>
      </c>
    </row>
    <row r="167" spans="1:23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40"/>
        <v>615</v>
      </c>
      <c r="J167" s="49">
        <f t="shared" si="41"/>
        <v>0</v>
      </c>
      <c r="K167" s="50">
        <f t="shared" si="39"/>
        <v>0.42857142857142855</v>
      </c>
      <c r="L167" s="50">
        <f t="shared" si="39"/>
        <v>0.17234600262123198</v>
      </c>
      <c r="M167" s="50">
        <f t="shared" si="39"/>
        <v>5.8323677095403634E-2</v>
      </c>
      <c r="N167" s="50">
        <f t="shared" si="39"/>
        <v>0</v>
      </c>
      <c r="O167" s="51">
        <f t="shared" si="39"/>
        <v>0.13416230366492146</v>
      </c>
      <c r="P167">
        <v>31</v>
      </c>
      <c r="Q167" s="217">
        <f t="shared" si="42"/>
        <v>985000</v>
      </c>
      <c r="S167">
        <f t="shared" si="43"/>
        <v>933567.12328767125</v>
      </c>
      <c r="T167">
        <f t="shared" si="44"/>
        <v>-51432.876712328754</v>
      </c>
      <c r="U167">
        <v>0</v>
      </c>
      <c r="V167">
        <f t="shared" si="46"/>
        <v>0</v>
      </c>
    </row>
    <row r="168" spans="1:23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23" x14ac:dyDescent="0.25">
      <c r="A169" s="185"/>
    </row>
    <row r="170" spans="1:23" ht="15.75" thickBot="1" x14ac:dyDescent="0.3">
      <c r="A170" s="185"/>
      <c r="B170" s="21" t="s">
        <v>33</v>
      </c>
      <c r="I170" s="70" t="s">
        <v>108</v>
      </c>
    </row>
    <row r="171" spans="1:23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23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T172" s="171"/>
      <c r="U172" s="171"/>
      <c r="V172" s="171"/>
      <c r="W172" s="171"/>
    </row>
    <row r="173" spans="1:23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23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23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23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6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6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6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6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6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6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6" x14ac:dyDescent="0.25">
      <c r="A183" s="185"/>
    </row>
    <row r="184" spans="1:16" ht="15.75" thickBot="1" x14ac:dyDescent="0.3">
      <c r="A184" s="185"/>
      <c r="B184" s="21" t="s">
        <v>56</v>
      </c>
    </row>
    <row r="185" spans="1:16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  <c r="N185">
        <f>'Working Locations'!D178/60</f>
        <v>8.5928571428571424E-2</v>
      </c>
      <c r="O185">
        <v>180</v>
      </c>
      <c r="P185">
        <f>O185/N185</f>
        <v>2094.763092269327</v>
      </c>
    </row>
    <row r="186" spans="1:16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6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  <c r="N187">
        <f>'Working Locations'!D180/60</f>
        <v>9.7357142857142864E-2</v>
      </c>
      <c r="O187">
        <v>210</v>
      </c>
      <c r="P187">
        <f t="shared" ref="P187" si="47">O187/N187</f>
        <v>2157.0066030814378</v>
      </c>
    </row>
    <row r="188" spans="1:16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6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6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6" x14ac:dyDescent="0.25">
      <c r="A191" s="185"/>
    </row>
    <row r="192" spans="1:16" ht="15.75" thickBot="1" x14ac:dyDescent="0.3">
      <c r="A192" s="185"/>
      <c r="B192" s="21" t="s">
        <v>115</v>
      </c>
    </row>
    <row r="193" spans="1:28" x14ac:dyDescent="0.25">
      <c r="A193" s="185"/>
      <c r="B193" s="65" t="s">
        <v>117</v>
      </c>
      <c r="C193" s="66" t="s">
        <v>94</v>
      </c>
      <c r="D193" s="149"/>
    </row>
    <row r="194" spans="1:28" ht="15.75" thickBot="1" x14ac:dyDescent="0.3">
      <c r="A194" s="185"/>
      <c r="B194" s="42" t="s">
        <v>116</v>
      </c>
      <c r="C194" s="69" t="s">
        <v>95</v>
      </c>
      <c r="D194" s="162"/>
    </row>
    <row r="196" spans="1:28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8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8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8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8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48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T200">
        <v>0.41</v>
      </c>
      <c r="X200">
        <v>0.41</v>
      </c>
      <c r="Y200">
        <v>0.41</v>
      </c>
      <c r="Z200">
        <v>0.41</v>
      </c>
      <c r="AA200">
        <v>0.41</v>
      </c>
      <c r="AB200">
        <v>0.41</v>
      </c>
    </row>
    <row r="201" spans="1:28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48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T201">
        <v>0.41</v>
      </c>
      <c r="X201">
        <v>0.41</v>
      </c>
      <c r="Y201">
        <v>0.41</v>
      </c>
      <c r="Z201">
        <v>0.41</v>
      </c>
      <c r="AA201">
        <v>0.41</v>
      </c>
      <c r="AB201">
        <v>0.41</v>
      </c>
    </row>
    <row r="202" spans="1:28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48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T202">
        <v>0.41</v>
      </c>
      <c r="X202">
        <v>0.41</v>
      </c>
      <c r="Y202">
        <v>0.41</v>
      </c>
      <c r="Z202">
        <v>0.41</v>
      </c>
      <c r="AA202">
        <v>0.41</v>
      </c>
      <c r="AB202">
        <v>0.41</v>
      </c>
    </row>
    <row r="203" spans="1:28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48"/>
        <v>0.4</v>
      </c>
    </row>
    <row r="204" spans="1:28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48"/>
        <v>1.2</v>
      </c>
    </row>
    <row r="206" spans="1:28" ht="15.75" thickBot="1" x14ac:dyDescent="0.3">
      <c r="B206" s="21" t="s">
        <v>84</v>
      </c>
    </row>
    <row r="207" spans="1:28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8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20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49">SUM(E211:E222)</f>
        <v>142.26999999999998</v>
      </c>
      <c r="F209" s="175">
        <f t="shared" si="49"/>
        <v>1232.05</v>
      </c>
      <c r="G209" s="175">
        <f t="shared" si="49"/>
        <v>3316.4900000000002</v>
      </c>
      <c r="H209" s="175">
        <f t="shared" si="49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50">E209/$I$209</f>
        <v>3.0329516650642419E-2</v>
      </c>
      <c r="L209" s="46">
        <f t="shared" si="50"/>
        <v>0.26265186609562097</v>
      </c>
      <c r="M209" s="46">
        <f t="shared" si="50"/>
        <v>0.7070186172537366</v>
      </c>
      <c r="N209" s="46">
        <f t="shared" si="50"/>
        <v>0</v>
      </c>
      <c r="O209" s="47">
        <f>SUM(J209:N209)</f>
        <v>1</v>
      </c>
    </row>
    <row r="210" spans="2:20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20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51">IF(E$209&gt;0,E211/E$209,0)</f>
        <v>0</v>
      </c>
      <c r="L211" s="46">
        <f t="shared" si="51"/>
        <v>2.329450915141431E-2</v>
      </c>
      <c r="M211" s="46">
        <f t="shared" si="51"/>
        <v>0.10891333910248484</v>
      </c>
      <c r="N211" s="46">
        <f t="shared" si="51"/>
        <v>0</v>
      </c>
      <c r="O211" s="48">
        <f>IF(I$209&gt;0,I211/I$209,0)</f>
        <v>8.3122104711126632E-2</v>
      </c>
    </row>
    <row r="212" spans="2:20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52">SUM(D212:H212)</f>
        <v>389.49999999999994</v>
      </c>
      <c r="J212" s="45">
        <f t="shared" ref="J212:J222" si="53">IF(D$209&gt;0,D212/D$209,0)</f>
        <v>0</v>
      </c>
      <c r="K212" s="46">
        <f t="shared" si="51"/>
        <v>0.21613832853025935</v>
      </c>
      <c r="L212" s="46">
        <f t="shared" si="51"/>
        <v>5.6572379367720471E-2</v>
      </c>
      <c r="M212" s="46">
        <f t="shared" si="51"/>
        <v>8.7155396217084916E-2</v>
      </c>
      <c r="N212" s="46">
        <f t="shared" si="51"/>
        <v>0</v>
      </c>
      <c r="O212" s="48">
        <f t="shared" si="51"/>
        <v>8.3034699764006625E-2</v>
      </c>
    </row>
    <row r="213" spans="2:20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52"/>
        <v>410.40999999999997</v>
      </c>
      <c r="J213" s="45">
        <f t="shared" si="53"/>
        <v>0</v>
      </c>
      <c r="K213" s="46">
        <f t="shared" si="51"/>
        <v>0.26224783861671469</v>
      </c>
      <c r="L213" s="46">
        <f t="shared" si="51"/>
        <v>9.9833610648918464E-2</v>
      </c>
      <c r="M213" s="46">
        <f t="shared" si="51"/>
        <v>7.5411052045988372E-2</v>
      </c>
      <c r="N213" s="46">
        <f t="shared" si="51"/>
        <v>0</v>
      </c>
      <c r="O213" s="48">
        <f t="shared" si="51"/>
        <v>8.749235206712698E-2</v>
      </c>
    </row>
    <row r="214" spans="2:20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52"/>
        <v>391.55</v>
      </c>
      <c r="J214" s="45">
        <f t="shared" si="53"/>
        <v>0</v>
      </c>
      <c r="K214" s="46">
        <f t="shared" si="51"/>
        <v>0</v>
      </c>
      <c r="L214" s="46">
        <f t="shared" si="51"/>
        <v>5.9900166389351084E-2</v>
      </c>
      <c r="M214" s="46">
        <f t="shared" si="51"/>
        <v>9.5809123501050808E-2</v>
      </c>
      <c r="N214" s="46">
        <f t="shared" si="51"/>
        <v>0</v>
      </c>
      <c r="O214" s="48">
        <f t="shared" si="51"/>
        <v>8.3471724499606673E-2</v>
      </c>
    </row>
    <row r="215" spans="2:20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52"/>
        <v>403.85</v>
      </c>
      <c r="J215" s="45">
        <f t="shared" si="53"/>
        <v>0</v>
      </c>
      <c r="K215" s="46">
        <f t="shared" si="51"/>
        <v>0</v>
      </c>
      <c r="L215" s="46">
        <f t="shared" si="51"/>
        <v>7.8202995008319467E-2</v>
      </c>
      <c r="M215" s="46">
        <f t="shared" si="51"/>
        <v>9.2718506613920129E-2</v>
      </c>
      <c r="N215" s="46">
        <f t="shared" si="51"/>
        <v>0</v>
      </c>
      <c r="O215" s="48">
        <f t="shared" si="51"/>
        <v>8.6093872913206887E-2</v>
      </c>
    </row>
    <row r="216" spans="2:20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52"/>
        <v>395.65</v>
      </c>
      <c r="J216" s="45">
        <f t="shared" si="53"/>
        <v>0</v>
      </c>
      <c r="K216" s="46">
        <f t="shared" si="51"/>
        <v>2.0172910662824207E-2</v>
      </c>
      <c r="L216" s="46">
        <f t="shared" si="51"/>
        <v>0.11813643926788685</v>
      </c>
      <c r="M216" s="46">
        <f t="shared" si="51"/>
        <v>7.454567931759179E-2</v>
      </c>
      <c r="N216" s="46">
        <f t="shared" si="51"/>
        <v>0</v>
      </c>
      <c r="O216" s="48">
        <f t="shared" si="51"/>
        <v>8.4345773970806739E-2</v>
      </c>
      <c r="T216" t="s">
        <v>209</v>
      </c>
    </row>
    <row r="217" spans="2:20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52"/>
        <v>215.25</v>
      </c>
      <c r="J217" s="45">
        <f t="shared" si="53"/>
        <v>0</v>
      </c>
      <c r="K217" s="46">
        <f t="shared" si="51"/>
        <v>0</v>
      </c>
      <c r="L217" s="46">
        <f t="shared" si="51"/>
        <v>7.4875207986688855E-2</v>
      </c>
      <c r="M217" s="46">
        <f t="shared" si="51"/>
        <v>3.7087402645568049E-2</v>
      </c>
      <c r="N217" s="46">
        <f t="shared" si="51"/>
        <v>0</v>
      </c>
      <c r="O217" s="48">
        <f t="shared" si="51"/>
        <v>4.5887597238003668E-2</v>
      </c>
    </row>
    <row r="218" spans="2:20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52"/>
        <v>436.65</v>
      </c>
      <c r="J218" s="45">
        <f t="shared" si="53"/>
        <v>0</v>
      </c>
      <c r="K218" s="46">
        <f t="shared" si="51"/>
        <v>8.645533141210375E-2</v>
      </c>
      <c r="L218" s="46">
        <f t="shared" si="51"/>
        <v>0.11148086522462562</v>
      </c>
      <c r="M218" s="46">
        <f t="shared" si="51"/>
        <v>8.6537272839658785E-2</v>
      </c>
      <c r="N218" s="46">
        <f t="shared" si="51"/>
        <v>0</v>
      </c>
      <c r="O218" s="48">
        <f t="shared" si="51"/>
        <v>9.3086268682807435E-2</v>
      </c>
    </row>
    <row r="219" spans="2:20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52"/>
        <v>430.09000000000003</v>
      </c>
      <c r="J219" s="45">
        <f t="shared" si="53"/>
        <v>0</v>
      </c>
      <c r="K219" s="46">
        <f t="shared" si="51"/>
        <v>6.9164265129683003E-2</v>
      </c>
      <c r="L219" s="46">
        <f t="shared" si="51"/>
        <v>9.1514143094841932E-2</v>
      </c>
      <c r="M219" s="46">
        <f t="shared" si="51"/>
        <v>9.2718506613920129E-2</v>
      </c>
      <c r="N219" s="46">
        <f t="shared" si="51"/>
        <v>0</v>
      </c>
      <c r="O219" s="48">
        <f t="shared" si="51"/>
        <v>9.1687789528887328E-2</v>
      </c>
    </row>
    <row r="220" spans="2:20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52"/>
        <v>426.4</v>
      </c>
      <c r="J220" s="45">
        <f t="shared" si="53"/>
        <v>0</v>
      </c>
      <c r="K220" s="46">
        <f t="shared" si="51"/>
        <v>0</v>
      </c>
      <c r="L220" s="46">
        <f t="shared" si="51"/>
        <v>0.1098169717138103</v>
      </c>
      <c r="M220" s="46">
        <f t="shared" si="51"/>
        <v>8.7773519594511046E-2</v>
      </c>
      <c r="N220" s="46">
        <f t="shared" si="51"/>
        <v>0</v>
      </c>
      <c r="O220" s="48">
        <f t="shared" si="51"/>
        <v>9.0901145004807254E-2</v>
      </c>
    </row>
    <row r="221" spans="2:20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52"/>
        <v>410</v>
      </c>
      <c r="J221" s="45">
        <f t="shared" si="53"/>
        <v>0</v>
      </c>
      <c r="K221" s="46">
        <f t="shared" si="51"/>
        <v>0.1729106628242075</v>
      </c>
      <c r="L221" s="46">
        <f t="shared" si="51"/>
        <v>7.9866888519134774E-2</v>
      </c>
      <c r="M221" s="46">
        <f t="shared" si="51"/>
        <v>8.6537272839658785E-2</v>
      </c>
      <c r="N221" s="46">
        <f t="shared" si="51"/>
        <v>0</v>
      </c>
      <c r="O221" s="48">
        <f t="shared" si="51"/>
        <v>8.7404947120006987E-2</v>
      </c>
    </row>
    <row r="222" spans="2:20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52"/>
        <v>391.54999999999995</v>
      </c>
      <c r="J222" s="49">
        <f t="shared" si="53"/>
        <v>0</v>
      </c>
      <c r="K222" s="50">
        <f t="shared" si="51"/>
        <v>0.1729106628242075</v>
      </c>
      <c r="L222" s="50">
        <f t="shared" si="51"/>
        <v>9.6505823627287851E-2</v>
      </c>
      <c r="M222" s="50">
        <f t="shared" si="51"/>
        <v>7.4792928668562228E-2</v>
      </c>
      <c r="N222" s="50">
        <f t="shared" si="51"/>
        <v>0</v>
      </c>
      <c r="O222" s="51">
        <f t="shared" si="51"/>
        <v>8.3471724499606659E-2</v>
      </c>
    </row>
    <row r="223" spans="2:20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3" workbookViewId="0">
      <selection activeCell="Q22" sqref="Q22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2" si="1">D12</f>
        <v>4.1723666210670314E-2</v>
      </c>
      <c r="M12" s="203">
        <f t="shared" ref="M12:M22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K59"/>
  <sheetViews>
    <sheetView workbookViewId="0">
      <selection activeCell="L2" sqref="L2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11" ht="18.75" x14ac:dyDescent="0.3">
      <c r="B2" s="60" t="s">
        <v>88</v>
      </c>
    </row>
    <row r="3" spans="2:11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11" x14ac:dyDescent="0.25">
      <c r="B4" s="74" t="s">
        <v>52</v>
      </c>
      <c r="C4" s="75" t="s">
        <v>91</v>
      </c>
      <c r="D4" s="75">
        <v>1</v>
      </c>
      <c r="E4" s="74"/>
    </row>
    <row r="5" spans="2:11" x14ac:dyDescent="0.25">
      <c r="B5" s="29" t="s">
        <v>106</v>
      </c>
      <c r="C5" s="28"/>
      <c r="D5" s="28" t="s">
        <v>107</v>
      </c>
      <c r="E5" s="29"/>
    </row>
    <row r="6" spans="2:11" x14ac:dyDescent="0.25">
      <c r="B6" s="29" t="s">
        <v>35</v>
      </c>
      <c r="C6" s="28" t="s">
        <v>34</v>
      </c>
      <c r="D6" s="28" t="s">
        <v>89</v>
      </c>
      <c r="E6" s="29"/>
    </row>
    <row r="7" spans="2:11" x14ac:dyDescent="0.25">
      <c r="B7" s="29" t="s">
        <v>90</v>
      </c>
      <c r="C7" s="28" t="s">
        <v>25</v>
      </c>
      <c r="D7" s="28"/>
      <c r="E7" s="29"/>
    </row>
    <row r="8" spans="2:11" x14ac:dyDescent="0.25">
      <c r="B8" s="29" t="s">
        <v>92</v>
      </c>
      <c r="C8" s="28" t="s">
        <v>94</v>
      </c>
      <c r="D8" s="28"/>
      <c r="E8" s="29"/>
    </row>
    <row r="9" spans="2:11" x14ac:dyDescent="0.25">
      <c r="B9" s="29" t="s">
        <v>93</v>
      </c>
      <c r="C9" s="28" t="s">
        <v>95</v>
      </c>
      <c r="D9" s="28"/>
      <c r="E9" s="29"/>
    </row>
    <row r="10" spans="2:11" x14ac:dyDescent="0.25">
      <c r="B10" s="29" t="s">
        <v>96</v>
      </c>
      <c r="C10" s="28" t="s">
        <v>94</v>
      </c>
      <c r="D10" s="28" t="s">
        <v>97</v>
      </c>
      <c r="E10" s="29"/>
    </row>
    <row r="11" spans="2:11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11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11" x14ac:dyDescent="0.25">
      <c r="C13" s="27"/>
    </row>
    <row r="14" spans="2:11" x14ac:dyDescent="0.25">
      <c r="B14" s="74" t="s">
        <v>54</v>
      </c>
      <c r="C14" s="75" t="s">
        <v>91</v>
      </c>
      <c r="D14" s="75">
        <v>1</v>
      </c>
      <c r="E14" s="29"/>
      <c r="K14" t="s">
        <v>263</v>
      </c>
    </row>
    <row r="15" spans="2:11" x14ac:dyDescent="0.25">
      <c r="B15" s="29" t="s">
        <v>106</v>
      </c>
      <c r="C15" s="28"/>
      <c r="D15" s="28" t="s">
        <v>107</v>
      </c>
      <c r="E15" s="29"/>
    </row>
    <row r="16" spans="2:11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E3" sqref="E3"/>
    </sheetView>
  </sheetViews>
  <sheetFormatPr defaultRowHeight="15" x14ac:dyDescent="0.25"/>
  <cols>
    <col min="5" max="5" width="24.28515625" customWidth="1"/>
  </cols>
  <sheetData>
    <row r="2" spans="2:5" x14ac:dyDescent="0.25">
      <c r="D2" t="s">
        <v>264</v>
      </c>
      <c r="E2" t="s">
        <v>265</v>
      </c>
    </row>
    <row r="3" spans="2:5" x14ac:dyDescent="0.25">
      <c r="D3">
        <v>1.35</v>
      </c>
      <c r="E3">
        <v>1.5</v>
      </c>
    </row>
    <row r="4" spans="2:5" x14ac:dyDescent="0.25">
      <c r="D4" t="s">
        <v>266</v>
      </c>
      <c r="E4" t="s">
        <v>267</v>
      </c>
    </row>
    <row r="5" spans="2:5" x14ac:dyDescent="0.25">
      <c r="B5">
        <v>0.5</v>
      </c>
      <c r="D5">
        <f>_xlfn.GAMMA.DIST(B5,$D$3,$E$3,TRUE)</f>
        <v>0.1563907261086146</v>
      </c>
      <c r="E5">
        <f>D5</f>
        <v>0.1563907261086146</v>
      </c>
    </row>
    <row r="6" spans="2:5" x14ac:dyDescent="0.25">
      <c r="B6">
        <f>B5+$B$5</f>
        <v>1</v>
      </c>
      <c r="D6">
        <f t="shared" ref="D6:D30" si="0">_xlfn.GAMMA.DIST(B6,$D$3,$E$3,TRUE)</f>
        <v>0.33326902912066358</v>
      </c>
      <c r="E6">
        <f>D6-D5</f>
        <v>0.17687830301204899</v>
      </c>
    </row>
    <row r="7" spans="2:5" x14ac:dyDescent="0.25">
      <c r="B7">
        <f t="shared" ref="B7:B30" si="1">B6+$B$5</f>
        <v>1.5</v>
      </c>
      <c r="D7">
        <f t="shared" si="0"/>
        <v>0.48565462363116019</v>
      </c>
      <c r="E7">
        <f t="shared" ref="E7:E30" si="2">D7-D6</f>
        <v>0.1523855945104966</v>
      </c>
    </row>
    <row r="8" spans="2:5" x14ac:dyDescent="0.25">
      <c r="B8">
        <f t="shared" si="1"/>
        <v>2</v>
      </c>
      <c r="D8">
        <f t="shared" si="0"/>
        <v>0.60872176007980694</v>
      </c>
      <c r="E8">
        <f t="shared" si="2"/>
        <v>0.12306713644864675</v>
      </c>
    </row>
    <row r="9" spans="2:5" x14ac:dyDescent="0.25">
      <c r="B9">
        <f t="shared" si="1"/>
        <v>2.5</v>
      </c>
      <c r="D9">
        <f t="shared" si="0"/>
        <v>0.70510073495861936</v>
      </c>
      <c r="E9">
        <f t="shared" si="2"/>
        <v>9.6378974878812418E-2</v>
      </c>
    </row>
    <row r="10" spans="2:5" x14ac:dyDescent="0.25">
      <c r="B10">
        <f t="shared" si="1"/>
        <v>3</v>
      </c>
      <c r="D10">
        <f t="shared" si="0"/>
        <v>0.77922479651655241</v>
      </c>
      <c r="E10">
        <f t="shared" si="2"/>
        <v>7.4124061557933052E-2</v>
      </c>
    </row>
    <row r="11" spans="2:5" x14ac:dyDescent="0.25">
      <c r="B11">
        <f t="shared" si="1"/>
        <v>3.5</v>
      </c>
      <c r="D11">
        <f t="shared" si="0"/>
        <v>0.83555541082929186</v>
      </c>
      <c r="E11">
        <f t="shared" si="2"/>
        <v>5.6330614312739447E-2</v>
      </c>
    </row>
    <row r="12" spans="2:5" x14ac:dyDescent="0.25">
      <c r="B12">
        <f t="shared" si="1"/>
        <v>4</v>
      </c>
      <c r="D12">
        <f t="shared" si="0"/>
        <v>0.87800198028921994</v>
      </c>
      <c r="E12">
        <f t="shared" si="2"/>
        <v>4.2446569459928085E-2</v>
      </c>
    </row>
    <row r="13" spans="2:5" x14ac:dyDescent="0.25">
      <c r="B13">
        <f t="shared" si="1"/>
        <v>4.5</v>
      </c>
      <c r="D13">
        <f t="shared" si="0"/>
        <v>0.90978429716720566</v>
      </c>
      <c r="E13">
        <f t="shared" si="2"/>
        <v>3.1782316877985717E-2</v>
      </c>
    </row>
    <row r="14" spans="2:5" x14ac:dyDescent="0.25">
      <c r="B14">
        <f t="shared" si="1"/>
        <v>5</v>
      </c>
      <c r="D14">
        <f t="shared" si="0"/>
        <v>0.93346481018063998</v>
      </c>
      <c r="E14">
        <f t="shared" si="2"/>
        <v>2.3680513013434323E-2</v>
      </c>
    </row>
    <row r="15" spans="2:5" x14ac:dyDescent="0.25">
      <c r="B15">
        <f t="shared" si="1"/>
        <v>5.5</v>
      </c>
      <c r="D15">
        <f t="shared" si="0"/>
        <v>0.95103959133955163</v>
      </c>
      <c r="E15">
        <f t="shared" si="2"/>
        <v>1.7574781158911645E-2</v>
      </c>
    </row>
    <row r="16" spans="2:5" x14ac:dyDescent="0.25">
      <c r="B16">
        <f t="shared" si="1"/>
        <v>6</v>
      </c>
      <c r="D16">
        <f t="shared" si="0"/>
        <v>0.96404111629994493</v>
      </c>
      <c r="E16">
        <f t="shared" si="2"/>
        <v>1.3001524960393307E-2</v>
      </c>
    </row>
    <row r="17" spans="2:5" x14ac:dyDescent="0.25">
      <c r="B17">
        <f t="shared" si="1"/>
        <v>6.5</v>
      </c>
      <c r="D17">
        <f t="shared" si="0"/>
        <v>0.97363375074251723</v>
      </c>
      <c r="E17">
        <f t="shared" si="2"/>
        <v>9.5926344425723009E-3</v>
      </c>
    </row>
    <row r="18" spans="2:5" x14ac:dyDescent="0.25">
      <c r="B18">
        <f t="shared" si="1"/>
        <v>7</v>
      </c>
      <c r="D18">
        <f t="shared" si="0"/>
        <v>0.9806953028278993</v>
      </c>
      <c r="E18">
        <f t="shared" si="2"/>
        <v>7.0615520853820613E-3</v>
      </c>
    </row>
    <row r="19" spans="2:5" x14ac:dyDescent="0.25">
      <c r="B19">
        <f t="shared" si="1"/>
        <v>7.5</v>
      </c>
      <c r="D19">
        <f t="shared" si="0"/>
        <v>0.98588356483110284</v>
      </c>
      <c r="E19">
        <f t="shared" si="2"/>
        <v>5.1882620032035476E-3</v>
      </c>
    </row>
    <row r="20" spans="2:5" x14ac:dyDescent="0.25">
      <c r="B20">
        <f t="shared" si="1"/>
        <v>8</v>
      </c>
      <c r="D20">
        <f t="shared" si="0"/>
        <v>0.98968909872527933</v>
      </c>
      <c r="E20">
        <f t="shared" si="2"/>
        <v>3.8055338941764827E-3</v>
      </c>
    </row>
    <row r="21" spans="2:5" x14ac:dyDescent="0.25">
      <c r="B21">
        <f t="shared" si="1"/>
        <v>8.5</v>
      </c>
      <c r="D21">
        <f t="shared" si="0"/>
        <v>0.99247632720981449</v>
      </c>
      <c r="E21">
        <f t="shared" si="2"/>
        <v>2.7872284845351647E-3</v>
      </c>
    </row>
    <row r="22" spans="2:5" x14ac:dyDescent="0.25">
      <c r="B22">
        <f t="shared" si="1"/>
        <v>9</v>
      </c>
      <c r="D22">
        <f t="shared" si="0"/>
        <v>0.9945150959975273</v>
      </c>
      <c r="E22">
        <f t="shared" si="2"/>
        <v>2.038768787712808E-3</v>
      </c>
    </row>
    <row r="23" spans="2:5" x14ac:dyDescent="0.25">
      <c r="B23">
        <f t="shared" si="1"/>
        <v>9.5</v>
      </c>
      <c r="D23">
        <f t="shared" si="0"/>
        <v>0.99600467789469127</v>
      </c>
      <c r="E23">
        <f t="shared" si="2"/>
        <v>1.4895818971639718E-3</v>
      </c>
    </row>
    <row r="24" spans="2:5" x14ac:dyDescent="0.25">
      <c r="B24">
        <f t="shared" si="1"/>
        <v>10</v>
      </c>
      <c r="D24">
        <f t="shared" si="0"/>
        <v>0.99709189046857705</v>
      </c>
      <c r="E24">
        <f t="shared" si="2"/>
        <v>1.0872125738857763E-3</v>
      </c>
    </row>
    <row r="25" spans="2:5" x14ac:dyDescent="0.25">
      <c r="B25">
        <f t="shared" si="1"/>
        <v>10.5</v>
      </c>
      <c r="D25">
        <f t="shared" si="0"/>
        <v>0.99788468922824203</v>
      </c>
      <c r="E25">
        <f t="shared" si="2"/>
        <v>7.9279875966498103E-4</v>
      </c>
    </row>
    <row r="26" spans="2:5" x14ac:dyDescent="0.25">
      <c r="B26">
        <f t="shared" si="1"/>
        <v>11</v>
      </c>
      <c r="D26">
        <f t="shared" si="0"/>
        <v>0.99846231718797807</v>
      </c>
      <c r="E26">
        <f t="shared" si="2"/>
        <v>5.7762795973603787E-4</v>
      </c>
    </row>
    <row r="27" spans="2:5" x14ac:dyDescent="0.25">
      <c r="B27">
        <f t="shared" si="1"/>
        <v>11.5</v>
      </c>
      <c r="D27">
        <f t="shared" si="0"/>
        <v>0.99888285329977289</v>
      </c>
      <c r="E27">
        <f t="shared" si="2"/>
        <v>4.2053611179482253E-4</v>
      </c>
    </row>
    <row r="28" spans="2:5" x14ac:dyDescent="0.25">
      <c r="B28">
        <f t="shared" si="1"/>
        <v>12</v>
      </c>
      <c r="D28">
        <f t="shared" si="0"/>
        <v>0.99918880790448239</v>
      </c>
      <c r="E28">
        <f t="shared" si="2"/>
        <v>3.0595460470950187E-4</v>
      </c>
    </row>
    <row r="29" spans="2:5" x14ac:dyDescent="0.25">
      <c r="B29">
        <f t="shared" si="1"/>
        <v>12.5</v>
      </c>
      <c r="D29">
        <f t="shared" si="0"/>
        <v>0.9994112589581079</v>
      </c>
      <c r="E29">
        <f t="shared" si="2"/>
        <v>2.2245105362550532E-4</v>
      </c>
    </row>
    <row r="30" spans="2:5" x14ac:dyDescent="0.25">
      <c r="B30">
        <f t="shared" si="1"/>
        <v>13</v>
      </c>
      <c r="D30">
        <f t="shared" si="0"/>
        <v>0.99957290231186258</v>
      </c>
      <c r="E30">
        <f t="shared" si="2"/>
        <v>1.6164335375468131E-4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C6" sqref="C6"/>
    </sheetView>
  </sheetViews>
  <sheetFormatPr defaultRowHeight="15" x14ac:dyDescent="0.25"/>
  <cols>
    <col min="1" max="1" width="22.7109375" customWidth="1"/>
    <col min="2" max="2" width="31.85546875" customWidth="1"/>
    <col min="3" max="3" width="15.42578125" customWidth="1"/>
    <col min="5" max="5" width="8.140625" customWidth="1"/>
    <col min="6" max="6" width="26.140625" customWidth="1"/>
    <col min="7" max="7" width="58.85546875" customWidth="1"/>
  </cols>
  <sheetData>
    <row r="2" spans="1:9" x14ac:dyDescent="0.25">
      <c r="C2" t="s">
        <v>251</v>
      </c>
    </row>
    <row r="3" spans="1:9" ht="15.75" thickBot="1" x14ac:dyDescent="0.3">
      <c r="C3" t="s">
        <v>250</v>
      </c>
      <c r="D3" t="s">
        <v>184</v>
      </c>
      <c r="F3" s="196" t="s">
        <v>258</v>
      </c>
      <c r="G3" s="196" t="s">
        <v>252</v>
      </c>
    </row>
    <row r="4" spans="1:9" x14ac:dyDescent="0.25">
      <c r="A4" s="209">
        <v>0.24305555555555555</v>
      </c>
      <c r="B4" s="210" t="s">
        <v>253</v>
      </c>
      <c r="C4">
        <v>0</v>
      </c>
      <c r="D4">
        <f>C4*60</f>
        <v>0</v>
      </c>
      <c r="F4" s="214">
        <f>A4</f>
        <v>0.24305555555555555</v>
      </c>
      <c r="G4" s="215" t="str">
        <f>B4</f>
        <v>Day Shift Staff Arrive</v>
      </c>
    </row>
    <row r="5" spans="1:9" x14ac:dyDescent="0.25">
      <c r="A5" s="209">
        <v>0.25</v>
      </c>
      <c r="B5" s="210"/>
      <c r="F5" s="214"/>
      <c r="G5" s="215"/>
    </row>
    <row r="6" spans="1:9" x14ac:dyDescent="0.25">
      <c r="A6" s="211">
        <v>0.2638888888888889</v>
      </c>
      <c r="B6" s="210" t="s">
        <v>259</v>
      </c>
      <c r="C6" s="212">
        <f>(A6-A4)*24</f>
        <v>0.50000000000000022</v>
      </c>
      <c r="D6">
        <f t="shared" ref="D6:D29" si="0">C6*60</f>
        <v>30.000000000000014</v>
      </c>
      <c r="F6" s="214">
        <f t="shared" ref="F6:F29" si="1">A6</f>
        <v>0.2638888888888889</v>
      </c>
      <c r="G6" s="215" t="str">
        <f t="shared" ref="G6:G29" si="2">B6</f>
        <v>Preshift Finishes, Excavator Product Begin, Trucks Cycles Begin</v>
      </c>
    </row>
    <row r="7" spans="1:9" x14ac:dyDescent="0.25">
      <c r="A7" s="213">
        <v>0.41145833333333331</v>
      </c>
      <c r="B7" s="210" t="s">
        <v>254</v>
      </c>
      <c r="C7" s="212">
        <f>(A7-A6)*24</f>
        <v>3.5416666666666661</v>
      </c>
      <c r="D7">
        <f t="shared" si="0"/>
        <v>212.49999999999997</v>
      </c>
      <c r="F7" s="214">
        <f t="shared" si="1"/>
        <v>0.41145833333333331</v>
      </c>
      <c r="G7" s="215" t="str">
        <f t="shared" si="2"/>
        <v>Excavator Stops Loading Trucks, Truck Cycles Stop</v>
      </c>
      <c r="I7">
        <f>C7+C11+C15</f>
        <v>10.083333333333332</v>
      </c>
    </row>
    <row r="8" spans="1:9" x14ac:dyDescent="0.25">
      <c r="A8" s="213">
        <v>0.41666666666666669</v>
      </c>
      <c r="B8" s="210" t="s">
        <v>246</v>
      </c>
      <c r="C8" s="212">
        <f t="shared" ref="C8:C29" si="3">(A8-A7)*24</f>
        <v>0.12500000000000089</v>
      </c>
      <c r="D8">
        <f t="shared" si="0"/>
        <v>7.5000000000000533</v>
      </c>
      <c r="E8" s="216">
        <f>(A8-A5)*24</f>
        <v>4</v>
      </c>
      <c r="F8" s="214">
        <f t="shared" si="1"/>
        <v>0.41666666666666669</v>
      </c>
      <c r="G8" s="215" t="str">
        <f t="shared" si="2"/>
        <v>First Break Start</v>
      </c>
    </row>
    <row r="9" spans="1:9" x14ac:dyDescent="0.25">
      <c r="A9" s="213">
        <v>0.4375</v>
      </c>
      <c r="B9" s="210" t="s">
        <v>247</v>
      </c>
      <c r="C9" s="212">
        <f t="shared" si="3"/>
        <v>0.49999999999999956</v>
      </c>
      <c r="D9">
        <f t="shared" si="0"/>
        <v>29.999999999999972</v>
      </c>
      <c r="F9" s="214">
        <f t="shared" si="1"/>
        <v>0.4375</v>
      </c>
      <c r="G9" s="215" t="str">
        <f t="shared" si="2"/>
        <v>First break End</v>
      </c>
    </row>
    <row r="10" spans="1:9" x14ac:dyDescent="0.25">
      <c r="A10" s="213">
        <v>0.44270833333333331</v>
      </c>
      <c r="B10" s="210" t="s">
        <v>255</v>
      </c>
      <c r="C10" s="212">
        <f t="shared" si="3"/>
        <v>0.12499999999999956</v>
      </c>
      <c r="D10">
        <f t="shared" si="0"/>
        <v>7.4999999999999734</v>
      </c>
      <c r="F10" s="214">
        <f t="shared" si="1"/>
        <v>0.44270833333333331</v>
      </c>
      <c r="G10" s="215" t="str">
        <f t="shared" si="2"/>
        <v>Excavator product begins, Trucks Cycles Begin</v>
      </c>
    </row>
    <row r="11" spans="1:9" x14ac:dyDescent="0.25">
      <c r="A11" s="213">
        <v>0.578125</v>
      </c>
      <c r="B11" s="210" t="s">
        <v>256</v>
      </c>
      <c r="C11" s="212">
        <f t="shared" si="3"/>
        <v>3.2500000000000004</v>
      </c>
      <c r="D11">
        <f t="shared" si="0"/>
        <v>195.00000000000003</v>
      </c>
      <c r="F11" s="214">
        <f t="shared" si="1"/>
        <v>0.578125</v>
      </c>
      <c r="G11" s="215" t="str">
        <f t="shared" si="2"/>
        <v>Excavator Stops Loading Trucks, Trucks Cycles Stop</v>
      </c>
    </row>
    <row r="12" spans="1:9" x14ac:dyDescent="0.25">
      <c r="A12" s="213">
        <v>0.58333333333333337</v>
      </c>
      <c r="B12" s="210" t="s">
        <v>248</v>
      </c>
      <c r="C12" s="212">
        <f t="shared" si="3"/>
        <v>0.12500000000000089</v>
      </c>
      <c r="D12">
        <f t="shared" si="0"/>
        <v>7.5000000000000533</v>
      </c>
      <c r="E12" s="216">
        <f>(A12-A9)*24</f>
        <v>3.5000000000000009</v>
      </c>
      <c r="F12" s="214">
        <f t="shared" si="1"/>
        <v>0.58333333333333337</v>
      </c>
      <c r="G12" s="215" t="str">
        <f t="shared" si="2"/>
        <v>Second Break Start</v>
      </c>
    </row>
    <row r="13" spans="1:9" x14ac:dyDescent="0.25">
      <c r="A13" s="213">
        <v>0.60416666666666663</v>
      </c>
      <c r="B13" s="210" t="s">
        <v>249</v>
      </c>
      <c r="C13" s="212">
        <f t="shared" si="3"/>
        <v>0.49999999999999822</v>
      </c>
      <c r="D13">
        <f t="shared" si="0"/>
        <v>29.999999999999893</v>
      </c>
      <c r="F13" s="214">
        <f t="shared" si="1"/>
        <v>0.60416666666666663</v>
      </c>
      <c r="G13" s="215" t="str">
        <f t="shared" si="2"/>
        <v>Second break End</v>
      </c>
    </row>
    <row r="14" spans="1:9" x14ac:dyDescent="0.25">
      <c r="A14" s="213">
        <v>0.609375</v>
      </c>
      <c r="B14" s="210" t="s">
        <v>255</v>
      </c>
      <c r="C14" s="212">
        <f t="shared" si="3"/>
        <v>0.12500000000000089</v>
      </c>
      <c r="D14">
        <f t="shared" si="0"/>
        <v>7.5000000000000533</v>
      </c>
      <c r="F14" s="214">
        <f t="shared" si="1"/>
        <v>0.609375</v>
      </c>
      <c r="G14" s="215" t="str">
        <f t="shared" si="2"/>
        <v>Excavator product begins, Trucks Cycles Begin</v>
      </c>
    </row>
    <row r="15" spans="1:9" x14ac:dyDescent="0.25">
      <c r="A15" s="213">
        <v>0.74652777777777779</v>
      </c>
      <c r="B15" s="210" t="s">
        <v>256</v>
      </c>
      <c r="C15" s="212">
        <f>(A15-A14)*24</f>
        <v>3.291666666666667</v>
      </c>
      <c r="D15">
        <f t="shared" si="0"/>
        <v>197.50000000000003</v>
      </c>
      <c r="F15" s="214">
        <f t="shared" si="1"/>
        <v>0.74652777777777779</v>
      </c>
      <c r="G15" s="215" t="str">
        <f t="shared" si="2"/>
        <v>Excavator Stops Loading Trucks, Trucks Cycles Stop</v>
      </c>
    </row>
    <row r="16" spans="1:9" x14ac:dyDescent="0.25">
      <c r="A16" s="213">
        <v>0.75</v>
      </c>
      <c r="B16" s="210" t="s">
        <v>261</v>
      </c>
      <c r="C16" s="212">
        <f>(A16-A15)*24*60</f>
        <v>4.9999999999999822</v>
      </c>
      <c r="D16">
        <f t="shared" si="0"/>
        <v>299.99999999999892</v>
      </c>
      <c r="E16" s="216">
        <f>(A16-A13)*24</f>
        <v>3.5000000000000009</v>
      </c>
      <c r="F16" s="214">
        <f t="shared" si="1"/>
        <v>0.75</v>
      </c>
      <c r="G16" s="215" t="str">
        <f t="shared" si="2"/>
        <v>Day Shift Ends</v>
      </c>
    </row>
    <row r="17" spans="1:7" ht="15.75" thickBot="1" x14ac:dyDescent="0.3">
      <c r="A17" s="213"/>
      <c r="B17" s="210"/>
      <c r="C17" s="212"/>
      <c r="F17" s="196" t="s">
        <v>257</v>
      </c>
      <c r="G17" s="196" t="s">
        <v>252</v>
      </c>
    </row>
    <row r="18" spans="1:7" x14ac:dyDescent="0.25">
      <c r="A18" s="213">
        <v>0.74305555555555547</v>
      </c>
      <c r="B18" s="210" t="s">
        <v>260</v>
      </c>
      <c r="C18" s="212"/>
      <c r="D18">
        <f t="shared" si="0"/>
        <v>0</v>
      </c>
      <c r="F18" s="214">
        <f t="shared" si="1"/>
        <v>0.74305555555555547</v>
      </c>
      <c r="G18" s="215" t="str">
        <f t="shared" si="2"/>
        <v>Night Shift Staff Arrive</v>
      </c>
    </row>
    <row r="19" spans="1:7" x14ac:dyDescent="0.25">
      <c r="A19" s="213">
        <v>0.76388888888888884</v>
      </c>
      <c r="B19" s="210" t="s">
        <v>259</v>
      </c>
      <c r="C19" s="212">
        <f t="shared" si="3"/>
        <v>0.50000000000000089</v>
      </c>
      <c r="D19">
        <f t="shared" si="0"/>
        <v>30.000000000000053</v>
      </c>
      <c r="F19" s="214">
        <f t="shared" si="1"/>
        <v>0.76388888888888884</v>
      </c>
      <c r="G19" s="215" t="str">
        <f t="shared" si="2"/>
        <v>Preshift Finishes, Excavator Product Begin, Trucks Cycles Begin</v>
      </c>
    </row>
    <row r="20" spans="1:7" x14ac:dyDescent="0.25">
      <c r="A20" s="213">
        <v>0.91145833333333337</v>
      </c>
      <c r="B20" s="210" t="s">
        <v>254</v>
      </c>
      <c r="C20" s="212">
        <f t="shared" si="3"/>
        <v>3.5416666666666687</v>
      </c>
      <c r="D20">
        <f t="shared" si="0"/>
        <v>212.50000000000011</v>
      </c>
      <c r="F20" s="214">
        <f t="shared" si="1"/>
        <v>0.91145833333333337</v>
      </c>
      <c r="G20" s="215" t="str">
        <f t="shared" si="2"/>
        <v>Excavator Stops Loading Trucks, Truck Cycles Stop</v>
      </c>
    </row>
    <row r="21" spans="1:7" x14ac:dyDescent="0.25">
      <c r="A21" s="213">
        <v>0.91666666666666663</v>
      </c>
      <c r="B21" s="210" t="s">
        <v>246</v>
      </c>
      <c r="C21" s="212">
        <f t="shared" si="3"/>
        <v>0.12499999999999822</v>
      </c>
      <c r="D21">
        <f t="shared" si="0"/>
        <v>7.4999999999998934</v>
      </c>
      <c r="F21" s="214">
        <f t="shared" si="1"/>
        <v>0.91666666666666663</v>
      </c>
      <c r="G21" s="215" t="str">
        <f t="shared" si="2"/>
        <v>First Break Start</v>
      </c>
    </row>
    <row r="22" spans="1:7" x14ac:dyDescent="0.25">
      <c r="A22" s="213">
        <v>0.9375</v>
      </c>
      <c r="B22" s="210" t="s">
        <v>247</v>
      </c>
      <c r="C22" s="212">
        <f t="shared" si="3"/>
        <v>0.50000000000000089</v>
      </c>
      <c r="D22">
        <f t="shared" si="0"/>
        <v>30.000000000000053</v>
      </c>
      <c r="F22" s="214">
        <f t="shared" si="1"/>
        <v>0.9375</v>
      </c>
      <c r="G22" s="215" t="str">
        <f t="shared" si="2"/>
        <v>First break End</v>
      </c>
    </row>
    <row r="23" spans="1:7" x14ac:dyDescent="0.25">
      <c r="A23" s="213">
        <v>0.94270833333333337</v>
      </c>
      <c r="B23" s="210" t="s">
        <v>255</v>
      </c>
      <c r="C23" s="212">
        <f t="shared" si="3"/>
        <v>0.12500000000000089</v>
      </c>
      <c r="D23">
        <f t="shared" si="0"/>
        <v>7.5000000000000533</v>
      </c>
      <c r="F23" s="214">
        <f t="shared" si="1"/>
        <v>0.94270833333333337</v>
      </c>
      <c r="G23" s="215" t="str">
        <f t="shared" si="2"/>
        <v>Excavator product begins, Trucks Cycles Begin</v>
      </c>
    </row>
    <row r="24" spans="1:7" x14ac:dyDescent="0.25">
      <c r="A24" s="213">
        <v>7.8125E-2</v>
      </c>
      <c r="B24" s="210" t="s">
        <v>256</v>
      </c>
      <c r="C24" s="212">
        <f t="shared" si="3"/>
        <v>-20.75</v>
      </c>
      <c r="D24">
        <f t="shared" si="0"/>
        <v>-1245</v>
      </c>
      <c r="F24" s="214">
        <f t="shared" si="1"/>
        <v>7.8125E-2</v>
      </c>
      <c r="G24" s="215" t="str">
        <f t="shared" si="2"/>
        <v>Excavator Stops Loading Trucks, Trucks Cycles Stop</v>
      </c>
    </row>
    <row r="25" spans="1:7" x14ac:dyDescent="0.25">
      <c r="A25" s="213">
        <v>8.3333333333333329E-2</v>
      </c>
      <c r="B25" s="210" t="s">
        <v>248</v>
      </c>
      <c r="C25" s="212">
        <f t="shared" si="3"/>
        <v>0.12499999999999989</v>
      </c>
      <c r="D25">
        <f t="shared" si="0"/>
        <v>7.4999999999999929</v>
      </c>
      <c r="F25" s="214">
        <f t="shared" si="1"/>
        <v>8.3333333333333329E-2</v>
      </c>
      <c r="G25" s="215" t="str">
        <f t="shared" si="2"/>
        <v>Second Break Start</v>
      </c>
    </row>
    <row r="26" spans="1:7" x14ac:dyDescent="0.25">
      <c r="A26" s="213">
        <v>0.10416666666666667</v>
      </c>
      <c r="B26" s="210" t="s">
        <v>249</v>
      </c>
      <c r="C26" s="212">
        <f t="shared" si="3"/>
        <v>0.50000000000000022</v>
      </c>
      <c r="D26">
        <f t="shared" si="0"/>
        <v>30.000000000000014</v>
      </c>
      <c r="F26" s="214">
        <f t="shared" si="1"/>
        <v>0.10416666666666667</v>
      </c>
      <c r="G26" s="215" t="str">
        <f t="shared" si="2"/>
        <v>Second break End</v>
      </c>
    </row>
    <row r="27" spans="1:7" x14ac:dyDescent="0.25">
      <c r="A27" s="213">
        <v>0.109375</v>
      </c>
      <c r="B27" s="210" t="s">
        <v>255</v>
      </c>
      <c r="C27" s="212">
        <f t="shared" si="3"/>
        <v>0.12499999999999989</v>
      </c>
      <c r="D27">
        <f t="shared" si="0"/>
        <v>7.4999999999999929</v>
      </c>
      <c r="F27" s="214">
        <f t="shared" si="1"/>
        <v>0.109375</v>
      </c>
      <c r="G27" s="215" t="str">
        <f t="shared" si="2"/>
        <v>Excavator product begins, Trucks Cycles Begin</v>
      </c>
    </row>
    <row r="28" spans="1:7" x14ac:dyDescent="0.25">
      <c r="A28" s="213">
        <v>0.24652777777777779</v>
      </c>
      <c r="B28" s="210" t="s">
        <v>256</v>
      </c>
      <c r="C28" s="212">
        <f t="shared" si="3"/>
        <v>3.291666666666667</v>
      </c>
      <c r="D28">
        <f t="shared" si="0"/>
        <v>197.50000000000003</v>
      </c>
      <c r="F28" s="214">
        <f t="shared" si="1"/>
        <v>0.24652777777777779</v>
      </c>
      <c r="G28" s="215" t="str">
        <f t="shared" si="2"/>
        <v>Excavator Stops Loading Trucks, Trucks Cycles Stop</v>
      </c>
    </row>
    <row r="29" spans="1:7" x14ac:dyDescent="0.25">
      <c r="A29" s="213">
        <v>0.25</v>
      </c>
      <c r="B29" s="210" t="s">
        <v>262</v>
      </c>
      <c r="C29" s="212">
        <f t="shared" si="3"/>
        <v>8.3333333333333037E-2</v>
      </c>
      <c r="D29">
        <f t="shared" si="0"/>
        <v>4.9999999999999822</v>
      </c>
      <c r="F29" s="214">
        <f t="shared" si="1"/>
        <v>0.25</v>
      </c>
      <c r="G29" s="215" t="str">
        <f t="shared" si="2"/>
        <v>Night Shift Ends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37"/>
  <sheetViews>
    <sheetView workbookViewId="0">
      <selection activeCell="D32" sqref="D32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7" x14ac:dyDescent="0.25">
      <c r="B17" s="74" t="s">
        <v>148</v>
      </c>
      <c r="C17" s="28"/>
      <c r="D17" s="28"/>
      <c r="E17" s="29"/>
    </row>
    <row r="18" spans="2:7" x14ac:dyDescent="0.25">
      <c r="B18" s="29" t="s">
        <v>140</v>
      </c>
      <c r="C18" s="206" t="s">
        <v>237</v>
      </c>
      <c r="D18" s="206">
        <v>33</v>
      </c>
      <c r="E18" s="29" t="s">
        <v>143</v>
      </c>
      <c r="G18" t="s">
        <v>238</v>
      </c>
    </row>
    <row r="19" spans="2:7" ht="30" x14ac:dyDescent="0.25">
      <c r="B19" s="29" t="s">
        <v>144</v>
      </c>
      <c r="C19" s="206" t="s">
        <v>237</v>
      </c>
      <c r="D19" s="206">
        <v>33</v>
      </c>
      <c r="E19" s="76" t="s">
        <v>194</v>
      </c>
      <c r="G19" t="s">
        <v>238</v>
      </c>
    </row>
    <row r="20" spans="2:7" x14ac:dyDescent="0.25">
      <c r="B20" s="29" t="s">
        <v>153</v>
      </c>
      <c r="C20" s="206" t="s">
        <v>237</v>
      </c>
      <c r="D20" s="206">
        <v>30</v>
      </c>
      <c r="E20" s="29" t="s">
        <v>145</v>
      </c>
      <c r="G20" t="s">
        <v>238</v>
      </c>
    </row>
    <row r="21" spans="2:7" x14ac:dyDescent="0.25">
      <c r="B21" s="29" t="s">
        <v>146</v>
      </c>
      <c r="C21" s="206" t="s">
        <v>237</v>
      </c>
      <c r="D21" s="206">
        <v>10</v>
      </c>
      <c r="E21" s="29" t="s">
        <v>147</v>
      </c>
      <c r="G21" t="s">
        <v>238</v>
      </c>
    </row>
    <row r="22" spans="2:7" x14ac:dyDescent="0.25">
      <c r="B22" s="74" t="s">
        <v>149</v>
      </c>
      <c r="C22" s="28"/>
      <c r="D22" s="28"/>
      <c r="E22" s="29"/>
    </row>
    <row r="23" spans="2:7" x14ac:dyDescent="0.25">
      <c r="B23" s="29" t="s">
        <v>150</v>
      </c>
      <c r="C23" s="28" t="s">
        <v>13</v>
      </c>
      <c r="D23" s="28"/>
      <c r="E23" s="29" t="s">
        <v>151</v>
      </c>
    </row>
    <row r="24" spans="2:7" x14ac:dyDescent="0.25">
      <c r="B24" s="29" t="s">
        <v>152</v>
      </c>
      <c r="C24" s="28" t="s">
        <v>13</v>
      </c>
      <c r="D24" s="28"/>
      <c r="E24" s="29"/>
    </row>
    <row r="25" spans="2:7" x14ac:dyDescent="0.25">
      <c r="B25" s="29" t="s">
        <v>154</v>
      </c>
      <c r="C25" s="28" t="s">
        <v>13</v>
      </c>
      <c r="D25" s="28"/>
      <c r="E25" s="29" t="s">
        <v>155</v>
      </c>
    </row>
    <row r="30" spans="2:7" x14ac:dyDescent="0.25">
      <c r="B30" s="207" t="s">
        <v>239</v>
      </c>
      <c r="C30" s="95"/>
      <c r="D30" s="96"/>
    </row>
    <row r="31" spans="2:7" x14ac:dyDescent="0.25">
      <c r="B31" s="113" t="s">
        <v>127</v>
      </c>
      <c r="C31" s="129" t="s">
        <v>112</v>
      </c>
      <c r="D31" s="129">
        <v>400</v>
      </c>
      <c r="F31">
        <v>180</v>
      </c>
      <c r="G31">
        <v>1750</v>
      </c>
    </row>
    <row r="32" spans="2:7" x14ac:dyDescent="0.25">
      <c r="B32" s="113" t="s">
        <v>128</v>
      </c>
      <c r="C32" s="129" t="s">
        <v>112</v>
      </c>
      <c r="D32" s="206">
        <f>(D31*D33)-(D31*D36)</f>
        <v>188</v>
      </c>
    </row>
    <row r="33" spans="2:9" x14ac:dyDescent="0.25">
      <c r="B33" s="29" t="s">
        <v>240</v>
      </c>
      <c r="C33" s="28" t="s">
        <v>25</v>
      </c>
      <c r="D33" s="208">
        <v>0.67</v>
      </c>
      <c r="G33">
        <v>35</v>
      </c>
      <c r="H33">
        <v>30</v>
      </c>
    </row>
    <row r="34" spans="2:9" x14ac:dyDescent="0.25">
      <c r="B34" s="29" t="s">
        <v>241</v>
      </c>
      <c r="C34" s="28" t="s">
        <v>25</v>
      </c>
      <c r="D34" s="208">
        <v>0.63</v>
      </c>
      <c r="F34">
        <f>D34*D31</f>
        <v>252</v>
      </c>
      <c r="G34">
        <f>G33/60/60*G31</f>
        <v>17.013888888888889</v>
      </c>
      <c r="H34">
        <f>H33/60/60*G31</f>
        <v>14.583333333333334</v>
      </c>
      <c r="I34">
        <f>F34-G34-H34+F31</f>
        <v>400.40277777777777</v>
      </c>
    </row>
    <row r="35" spans="2:9" x14ac:dyDescent="0.25">
      <c r="B35" s="29" t="s">
        <v>244</v>
      </c>
      <c r="C35" s="28" t="s">
        <v>25</v>
      </c>
      <c r="D35" s="208">
        <v>0.4</v>
      </c>
    </row>
    <row r="36" spans="2:9" x14ac:dyDescent="0.25">
      <c r="B36" s="29" t="s">
        <v>245</v>
      </c>
      <c r="C36" s="28" t="s">
        <v>25</v>
      </c>
      <c r="D36" s="208">
        <v>0.2</v>
      </c>
    </row>
    <row r="37" spans="2:9" x14ac:dyDescent="0.25">
      <c r="B37" s="29" t="s">
        <v>242</v>
      </c>
      <c r="C37" s="28" t="s">
        <v>25</v>
      </c>
      <c r="D37" s="208">
        <v>0.3</v>
      </c>
      <c r="E37" t="s">
        <v>243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workbookViewId="0">
      <selection activeCell="D15" sqref="D15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 Locations</vt:lpstr>
      <vt:lpstr>SimioInputs</vt:lpstr>
      <vt:lpstr>Weather</vt:lpstr>
      <vt:lpstr>Equipment</vt:lpstr>
      <vt:lpstr>ExcavatorFailureRates</vt:lpstr>
      <vt:lpstr>Shifts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2014-05-28T02:55:16Z</dcterms:modified>
</cp:coreProperties>
</file>