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hen/Desktop/STAT 390/"/>
    </mc:Choice>
  </mc:AlternateContent>
  <xr:revisionPtr revIDLastSave="0" documentId="13_ncr:1_{FADE58BC-8549-C94C-952B-2F40D52A9231}" xr6:coauthVersionLast="47" xr6:coauthVersionMax="47" xr10:uidLastSave="{00000000-0000-0000-0000-000000000000}"/>
  <bookViews>
    <workbookView xWindow="8980" yWindow="1940" windowWidth="19380" windowHeight="15980" xr2:uid="{00000000-000D-0000-FFFF-FFFF00000000}"/>
  </bookViews>
  <sheets>
    <sheet name="Data" sheetId="1" r:id="rId1"/>
    <sheet name="Explanatio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2" i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43" i="1"/>
  <c r="H43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7" i="1"/>
  <c r="H57" i="1" s="1"/>
  <c r="G58" i="1"/>
  <c r="H58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M5" i="1"/>
  <c r="G5" i="1"/>
  <c r="H5" i="1" s="1"/>
  <c r="G4" i="1"/>
  <c r="H4" i="1" s="1"/>
  <c r="M4" i="1"/>
  <c r="M51" i="1"/>
  <c r="G3" i="1"/>
  <c r="H3" i="1" s="1"/>
  <c r="M2" i="1"/>
  <c r="G2" i="1"/>
  <c r="H2" i="1" s="1"/>
</calcChain>
</file>

<file path=xl/sharedStrings.xml><?xml version="1.0" encoding="utf-8"?>
<sst xmlns="http://schemas.openxmlformats.org/spreadsheetml/2006/main" count="191" uniqueCount="183">
  <si>
    <t>No.</t>
  </si>
  <si>
    <t>Name</t>
  </si>
  <si>
    <t>Population</t>
  </si>
  <si>
    <t>Youth</t>
  </si>
  <si>
    <t>Youth_Perc</t>
  </si>
  <si>
    <t>Education</t>
  </si>
  <si>
    <t>Education_Perc</t>
  </si>
  <si>
    <t>Median_Income</t>
  </si>
  <si>
    <t>Computing</t>
  </si>
  <si>
    <t>Internet</t>
  </si>
  <si>
    <t>Vehicle</t>
  </si>
  <si>
    <t>Youth_Change</t>
  </si>
  <si>
    <t xml:space="preserve">Park Access </t>
  </si>
  <si>
    <t>Area</t>
  </si>
  <si>
    <t>14</t>
  </si>
  <si>
    <t>Albany Park</t>
  </si>
  <si>
    <t>57</t>
  </si>
  <si>
    <t>Archer Heights</t>
  </si>
  <si>
    <t>34</t>
  </si>
  <si>
    <t>Armour Square</t>
  </si>
  <si>
    <t>70</t>
  </si>
  <si>
    <t>Ashburn</t>
  </si>
  <si>
    <t>71</t>
  </si>
  <si>
    <t>Auburn Gresham</t>
  </si>
  <si>
    <t>25</t>
  </si>
  <si>
    <t>Austin</t>
  </si>
  <si>
    <t>45</t>
  </si>
  <si>
    <t>Avalon Park</t>
  </si>
  <si>
    <t>21</t>
  </si>
  <si>
    <t>Avondale</t>
  </si>
  <si>
    <t>19</t>
  </si>
  <si>
    <t>Belmont Cragin</t>
  </si>
  <si>
    <t>72</t>
  </si>
  <si>
    <t>Beverly</t>
  </si>
  <si>
    <t>60</t>
  </si>
  <si>
    <t>Bridgeport</t>
  </si>
  <si>
    <t>58</t>
  </si>
  <si>
    <t>Brighton Park</t>
  </si>
  <si>
    <t>47</t>
  </si>
  <si>
    <t>Burnside</t>
  </si>
  <si>
    <t>48</t>
  </si>
  <si>
    <t>Calumet Heights</t>
  </si>
  <si>
    <t>44</t>
  </si>
  <si>
    <t>Chatham</t>
  </si>
  <si>
    <t>66</t>
  </si>
  <si>
    <t>Chicago Lawn</t>
  </si>
  <si>
    <t>64</t>
  </si>
  <si>
    <t>Clearing</t>
  </si>
  <si>
    <t>35</t>
  </si>
  <si>
    <t>Douglas</t>
  </si>
  <si>
    <t>17</t>
  </si>
  <si>
    <t>Dunning</t>
  </si>
  <si>
    <t>27</t>
  </si>
  <si>
    <t>East Garfield Park</t>
  </si>
  <si>
    <t>52</t>
  </si>
  <si>
    <t>East Side</t>
  </si>
  <si>
    <t>77</t>
  </si>
  <si>
    <t>Edgewater</t>
  </si>
  <si>
    <t>09</t>
  </si>
  <si>
    <t>Edison Park</t>
  </si>
  <si>
    <t>68</t>
  </si>
  <si>
    <t>Englewood</t>
  </si>
  <si>
    <t>12</t>
  </si>
  <si>
    <t>Forest Glen</t>
  </si>
  <si>
    <t>37</t>
  </si>
  <si>
    <t>Fuller Park</t>
  </si>
  <si>
    <t>63</t>
  </si>
  <si>
    <t>Gage Park</t>
  </si>
  <si>
    <t>56</t>
  </si>
  <si>
    <t>Garfield Ridge</t>
  </si>
  <si>
    <t>38</t>
  </si>
  <si>
    <t>Grand Boulevard</t>
  </si>
  <si>
    <t>69</t>
  </si>
  <si>
    <t>Greater Grand Crossing</t>
  </si>
  <si>
    <t>55</t>
  </si>
  <si>
    <t>Hegewisch</t>
  </si>
  <si>
    <t>20</t>
  </si>
  <si>
    <t>Hermosa</t>
  </si>
  <si>
    <t>23</t>
  </si>
  <si>
    <t>Humboldt Park</t>
  </si>
  <si>
    <t>41</t>
  </si>
  <si>
    <t>Hyde Park</t>
  </si>
  <si>
    <t>16</t>
  </si>
  <si>
    <t>Irving Park</t>
  </si>
  <si>
    <t>11</t>
  </si>
  <si>
    <t>Jefferson Park</t>
  </si>
  <si>
    <t>39</t>
  </si>
  <si>
    <t>Kenwood</t>
  </si>
  <si>
    <t>06</t>
  </si>
  <si>
    <t>Lake View</t>
  </si>
  <si>
    <t>07</t>
  </si>
  <si>
    <t>Lincoln Park</t>
  </si>
  <si>
    <t>04</t>
  </si>
  <si>
    <t>Lincoln Square</t>
  </si>
  <si>
    <t>22</t>
  </si>
  <si>
    <t>Logan Square</t>
  </si>
  <si>
    <t>32</t>
  </si>
  <si>
    <t>Loop</t>
  </si>
  <si>
    <t>31</t>
  </si>
  <si>
    <t>Lower West Side</t>
  </si>
  <si>
    <t>59</t>
  </si>
  <si>
    <t>McKinley Park</t>
  </si>
  <si>
    <t>18</t>
  </si>
  <si>
    <t>Montclare</t>
  </si>
  <si>
    <t>75</t>
  </si>
  <si>
    <t>Morgan Park</t>
  </si>
  <si>
    <t>74</t>
  </si>
  <si>
    <t>Mount Greenwood</t>
  </si>
  <si>
    <t>08</t>
  </si>
  <si>
    <t>Near North Side</t>
  </si>
  <si>
    <t>33</t>
  </si>
  <si>
    <t>Near South Side</t>
  </si>
  <si>
    <t>28</t>
  </si>
  <si>
    <t>Near West Side</t>
  </si>
  <si>
    <t>61</t>
  </si>
  <si>
    <t>New City</t>
  </si>
  <si>
    <t>05</t>
  </si>
  <si>
    <t>North Center</t>
  </si>
  <si>
    <t>29</t>
  </si>
  <si>
    <t>North Lawndale</t>
  </si>
  <si>
    <t>13</t>
  </si>
  <si>
    <t>North Park</t>
  </si>
  <si>
    <t>10</t>
  </si>
  <si>
    <t>Norwood Park</t>
  </si>
  <si>
    <t>36</t>
  </si>
  <si>
    <t>Oakland</t>
  </si>
  <si>
    <t>76</t>
  </si>
  <si>
    <t>O'Hare</t>
  </si>
  <si>
    <t>15</t>
  </si>
  <si>
    <t>Portage Park</t>
  </si>
  <si>
    <t>50</t>
  </si>
  <si>
    <t>Pullman</t>
  </si>
  <si>
    <t>54</t>
  </si>
  <si>
    <t>Riverdale</t>
  </si>
  <si>
    <t>01</t>
  </si>
  <si>
    <t>Rogers Park</t>
  </si>
  <si>
    <t>49</t>
  </si>
  <si>
    <t>Roseland</t>
  </si>
  <si>
    <t>46</t>
  </si>
  <si>
    <t>South Chicago</t>
  </si>
  <si>
    <t>51</t>
  </si>
  <si>
    <t>South Deering</t>
  </si>
  <si>
    <t>30</t>
  </si>
  <si>
    <t>South Lawndale</t>
  </si>
  <si>
    <t>43</t>
  </si>
  <si>
    <t>South Shore</t>
  </si>
  <si>
    <t>03</t>
  </si>
  <si>
    <t>Uptown</t>
  </si>
  <si>
    <t>73</t>
  </si>
  <si>
    <t>Washington Heights</t>
  </si>
  <si>
    <t>40</t>
  </si>
  <si>
    <t>Washington Park</t>
  </si>
  <si>
    <t>62</t>
  </si>
  <si>
    <t>West Elsdon</t>
  </si>
  <si>
    <t>67</t>
  </si>
  <si>
    <t>West Englewood</t>
  </si>
  <si>
    <t>26</t>
  </si>
  <si>
    <t>West Garfield Park</t>
  </si>
  <si>
    <t>65</t>
  </si>
  <si>
    <t>West Lawn</t>
  </si>
  <si>
    <t>53</t>
  </si>
  <si>
    <t>West Pullman</t>
  </si>
  <si>
    <t>02</t>
  </si>
  <si>
    <t>West Ridge</t>
  </si>
  <si>
    <t>24</t>
  </si>
  <si>
    <t>West Town</t>
  </si>
  <si>
    <t>42</t>
  </si>
  <si>
    <t>Woodlawn</t>
  </si>
  <si>
    <t>Part of the population aged 5 to 19</t>
  </si>
  <si>
    <t>Number of people without a college degree or above</t>
  </si>
  <si>
    <t>Median Household Income</t>
  </si>
  <si>
    <t>Percent of Housing Units w/o Computing Devices</t>
  </si>
  <si>
    <t>Percent of Housing Units w/o Internet Access</t>
  </si>
  <si>
    <t>Percent of Housing Units w/o Vehicle</t>
  </si>
  <si>
    <t>2020 Youth percentage vs. 2010 youth percentage</t>
  </si>
  <si>
    <t>Park_Access</t>
  </si>
  <si>
    <t>Accessible park acreage per 1000 residents</t>
  </si>
  <si>
    <t>In Square Miles</t>
  </si>
  <si>
    <t>Crime_Rate</t>
  </si>
  <si>
    <t>Percent_Free</t>
  </si>
  <si>
    <t>Program_Duration</t>
  </si>
  <si>
    <t>Median_MinAge</t>
  </si>
  <si>
    <t>Pop_Density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</si>
</sst>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164" fontId="1" fillId="0" borderId="1" xfId="0" applyNumberFormat="1" applyFont="1" applyBorder="1" applyAlignment="1">
      <alignment horizontal="center" vertical="top" wrapText="1"/>
    </xf>
    <xf numFmtId="164" fontId="0" fillId="0" borderId="0" xfId="0" applyNumberFormat="1"/>
    <xf numFmtId="10" fontId="1" fillId="0" borderId="1" xfId="0" applyNumberFormat="1" applyFont="1" applyBorder="1" applyAlignment="1">
      <alignment horizontal="center" vertical="top" wrapText="1"/>
    </xf>
    <xf numFmtId="10" fontId="0" fillId="0" borderId="0" xfId="0" applyNumberFormat="1"/>
    <xf numFmtId="2" fontId="1" fillId="0" borderId="1" xfId="0" applyNumberFormat="1" applyFont="1" applyBorder="1" applyAlignment="1">
      <alignment horizontal="center" vertical="top" wrapText="1"/>
    </xf>
    <xf numFmtId="2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/>
    <xf numFmtId="164" fontId="1" fillId="0" borderId="1" xfId="0" applyNumberFormat="1" applyFont="1" applyBorder="1" applyAlignment="1">
      <alignment horizontal="left"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8"/>
  <sheetViews>
    <sheetView tabSelected="1" topLeftCell="H1" workbookViewId="0">
      <selection activeCell="P2" sqref="P2"/>
    </sheetView>
  </sheetViews>
  <sheetFormatPr baseColWidth="10" defaultColWidth="8.83203125" defaultRowHeight="15" x14ac:dyDescent="0.2"/>
  <cols>
    <col min="2" max="5" width="15.83203125" customWidth="1"/>
    <col min="6" max="6" width="15.83203125" style="7" customWidth="1"/>
    <col min="7" max="7" width="15.83203125" customWidth="1"/>
    <col min="8" max="8" width="15.83203125" style="7" customWidth="1"/>
    <col min="9" max="9" width="15.83203125" style="5" customWidth="1"/>
    <col min="10" max="13" width="15.83203125" style="7" customWidth="1"/>
    <col min="14" max="14" width="15.83203125" style="9" customWidth="1"/>
    <col min="15" max="16" width="15.83203125" customWidth="1"/>
    <col min="17" max="17" width="18.5" customWidth="1"/>
    <col min="18" max="18" width="12.1640625" customWidth="1"/>
    <col min="19" max="19" width="13" customWidth="1"/>
    <col min="20" max="20" width="13.33203125" customWidth="1"/>
  </cols>
  <sheetData>
    <row r="1" spans="1:20" s="3" customFormat="1" ht="16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6" t="s">
        <v>4</v>
      </c>
      <c r="G1" s="2" t="s">
        <v>5</v>
      </c>
      <c r="H1" s="6" t="s">
        <v>6</v>
      </c>
      <c r="I1" s="4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8" t="s">
        <v>12</v>
      </c>
      <c r="O1" s="2" t="s">
        <v>13</v>
      </c>
      <c r="P1" s="2" t="s">
        <v>182</v>
      </c>
      <c r="Q1" s="1" t="s">
        <v>179</v>
      </c>
      <c r="R1" s="1" t="s">
        <v>181</v>
      </c>
      <c r="S1" s="1" t="s">
        <v>180</v>
      </c>
      <c r="T1" s="3" t="s">
        <v>178</v>
      </c>
    </row>
    <row r="2" spans="1:20" x14ac:dyDescent="0.2">
      <c r="A2" s="1">
        <v>0</v>
      </c>
      <c r="B2" t="s">
        <v>14</v>
      </c>
      <c r="C2" t="s">
        <v>15</v>
      </c>
      <c r="D2">
        <v>48396</v>
      </c>
      <c r="E2">
        <v>9409</v>
      </c>
      <c r="F2" s="7">
        <f>E2/D2</f>
        <v>0.19441689395817835</v>
      </c>
      <c r="G2">
        <f>6455+7887+3849</f>
        <v>18191</v>
      </c>
      <c r="H2" s="7">
        <f>G2/D2</f>
        <v>0.37587817174973137</v>
      </c>
      <c r="I2" s="5">
        <v>69398</v>
      </c>
      <c r="J2" s="7">
        <v>8.4000000000000005E-2</v>
      </c>
      <c r="K2" s="7">
        <v>0.14299999999999999</v>
      </c>
      <c r="L2" s="7">
        <v>0.20300000000000001</v>
      </c>
      <c r="M2" s="7">
        <f>24.8%-29.3%</f>
        <v>-4.4999999999999984E-2</v>
      </c>
      <c r="N2" s="9">
        <v>1.7</v>
      </c>
      <c r="O2">
        <v>1.92</v>
      </c>
      <c r="P2">
        <v>25206.25</v>
      </c>
      <c r="Q2">
        <v>0.41685649202733488</v>
      </c>
      <c r="R2">
        <v>6</v>
      </c>
      <c r="S2">
        <v>56</v>
      </c>
      <c r="T2">
        <v>4.5086370774444169E-2</v>
      </c>
    </row>
    <row r="3" spans="1:20" x14ac:dyDescent="0.2">
      <c r="A3" s="1">
        <v>1</v>
      </c>
      <c r="B3" t="s">
        <v>16</v>
      </c>
      <c r="C3" t="s">
        <v>17</v>
      </c>
      <c r="D3">
        <v>14196</v>
      </c>
      <c r="E3">
        <v>3088</v>
      </c>
      <c r="F3" s="7">
        <f>E3/D3</f>
        <v>0.21752606367990984</v>
      </c>
      <c r="G3">
        <f>2529+3602+1277</f>
        <v>7408</v>
      </c>
      <c r="H3" s="7">
        <f>G3/D3</f>
        <v>0.52183713722175262</v>
      </c>
      <c r="I3" s="5">
        <v>48793</v>
      </c>
      <c r="J3" s="7">
        <v>0.17699999999999999</v>
      </c>
      <c r="K3" s="7">
        <v>0.21099999999999999</v>
      </c>
      <c r="L3" s="7">
        <v>0.2</v>
      </c>
      <c r="M3" s="7">
        <f>29.5%-33.8%</f>
        <v>-4.2999999999999983E-2</v>
      </c>
      <c r="N3" s="9">
        <v>1.5</v>
      </c>
      <c r="O3">
        <v>2.0099999999999998</v>
      </c>
      <c r="P3">
        <v>7062.69</v>
      </c>
      <c r="Q3">
        <v>0.37545126353790609</v>
      </c>
      <c r="R3">
        <v>6</v>
      </c>
      <c r="S3">
        <v>56</v>
      </c>
      <c r="T3">
        <v>7.0371935756551138E-2</v>
      </c>
    </row>
    <row r="4" spans="1:20" x14ac:dyDescent="0.2">
      <c r="A4" s="1">
        <v>2</v>
      </c>
      <c r="B4" t="s">
        <v>18</v>
      </c>
      <c r="C4" t="s">
        <v>19</v>
      </c>
      <c r="D4">
        <v>13890</v>
      </c>
      <c r="E4">
        <v>1984</v>
      </c>
      <c r="F4" s="7">
        <f>E4/D4</f>
        <v>0.14283657307415407</v>
      </c>
      <c r="G4">
        <f>3356+2506+907</f>
        <v>6769</v>
      </c>
      <c r="H4" s="7">
        <f>G4/D4</f>
        <v>0.48732901367890569</v>
      </c>
      <c r="I4" s="5">
        <v>37123</v>
      </c>
      <c r="J4" s="7">
        <v>0.20300000000000001</v>
      </c>
      <c r="K4" s="7">
        <v>0.23599999999999999</v>
      </c>
      <c r="L4" s="7">
        <v>0.40200000000000002</v>
      </c>
      <c r="M4" s="7">
        <f>24.8%-29.3%</f>
        <v>-4.4999999999999984E-2</v>
      </c>
      <c r="N4" s="9">
        <v>2.52</v>
      </c>
      <c r="O4">
        <v>1</v>
      </c>
      <c r="P4">
        <v>13890</v>
      </c>
      <c r="Q4">
        <v>0.33333333333333331</v>
      </c>
      <c r="R4">
        <v>6</v>
      </c>
      <c r="S4">
        <v>63</v>
      </c>
      <c r="T4">
        <v>8.2433405327573789E-2</v>
      </c>
    </row>
    <row r="5" spans="1:20" x14ac:dyDescent="0.2">
      <c r="A5" s="1">
        <v>3</v>
      </c>
      <c r="B5" t="s">
        <v>20</v>
      </c>
      <c r="C5" t="s">
        <v>21</v>
      </c>
      <c r="D5">
        <v>41098</v>
      </c>
      <c r="E5">
        <v>9805</v>
      </c>
      <c r="F5" s="7">
        <f>E5/D5</f>
        <v>0.23857608642756339</v>
      </c>
      <c r="G5">
        <f>4876+8437+5983</f>
        <v>19296</v>
      </c>
      <c r="H5" s="7">
        <f>G5/D5</f>
        <v>0.46951189838921603</v>
      </c>
      <c r="I5" s="5">
        <v>71951</v>
      </c>
      <c r="J5" s="7">
        <v>7.0999999999999994E-2</v>
      </c>
      <c r="K5" s="7">
        <v>0.11600000000000001</v>
      </c>
      <c r="L5" s="7">
        <v>6.7000000000000004E-2</v>
      </c>
      <c r="M5" s="7">
        <f>29%-30.9%</f>
        <v>-1.9000000000000017E-2</v>
      </c>
      <c r="N5" s="9">
        <v>2.0299999999999998</v>
      </c>
      <c r="O5">
        <v>4.8600000000000003</v>
      </c>
      <c r="P5">
        <v>8456.3799999999992</v>
      </c>
      <c r="Q5">
        <v>0.33333333333333331</v>
      </c>
      <c r="R5">
        <v>6</v>
      </c>
      <c r="S5">
        <v>56</v>
      </c>
      <c r="T5">
        <v>4.8420847729816537E-2</v>
      </c>
    </row>
    <row r="6" spans="1:20" x14ac:dyDescent="0.2">
      <c r="A6" s="1">
        <v>4</v>
      </c>
      <c r="B6" t="s">
        <v>22</v>
      </c>
      <c r="C6" t="s">
        <v>23</v>
      </c>
      <c r="D6">
        <v>44878</v>
      </c>
      <c r="E6">
        <v>9561</v>
      </c>
      <c r="F6" s="7">
        <f>E6/D6</f>
        <v>0.21304425330897098</v>
      </c>
      <c r="G6">
        <f>4666+9758+9086</f>
        <v>23510</v>
      </c>
      <c r="H6" s="7">
        <f>G6/D6</f>
        <v>0.5238646998529346</v>
      </c>
      <c r="I6" s="5">
        <v>37484</v>
      </c>
      <c r="J6" s="7">
        <v>0.159</v>
      </c>
      <c r="K6" s="7">
        <v>0.25600000000000001</v>
      </c>
      <c r="L6" s="7">
        <v>0.30099999999999999</v>
      </c>
      <c r="M6" s="7">
        <v>-5.0999999999999997E-2</v>
      </c>
      <c r="N6" s="9">
        <v>1.63</v>
      </c>
      <c r="O6">
        <v>3.77</v>
      </c>
      <c r="P6">
        <v>11903.98</v>
      </c>
      <c r="Q6">
        <v>0.61212121212121207</v>
      </c>
      <c r="R6">
        <v>7</v>
      </c>
      <c r="S6">
        <v>4</v>
      </c>
      <c r="T6">
        <v>0.13980123891439011</v>
      </c>
    </row>
    <row r="7" spans="1:20" x14ac:dyDescent="0.2">
      <c r="A7" s="1">
        <v>5</v>
      </c>
      <c r="B7" t="s">
        <v>24</v>
      </c>
      <c r="C7" t="s">
        <v>25</v>
      </c>
      <c r="D7">
        <v>96557</v>
      </c>
      <c r="E7">
        <v>18471</v>
      </c>
      <c r="F7" s="7">
        <f>E7/D7</f>
        <v>0.19129633273610405</v>
      </c>
      <c r="G7">
        <f>11415+22524+14934</f>
        <v>48873</v>
      </c>
      <c r="H7" s="7">
        <f>G7/D7</f>
        <v>0.50615698499331996</v>
      </c>
      <c r="I7" s="5">
        <v>35555</v>
      </c>
      <c r="J7" s="7">
        <v>0.17299999999999999</v>
      </c>
      <c r="K7" s="7">
        <v>0.24099999999999999</v>
      </c>
      <c r="L7" s="7">
        <v>0.307</v>
      </c>
      <c r="M7" s="7">
        <v>-5.0999999999999997E-2</v>
      </c>
      <c r="N7" s="9">
        <v>0.69</v>
      </c>
      <c r="O7">
        <v>7.15</v>
      </c>
      <c r="P7">
        <v>13504.48</v>
      </c>
      <c r="Q7">
        <v>0.57432072456046879</v>
      </c>
      <c r="R7">
        <v>8</v>
      </c>
      <c r="S7">
        <v>39</v>
      </c>
      <c r="T7">
        <v>0.12655737025798233</v>
      </c>
    </row>
    <row r="8" spans="1:20" x14ac:dyDescent="0.2">
      <c r="A8" s="1">
        <v>6</v>
      </c>
      <c r="B8" t="s">
        <v>26</v>
      </c>
      <c r="C8" t="s">
        <v>27</v>
      </c>
      <c r="D8">
        <v>9458</v>
      </c>
      <c r="E8">
        <v>1471</v>
      </c>
      <c r="F8" s="7">
        <f>E8/D8</f>
        <v>0.15552971029816029</v>
      </c>
      <c r="G8">
        <f>665+1922+1755</f>
        <v>4342</v>
      </c>
      <c r="H8" s="7">
        <f>G8/D8</f>
        <v>0.45908225840558259</v>
      </c>
      <c r="I8" s="5">
        <v>54419</v>
      </c>
      <c r="J8" s="7">
        <v>0.22700000000000001</v>
      </c>
      <c r="K8" s="7">
        <v>0.25600000000000001</v>
      </c>
      <c r="L8" s="7">
        <v>0.215</v>
      </c>
      <c r="M8" s="7">
        <v>-4.2999999999999997E-2</v>
      </c>
      <c r="N8" s="9">
        <v>2.86</v>
      </c>
      <c r="O8">
        <v>1.25</v>
      </c>
      <c r="P8">
        <v>7566.4</v>
      </c>
      <c r="Q8">
        <v>0.75257731958762886</v>
      </c>
      <c r="R8">
        <v>12</v>
      </c>
      <c r="S8">
        <v>0</v>
      </c>
      <c r="T8">
        <v>0.12349333897229858</v>
      </c>
    </row>
    <row r="9" spans="1:20" x14ac:dyDescent="0.2">
      <c r="A9" s="1">
        <v>7</v>
      </c>
      <c r="B9" t="s">
        <v>28</v>
      </c>
      <c r="C9" t="s">
        <v>29</v>
      </c>
      <c r="D9">
        <v>36257</v>
      </c>
      <c r="E9">
        <v>5967</v>
      </c>
      <c r="F9" s="7">
        <f>E9/D9</f>
        <v>0.16457511652922194</v>
      </c>
      <c r="G9">
        <f>4192+6191+3797</f>
        <v>14180</v>
      </c>
      <c r="H9" s="7">
        <f>G9/D9</f>
        <v>0.39109689163471884</v>
      </c>
      <c r="I9" s="5">
        <v>73616</v>
      </c>
      <c r="J9" s="7">
        <v>6.2E-2</v>
      </c>
      <c r="K9" s="7">
        <v>0.105</v>
      </c>
      <c r="L9" s="7">
        <v>0.17499999999999999</v>
      </c>
      <c r="M9" s="7">
        <v>-3.7999999999999999E-2</v>
      </c>
      <c r="N9" s="9">
        <v>0.84</v>
      </c>
      <c r="O9">
        <v>1.98</v>
      </c>
      <c r="P9">
        <v>18311.62</v>
      </c>
      <c r="Q9">
        <v>3.1210986267166039E-2</v>
      </c>
      <c r="R9">
        <v>5</v>
      </c>
      <c r="S9">
        <v>21</v>
      </c>
      <c r="T9">
        <v>5.4748048652673964E-2</v>
      </c>
    </row>
    <row r="10" spans="1:20" x14ac:dyDescent="0.2">
      <c r="A10" s="1">
        <v>8</v>
      </c>
      <c r="B10" t="s">
        <v>30</v>
      </c>
      <c r="C10" t="s">
        <v>31</v>
      </c>
      <c r="D10">
        <v>78116</v>
      </c>
      <c r="E10">
        <v>17888</v>
      </c>
      <c r="F10" s="7">
        <f>E10/D10</f>
        <v>0.22899277996825235</v>
      </c>
      <c r="G10">
        <f>15968+15450+8907</f>
        <v>40325</v>
      </c>
      <c r="H10" s="7">
        <f>G10/D10</f>
        <v>0.51621946848276923</v>
      </c>
      <c r="I10" s="5">
        <v>58138</v>
      </c>
      <c r="J10" s="7">
        <v>0.11899999999999999</v>
      </c>
      <c r="K10" s="7">
        <v>0.193</v>
      </c>
      <c r="L10" s="7">
        <v>0.14299999999999999</v>
      </c>
      <c r="M10" s="7">
        <v>-3.7999999999999999E-2</v>
      </c>
      <c r="N10" s="9">
        <v>0.89</v>
      </c>
      <c r="O10">
        <v>3.91</v>
      </c>
      <c r="P10">
        <v>19978.52</v>
      </c>
      <c r="Q10">
        <v>0.30303030303030298</v>
      </c>
      <c r="R10">
        <v>6</v>
      </c>
      <c r="S10">
        <v>49</v>
      </c>
      <c r="T10">
        <v>5.2230016897946645E-2</v>
      </c>
    </row>
    <row r="11" spans="1:20" x14ac:dyDescent="0.2">
      <c r="A11" s="1">
        <v>9</v>
      </c>
      <c r="B11" t="s">
        <v>32</v>
      </c>
      <c r="C11" t="s">
        <v>33</v>
      </c>
      <c r="D11">
        <v>20027</v>
      </c>
      <c r="E11">
        <v>3576</v>
      </c>
      <c r="F11" s="7">
        <f>E11/D11</f>
        <v>0.17855894542367803</v>
      </c>
      <c r="G11">
        <f>342+1909+2465</f>
        <v>4716</v>
      </c>
      <c r="H11" s="7">
        <f>G11/D11</f>
        <v>0.23548209916612572</v>
      </c>
      <c r="I11" s="5">
        <v>110018</v>
      </c>
      <c r="J11" s="7">
        <v>2.7E-2</v>
      </c>
      <c r="K11" s="7">
        <v>5.2999999999999999E-2</v>
      </c>
      <c r="L11" s="7">
        <v>3.6999999999999998E-2</v>
      </c>
      <c r="M11" s="7">
        <v>-3.4000000000000002E-2</v>
      </c>
      <c r="N11" s="9">
        <v>2</v>
      </c>
      <c r="O11">
        <v>3.18</v>
      </c>
      <c r="P11" s="14">
        <v>6297.8</v>
      </c>
      <c r="Q11">
        <v>0.31778425655976678</v>
      </c>
      <c r="R11">
        <v>6</v>
      </c>
      <c r="S11">
        <v>56</v>
      </c>
      <c r="T11" s="14">
        <v>4.4489938582913065E-2</v>
      </c>
    </row>
    <row r="12" spans="1:20" x14ac:dyDescent="0.2">
      <c r="A12" s="1">
        <v>10</v>
      </c>
      <c r="B12" t="s">
        <v>34</v>
      </c>
      <c r="C12" t="s">
        <v>35</v>
      </c>
      <c r="D12">
        <v>33702</v>
      </c>
      <c r="E12">
        <v>4745</v>
      </c>
      <c r="F12" s="7">
        <f>E12/D12</f>
        <v>0.14079283128597708</v>
      </c>
      <c r="G12">
        <f>4665+6331+3484</f>
        <v>14480</v>
      </c>
      <c r="H12" s="7">
        <f>G12/D12</f>
        <v>0.42964809210135896</v>
      </c>
      <c r="I12" s="5">
        <v>58670</v>
      </c>
      <c r="J12" s="7">
        <v>8.6999999999999994E-2</v>
      </c>
      <c r="K12" s="7">
        <v>0.1</v>
      </c>
      <c r="L12" s="7">
        <v>0.2</v>
      </c>
      <c r="M12" s="7">
        <v>-3.3000000000000002E-2</v>
      </c>
      <c r="N12" s="9">
        <v>1.95</v>
      </c>
      <c r="O12">
        <v>2.09</v>
      </c>
      <c r="P12">
        <v>16125.36</v>
      </c>
      <c r="Q12">
        <v>0.37546468401486988</v>
      </c>
      <c r="R12">
        <v>6</v>
      </c>
      <c r="S12">
        <v>42</v>
      </c>
      <c r="T12">
        <v>4.584297667794196E-2</v>
      </c>
    </row>
    <row r="13" spans="1:20" x14ac:dyDescent="0.2">
      <c r="A13" s="1">
        <v>11</v>
      </c>
      <c r="B13" t="s">
        <v>36</v>
      </c>
      <c r="C13" t="s">
        <v>37</v>
      </c>
      <c r="D13">
        <v>45053</v>
      </c>
      <c r="E13">
        <v>10349</v>
      </c>
      <c r="F13" s="7">
        <f>E13/D13</f>
        <v>0.22970723370252813</v>
      </c>
      <c r="G13">
        <f>8823+9727+3317</f>
        <v>21867</v>
      </c>
      <c r="H13" s="7">
        <f>G13/D13</f>
        <v>0.48536168512640665</v>
      </c>
      <c r="I13" s="5">
        <v>45782</v>
      </c>
      <c r="J13" s="7">
        <v>0.126</v>
      </c>
      <c r="K13" s="7">
        <v>0.16700000000000001</v>
      </c>
      <c r="L13" s="7">
        <v>0.14399999999999999</v>
      </c>
      <c r="M13" s="7">
        <v>-5.2999999999999999E-2</v>
      </c>
      <c r="N13" s="9">
        <v>0.91</v>
      </c>
      <c r="O13">
        <v>2.72</v>
      </c>
      <c r="P13">
        <v>16563.599999999999</v>
      </c>
      <c r="Q13">
        <v>0.89729729729729735</v>
      </c>
      <c r="R13">
        <v>4</v>
      </c>
      <c r="S13">
        <v>0</v>
      </c>
      <c r="T13">
        <v>4.6811533083257494E-2</v>
      </c>
    </row>
    <row r="14" spans="1:20" x14ac:dyDescent="0.2">
      <c r="A14" s="1">
        <v>12</v>
      </c>
      <c r="B14" t="s">
        <v>38</v>
      </c>
      <c r="C14" t="s">
        <v>39</v>
      </c>
      <c r="D14">
        <v>2527</v>
      </c>
      <c r="E14">
        <v>248</v>
      </c>
      <c r="F14" s="7">
        <f>E14/D14</f>
        <v>9.8140087059754647E-2</v>
      </c>
      <c r="G14">
        <f>244+619+387</f>
        <v>1250</v>
      </c>
      <c r="H14" s="7">
        <f>G14/D14</f>
        <v>0.49465769687376338</v>
      </c>
      <c r="I14" s="5">
        <v>39352</v>
      </c>
      <c r="J14" s="7">
        <v>0.23300000000000001</v>
      </c>
      <c r="K14" s="7">
        <v>0.27800000000000002</v>
      </c>
      <c r="L14" s="7">
        <v>0.30399999999999999</v>
      </c>
      <c r="M14" s="7">
        <v>-0.16400000000000001</v>
      </c>
      <c r="N14" s="9">
        <v>1</v>
      </c>
      <c r="O14">
        <v>0.61</v>
      </c>
      <c r="P14">
        <v>4142.62</v>
      </c>
      <c r="Q14">
        <v>1</v>
      </c>
      <c r="R14">
        <v>0</v>
      </c>
      <c r="S14">
        <v>0</v>
      </c>
      <c r="T14">
        <v>0.13573407202216067</v>
      </c>
    </row>
    <row r="15" spans="1:20" x14ac:dyDescent="0.2">
      <c r="A15" s="1">
        <v>13</v>
      </c>
      <c r="B15" t="s">
        <v>40</v>
      </c>
      <c r="C15" t="s">
        <v>41</v>
      </c>
      <c r="D15">
        <v>13088</v>
      </c>
      <c r="E15">
        <v>1631</v>
      </c>
      <c r="F15" s="7">
        <f>E15/D15</f>
        <v>0.1246179706601467</v>
      </c>
      <c r="G15">
        <f>550+2250+2670</f>
        <v>5470</v>
      </c>
      <c r="H15" s="7">
        <f>G15/D15</f>
        <v>0.41794009779951102</v>
      </c>
      <c r="I15" s="5">
        <v>57420</v>
      </c>
      <c r="J15" s="7">
        <v>0.123</v>
      </c>
      <c r="K15" s="7">
        <v>0.14099999999999999</v>
      </c>
      <c r="L15" s="7">
        <v>0.191</v>
      </c>
      <c r="M15" s="7">
        <v>-4.8000000000000001E-2</v>
      </c>
      <c r="N15" s="9">
        <v>1.48</v>
      </c>
      <c r="O15">
        <v>1.75</v>
      </c>
      <c r="P15">
        <v>7478.86</v>
      </c>
      <c r="Q15">
        <v>0.569620253164557</v>
      </c>
      <c r="R15">
        <v>8</v>
      </c>
      <c r="S15">
        <v>70</v>
      </c>
      <c r="T15">
        <v>0.10139058679706602</v>
      </c>
    </row>
    <row r="16" spans="1:20" x14ac:dyDescent="0.2">
      <c r="A16" s="1">
        <v>14</v>
      </c>
      <c r="B16" t="s">
        <v>42</v>
      </c>
      <c r="C16" t="s">
        <v>43</v>
      </c>
      <c r="D16">
        <v>31710</v>
      </c>
      <c r="E16">
        <v>5497</v>
      </c>
      <c r="F16" s="7">
        <f>E16/D16</f>
        <v>0.17335225480920846</v>
      </c>
      <c r="G16">
        <f>2642+5613+6352</f>
        <v>14607</v>
      </c>
      <c r="H16" s="7">
        <f>G16/D16</f>
        <v>0.46064333017975401</v>
      </c>
      <c r="I16" s="5">
        <v>39859</v>
      </c>
      <c r="J16" s="7">
        <v>0.14599999999999999</v>
      </c>
      <c r="K16" s="7">
        <v>0.255</v>
      </c>
      <c r="L16" s="7">
        <v>0.33200000000000002</v>
      </c>
      <c r="M16" s="7">
        <v>-5.3999999999999999E-2</v>
      </c>
      <c r="N16" s="9">
        <v>1.75</v>
      </c>
      <c r="O16">
        <v>2.95</v>
      </c>
      <c r="P16">
        <v>10749.15</v>
      </c>
      <c r="Q16">
        <v>0.73299748110831231</v>
      </c>
      <c r="R16">
        <v>6</v>
      </c>
      <c r="S16">
        <v>0</v>
      </c>
      <c r="T16">
        <v>0.19120151371807001</v>
      </c>
    </row>
    <row r="17" spans="1:20" x14ac:dyDescent="0.2">
      <c r="A17" s="1">
        <v>15</v>
      </c>
      <c r="B17" t="s">
        <v>44</v>
      </c>
      <c r="C17" t="s">
        <v>45</v>
      </c>
      <c r="D17">
        <v>55931</v>
      </c>
      <c r="E17">
        <v>11207</v>
      </c>
      <c r="F17" s="7">
        <f>E17/D17</f>
        <v>0.20037188678907941</v>
      </c>
      <c r="G17">
        <f>8087+12866+6323</f>
        <v>27276</v>
      </c>
      <c r="H17" s="7">
        <f>G17/D17</f>
        <v>0.48767231052546889</v>
      </c>
      <c r="I17" s="5">
        <v>36278</v>
      </c>
      <c r="J17" s="7">
        <v>0.18</v>
      </c>
      <c r="K17" s="7">
        <v>0.21299999999999999</v>
      </c>
      <c r="L17" s="7">
        <v>0.248</v>
      </c>
      <c r="M17" s="7">
        <v>-7.1999999999999995E-2</v>
      </c>
      <c r="N17" s="9">
        <v>1.48</v>
      </c>
      <c r="O17">
        <v>3.53</v>
      </c>
      <c r="P17">
        <v>15844.48</v>
      </c>
      <c r="Q17">
        <v>0.49923896499238962</v>
      </c>
      <c r="R17">
        <v>7</v>
      </c>
      <c r="S17">
        <v>35</v>
      </c>
      <c r="T17">
        <v>8.6106095009922945E-2</v>
      </c>
    </row>
    <row r="18" spans="1:20" x14ac:dyDescent="0.2">
      <c r="A18" s="1">
        <v>16</v>
      </c>
      <c r="B18" t="s">
        <v>46</v>
      </c>
      <c r="C18" t="s">
        <v>47</v>
      </c>
      <c r="D18">
        <v>24473</v>
      </c>
      <c r="E18">
        <v>5015</v>
      </c>
      <c r="F18" s="7">
        <f>E18/D18</f>
        <v>0.20491970743268093</v>
      </c>
      <c r="G18">
        <f>2009+5806+3605</f>
        <v>11420</v>
      </c>
      <c r="H18" s="7">
        <f>G18/D18</f>
        <v>0.4666367016712295</v>
      </c>
      <c r="I18" s="5">
        <v>58168</v>
      </c>
      <c r="J18" s="7">
        <v>0.126</v>
      </c>
      <c r="K18" s="7">
        <v>0.13700000000000001</v>
      </c>
      <c r="L18" s="7">
        <v>0.10199999999999999</v>
      </c>
      <c r="M18" s="7">
        <v>-2E-3</v>
      </c>
      <c r="N18" s="9">
        <v>1.91</v>
      </c>
      <c r="O18">
        <v>2.5499999999999998</v>
      </c>
      <c r="P18">
        <v>9597.25</v>
      </c>
      <c r="Q18">
        <v>0.28907922912205569</v>
      </c>
      <c r="R18">
        <v>6</v>
      </c>
      <c r="S18">
        <v>56</v>
      </c>
      <c r="T18">
        <v>4.1065664201364767E-2</v>
      </c>
    </row>
    <row r="19" spans="1:20" x14ac:dyDescent="0.2">
      <c r="A19" s="1">
        <v>17</v>
      </c>
      <c r="B19" t="s">
        <v>48</v>
      </c>
      <c r="C19" t="s">
        <v>49</v>
      </c>
      <c r="D19">
        <v>20291</v>
      </c>
      <c r="E19">
        <v>3500</v>
      </c>
      <c r="F19" s="7">
        <f>E19/D19</f>
        <v>0.17249026662066927</v>
      </c>
      <c r="G19">
        <f>1593+2344+3342</f>
        <v>7279</v>
      </c>
      <c r="H19" s="7">
        <f>G19/D19</f>
        <v>0.35873047163767185</v>
      </c>
      <c r="I19" s="5">
        <v>35796</v>
      </c>
      <c r="J19" s="7">
        <v>0.107</v>
      </c>
      <c r="K19" s="7">
        <v>0.154</v>
      </c>
      <c r="L19" s="7">
        <v>0.42099999999999999</v>
      </c>
      <c r="M19" s="7">
        <v>-7.0000000000000001E-3</v>
      </c>
      <c r="N19" s="9">
        <v>8.69</v>
      </c>
      <c r="O19">
        <v>1.65</v>
      </c>
      <c r="P19">
        <v>12297.58</v>
      </c>
      <c r="Q19">
        <v>0.5867269984917044</v>
      </c>
      <c r="R19">
        <v>6</v>
      </c>
      <c r="S19">
        <v>4</v>
      </c>
      <c r="T19">
        <v>0.13705583756345177</v>
      </c>
    </row>
    <row r="20" spans="1:20" x14ac:dyDescent="0.2">
      <c r="A20" s="1">
        <v>18</v>
      </c>
      <c r="B20" t="s">
        <v>50</v>
      </c>
      <c r="C20" t="s">
        <v>51</v>
      </c>
      <c r="D20">
        <v>43147</v>
      </c>
      <c r="E20">
        <v>7780</v>
      </c>
      <c r="F20" s="7">
        <f>E20/D20</f>
        <v>0.18031381092544094</v>
      </c>
      <c r="G20">
        <f>3441+10094+7474</f>
        <v>21009</v>
      </c>
      <c r="H20" s="7">
        <f>G20/D20</f>
        <v>0.48691681924583402</v>
      </c>
      <c r="I20" s="5">
        <v>74526</v>
      </c>
      <c r="J20" s="7">
        <v>0.11600000000000001</v>
      </c>
      <c r="K20" s="7">
        <v>0.182</v>
      </c>
      <c r="L20" s="7">
        <v>0.06</v>
      </c>
      <c r="M20" s="7">
        <v>1.7999999999999999E-2</v>
      </c>
      <c r="N20" s="9">
        <v>1.05</v>
      </c>
      <c r="O20">
        <v>3.72</v>
      </c>
      <c r="P20">
        <v>11598.66</v>
      </c>
      <c r="Q20">
        <v>0.24125560538116589</v>
      </c>
      <c r="R20">
        <v>6</v>
      </c>
      <c r="S20">
        <v>63</v>
      </c>
      <c r="T20">
        <v>3.7105708392240477E-2</v>
      </c>
    </row>
    <row r="21" spans="1:20" x14ac:dyDescent="0.2">
      <c r="A21" s="1">
        <v>19</v>
      </c>
      <c r="B21" t="s">
        <v>52</v>
      </c>
      <c r="C21" t="s">
        <v>53</v>
      </c>
      <c r="D21">
        <v>19992</v>
      </c>
      <c r="E21">
        <v>3825</v>
      </c>
      <c r="F21" s="7">
        <f>E21/D21</f>
        <v>0.19132653061224489</v>
      </c>
      <c r="G21">
        <f>2362+3348+2771</f>
        <v>8481</v>
      </c>
      <c r="H21" s="7">
        <f>G21/D21</f>
        <v>0.42421968787515008</v>
      </c>
      <c r="I21" s="5">
        <v>23067</v>
      </c>
      <c r="J21" s="7">
        <v>0.187</v>
      </c>
      <c r="K21" s="7">
        <v>0.27300000000000002</v>
      </c>
      <c r="L21" s="7">
        <v>0.47499999999999998</v>
      </c>
      <c r="M21" s="7">
        <v>-0.08</v>
      </c>
      <c r="N21" s="9">
        <v>4.08</v>
      </c>
      <c r="O21">
        <v>1.93</v>
      </c>
      <c r="P21">
        <v>10358.549999999999</v>
      </c>
      <c r="Q21">
        <v>0.45423143350604489</v>
      </c>
      <c r="R21">
        <v>8</v>
      </c>
      <c r="S21">
        <v>56</v>
      </c>
      <c r="T21">
        <v>0.18852541016406563</v>
      </c>
    </row>
    <row r="22" spans="1:20" x14ac:dyDescent="0.2">
      <c r="A22" s="1">
        <v>20</v>
      </c>
      <c r="B22" t="s">
        <v>54</v>
      </c>
      <c r="C22" t="s">
        <v>55</v>
      </c>
      <c r="D22">
        <v>21724</v>
      </c>
      <c r="E22">
        <v>5376</v>
      </c>
      <c r="F22" s="7">
        <f>E22/D22</f>
        <v>0.24746823789357392</v>
      </c>
      <c r="G22">
        <f>3846+5010+2225</f>
        <v>11081</v>
      </c>
      <c r="H22" s="7">
        <f>G22/D22</f>
        <v>0.51008101638740566</v>
      </c>
      <c r="I22" s="5">
        <v>52003</v>
      </c>
      <c r="J22" s="7">
        <v>0.107</v>
      </c>
      <c r="K22" s="7">
        <v>0.13900000000000001</v>
      </c>
      <c r="L22" s="7">
        <v>0.106</v>
      </c>
      <c r="M22" s="7">
        <v>-4.8000000000000001E-2</v>
      </c>
      <c r="N22" s="9">
        <v>7.56</v>
      </c>
      <c r="O22">
        <v>2.98</v>
      </c>
      <c r="P22">
        <v>7289.93</v>
      </c>
      <c r="Q22">
        <v>0.323943661971831</v>
      </c>
      <c r="R22">
        <v>6</v>
      </c>
      <c r="S22">
        <v>63</v>
      </c>
      <c r="T22">
        <v>5.3305100349843489E-2</v>
      </c>
    </row>
    <row r="23" spans="1:20" x14ac:dyDescent="0.2">
      <c r="A23" s="1">
        <v>21</v>
      </c>
      <c r="B23" t="s">
        <v>56</v>
      </c>
      <c r="C23" t="s">
        <v>57</v>
      </c>
      <c r="D23">
        <v>56296</v>
      </c>
      <c r="E23">
        <v>6097</v>
      </c>
      <c r="F23" s="7">
        <f>E23/D23</f>
        <v>0.10830254369759841</v>
      </c>
      <c r="G23">
        <f>4173+6228+6560</f>
        <v>16961</v>
      </c>
      <c r="H23" s="7">
        <f>G23/D23</f>
        <v>0.30128250675003554</v>
      </c>
      <c r="I23" s="5">
        <v>58283</v>
      </c>
      <c r="J23" s="7">
        <v>6.2E-2</v>
      </c>
      <c r="K23" s="7">
        <v>9.2999999999999999E-2</v>
      </c>
      <c r="L23" s="7">
        <v>0.38600000000000001</v>
      </c>
      <c r="M23" s="7">
        <v>-1.4E-2</v>
      </c>
      <c r="N23" s="9">
        <v>1.74</v>
      </c>
      <c r="O23">
        <v>1.74</v>
      </c>
      <c r="P23">
        <v>32354.02</v>
      </c>
      <c r="Q23">
        <v>0.39855725879170423</v>
      </c>
      <c r="R23">
        <v>8</v>
      </c>
      <c r="S23">
        <v>56</v>
      </c>
      <c r="T23">
        <v>5.1211453744493395E-2</v>
      </c>
    </row>
    <row r="24" spans="1:20" x14ac:dyDescent="0.2">
      <c r="A24" s="1">
        <v>22</v>
      </c>
      <c r="B24" t="s">
        <v>58</v>
      </c>
      <c r="C24" t="s">
        <v>59</v>
      </c>
      <c r="D24">
        <v>11525</v>
      </c>
      <c r="E24">
        <v>1518</v>
      </c>
      <c r="F24" s="7">
        <f>E24/D24</f>
        <v>0.13171366594360087</v>
      </c>
      <c r="G24">
        <f>351+1715+1611</f>
        <v>3677</v>
      </c>
      <c r="H24" s="7">
        <f>G24/D24</f>
        <v>0.31904555314533622</v>
      </c>
      <c r="I24" s="5">
        <v>113961</v>
      </c>
      <c r="J24" s="7">
        <v>0.106</v>
      </c>
      <c r="K24" s="7">
        <v>0.14699999999999999</v>
      </c>
      <c r="L24" s="7">
        <v>7.5999999999999998E-2</v>
      </c>
      <c r="M24" s="7">
        <v>2.9000000000000001E-2</v>
      </c>
      <c r="N24" s="9">
        <v>2.0499999999999998</v>
      </c>
      <c r="O24">
        <v>1.1299999999999999</v>
      </c>
      <c r="P24">
        <v>10199.120000000001</v>
      </c>
      <c r="Q24">
        <v>7.2376357056694818E-2</v>
      </c>
      <c r="R24">
        <v>6</v>
      </c>
      <c r="S24">
        <v>67</v>
      </c>
      <c r="T24">
        <v>2.6030368763557483E-2</v>
      </c>
    </row>
    <row r="25" spans="1:20" x14ac:dyDescent="0.2">
      <c r="A25" s="1">
        <v>23</v>
      </c>
      <c r="B25" t="s">
        <v>60</v>
      </c>
      <c r="C25" t="s">
        <v>61</v>
      </c>
      <c r="D25">
        <v>24369</v>
      </c>
      <c r="E25">
        <v>4409</v>
      </c>
      <c r="F25" s="7">
        <f>E25/D25</f>
        <v>0.18092658705732692</v>
      </c>
      <c r="G25">
        <f>3322+4964+3579</f>
        <v>11865</v>
      </c>
      <c r="H25" s="7">
        <f>G25/D25</f>
        <v>0.48688908038901885</v>
      </c>
      <c r="I25" s="5">
        <v>22228</v>
      </c>
      <c r="J25" s="7">
        <v>0.216</v>
      </c>
      <c r="K25" s="7">
        <v>0.30599999999999999</v>
      </c>
      <c r="L25" s="7">
        <v>0.48599999999999999</v>
      </c>
      <c r="M25" s="7">
        <v>-4.3999999999999997E-2</v>
      </c>
      <c r="N25" s="9">
        <v>2.35</v>
      </c>
      <c r="O25">
        <v>3.07</v>
      </c>
      <c r="P25">
        <v>7937.79</v>
      </c>
      <c r="Q25">
        <v>0.5831265508684863</v>
      </c>
      <c r="R25">
        <v>8</v>
      </c>
      <c r="S25">
        <v>39</v>
      </c>
      <c r="T25">
        <v>0.19405802453937379</v>
      </c>
    </row>
    <row r="26" spans="1:20" x14ac:dyDescent="0.2">
      <c r="A26" s="1">
        <v>24</v>
      </c>
      <c r="B26" t="s">
        <v>62</v>
      </c>
      <c r="C26" t="s">
        <v>63</v>
      </c>
      <c r="D26">
        <v>19596</v>
      </c>
      <c r="E26">
        <v>3854</v>
      </c>
      <c r="F26" s="7">
        <f>E26/D26</f>
        <v>0.19667279036538068</v>
      </c>
      <c r="G26">
        <f>756+2128+2072</f>
        <v>4956</v>
      </c>
      <c r="H26" s="7">
        <f>G26/D26</f>
        <v>0.25290875688916103</v>
      </c>
      <c r="I26" s="5">
        <v>129517</v>
      </c>
      <c r="J26" s="7">
        <v>5.3999999999999999E-2</v>
      </c>
      <c r="K26" s="7">
        <v>6.7000000000000004E-2</v>
      </c>
      <c r="L26" s="7">
        <v>4.4999999999999998E-2</v>
      </c>
      <c r="M26" s="7">
        <v>-8.0000000000000002E-3</v>
      </c>
      <c r="N26" s="9">
        <v>2.27</v>
      </c>
      <c r="O26">
        <v>3.2</v>
      </c>
      <c r="P26">
        <v>6123.75</v>
      </c>
      <c r="Q26">
        <v>0.33745583038869259</v>
      </c>
      <c r="R26">
        <v>6</v>
      </c>
      <c r="S26">
        <v>56</v>
      </c>
      <c r="T26">
        <v>3.1230863441518677E-2</v>
      </c>
    </row>
    <row r="27" spans="1:20" x14ac:dyDescent="0.2">
      <c r="A27" s="1">
        <v>25</v>
      </c>
      <c r="B27" t="s">
        <v>64</v>
      </c>
      <c r="C27" t="s">
        <v>65</v>
      </c>
      <c r="D27">
        <v>2567</v>
      </c>
      <c r="E27">
        <v>430</v>
      </c>
      <c r="F27" s="7">
        <f>E27/D27</f>
        <v>0.16751071289442929</v>
      </c>
      <c r="G27">
        <f>354+572+307</f>
        <v>1233</v>
      </c>
      <c r="H27" s="7">
        <f>G27/D27</f>
        <v>0.48032723022984031</v>
      </c>
      <c r="I27" s="5">
        <v>17217</v>
      </c>
      <c r="J27" s="7">
        <v>0.307</v>
      </c>
      <c r="K27" s="7">
        <v>0.33700000000000002</v>
      </c>
      <c r="L27" s="7">
        <v>0.60299999999999998</v>
      </c>
      <c r="M27" s="7">
        <v>-5.2999999999999999E-2</v>
      </c>
      <c r="N27" s="9">
        <v>3.32</v>
      </c>
      <c r="O27">
        <v>0.71</v>
      </c>
      <c r="P27">
        <v>3615.49</v>
      </c>
      <c r="Q27">
        <v>0.50282485875706218</v>
      </c>
      <c r="R27">
        <v>8</v>
      </c>
      <c r="S27">
        <v>63</v>
      </c>
      <c r="T27">
        <v>0.24698091156992599</v>
      </c>
    </row>
    <row r="28" spans="1:20" x14ac:dyDescent="0.2">
      <c r="A28" s="1">
        <v>26</v>
      </c>
      <c r="B28" t="s">
        <v>66</v>
      </c>
      <c r="C28" t="s">
        <v>67</v>
      </c>
      <c r="D28">
        <v>39540</v>
      </c>
      <c r="E28">
        <v>8182</v>
      </c>
      <c r="F28" s="7">
        <f>E28/D28</f>
        <v>0.20692969145169449</v>
      </c>
      <c r="G28">
        <f>6774+8337+2852</f>
        <v>17963</v>
      </c>
      <c r="H28" s="7">
        <f>G28/D28</f>
        <v>0.45429944360141628</v>
      </c>
      <c r="I28" s="5">
        <v>42271</v>
      </c>
      <c r="J28" s="7">
        <v>0.16500000000000001</v>
      </c>
      <c r="K28" s="7">
        <v>0.191</v>
      </c>
      <c r="L28" s="7">
        <v>0.20100000000000001</v>
      </c>
      <c r="M28" s="7">
        <v>-7.0000000000000007E-2</v>
      </c>
      <c r="N28" s="9">
        <v>0.86</v>
      </c>
      <c r="O28">
        <v>2.2000000000000002</v>
      </c>
      <c r="P28">
        <v>17972.73</v>
      </c>
      <c r="Q28">
        <v>0.78268551236749118</v>
      </c>
      <c r="R28">
        <v>6</v>
      </c>
      <c r="S28">
        <v>0</v>
      </c>
      <c r="T28">
        <v>4.9494183105715732E-2</v>
      </c>
    </row>
    <row r="29" spans="1:20" x14ac:dyDescent="0.2">
      <c r="A29" s="1">
        <v>27</v>
      </c>
      <c r="B29" t="s">
        <v>68</v>
      </c>
      <c r="C29" t="s">
        <v>69</v>
      </c>
      <c r="D29">
        <v>35439</v>
      </c>
      <c r="E29">
        <v>7057</v>
      </c>
      <c r="F29" s="7">
        <f>E29/D29</f>
        <v>0.19913090098479078</v>
      </c>
      <c r="G29">
        <f>4371+8286+4875</f>
        <v>17532</v>
      </c>
      <c r="H29" s="7">
        <f>G29/D29</f>
        <v>0.49470921865741135</v>
      </c>
      <c r="I29" s="5">
        <v>80006</v>
      </c>
      <c r="J29" s="7">
        <v>0.114</v>
      </c>
      <c r="K29" s="7">
        <v>0.16500000000000001</v>
      </c>
      <c r="L29" s="7">
        <v>8.2000000000000003E-2</v>
      </c>
      <c r="M29" s="7">
        <v>-2.5999999999999999E-2</v>
      </c>
      <c r="N29" s="9">
        <v>1.77</v>
      </c>
      <c r="O29">
        <v>4.2300000000000004</v>
      </c>
      <c r="P29">
        <v>8378.01</v>
      </c>
      <c r="Q29">
        <v>0.75275794938351714</v>
      </c>
      <c r="R29">
        <v>9</v>
      </c>
      <c r="S29">
        <v>0</v>
      </c>
      <c r="T29">
        <v>5.4629080956008914E-2</v>
      </c>
    </row>
    <row r="30" spans="1:20" x14ac:dyDescent="0.2">
      <c r="A30" s="1">
        <v>28</v>
      </c>
      <c r="B30" t="s">
        <v>70</v>
      </c>
      <c r="C30" t="s">
        <v>71</v>
      </c>
      <c r="D30">
        <v>24589</v>
      </c>
      <c r="E30">
        <v>4042</v>
      </c>
      <c r="F30" s="7">
        <f>E30/D30</f>
        <v>0.16438244743584529</v>
      </c>
      <c r="G30">
        <f>2012+3431+3546</f>
        <v>8989</v>
      </c>
      <c r="H30" s="7">
        <f>G30/D30</f>
        <v>0.36556997031192812</v>
      </c>
      <c r="I30" s="5">
        <v>39111</v>
      </c>
      <c r="J30" s="7">
        <v>0.151</v>
      </c>
      <c r="K30" s="7">
        <v>0.19400000000000001</v>
      </c>
      <c r="L30" s="7">
        <v>0.35</v>
      </c>
      <c r="M30" s="7">
        <v>-0.08</v>
      </c>
      <c r="N30" s="9">
        <v>4.0999999999999996</v>
      </c>
      <c r="O30">
        <v>1.74</v>
      </c>
      <c r="P30">
        <v>14131.61</v>
      </c>
      <c r="Q30">
        <v>0.48533109807208719</v>
      </c>
      <c r="R30">
        <v>6</v>
      </c>
      <c r="S30">
        <v>28</v>
      </c>
      <c r="T30">
        <v>0.13900524624832242</v>
      </c>
    </row>
    <row r="31" spans="1:20" x14ac:dyDescent="0.2">
      <c r="A31" s="1">
        <v>29</v>
      </c>
      <c r="B31" t="s">
        <v>72</v>
      </c>
      <c r="C31" t="s">
        <v>73</v>
      </c>
      <c r="D31">
        <v>31471</v>
      </c>
      <c r="E31">
        <v>5971</v>
      </c>
      <c r="F31" s="7">
        <f>E31/D31</f>
        <v>0.18973022782879476</v>
      </c>
      <c r="G31">
        <f>2688+5775+6069</f>
        <v>14532</v>
      </c>
      <c r="H31" s="7">
        <f>G31/D31</f>
        <v>0.46175844428203744</v>
      </c>
      <c r="I31" s="5">
        <v>30110</v>
      </c>
      <c r="J31" s="7">
        <v>0.14099999999999999</v>
      </c>
      <c r="K31" s="7">
        <v>0.25800000000000001</v>
      </c>
      <c r="L31" s="7">
        <v>0.39500000000000002</v>
      </c>
      <c r="M31" s="7">
        <v>-5.3999999999999999E-2</v>
      </c>
      <c r="N31" s="9">
        <v>1.34</v>
      </c>
      <c r="O31">
        <v>3.55</v>
      </c>
      <c r="P31">
        <v>8865.07</v>
      </c>
      <c r="Q31">
        <v>0.60883280757097791</v>
      </c>
      <c r="R31">
        <v>9</v>
      </c>
      <c r="S31">
        <v>39</v>
      </c>
      <c r="T31">
        <v>0.18890407041403195</v>
      </c>
    </row>
    <row r="32" spans="1:20" x14ac:dyDescent="0.2">
      <c r="A32" s="1">
        <v>30</v>
      </c>
      <c r="B32" t="s">
        <v>74</v>
      </c>
      <c r="C32" t="s">
        <v>75</v>
      </c>
      <c r="D32">
        <v>10027</v>
      </c>
      <c r="E32">
        <v>1909</v>
      </c>
      <c r="F32" s="7">
        <f>E32/D32</f>
        <v>0.19038595791363319</v>
      </c>
      <c r="G32">
        <f>1129+2159+1563</f>
        <v>4851</v>
      </c>
      <c r="H32" s="7">
        <f>G32/D32</f>
        <v>0.48379375685648751</v>
      </c>
      <c r="I32" s="5">
        <v>57847</v>
      </c>
      <c r="J32" s="7">
        <v>0.10199999999999999</v>
      </c>
      <c r="K32" s="7">
        <v>0.14499999999999999</v>
      </c>
      <c r="L32" s="7">
        <v>0.11700000000000001</v>
      </c>
      <c r="M32" s="7">
        <v>-3.6999999999999998E-2</v>
      </c>
      <c r="N32" s="9">
        <v>2.96</v>
      </c>
      <c r="O32">
        <v>5.24</v>
      </c>
      <c r="P32">
        <v>1913.55</v>
      </c>
      <c r="Q32">
        <v>0.71474358974358976</v>
      </c>
      <c r="R32">
        <v>10</v>
      </c>
      <c r="S32">
        <v>2</v>
      </c>
      <c r="T32">
        <v>6.1234666400718063E-2</v>
      </c>
    </row>
    <row r="33" spans="1:20" x14ac:dyDescent="0.2">
      <c r="A33" s="1">
        <v>31</v>
      </c>
      <c r="B33" t="s">
        <v>76</v>
      </c>
      <c r="C33" t="s">
        <v>77</v>
      </c>
      <c r="D33">
        <v>24062</v>
      </c>
      <c r="E33">
        <v>4512</v>
      </c>
      <c r="F33" s="7">
        <f>E33/D33</f>
        <v>0.18751558473942315</v>
      </c>
      <c r="G33">
        <f>4630+4360+2537</f>
        <v>11527</v>
      </c>
      <c r="H33" s="7">
        <f>G33/D33</f>
        <v>0.47905411021527722</v>
      </c>
      <c r="I33" s="5">
        <v>54773</v>
      </c>
      <c r="J33" s="7">
        <v>9.7000000000000003E-2</v>
      </c>
      <c r="K33" s="7">
        <v>0.14099999999999999</v>
      </c>
      <c r="L33" s="7">
        <v>0.121</v>
      </c>
      <c r="M33" s="7">
        <v>-8.4000000000000005E-2</v>
      </c>
      <c r="N33" s="9">
        <v>0.7</v>
      </c>
      <c r="O33">
        <v>1.17</v>
      </c>
      <c r="P33">
        <v>20565.810000000001</v>
      </c>
      <c r="Q33">
        <v>0.267260579064588</v>
      </c>
      <c r="R33">
        <v>9</v>
      </c>
      <c r="S33">
        <v>63</v>
      </c>
      <c r="T33">
        <v>5.4692045548998418E-2</v>
      </c>
    </row>
    <row r="34" spans="1:20" x14ac:dyDescent="0.2">
      <c r="A34" s="1">
        <v>32</v>
      </c>
      <c r="B34" t="s">
        <v>78</v>
      </c>
      <c r="C34" t="s">
        <v>79</v>
      </c>
      <c r="D34">
        <v>54165</v>
      </c>
      <c r="E34">
        <v>12540</v>
      </c>
      <c r="F34" s="7">
        <f>E34/D34</f>
        <v>0.23151481584048739</v>
      </c>
      <c r="G34">
        <f>8524+10007+7090</f>
        <v>25621</v>
      </c>
      <c r="H34" s="7">
        <f>G34/D34</f>
        <v>0.47301763131173269</v>
      </c>
      <c r="I34" s="5">
        <v>41536</v>
      </c>
      <c r="J34" s="7">
        <v>0.115</v>
      </c>
      <c r="K34" s="7">
        <v>0.189</v>
      </c>
      <c r="L34" s="7">
        <v>0.23300000000000001</v>
      </c>
      <c r="M34" s="7">
        <v>-4.7E-2</v>
      </c>
      <c r="N34" s="9">
        <v>1.97</v>
      </c>
      <c r="O34">
        <v>3.6</v>
      </c>
      <c r="P34">
        <v>15045.83</v>
      </c>
      <c r="Q34">
        <v>0.3745928338762215</v>
      </c>
      <c r="R34">
        <v>6</v>
      </c>
      <c r="S34">
        <v>63</v>
      </c>
      <c r="T34">
        <v>0.11254500138465799</v>
      </c>
    </row>
    <row r="35" spans="1:20" x14ac:dyDescent="0.2">
      <c r="A35" s="1">
        <v>33</v>
      </c>
      <c r="B35" t="s">
        <v>80</v>
      </c>
      <c r="C35" t="s">
        <v>81</v>
      </c>
      <c r="D35">
        <v>29456</v>
      </c>
      <c r="E35">
        <v>4026</v>
      </c>
      <c r="F35" s="7">
        <f>E35/D35</f>
        <v>0.13667843563280827</v>
      </c>
      <c r="G35">
        <f>708+828+2024</f>
        <v>3560</v>
      </c>
      <c r="H35" s="7">
        <f>G35/D35</f>
        <v>0.12085822922324824</v>
      </c>
      <c r="I35" s="5">
        <v>52423</v>
      </c>
      <c r="J35" s="7">
        <v>4.5999999999999999E-2</v>
      </c>
      <c r="K35" s="7">
        <v>6.7000000000000004E-2</v>
      </c>
      <c r="L35" s="7">
        <v>0.41399999999999998</v>
      </c>
      <c r="M35" s="7">
        <v>-3.1E-2</v>
      </c>
      <c r="N35" s="9">
        <v>14.23</v>
      </c>
      <c r="O35">
        <v>1.61</v>
      </c>
      <c r="P35">
        <v>18295.650000000001</v>
      </c>
      <c r="Q35">
        <v>0.84226190476190477</v>
      </c>
      <c r="R35">
        <v>5</v>
      </c>
      <c r="S35">
        <v>0</v>
      </c>
      <c r="T35">
        <v>7.210755024443237E-2</v>
      </c>
    </row>
    <row r="36" spans="1:20" x14ac:dyDescent="0.2">
      <c r="A36" s="1">
        <v>34</v>
      </c>
      <c r="B36" t="s">
        <v>82</v>
      </c>
      <c r="C36" t="s">
        <v>83</v>
      </c>
      <c r="D36">
        <v>51940</v>
      </c>
      <c r="E36">
        <v>8438</v>
      </c>
      <c r="F36" s="7">
        <f>E36/D36</f>
        <v>0.16245668078552175</v>
      </c>
      <c r="G36">
        <f>5235+7811+6423</f>
        <v>19469</v>
      </c>
      <c r="H36" s="7">
        <f>G36/D36</f>
        <v>0.37483634963419332</v>
      </c>
      <c r="I36" s="5">
        <v>72045</v>
      </c>
      <c r="J36" s="7">
        <v>5.0999999999999997E-2</v>
      </c>
      <c r="K36" s="7">
        <v>0.10100000000000001</v>
      </c>
      <c r="L36" s="7">
        <v>0.13700000000000001</v>
      </c>
      <c r="M36" s="7">
        <v>-2.1000000000000001E-2</v>
      </c>
      <c r="N36" s="9">
        <v>1.26</v>
      </c>
      <c r="O36">
        <v>3.21</v>
      </c>
      <c r="P36">
        <v>16180.69</v>
      </c>
      <c r="Q36">
        <v>0.34782608695652167</v>
      </c>
      <c r="R36">
        <v>6</v>
      </c>
      <c r="S36">
        <v>49</v>
      </c>
      <c r="T36">
        <v>5.0077011936850213E-2</v>
      </c>
    </row>
    <row r="37" spans="1:20" x14ac:dyDescent="0.2">
      <c r="A37" s="1">
        <v>35</v>
      </c>
      <c r="B37" t="s">
        <v>84</v>
      </c>
      <c r="C37" t="s">
        <v>85</v>
      </c>
      <c r="D37">
        <v>26216</v>
      </c>
      <c r="E37">
        <v>4815</v>
      </c>
      <c r="F37" s="7">
        <f>E37/D37</f>
        <v>0.1836664632285627</v>
      </c>
      <c r="G37">
        <f>1460+4854+4002</f>
        <v>10316</v>
      </c>
      <c r="H37" s="7">
        <f>G37/D37</f>
        <v>0.39350015257857796</v>
      </c>
      <c r="I37" s="5">
        <v>77198</v>
      </c>
      <c r="J37" s="7">
        <v>7.6999999999999999E-2</v>
      </c>
      <c r="K37" s="7">
        <v>0.125</v>
      </c>
      <c r="L37" s="7">
        <v>0.109</v>
      </c>
      <c r="M37" s="7">
        <v>1.6E-2</v>
      </c>
      <c r="N37" s="9">
        <v>0.87</v>
      </c>
      <c r="O37">
        <v>2.33</v>
      </c>
      <c r="P37">
        <v>11251.5</v>
      </c>
      <c r="Q37">
        <v>4.1231445849367783E-2</v>
      </c>
      <c r="R37">
        <v>6</v>
      </c>
      <c r="S37">
        <v>21</v>
      </c>
      <c r="T37">
        <v>4.092920353982301E-2</v>
      </c>
    </row>
    <row r="38" spans="1:20" x14ac:dyDescent="0.2">
      <c r="A38" s="1">
        <v>36</v>
      </c>
      <c r="B38" t="s">
        <v>86</v>
      </c>
      <c r="C38" t="s">
        <v>87</v>
      </c>
      <c r="D38">
        <v>19116</v>
      </c>
      <c r="E38">
        <v>2254</v>
      </c>
      <c r="F38" s="7">
        <f>E38/D38</f>
        <v>0.11791169700774221</v>
      </c>
      <c r="G38">
        <f>698+2032+2086</f>
        <v>4816</v>
      </c>
      <c r="H38" s="7">
        <f>G38/D38</f>
        <v>0.2519355513705796</v>
      </c>
      <c r="I38" s="5">
        <v>52336</v>
      </c>
      <c r="J38" s="7">
        <v>9.7000000000000003E-2</v>
      </c>
      <c r="K38" s="7">
        <v>0.14599999999999999</v>
      </c>
      <c r="L38" s="7">
        <v>0.31900000000000001</v>
      </c>
      <c r="M38" s="7">
        <v>-2.3E-2</v>
      </c>
      <c r="N38" s="9">
        <v>7.31</v>
      </c>
      <c r="O38">
        <v>1.04</v>
      </c>
      <c r="P38">
        <v>18380.77</v>
      </c>
      <c r="Q38">
        <v>0.12944983818770231</v>
      </c>
      <c r="R38">
        <v>7</v>
      </c>
      <c r="S38">
        <v>67</v>
      </c>
      <c r="T38">
        <v>9.5103578154425605E-2</v>
      </c>
    </row>
    <row r="39" spans="1:20" x14ac:dyDescent="0.2">
      <c r="A39" s="1">
        <v>37</v>
      </c>
      <c r="B39" t="s">
        <v>88</v>
      </c>
      <c r="C39" t="s">
        <v>89</v>
      </c>
      <c r="D39">
        <v>103050</v>
      </c>
      <c r="E39">
        <v>7010</v>
      </c>
      <c r="F39" s="7">
        <f>E39/D39</f>
        <v>6.802523047064532E-2</v>
      </c>
      <c r="G39">
        <f>1391+3224+6464</f>
        <v>11079</v>
      </c>
      <c r="H39" s="7">
        <f>G39/D39</f>
        <v>0.10751091703056768</v>
      </c>
      <c r="I39" s="5">
        <v>91941</v>
      </c>
      <c r="J39" s="7">
        <v>2.5000000000000001E-2</v>
      </c>
      <c r="K39" s="7">
        <v>4.5999999999999999E-2</v>
      </c>
      <c r="L39" s="7">
        <v>0.37</v>
      </c>
      <c r="M39" s="7">
        <v>2.1999999999999999E-2</v>
      </c>
      <c r="N39" s="9">
        <v>2.56</v>
      </c>
      <c r="O39">
        <v>3.12</v>
      </c>
      <c r="P39">
        <v>33028.85</v>
      </c>
      <c r="Q39">
        <v>0.62578616352201255</v>
      </c>
      <c r="R39">
        <v>5.5</v>
      </c>
      <c r="S39">
        <v>0</v>
      </c>
      <c r="T39">
        <v>5.6438622028141677E-2</v>
      </c>
    </row>
    <row r="40" spans="1:20" x14ac:dyDescent="0.2">
      <c r="A40" s="1">
        <v>38</v>
      </c>
      <c r="B40" t="s">
        <v>90</v>
      </c>
      <c r="C40" t="s">
        <v>91</v>
      </c>
      <c r="D40">
        <v>70492</v>
      </c>
      <c r="E40">
        <v>9328</v>
      </c>
      <c r="F40" s="7">
        <f>E40/D40</f>
        <v>0.13232707257561141</v>
      </c>
      <c r="G40">
        <f>952+2047+3281</f>
        <v>6280</v>
      </c>
      <c r="H40" s="7">
        <f>G40/D40</f>
        <v>8.9088123475004249E-2</v>
      </c>
      <c r="I40" s="5">
        <v>117048</v>
      </c>
      <c r="J40" s="7">
        <v>4.1000000000000002E-2</v>
      </c>
      <c r="K40" s="7">
        <v>4.9000000000000002E-2</v>
      </c>
      <c r="L40" s="7">
        <v>0.309</v>
      </c>
      <c r="M40" s="7">
        <v>1.9E-2</v>
      </c>
      <c r="N40" s="9">
        <v>3.93</v>
      </c>
      <c r="O40">
        <v>3.16</v>
      </c>
      <c r="P40">
        <v>22307.59</v>
      </c>
      <c r="Q40">
        <v>0.31616766467065871</v>
      </c>
      <c r="R40">
        <v>4</v>
      </c>
      <c r="S40">
        <v>56</v>
      </c>
      <c r="T40">
        <v>4.994893037507802E-2</v>
      </c>
    </row>
    <row r="41" spans="1:20" x14ac:dyDescent="0.2">
      <c r="A41" s="1">
        <v>39</v>
      </c>
      <c r="B41" t="s">
        <v>92</v>
      </c>
      <c r="C41" t="s">
        <v>93</v>
      </c>
      <c r="D41">
        <v>40494</v>
      </c>
      <c r="E41">
        <v>4412</v>
      </c>
      <c r="F41" s="7">
        <f>E41/D41</f>
        <v>0.10895441299945671</v>
      </c>
      <c r="G41">
        <f>2026+3600+3934</f>
        <v>9560</v>
      </c>
      <c r="H41" s="7">
        <f>G41/D41</f>
        <v>0.23608435817651999</v>
      </c>
      <c r="I41" s="5">
        <v>80900</v>
      </c>
      <c r="J41" s="7">
        <v>3.9E-2</v>
      </c>
      <c r="K41" s="7">
        <v>5.8999999999999997E-2</v>
      </c>
      <c r="L41" s="7">
        <v>0.22500000000000001</v>
      </c>
      <c r="M41" s="7">
        <v>-1E-3</v>
      </c>
      <c r="N41" s="9">
        <v>1.93</v>
      </c>
      <c r="O41">
        <v>2.56</v>
      </c>
      <c r="P41">
        <v>15817.97</v>
      </c>
      <c r="Q41">
        <v>0.31901041666666669</v>
      </c>
      <c r="R41">
        <v>4</v>
      </c>
      <c r="S41">
        <v>56</v>
      </c>
      <c r="T41">
        <v>4.966167827332444E-2</v>
      </c>
    </row>
    <row r="42" spans="1:20" x14ac:dyDescent="0.2">
      <c r="A42" s="1">
        <v>40</v>
      </c>
      <c r="B42" t="s">
        <v>94</v>
      </c>
      <c r="C42" t="s">
        <v>95</v>
      </c>
      <c r="D42">
        <v>71665</v>
      </c>
      <c r="E42">
        <v>8430</v>
      </c>
      <c r="F42" s="7">
        <f>E42/D42</f>
        <v>0.11763064257308309</v>
      </c>
      <c r="G42">
        <f>4525+9039+5861</f>
        <v>19425</v>
      </c>
      <c r="H42" s="7">
        <f>G42/D42</f>
        <v>0.2710528151817484</v>
      </c>
      <c r="I42" s="5">
        <v>84653</v>
      </c>
      <c r="J42" s="7">
        <v>8.5999999999999993E-2</v>
      </c>
      <c r="K42" s="7">
        <v>9.2999999999999999E-2</v>
      </c>
      <c r="L42" s="7">
        <v>0.222</v>
      </c>
      <c r="M42" s="7">
        <v>-4.7E-2</v>
      </c>
      <c r="N42" s="9">
        <v>1.03</v>
      </c>
      <c r="O42">
        <v>3.59</v>
      </c>
      <c r="P42">
        <v>19962.400000000001</v>
      </c>
      <c r="Q42">
        <v>0.53984063745019917</v>
      </c>
      <c r="R42">
        <v>7</v>
      </c>
      <c r="S42">
        <v>4</v>
      </c>
      <c r="T42">
        <v>5.7071094676620387E-2</v>
      </c>
    </row>
    <row r="43" spans="1:20" x14ac:dyDescent="0.2">
      <c r="A43" s="1">
        <v>41</v>
      </c>
      <c r="B43" t="s">
        <v>96</v>
      </c>
      <c r="C43" t="s">
        <v>97</v>
      </c>
      <c r="D43">
        <v>42298</v>
      </c>
      <c r="E43">
        <v>3216</v>
      </c>
      <c r="F43" s="7">
        <f>E43/D43</f>
        <v>7.6031963686226306E-2</v>
      </c>
      <c r="G43">
        <f>1217+1011+2199</f>
        <v>4427</v>
      </c>
      <c r="H43" s="7">
        <f>G43/D43</f>
        <v>0.10466215896732706</v>
      </c>
      <c r="I43" s="5">
        <v>113599</v>
      </c>
      <c r="J43" s="7">
        <v>0.02</v>
      </c>
      <c r="K43" s="7">
        <v>0.02</v>
      </c>
      <c r="L43" s="7">
        <v>0.47399999999999998</v>
      </c>
      <c r="M43" s="7">
        <v>6.0000000000000001E-3</v>
      </c>
      <c r="N43" s="9">
        <v>6.24</v>
      </c>
      <c r="O43">
        <v>1.65</v>
      </c>
      <c r="P43">
        <v>25635.15</v>
      </c>
      <c r="Q43">
        <v>0.37703889585947298</v>
      </c>
      <c r="R43">
        <v>6</v>
      </c>
      <c r="S43">
        <v>42</v>
      </c>
      <c r="T43">
        <v>0.18991441675729348</v>
      </c>
    </row>
    <row r="44" spans="1:20" x14ac:dyDescent="0.2">
      <c r="A44" s="1">
        <v>42</v>
      </c>
      <c r="B44" t="s">
        <v>98</v>
      </c>
      <c r="C44" t="s">
        <v>99</v>
      </c>
      <c r="D44">
        <v>33751</v>
      </c>
      <c r="E44">
        <v>5069</v>
      </c>
      <c r="F44" s="7">
        <f>E44/D44</f>
        <v>0.15018814257355337</v>
      </c>
      <c r="G44">
        <f>5432+4424+3448</f>
        <v>13304</v>
      </c>
      <c r="H44" s="7">
        <f>G44/D44</f>
        <v>0.39418091315812864</v>
      </c>
      <c r="I44" s="5">
        <v>59889</v>
      </c>
      <c r="J44" s="7">
        <v>7.3999999999999996E-2</v>
      </c>
      <c r="K44" s="7">
        <v>0.11</v>
      </c>
      <c r="L44" s="7">
        <v>0.26700000000000002</v>
      </c>
      <c r="M44" s="7">
        <v>-9.6000000000000002E-2</v>
      </c>
      <c r="N44" s="9">
        <v>1.21</v>
      </c>
      <c r="O44">
        <v>2.93</v>
      </c>
      <c r="P44">
        <v>11519.11</v>
      </c>
      <c r="Q44">
        <v>0.88383838383838387</v>
      </c>
      <c r="R44">
        <v>6</v>
      </c>
      <c r="S44">
        <v>0</v>
      </c>
      <c r="T44">
        <v>8.4382684957482745E-2</v>
      </c>
    </row>
    <row r="45" spans="1:20" x14ac:dyDescent="0.2">
      <c r="A45" s="1">
        <v>43</v>
      </c>
      <c r="B45" t="s">
        <v>100</v>
      </c>
      <c r="C45" t="s">
        <v>101</v>
      </c>
      <c r="D45">
        <v>15923</v>
      </c>
      <c r="E45">
        <v>2617</v>
      </c>
      <c r="F45" s="7">
        <f>E45/D45</f>
        <v>0.16435345098285498</v>
      </c>
      <c r="G45">
        <f>2474+3173+1667</f>
        <v>7314</v>
      </c>
      <c r="H45" s="7">
        <f>G45/D45</f>
        <v>0.45933555234566348</v>
      </c>
      <c r="I45" s="5">
        <v>61814</v>
      </c>
      <c r="J45" s="7">
        <v>7.1999999999999995E-2</v>
      </c>
      <c r="K45" s="7">
        <v>0.10299999999999999</v>
      </c>
      <c r="L45" s="7">
        <v>0.14899999999999999</v>
      </c>
      <c r="M45" s="7">
        <v>-6.2E-2</v>
      </c>
      <c r="N45" s="9">
        <v>2.59</v>
      </c>
      <c r="O45">
        <v>1.41</v>
      </c>
      <c r="P45">
        <v>11292.91</v>
      </c>
      <c r="Q45">
        <v>0.3452579034941764</v>
      </c>
      <c r="R45">
        <v>6</v>
      </c>
      <c r="S45">
        <v>56</v>
      </c>
      <c r="T45">
        <v>5.4512340639326758E-2</v>
      </c>
    </row>
    <row r="46" spans="1:20" x14ac:dyDescent="0.2">
      <c r="A46" s="1">
        <v>44</v>
      </c>
      <c r="B46" t="s">
        <v>102</v>
      </c>
      <c r="C46" t="s">
        <v>103</v>
      </c>
      <c r="D46">
        <v>14401</v>
      </c>
      <c r="E46">
        <v>2675</v>
      </c>
      <c r="F46" s="7">
        <f>E46/D46</f>
        <v>0.18575098951461705</v>
      </c>
      <c r="G46">
        <f>2054+3170+2275</f>
        <v>7499</v>
      </c>
      <c r="H46" s="7">
        <f>G46/D46</f>
        <v>0.52072772724116378</v>
      </c>
      <c r="I46" s="5">
        <v>55882</v>
      </c>
      <c r="J46" s="7">
        <v>0.161</v>
      </c>
      <c r="K46" s="7">
        <v>0.19800000000000001</v>
      </c>
      <c r="L46" s="7">
        <v>0.13</v>
      </c>
      <c r="M46" s="7">
        <v>-7.3999999999999996E-2</v>
      </c>
      <c r="N46" s="9">
        <v>1.27</v>
      </c>
      <c r="O46">
        <v>0.99</v>
      </c>
      <c r="P46">
        <v>14546.46</v>
      </c>
      <c r="Q46">
        <v>0.61671087533156499</v>
      </c>
      <c r="R46">
        <v>6</v>
      </c>
      <c r="S46">
        <v>9</v>
      </c>
      <c r="T46">
        <v>4.6177348795222554E-2</v>
      </c>
    </row>
    <row r="47" spans="1:20" x14ac:dyDescent="0.2">
      <c r="A47" s="1">
        <v>45</v>
      </c>
      <c r="B47" t="s">
        <v>104</v>
      </c>
      <c r="C47" t="s">
        <v>105</v>
      </c>
      <c r="D47">
        <v>21186</v>
      </c>
      <c r="E47">
        <v>3903</v>
      </c>
      <c r="F47" s="7">
        <f>E47/D47</f>
        <v>0.1842254318889833</v>
      </c>
      <c r="G47">
        <f>914+3226+3644</f>
        <v>7784</v>
      </c>
      <c r="H47" s="7">
        <f>G47/D47</f>
        <v>0.36741244217879732</v>
      </c>
      <c r="I47" s="5">
        <v>64137</v>
      </c>
      <c r="J47" s="7">
        <v>0.1</v>
      </c>
      <c r="K47" s="7">
        <v>0.151</v>
      </c>
      <c r="L47" s="7">
        <v>0.124</v>
      </c>
      <c r="M47" s="7">
        <v>-2.8000000000000001E-2</v>
      </c>
      <c r="N47" s="9">
        <v>3.34</v>
      </c>
      <c r="O47">
        <v>3.3</v>
      </c>
      <c r="P47">
        <v>6420</v>
      </c>
      <c r="Q47">
        <v>0.40118870728083211</v>
      </c>
      <c r="R47">
        <v>5</v>
      </c>
      <c r="S47">
        <v>49</v>
      </c>
      <c r="T47">
        <v>8.3168129897101858E-2</v>
      </c>
    </row>
    <row r="48" spans="1:20" x14ac:dyDescent="0.2">
      <c r="A48" s="1">
        <v>46</v>
      </c>
      <c r="B48" t="s">
        <v>106</v>
      </c>
      <c r="C48" t="s">
        <v>107</v>
      </c>
      <c r="D48">
        <v>18628</v>
      </c>
      <c r="E48">
        <v>4045</v>
      </c>
      <c r="F48" s="7">
        <f>E48/D48</f>
        <v>0.21714623147949325</v>
      </c>
      <c r="G48">
        <f>587+2736+3189</f>
        <v>6512</v>
      </c>
      <c r="H48" s="7">
        <f>G48/D48</f>
        <v>0.34958127549924845</v>
      </c>
      <c r="I48" s="5">
        <v>97761</v>
      </c>
      <c r="J48" s="7">
        <v>8.1000000000000003E-2</v>
      </c>
      <c r="K48" s="7">
        <v>9.8000000000000004E-2</v>
      </c>
      <c r="L48" s="7">
        <v>4.9000000000000002E-2</v>
      </c>
      <c r="M48" s="7">
        <v>-4.0000000000000001E-3</v>
      </c>
      <c r="N48" s="9">
        <v>2.57</v>
      </c>
      <c r="O48">
        <v>2.71</v>
      </c>
      <c r="P48">
        <v>6873.8</v>
      </c>
      <c r="Q48">
        <v>0.1294642857142857</v>
      </c>
      <c r="R48">
        <v>5</v>
      </c>
      <c r="S48">
        <v>56</v>
      </c>
      <c r="T48">
        <v>2.877388876959416E-2</v>
      </c>
    </row>
    <row r="49" spans="1:20" x14ac:dyDescent="0.2">
      <c r="A49" s="1">
        <v>47</v>
      </c>
      <c r="B49" t="s">
        <v>108</v>
      </c>
      <c r="C49" t="s">
        <v>109</v>
      </c>
      <c r="D49">
        <v>105481</v>
      </c>
      <c r="E49">
        <v>5146</v>
      </c>
      <c r="F49" s="7">
        <f>E49/D49</f>
        <v>4.8786037295816306E-2</v>
      </c>
      <c r="G49">
        <f>1477+3970+5966</f>
        <v>11413</v>
      </c>
      <c r="H49" s="7">
        <f>G49/D49</f>
        <v>0.1081995809671884</v>
      </c>
      <c r="I49" s="5">
        <v>109049</v>
      </c>
      <c r="J49" s="7">
        <v>2.7E-2</v>
      </c>
      <c r="K49" s="7">
        <v>3.7999999999999999E-2</v>
      </c>
      <c r="L49" s="7">
        <v>0.44500000000000001</v>
      </c>
      <c r="M49" s="7">
        <v>-4.0000000000000001E-3</v>
      </c>
      <c r="N49" s="9">
        <v>2.34</v>
      </c>
      <c r="O49">
        <v>2.74</v>
      </c>
      <c r="P49">
        <v>38496.720000000001</v>
      </c>
      <c r="Q49">
        <v>4.4108761329305142E-2</v>
      </c>
      <c r="R49">
        <v>6</v>
      </c>
      <c r="S49">
        <v>21</v>
      </c>
      <c r="T49">
        <v>0.10026450261184479</v>
      </c>
    </row>
    <row r="50" spans="1:20" x14ac:dyDescent="0.2">
      <c r="A50" s="1">
        <v>48</v>
      </c>
      <c r="B50" t="s">
        <v>110</v>
      </c>
      <c r="C50" t="s">
        <v>111</v>
      </c>
      <c r="D50">
        <v>28795</v>
      </c>
      <c r="E50">
        <v>1829</v>
      </c>
      <c r="F50" s="7">
        <f>E50/D50</f>
        <v>6.3517971870116346E-2</v>
      </c>
      <c r="G50">
        <f>1103+1184+2204</f>
        <v>4491</v>
      </c>
      <c r="H50" s="7">
        <f>G50/D50</f>
        <v>0.15596457718353882</v>
      </c>
      <c r="I50" s="5">
        <v>115993</v>
      </c>
      <c r="J50" s="7">
        <v>0.03</v>
      </c>
      <c r="K50" s="7">
        <v>4.8000000000000001E-2</v>
      </c>
      <c r="L50" s="7">
        <v>0.20599999999999999</v>
      </c>
      <c r="M50" s="7">
        <v>-3.2000000000000001E-2</v>
      </c>
      <c r="N50" s="9">
        <v>15.15</v>
      </c>
      <c r="O50">
        <v>1.78</v>
      </c>
      <c r="P50">
        <v>16176.97</v>
      </c>
      <c r="Q50">
        <v>0.43742824339839259</v>
      </c>
      <c r="R50">
        <v>6</v>
      </c>
      <c r="S50">
        <v>37</v>
      </c>
      <c r="T50">
        <v>8.6542802569890609E-2</v>
      </c>
    </row>
    <row r="51" spans="1:20" x14ac:dyDescent="0.2">
      <c r="A51" s="1">
        <v>49</v>
      </c>
      <c r="B51" t="s">
        <v>112</v>
      </c>
      <c r="C51" t="s">
        <v>113</v>
      </c>
      <c r="D51">
        <v>67881</v>
      </c>
      <c r="E51">
        <v>7911</v>
      </c>
      <c r="F51" s="7">
        <f>E51/D51</f>
        <v>0.11654218411632121</v>
      </c>
      <c r="G51">
        <f>2712+4346+4738</f>
        <v>11796</v>
      </c>
      <c r="H51" s="7">
        <f>G51/D51</f>
        <v>0.1737746939497061</v>
      </c>
      <c r="I51" s="5">
        <v>93202</v>
      </c>
      <c r="J51" s="7">
        <v>6.3E-2</v>
      </c>
      <c r="K51" s="7">
        <v>7.6999999999999999E-2</v>
      </c>
      <c r="L51" s="7">
        <v>0.35499999999999998</v>
      </c>
      <c r="M51" s="7">
        <f>24.8%-29.3%</f>
        <v>-4.4999999999999984E-2</v>
      </c>
      <c r="N51" s="9">
        <v>1.44</v>
      </c>
      <c r="O51">
        <v>5.69</v>
      </c>
      <c r="P51">
        <v>11929.88</v>
      </c>
      <c r="Q51">
        <v>0.16919889502762431</v>
      </c>
      <c r="R51">
        <v>6</v>
      </c>
      <c r="S51">
        <v>44</v>
      </c>
      <c r="T51">
        <v>0.13944991971243795</v>
      </c>
    </row>
    <row r="52" spans="1:20" x14ac:dyDescent="0.2">
      <c r="A52" s="1">
        <v>50</v>
      </c>
      <c r="B52" t="s">
        <v>114</v>
      </c>
      <c r="C52" t="s">
        <v>115</v>
      </c>
      <c r="D52">
        <v>43628</v>
      </c>
      <c r="E52">
        <v>9137</v>
      </c>
      <c r="F52" s="7">
        <f>E52/D52</f>
        <v>0.20942972403043916</v>
      </c>
      <c r="G52">
        <f>7420+9475+3791</f>
        <v>20686</v>
      </c>
      <c r="H52" s="7">
        <f>G52/D52</f>
        <v>0.47414504446685612</v>
      </c>
      <c r="I52" s="5">
        <v>35396</v>
      </c>
      <c r="J52" s="7">
        <v>0.187</v>
      </c>
      <c r="K52" s="7">
        <v>0.20200000000000001</v>
      </c>
      <c r="L52" s="7">
        <v>0.28199999999999997</v>
      </c>
      <c r="M52" s="7">
        <v>-8.2000000000000003E-2</v>
      </c>
      <c r="N52" s="9">
        <v>1.71</v>
      </c>
      <c r="O52">
        <v>4.83</v>
      </c>
      <c r="P52">
        <v>9032.7099999999991</v>
      </c>
      <c r="Q52">
        <v>0.21181716833890751</v>
      </c>
      <c r="R52">
        <v>8</v>
      </c>
      <c r="S52">
        <v>46</v>
      </c>
      <c r="T52">
        <v>8.7054185385532223E-2</v>
      </c>
    </row>
    <row r="53" spans="1:20" x14ac:dyDescent="0.2">
      <c r="A53" s="1">
        <v>51</v>
      </c>
      <c r="B53" t="s">
        <v>116</v>
      </c>
      <c r="C53" t="s">
        <v>117</v>
      </c>
      <c r="D53">
        <v>35114</v>
      </c>
      <c r="E53">
        <v>6408</v>
      </c>
      <c r="F53" s="7">
        <f>E53/D53</f>
        <v>0.18249131400580965</v>
      </c>
      <c r="G53">
        <f>854+1398+2629</f>
        <v>4881</v>
      </c>
      <c r="H53" s="7">
        <f>G53/D53</f>
        <v>0.13900438571509938</v>
      </c>
      <c r="I53" s="5">
        <v>133537</v>
      </c>
      <c r="J53" s="7">
        <v>3.5999999999999997E-2</v>
      </c>
      <c r="K53" s="7">
        <v>6.3E-2</v>
      </c>
      <c r="L53" s="7">
        <v>0.13500000000000001</v>
      </c>
      <c r="M53" s="7">
        <v>7.5999999999999998E-2</v>
      </c>
      <c r="N53" s="9">
        <v>1.37</v>
      </c>
      <c r="O53">
        <v>2.0499999999999998</v>
      </c>
      <c r="P53">
        <v>17128.78</v>
      </c>
      <c r="Q53">
        <v>0.25318655851680177</v>
      </c>
      <c r="R53">
        <v>7</v>
      </c>
      <c r="S53">
        <v>35</v>
      </c>
      <c r="T53">
        <v>3.8759469157600958E-2</v>
      </c>
    </row>
    <row r="54" spans="1:20" x14ac:dyDescent="0.2">
      <c r="A54" s="1">
        <v>52</v>
      </c>
      <c r="B54" t="s">
        <v>118</v>
      </c>
      <c r="C54" t="s">
        <v>119</v>
      </c>
      <c r="D54">
        <v>34794</v>
      </c>
      <c r="E54">
        <v>6892</v>
      </c>
      <c r="F54" s="7">
        <f>E54/D54</f>
        <v>0.19808012875783182</v>
      </c>
      <c r="G54">
        <f>4037+6342+5078</f>
        <v>15457</v>
      </c>
      <c r="H54" s="7">
        <f>G54/D54</f>
        <v>0.44424326033224121</v>
      </c>
      <c r="I54" s="5">
        <v>30961</v>
      </c>
      <c r="J54" s="7">
        <v>0.16700000000000001</v>
      </c>
      <c r="K54" s="7">
        <v>0.246</v>
      </c>
      <c r="L54" s="7">
        <v>0.41299999999999998</v>
      </c>
      <c r="M54" s="7">
        <v>-8.5000000000000006E-2</v>
      </c>
      <c r="N54" s="9">
        <v>2.0099999999999998</v>
      </c>
      <c r="O54">
        <v>3.21</v>
      </c>
      <c r="P54">
        <v>10839.25</v>
      </c>
      <c r="Q54">
        <v>0.22330097087378639</v>
      </c>
      <c r="R54">
        <v>6</v>
      </c>
      <c r="S54">
        <v>67</v>
      </c>
      <c r="T54">
        <v>0.19376904063919068</v>
      </c>
    </row>
    <row r="55" spans="1:20" x14ac:dyDescent="0.2">
      <c r="A55" s="1">
        <v>53</v>
      </c>
      <c r="B55" t="s">
        <v>120</v>
      </c>
      <c r="C55" t="s">
        <v>121</v>
      </c>
      <c r="D55">
        <v>17559</v>
      </c>
      <c r="E55">
        <v>3011</v>
      </c>
      <c r="F55" s="7">
        <f>E55/D55</f>
        <v>0.17147901361125348</v>
      </c>
      <c r="G55">
        <f>1678+2428+1945</f>
        <v>6051</v>
      </c>
      <c r="H55" s="7">
        <f>G55/D55</f>
        <v>0.34460960191354861</v>
      </c>
      <c r="I55" s="5">
        <v>60363</v>
      </c>
      <c r="J55" s="7">
        <v>8.1000000000000003E-2</v>
      </c>
      <c r="K55" s="7">
        <v>0.11700000000000001</v>
      </c>
      <c r="L55" s="7">
        <v>0.159</v>
      </c>
      <c r="M55" s="7">
        <v>-3.5000000000000003E-2</v>
      </c>
      <c r="N55" s="9">
        <v>3.58</v>
      </c>
      <c r="O55">
        <v>2.52</v>
      </c>
      <c r="P55">
        <v>6967.86</v>
      </c>
      <c r="Q55">
        <v>0.58223062381852553</v>
      </c>
      <c r="R55">
        <v>7</v>
      </c>
      <c r="S55">
        <v>38</v>
      </c>
      <c r="T55">
        <v>5.6210490346830684E-2</v>
      </c>
    </row>
    <row r="56" spans="1:20" x14ac:dyDescent="0.2">
      <c r="A56" s="1">
        <v>54</v>
      </c>
      <c r="B56" t="s">
        <v>122</v>
      </c>
      <c r="C56" t="s">
        <v>123</v>
      </c>
      <c r="D56">
        <v>38303</v>
      </c>
      <c r="E56">
        <v>6492</v>
      </c>
      <c r="F56" s="7">
        <f>E56/D56</f>
        <v>0.16949064041981046</v>
      </c>
      <c r="G56">
        <f>2046+7507+4958</f>
        <v>14511</v>
      </c>
      <c r="H56" s="7">
        <f>G56/D56</f>
        <v>0.37884760984779259</v>
      </c>
      <c r="I56" s="5">
        <v>90475</v>
      </c>
      <c r="J56" s="7">
        <v>0.129</v>
      </c>
      <c r="K56" s="7">
        <v>0.16300000000000001</v>
      </c>
      <c r="L56" s="7">
        <v>0.109</v>
      </c>
      <c r="M56" s="7">
        <v>3.0000000000000001E-3</v>
      </c>
      <c r="N56" s="9">
        <v>1.32</v>
      </c>
      <c r="O56">
        <v>4.37</v>
      </c>
      <c r="P56">
        <v>8764.99</v>
      </c>
      <c r="Q56">
        <v>0.26265270506108201</v>
      </c>
      <c r="R56">
        <v>5</v>
      </c>
      <c r="S56">
        <v>56</v>
      </c>
      <c r="T56">
        <v>3.3026133723207063E-2</v>
      </c>
    </row>
    <row r="57" spans="1:20" x14ac:dyDescent="0.2">
      <c r="A57" s="1">
        <v>55</v>
      </c>
      <c r="B57" t="s">
        <v>124</v>
      </c>
      <c r="C57" t="s">
        <v>125</v>
      </c>
      <c r="D57">
        <v>6799</v>
      </c>
      <c r="E57">
        <v>1613</v>
      </c>
      <c r="F57" s="7">
        <f>E57/D57</f>
        <v>0.23724077070157376</v>
      </c>
      <c r="G57">
        <f>349+937+1056</f>
        <v>2342</v>
      </c>
      <c r="H57" s="7">
        <f>G57/D57</f>
        <v>0.3444624209442565</v>
      </c>
      <c r="I57" s="5">
        <v>36838</v>
      </c>
      <c r="J57" s="7">
        <v>0.113</v>
      </c>
      <c r="K57" s="7">
        <v>0.151</v>
      </c>
      <c r="L57" s="7">
        <v>0.34100000000000003</v>
      </c>
      <c r="M57" s="7">
        <v>-8.9999999999999993E-3</v>
      </c>
      <c r="N57" s="9">
        <v>7.92</v>
      </c>
      <c r="O57">
        <v>0.57999999999999996</v>
      </c>
      <c r="P57">
        <v>11722.41</v>
      </c>
      <c r="Q57">
        <v>0.34666666666666668</v>
      </c>
      <c r="R57">
        <v>6</v>
      </c>
      <c r="S57">
        <v>56</v>
      </c>
      <c r="T57">
        <v>0.11148698337990881</v>
      </c>
    </row>
    <row r="58" spans="1:20" x14ac:dyDescent="0.2">
      <c r="A58" s="1">
        <v>56</v>
      </c>
      <c r="B58" t="s">
        <v>126</v>
      </c>
      <c r="C58" t="s">
        <v>127</v>
      </c>
      <c r="D58">
        <v>13418</v>
      </c>
      <c r="E58">
        <v>1251</v>
      </c>
      <c r="F58" s="7">
        <f>E58/D58</f>
        <v>9.3232970636458495E-2</v>
      </c>
      <c r="G58">
        <f>904+2137+2581</f>
        <v>5622</v>
      </c>
      <c r="H58" s="7">
        <f>G58/D58</f>
        <v>0.41898941720077509</v>
      </c>
      <c r="I58" s="5">
        <v>60441</v>
      </c>
      <c r="J58" s="7">
        <v>0.104</v>
      </c>
      <c r="K58" s="7">
        <v>0.158</v>
      </c>
      <c r="L58" s="7">
        <v>9.1999999999999998E-2</v>
      </c>
      <c r="M58" s="7">
        <v>1.9E-2</v>
      </c>
      <c r="N58" s="9">
        <v>0.14000000000000001</v>
      </c>
      <c r="O58">
        <v>13.34</v>
      </c>
      <c r="P58">
        <v>1005.85</v>
      </c>
      <c r="Q58">
        <v>0.2277486910994764</v>
      </c>
      <c r="R58">
        <v>6.5</v>
      </c>
      <c r="S58">
        <v>56</v>
      </c>
      <c r="T58">
        <v>0.13847071098524369</v>
      </c>
    </row>
    <row r="59" spans="1:20" x14ac:dyDescent="0.2">
      <c r="A59" s="1">
        <v>57</v>
      </c>
      <c r="B59" t="s">
        <v>128</v>
      </c>
      <c r="C59" t="s">
        <v>129</v>
      </c>
      <c r="D59">
        <v>63020</v>
      </c>
      <c r="E59">
        <v>11124</v>
      </c>
      <c r="F59" s="7">
        <f>E59/D59</f>
        <v>0.17651539193906696</v>
      </c>
      <c r="G59">
        <f>5812+11984+8348</f>
        <v>26144</v>
      </c>
      <c r="H59" s="7">
        <f>G59/D59</f>
        <v>0.4148524278006982</v>
      </c>
      <c r="I59" s="5">
        <v>75869</v>
      </c>
      <c r="J59" s="7">
        <v>9.1999999999999998E-2</v>
      </c>
      <c r="K59" s="7">
        <v>0.13900000000000001</v>
      </c>
      <c r="L59" s="7">
        <v>0.11</v>
      </c>
      <c r="M59" s="7">
        <v>-3.3000000000000002E-2</v>
      </c>
      <c r="N59" s="9">
        <v>1.1499999999999999</v>
      </c>
      <c r="O59">
        <v>3.95</v>
      </c>
      <c r="P59">
        <v>15954.43</v>
      </c>
      <c r="Q59">
        <v>1</v>
      </c>
      <c r="R59">
        <v>13</v>
      </c>
      <c r="S59">
        <v>7</v>
      </c>
      <c r="T59">
        <v>4.7746747064423993E-2</v>
      </c>
    </row>
    <row r="60" spans="1:20" x14ac:dyDescent="0.2">
      <c r="A60" s="1">
        <v>58</v>
      </c>
      <c r="B60" t="s">
        <v>130</v>
      </c>
      <c r="C60" t="s">
        <v>131</v>
      </c>
      <c r="D60">
        <v>6820</v>
      </c>
      <c r="E60">
        <v>877</v>
      </c>
      <c r="F60" s="7">
        <f>E60/D60</f>
        <v>0.12859237536656892</v>
      </c>
      <c r="G60">
        <f>574+1217+1478</f>
        <v>3269</v>
      </c>
      <c r="H60" s="7">
        <f>G60/D60</f>
        <v>0.47932551319648092</v>
      </c>
      <c r="I60" s="5">
        <v>48057</v>
      </c>
      <c r="J60" s="7">
        <v>7.9000000000000001E-2</v>
      </c>
      <c r="K60" s="7">
        <v>0.125</v>
      </c>
      <c r="L60" s="7">
        <v>0.16500000000000001</v>
      </c>
      <c r="M60" s="7">
        <v>-0.10100000000000001</v>
      </c>
      <c r="N60" s="9">
        <v>2.44</v>
      </c>
      <c r="O60">
        <v>2.12</v>
      </c>
      <c r="P60">
        <v>3216.98</v>
      </c>
      <c r="Q60">
        <v>0.37334437086092709</v>
      </c>
      <c r="R60">
        <v>6</v>
      </c>
      <c r="S60">
        <v>56</v>
      </c>
      <c r="T60">
        <v>0.13841642228739004</v>
      </c>
    </row>
    <row r="61" spans="1:20" x14ac:dyDescent="0.2">
      <c r="A61" s="1">
        <v>59</v>
      </c>
      <c r="B61" t="s">
        <v>132</v>
      </c>
      <c r="C61" t="s">
        <v>133</v>
      </c>
      <c r="D61">
        <v>7262</v>
      </c>
      <c r="E61">
        <v>1947</v>
      </c>
      <c r="F61" s="7">
        <f>E61/D61</f>
        <v>0.26810795923987885</v>
      </c>
      <c r="G61">
        <f>534+1172+1644</f>
        <v>3350</v>
      </c>
      <c r="H61" s="7">
        <f>G61/D61</f>
        <v>0.46130542550261638</v>
      </c>
      <c r="I61" s="5">
        <v>19677</v>
      </c>
      <c r="J61" s="7">
        <v>0.13100000000000001</v>
      </c>
      <c r="K61" s="7">
        <v>0.184</v>
      </c>
      <c r="L61" s="7">
        <v>0.45400000000000001</v>
      </c>
      <c r="M61" s="7">
        <v>-7.9000000000000001E-2</v>
      </c>
      <c r="N61" s="9">
        <v>4</v>
      </c>
      <c r="O61">
        <v>3.53</v>
      </c>
      <c r="P61">
        <v>2057.2199999999998</v>
      </c>
      <c r="Q61">
        <v>0.28535078153398757</v>
      </c>
      <c r="R61">
        <v>16</v>
      </c>
      <c r="S61">
        <v>0</v>
      </c>
      <c r="T61">
        <v>0.17460754613054255</v>
      </c>
    </row>
    <row r="62" spans="1:20" x14ac:dyDescent="0.2">
      <c r="A62" s="1">
        <v>60</v>
      </c>
      <c r="B62" t="s">
        <v>134</v>
      </c>
      <c r="C62" t="s">
        <v>135</v>
      </c>
      <c r="D62">
        <v>55628</v>
      </c>
      <c r="E62">
        <v>8494</v>
      </c>
      <c r="F62" s="7">
        <f>E62/D62</f>
        <v>0.15269288847343065</v>
      </c>
      <c r="G62">
        <f>4484+6901+6616</f>
        <v>18001</v>
      </c>
      <c r="H62" s="7">
        <f>G62/D62</f>
        <v>0.32359603077586829</v>
      </c>
      <c r="I62" s="5">
        <v>46244</v>
      </c>
      <c r="J62" s="7">
        <v>0.08</v>
      </c>
      <c r="K62" s="7">
        <v>0.13800000000000001</v>
      </c>
      <c r="L62" s="7">
        <v>0.4</v>
      </c>
      <c r="M62" s="7">
        <v>-2.4E-2</v>
      </c>
      <c r="N62" s="9">
        <v>1.37</v>
      </c>
      <c r="O62">
        <v>1.84</v>
      </c>
      <c r="P62">
        <v>30232.61</v>
      </c>
      <c r="Q62">
        <v>0.76530612244897955</v>
      </c>
      <c r="R62">
        <v>8</v>
      </c>
      <c r="S62">
        <v>39</v>
      </c>
      <c r="T62">
        <v>7.2445531027540089E-2</v>
      </c>
    </row>
    <row r="63" spans="1:20" x14ac:dyDescent="0.2">
      <c r="A63" s="1">
        <v>61</v>
      </c>
      <c r="B63" t="s">
        <v>136</v>
      </c>
      <c r="C63" t="s">
        <v>137</v>
      </c>
      <c r="D63">
        <v>38816</v>
      </c>
      <c r="E63">
        <v>7539</v>
      </c>
      <c r="F63" s="7">
        <f>E63/D63</f>
        <v>0.19422403132728772</v>
      </c>
      <c r="G63">
        <f>3764+6984+8374</f>
        <v>19122</v>
      </c>
      <c r="H63" s="7">
        <f>G63/D63</f>
        <v>0.49263190436933224</v>
      </c>
      <c r="I63" s="5">
        <v>44041</v>
      </c>
      <c r="J63" s="7">
        <v>0.14499999999999999</v>
      </c>
      <c r="K63" s="7">
        <v>0.23400000000000001</v>
      </c>
      <c r="L63" s="7">
        <v>0.245</v>
      </c>
      <c r="M63" s="7">
        <v>-4.4999999999999998E-2</v>
      </c>
      <c r="N63" s="9">
        <v>2.36</v>
      </c>
      <c r="O63">
        <v>4.82</v>
      </c>
      <c r="P63">
        <v>8053.11</v>
      </c>
      <c r="Q63">
        <v>0.45338208409506398</v>
      </c>
      <c r="R63">
        <v>8</v>
      </c>
      <c r="S63">
        <v>58</v>
      </c>
      <c r="T63">
        <v>0.15243713932399011</v>
      </c>
    </row>
    <row r="64" spans="1:20" x14ac:dyDescent="0.2">
      <c r="A64" s="1">
        <v>62</v>
      </c>
      <c r="B64" t="s">
        <v>138</v>
      </c>
      <c r="C64" t="s">
        <v>139</v>
      </c>
      <c r="D64">
        <v>27300</v>
      </c>
      <c r="E64">
        <v>6826</v>
      </c>
      <c r="F64" s="7">
        <f>E64/D64</f>
        <v>0.25003663003663001</v>
      </c>
      <c r="G64">
        <f>3265+5746+4287</f>
        <v>13298</v>
      </c>
      <c r="H64" s="7">
        <f>G64/D64</f>
        <v>0.48710622710622709</v>
      </c>
      <c r="I64" s="5">
        <v>39798</v>
      </c>
      <c r="J64" s="7">
        <v>0.14499999999999999</v>
      </c>
      <c r="K64" s="7">
        <v>0.156</v>
      </c>
      <c r="L64" s="7">
        <v>0.34200000000000003</v>
      </c>
      <c r="M64" s="7">
        <v>-3.6999999999999998E-2</v>
      </c>
      <c r="N64" s="9">
        <v>2.4500000000000002</v>
      </c>
      <c r="O64">
        <v>3.34</v>
      </c>
      <c r="P64">
        <v>8173.65</v>
      </c>
      <c r="Q64">
        <v>0.49168399168399168</v>
      </c>
      <c r="R64">
        <v>8</v>
      </c>
      <c r="S64">
        <v>56</v>
      </c>
      <c r="T64">
        <v>0.16040293040293041</v>
      </c>
    </row>
    <row r="65" spans="1:20" x14ac:dyDescent="0.2">
      <c r="A65" s="1">
        <v>63</v>
      </c>
      <c r="B65" t="s">
        <v>140</v>
      </c>
      <c r="C65" t="s">
        <v>141</v>
      </c>
      <c r="D65">
        <v>14105</v>
      </c>
      <c r="E65">
        <v>3784</v>
      </c>
      <c r="F65" s="7">
        <f>E65/D65</f>
        <v>0.26827366182204893</v>
      </c>
      <c r="G65">
        <f>1919+2939+2507</f>
        <v>7365</v>
      </c>
      <c r="H65" s="7">
        <f>G65/D65</f>
        <v>0.52215526409074797</v>
      </c>
      <c r="I65" s="5">
        <v>30128</v>
      </c>
      <c r="J65" s="7">
        <v>0.13300000000000001</v>
      </c>
      <c r="K65" s="7">
        <v>0.17299999999999999</v>
      </c>
      <c r="L65" s="7">
        <v>0.222</v>
      </c>
      <c r="M65" s="7">
        <v>-2.5999999999999999E-2</v>
      </c>
      <c r="N65" s="9">
        <v>2.2200000000000002</v>
      </c>
      <c r="O65">
        <v>10.9</v>
      </c>
      <c r="P65">
        <v>1294.04</v>
      </c>
      <c r="Q65">
        <v>0.78593749999999996</v>
      </c>
      <c r="R65">
        <v>8</v>
      </c>
      <c r="S65">
        <v>0</v>
      </c>
      <c r="T65">
        <v>0.12548741580999645</v>
      </c>
    </row>
    <row r="66" spans="1:20" x14ac:dyDescent="0.2">
      <c r="A66" s="1">
        <v>64</v>
      </c>
      <c r="B66" t="s">
        <v>142</v>
      </c>
      <c r="C66" t="s">
        <v>143</v>
      </c>
      <c r="D66">
        <v>71399</v>
      </c>
      <c r="E66">
        <v>14520</v>
      </c>
      <c r="F66" s="7">
        <f>E66/D66</f>
        <v>0.20336419277580919</v>
      </c>
      <c r="G66">
        <f>18343+14557+5434</f>
        <v>38334</v>
      </c>
      <c r="H66" s="7">
        <f>G66/D66</f>
        <v>0.53689827588621686</v>
      </c>
      <c r="I66" s="5">
        <v>36920</v>
      </c>
      <c r="J66" s="7">
        <v>0.17499999999999999</v>
      </c>
      <c r="K66" s="7">
        <v>0.23400000000000001</v>
      </c>
      <c r="L66" s="7">
        <v>0.20100000000000001</v>
      </c>
      <c r="M66" s="7">
        <v>-0.06</v>
      </c>
      <c r="N66" s="9">
        <v>1.6</v>
      </c>
      <c r="O66">
        <v>4.59</v>
      </c>
      <c r="P66">
        <v>15555.34</v>
      </c>
      <c r="Q66">
        <v>0.78649237472766886</v>
      </c>
      <c r="R66">
        <v>7</v>
      </c>
      <c r="S66">
        <v>4</v>
      </c>
      <c r="T66">
        <v>5.3137999131640502E-2</v>
      </c>
    </row>
    <row r="67" spans="1:20" x14ac:dyDescent="0.2">
      <c r="A67" s="1">
        <v>65</v>
      </c>
      <c r="B67" t="s">
        <v>144</v>
      </c>
      <c r="C67" t="s">
        <v>145</v>
      </c>
      <c r="D67">
        <v>53971</v>
      </c>
      <c r="E67">
        <v>8928</v>
      </c>
      <c r="F67" s="7">
        <f>E67/D67</f>
        <v>0.16542217116599656</v>
      </c>
      <c r="G67">
        <f>3729+9051+11585</f>
        <v>24365</v>
      </c>
      <c r="H67" s="7">
        <f>G67/D67</f>
        <v>0.45144614700487301</v>
      </c>
      <c r="I67" s="5">
        <v>35887</v>
      </c>
      <c r="J67" s="7">
        <v>0.13100000000000001</v>
      </c>
      <c r="K67" s="7">
        <v>0.18</v>
      </c>
      <c r="L67" s="7">
        <v>0.40500000000000003</v>
      </c>
      <c r="M67" s="7">
        <v>-4.2999999999999997E-2</v>
      </c>
      <c r="N67" s="9">
        <v>3.91</v>
      </c>
      <c r="O67">
        <v>2.93</v>
      </c>
      <c r="P67">
        <v>18420.14</v>
      </c>
      <c r="Q67">
        <v>0.32469512195121952</v>
      </c>
      <c r="R67">
        <v>9</v>
      </c>
      <c r="S67">
        <v>60</v>
      </c>
      <c r="T67">
        <v>0.15386040651460969</v>
      </c>
    </row>
    <row r="68" spans="1:20" x14ac:dyDescent="0.2">
      <c r="A68" s="1">
        <v>66</v>
      </c>
      <c r="B68" t="s">
        <v>146</v>
      </c>
      <c r="C68" t="s">
        <v>147</v>
      </c>
      <c r="D68">
        <v>57182</v>
      </c>
      <c r="E68">
        <v>5423</v>
      </c>
      <c r="F68" s="7">
        <f>E68/D68</f>
        <v>9.4837536287642965E-2</v>
      </c>
      <c r="G68">
        <f>4579+5830+7179</f>
        <v>17588</v>
      </c>
      <c r="H68" s="7">
        <f>G68/D68</f>
        <v>0.30757930817390089</v>
      </c>
      <c r="I68" s="5">
        <v>57878</v>
      </c>
      <c r="J68" s="7">
        <v>7.5999999999999998E-2</v>
      </c>
      <c r="K68" s="7">
        <v>0.115</v>
      </c>
      <c r="L68" s="7">
        <v>0.41399999999999998</v>
      </c>
      <c r="M68" s="7">
        <v>-1E-3</v>
      </c>
      <c r="N68" s="9">
        <v>5.99</v>
      </c>
      <c r="O68">
        <v>2.3199999999999998</v>
      </c>
      <c r="P68">
        <v>24647.41</v>
      </c>
      <c r="Q68">
        <v>0.65217391304347827</v>
      </c>
      <c r="R68">
        <v>5</v>
      </c>
      <c r="S68">
        <v>0</v>
      </c>
      <c r="T68">
        <v>6.7416319820922666E-2</v>
      </c>
    </row>
    <row r="69" spans="1:20" x14ac:dyDescent="0.2">
      <c r="A69" s="1">
        <v>67</v>
      </c>
      <c r="B69" t="s">
        <v>148</v>
      </c>
      <c r="C69" t="s">
        <v>149</v>
      </c>
      <c r="D69">
        <v>25065</v>
      </c>
      <c r="E69">
        <v>4981</v>
      </c>
      <c r="F69" s="7">
        <f>E69/D69</f>
        <v>0.19872331936963894</v>
      </c>
      <c r="G69">
        <f>2155+4763+5378</f>
        <v>12296</v>
      </c>
      <c r="H69" s="7">
        <f>G69/D69</f>
        <v>0.4905645322162378</v>
      </c>
      <c r="I69" s="5">
        <v>53580</v>
      </c>
      <c r="J69" s="7">
        <v>0.11799999999999999</v>
      </c>
      <c r="K69" s="7">
        <v>0.19500000000000001</v>
      </c>
      <c r="L69" s="7">
        <v>0.16800000000000001</v>
      </c>
      <c r="M69" s="7">
        <v>-2.9000000000000001E-2</v>
      </c>
      <c r="N69" s="9">
        <v>2.16</v>
      </c>
      <c r="O69">
        <v>2.86</v>
      </c>
      <c r="P69">
        <v>8763.99</v>
      </c>
      <c r="Q69">
        <v>0.74329054842473741</v>
      </c>
      <c r="R69">
        <v>8</v>
      </c>
      <c r="S69">
        <v>4</v>
      </c>
      <c r="T69">
        <v>0.11673648513863953</v>
      </c>
    </row>
    <row r="70" spans="1:20" x14ac:dyDescent="0.2">
      <c r="A70" s="1">
        <v>68</v>
      </c>
      <c r="B70" t="s">
        <v>150</v>
      </c>
      <c r="C70" t="s">
        <v>151</v>
      </c>
      <c r="D70">
        <v>12707</v>
      </c>
      <c r="E70">
        <v>2674</v>
      </c>
      <c r="F70" s="7">
        <f>E70/D70</f>
        <v>0.21043519320059809</v>
      </c>
      <c r="G70">
        <f>1049+2049+1693</f>
        <v>4791</v>
      </c>
      <c r="H70" s="7">
        <f>G70/D70</f>
        <v>0.37703627921618005</v>
      </c>
      <c r="I70" s="5">
        <v>23351</v>
      </c>
      <c r="J70" s="7">
        <v>0.152</v>
      </c>
      <c r="K70" s="7">
        <v>0.23100000000000001</v>
      </c>
      <c r="L70" s="7">
        <v>0.47699999999999998</v>
      </c>
      <c r="M70" s="7">
        <v>-1.0999999999999999E-2</v>
      </c>
      <c r="N70" s="9">
        <v>8.8699999999999992</v>
      </c>
      <c r="O70">
        <v>1.52</v>
      </c>
      <c r="P70">
        <v>8359.8700000000008</v>
      </c>
      <c r="Q70">
        <v>0.28658536585365851</v>
      </c>
      <c r="R70">
        <v>8</v>
      </c>
      <c r="S70">
        <v>63</v>
      </c>
      <c r="T70">
        <v>0.17675297080349414</v>
      </c>
    </row>
    <row r="71" spans="1:20" x14ac:dyDescent="0.2">
      <c r="A71" s="1">
        <v>69</v>
      </c>
      <c r="B71" t="s">
        <v>152</v>
      </c>
      <c r="C71" t="s">
        <v>153</v>
      </c>
      <c r="D71">
        <v>18394</v>
      </c>
      <c r="E71">
        <v>4452</v>
      </c>
      <c r="F71" s="7">
        <f>E71/D71</f>
        <v>0.24203544634119822</v>
      </c>
      <c r="G71">
        <f>2987+4063+1895</f>
        <v>8945</v>
      </c>
      <c r="H71" s="7">
        <f>G71/D71</f>
        <v>0.48629988039578126</v>
      </c>
      <c r="I71" s="5">
        <v>54186</v>
      </c>
      <c r="J71" s="7">
        <v>0.19500000000000001</v>
      </c>
      <c r="K71" s="7">
        <v>0.216</v>
      </c>
      <c r="L71" s="7">
        <v>0.13500000000000001</v>
      </c>
      <c r="M71" s="7">
        <v>-1.4E-2</v>
      </c>
      <c r="N71" s="9">
        <v>1.27</v>
      </c>
      <c r="O71">
        <v>1.17</v>
      </c>
      <c r="P71">
        <v>15721.37</v>
      </c>
      <c r="Q71">
        <v>6.9264069264069264E-2</v>
      </c>
      <c r="R71">
        <v>6</v>
      </c>
      <c r="S71">
        <v>65</v>
      </c>
      <c r="T71">
        <v>4.7298031966945743E-2</v>
      </c>
    </row>
    <row r="72" spans="1:20" x14ac:dyDescent="0.2">
      <c r="A72" s="1">
        <v>70</v>
      </c>
      <c r="B72" t="s">
        <v>154</v>
      </c>
      <c r="C72" t="s">
        <v>155</v>
      </c>
      <c r="D72">
        <v>29647</v>
      </c>
      <c r="E72">
        <v>5131</v>
      </c>
      <c r="F72" s="7">
        <f>E72/D72</f>
        <v>0.17306978783688062</v>
      </c>
      <c r="G72">
        <f>3465+7497+3529</f>
        <v>14491</v>
      </c>
      <c r="H72" s="7">
        <f>G72/D72</f>
        <v>0.4887846999696428</v>
      </c>
      <c r="I72" s="5">
        <v>26439</v>
      </c>
      <c r="J72" s="7">
        <v>0.245</v>
      </c>
      <c r="K72" s="7">
        <v>0.32700000000000001</v>
      </c>
      <c r="L72" s="7">
        <v>0.36099999999999999</v>
      </c>
      <c r="M72" s="7">
        <v>-7.9000000000000001E-2</v>
      </c>
      <c r="N72" s="9">
        <v>2.16</v>
      </c>
      <c r="O72">
        <v>3.15</v>
      </c>
      <c r="P72">
        <v>9411.75</v>
      </c>
      <c r="Q72">
        <v>0.6606425702811245</v>
      </c>
      <c r="R72">
        <v>8</v>
      </c>
      <c r="S72">
        <v>63</v>
      </c>
      <c r="T72">
        <v>0.16015111141093533</v>
      </c>
    </row>
    <row r="73" spans="1:20" x14ac:dyDescent="0.2">
      <c r="A73" s="1">
        <v>71</v>
      </c>
      <c r="B73" t="s">
        <v>156</v>
      </c>
      <c r="C73" t="s">
        <v>157</v>
      </c>
      <c r="D73">
        <v>17433</v>
      </c>
      <c r="E73">
        <v>3572</v>
      </c>
      <c r="F73" s="7">
        <f>E73/D73</f>
        <v>0.20489875523432571</v>
      </c>
      <c r="G73">
        <f>2655+3689+2811</f>
        <v>9155</v>
      </c>
      <c r="H73" s="7">
        <f>G73/D73</f>
        <v>0.52515344461653191</v>
      </c>
      <c r="I73" s="5">
        <v>29443</v>
      </c>
      <c r="J73" s="7">
        <v>0.19700000000000001</v>
      </c>
      <c r="K73" s="7">
        <v>0.248</v>
      </c>
      <c r="L73" s="7">
        <v>0.40699999999999997</v>
      </c>
      <c r="M73" s="7">
        <v>-8.2000000000000003E-2</v>
      </c>
      <c r="N73" s="9">
        <v>3.25</v>
      </c>
      <c r="O73">
        <v>1.28</v>
      </c>
      <c r="P73">
        <v>13619.53</v>
      </c>
      <c r="Q73">
        <v>0.93257261410788383</v>
      </c>
      <c r="R73">
        <v>11</v>
      </c>
      <c r="S73">
        <v>0</v>
      </c>
      <c r="T73">
        <v>0.2286468192508461</v>
      </c>
    </row>
    <row r="74" spans="1:20" x14ac:dyDescent="0.2">
      <c r="A74" s="1">
        <v>72</v>
      </c>
      <c r="B74" t="s">
        <v>158</v>
      </c>
      <c r="C74" t="s">
        <v>159</v>
      </c>
      <c r="D74">
        <v>33662</v>
      </c>
      <c r="E74">
        <v>8139</v>
      </c>
      <c r="F74" s="7">
        <f>E74/D74</f>
        <v>0.24178599013724675</v>
      </c>
      <c r="G74">
        <f>5410+7267+3219</f>
        <v>15896</v>
      </c>
      <c r="H74" s="7">
        <f>G74/D74</f>
        <v>0.47222387261600618</v>
      </c>
      <c r="I74" s="5">
        <v>54758</v>
      </c>
      <c r="J74" s="7">
        <v>0.13500000000000001</v>
      </c>
      <c r="K74" s="7">
        <v>0.16</v>
      </c>
      <c r="L74" s="7">
        <v>0.123</v>
      </c>
      <c r="M74" s="7">
        <v>-3.3000000000000002E-2</v>
      </c>
      <c r="N74" s="9">
        <v>1.55</v>
      </c>
      <c r="O74">
        <v>2.95</v>
      </c>
      <c r="P74">
        <v>11410.85</v>
      </c>
      <c r="Q74">
        <v>0.4341216216216216</v>
      </c>
      <c r="R74">
        <v>6</v>
      </c>
      <c r="S74">
        <v>39</v>
      </c>
      <c r="T74">
        <v>4.7650169330402233E-2</v>
      </c>
    </row>
    <row r="75" spans="1:20" x14ac:dyDescent="0.2">
      <c r="A75" s="1">
        <v>73</v>
      </c>
      <c r="B75" t="s">
        <v>160</v>
      </c>
      <c r="C75" t="s">
        <v>161</v>
      </c>
      <c r="D75">
        <v>26104</v>
      </c>
      <c r="E75">
        <v>5042</v>
      </c>
      <c r="F75" s="7">
        <f>E75/D75</f>
        <v>0.19315047502298499</v>
      </c>
      <c r="G75">
        <f>2398+5105+5279</f>
        <v>12782</v>
      </c>
      <c r="H75" s="7">
        <f>G75/D75</f>
        <v>0.48965675758504446</v>
      </c>
      <c r="I75" s="5">
        <v>46380</v>
      </c>
      <c r="J75" s="7">
        <v>0.13300000000000001</v>
      </c>
      <c r="K75" s="7">
        <v>0.17599999999999999</v>
      </c>
      <c r="L75" s="7">
        <v>0.21</v>
      </c>
      <c r="M75" s="7">
        <v>-8.5999999999999993E-2</v>
      </c>
      <c r="N75" s="9">
        <v>2.88</v>
      </c>
      <c r="O75">
        <v>3.56</v>
      </c>
      <c r="P75">
        <v>7332.58</v>
      </c>
      <c r="Q75">
        <v>0.61387900355871883</v>
      </c>
      <c r="R75">
        <v>13</v>
      </c>
      <c r="S75">
        <v>55</v>
      </c>
      <c r="T75">
        <v>0.12898406374501992</v>
      </c>
    </row>
    <row r="76" spans="1:20" x14ac:dyDescent="0.2">
      <c r="A76" s="1">
        <v>74</v>
      </c>
      <c r="B76" t="s">
        <v>162</v>
      </c>
      <c r="C76" t="s">
        <v>163</v>
      </c>
      <c r="D76">
        <v>77122</v>
      </c>
      <c r="E76">
        <v>16177</v>
      </c>
      <c r="F76" s="7">
        <f>E76/D76</f>
        <v>0.20975856435258422</v>
      </c>
      <c r="G76">
        <f>9041+10150+8360</f>
        <v>27551</v>
      </c>
      <c r="H76" s="7">
        <f>G76/D76</f>
        <v>0.3572391794818599</v>
      </c>
      <c r="I76" s="5">
        <v>57937</v>
      </c>
      <c r="J76" s="7">
        <v>5.8000000000000003E-2</v>
      </c>
      <c r="K76" s="7">
        <v>0.12</v>
      </c>
      <c r="L76" s="7">
        <v>0.13600000000000001</v>
      </c>
      <c r="M76" s="7">
        <v>5.0000000000000001E-3</v>
      </c>
      <c r="N76" s="9">
        <v>2.98</v>
      </c>
      <c r="O76">
        <v>3.53</v>
      </c>
      <c r="P76">
        <v>21847.59</v>
      </c>
      <c r="Q76">
        <v>0.38640973630831638</v>
      </c>
      <c r="R76">
        <v>6</v>
      </c>
      <c r="S76">
        <v>42</v>
      </c>
      <c r="T76">
        <v>5.1204584943336531E-2</v>
      </c>
    </row>
    <row r="77" spans="1:20" x14ac:dyDescent="0.2">
      <c r="A77" s="1">
        <v>75</v>
      </c>
      <c r="B77" t="s">
        <v>164</v>
      </c>
      <c r="C77" t="s">
        <v>165</v>
      </c>
      <c r="D77">
        <v>87781</v>
      </c>
      <c r="E77">
        <v>6540</v>
      </c>
      <c r="F77" s="7">
        <f>E77/D77</f>
        <v>7.4503594171859519E-2</v>
      </c>
      <c r="G77">
        <f>3845+6324+6255</f>
        <v>16424</v>
      </c>
      <c r="H77" s="7">
        <f>G77/D77</f>
        <v>0.1871019924585047</v>
      </c>
      <c r="I77" s="5">
        <v>112555</v>
      </c>
      <c r="J77" s="7">
        <v>4.9000000000000002E-2</v>
      </c>
      <c r="K77" s="7">
        <v>6.4000000000000001E-2</v>
      </c>
      <c r="L77" s="7">
        <v>0.19600000000000001</v>
      </c>
      <c r="M77" s="7">
        <v>-4.3999999999999997E-2</v>
      </c>
      <c r="N77" s="9">
        <v>1.63</v>
      </c>
      <c r="O77">
        <v>4.58</v>
      </c>
      <c r="P77">
        <v>19166.16</v>
      </c>
      <c r="Q77">
        <v>0.28151498021481058</v>
      </c>
      <c r="R77">
        <v>6</v>
      </c>
      <c r="S77">
        <v>56</v>
      </c>
      <c r="T77">
        <v>8.223875326095624E-2</v>
      </c>
    </row>
    <row r="78" spans="1:20" x14ac:dyDescent="0.2">
      <c r="A78" s="1">
        <v>76</v>
      </c>
      <c r="B78" t="s">
        <v>166</v>
      </c>
      <c r="C78" t="s">
        <v>167</v>
      </c>
      <c r="D78">
        <v>24425</v>
      </c>
      <c r="E78">
        <v>4927</v>
      </c>
      <c r="F78" s="7">
        <f>E78/D78</f>
        <v>0.2017195496417605</v>
      </c>
      <c r="G78">
        <f>1783+3501+4026</f>
        <v>9310</v>
      </c>
      <c r="H78" s="7">
        <f>G78/D78</f>
        <v>0.38116683725690892</v>
      </c>
      <c r="I78" s="5">
        <v>27541</v>
      </c>
      <c r="J78" s="7">
        <v>0.11799999999999999</v>
      </c>
      <c r="K78" s="7">
        <v>0.191</v>
      </c>
      <c r="L78" s="7">
        <v>0.39</v>
      </c>
      <c r="M78" s="7">
        <v>-1.2999999999999999E-2</v>
      </c>
      <c r="N78" s="9">
        <v>7.86</v>
      </c>
      <c r="O78">
        <v>2.0699999999999998</v>
      </c>
      <c r="P78">
        <v>11799.52</v>
      </c>
      <c r="Q78">
        <v>0.43025540275049118</v>
      </c>
      <c r="R78">
        <v>8</v>
      </c>
      <c r="S78">
        <v>42</v>
      </c>
      <c r="T78">
        <v>0.13236438075742069</v>
      </c>
    </row>
  </sheetData>
  <sortState xmlns:xlrd2="http://schemas.microsoft.com/office/spreadsheetml/2017/richdata2" ref="B2:P78">
    <sortCondition ref="C2:C7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B718-2140-4EB7-BEF0-2A05DFA5E85F}">
  <dimension ref="A1:B9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8.5" style="12" customWidth="1"/>
    <col min="2" max="2" width="89.83203125" customWidth="1"/>
  </cols>
  <sheetData>
    <row r="1" spans="1:2" x14ac:dyDescent="0.2">
      <c r="A1" s="10" t="s">
        <v>3</v>
      </c>
      <c r="B1" s="11" t="s">
        <v>168</v>
      </c>
    </row>
    <row r="2" spans="1:2" x14ac:dyDescent="0.2">
      <c r="A2" s="12" t="s">
        <v>5</v>
      </c>
      <c r="B2" s="11" t="s">
        <v>169</v>
      </c>
    </row>
    <row r="3" spans="1:2" ht="16" x14ac:dyDescent="0.2">
      <c r="A3" s="13" t="s">
        <v>7</v>
      </c>
      <c r="B3" t="s">
        <v>170</v>
      </c>
    </row>
    <row r="4" spans="1:2" x14ac:dyDescent="0.2">
      <c r="A4" s="10" t="s">
        <v>8</v>
      </c>
      <c r="B4" s="11" t="s">
        <v>171</v>
      </c>
    </row>
    <row r="5" spans="1:2" x14ac:dyDescent="0.2">
      <c r="A5" s="12" t="s">
        <v>9</v>
      </c>
      <c r="B5" s="11" t="s">
        <v>172</v>
      </c>
    </row>
    <row r="6" spans="1:2" x14ac:dyDescent="0.2">
      <c r="A6" s="12" t="s">
        <v>10</v>
      </c>
      <c r="B6" s="11" t="s">
        <v>173</v>
      </c>
    </row>
    <row r="7" spans="1:2" x14ac:dyDescent="0.2">
      <c r="A7" s="12" t="s">
        <v>11</v>
      </c>
      <c r="B7" s="11" t="s">
        <v>174</v>
      </c>
    </row>
    <row r="8" spans="1:2" x14ac:dyDescent="0.2">
      <c r="A8" s="12" t="s">
        <v>175</v>
      </c>
      <c r="B8" s="11" t="s">
        <v>176</v>
      </c>
    </row>
    <row r="9" spans="1:2" x14ac:dyDescent="0.2">
      <c r="A9" s="12" t="s">
        <v>13</v>
      </c>
      <c r="B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Explanation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2023-04-21T16:23:51Z</dcterms:created>
  <dcterms:modified xsi:type="dcterms:W3CDTF">2023-05-18T15:06:54Z</dcterms:modified>
  <cp:category/>
  <cp:contentStatus/>
</cp:coreProperties>
</file>