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 Dingwall\Documents\github\htke\ir_data\GL-06-50\"/>
    </mc:Choice>
  </mc:AlternateContent>
  <xr:revisionPtr revIDLastSave="0" documentId="13_ncr:1_{DE6C96E3-8636-4352-8B7D-95F754459C01}" xr6:coauthVersionLast="47" xr6:coauthVersionMax="47" xr10:uidLastSave="{00000000-0000-0000-0000-000000000000}"/>
  <bookViews>
    <workbookView xWindow="-120" yWindow="-120" windowWidth="29040" windowHeight="17640" xr2:uid="{E8BB0CA0-6058-45AD-B6DF-521F63502867}"/>
  </bookViews>
  <sheets>
    <sheet name="Stock Solutions - (150uL)" sheetId="10" r:id="rId1"/>
    <sheet name="Rxn Solutions - Batch Correct" sheetId="12" r:id="rId2"/>
    <sheet name="Slug Analysis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4" i="10" l="1"/>
  <c r="O23" i="10"/>
  <c r="O22" i="10"/>
  <c r="B34" i="10" l="1"/>
  <c r="J34" i="10"/>
  <c r="B16" i="10"/>
  <c r="J58" i="10"/>
  <c r="J59" i="10"/>
  <c r="J60" i="10"/>
  <c r="J61" i="10"/>
  <c r="J62" i="10"/>
  <c r="J63" i="10"/>
  <c r="J64" i="10"/>
  <c r="J65" i="10"/>
  <c r="J57" i="10"/>
  <c r="J46" i="10"/>
  <c r="J47" i="10"/>
  <c r="J48" i="10"/>
  <c r="J49" i="10"/>
  <c r="J50" i="10"/>
  <c r="J51" i="10"/>
  <c r="J52" i="10"/>
  <c r="J53" i="10"/>
  <c r="J45" i="10"/>
  <c r="J35" i="10"/>
  <c r="J36" i="10"/>
  <c r="J37" i="10"/>
  <c r="J38" i="10"/>
  <c r="J39" i="10"/>
  <c r="J40" i="10"/>
  <c r="J41" i="10"/>
  <c r="J33" i="10"/>
  <c r="L21" i="10"/>
  <c r="J22" i="10"/>
  <c r="J23" i="10"/>
  <c r="J24" i="10"/>
  <c r="J25" i="10"/>
  <c r="J26" i="10"/>
  <c r="J27" i="10"/>
  <c r="J28" i="10"/>
  <c r="J29" i="10"/>
  <c r="J21" i="10"/>
  <c r="B21" i="10"/>
  <c r="C21" i="10"/>
  <c r="D21" i="10"/>
  <c r="L58" i="10" l="1"/>
  <c r="L59" i="10"/>
  <c r="L60" i="10"/>
  <c r="L61" i="10"/>
  <c r="L62" i="10"/>
  <c r="L63" i="10"/>
  <c r="L64" i="10"/>
  <c r="L65" i="10"/>
  <c r="L57" i="10"/>
  <c r="D57" i="10" s="1"/>
  <c r="E65" i="10"/>
  <c r="E64" i="10"/>
  <c r="E63" i="10"/>
  <c r="E62" i="10"/>
  <c r="E61" i="10"/>
  <c r="E60" i="10"/>
  <c r="E59" i="10"/>
  <c r="E58" i="10"/>
  <c r="K57" i="10"/>
  <c r="I57" i="10"/>
  <c r="H57" i="10"/>
  <c r="C57" i="10"/>
  <c r="F48" i="10"/>
  <c r="F47" i="10"/>
  <c r="F46" i="10"/>
  <c r="C46" i="10"/>
  <c r="C47" i="10"/>
  <c r="C48" i="10"/>
  <c r="C49" i="10"/>
  <c r="C50" i="10"/>
  <c r="C51" i="10"/>
  <c r="C52" i="10"/>
  <c r="C53" i="10"/>
  <c r="C45" i="10"/>
  <c r="K45" i="10"/>
  <c r="B47" i="10"/>
  <c r="B36" i="10"/>
  <c r="B39" i="10"/>
  <c r="L53" i="10"/>
  <c r="E53" i="10"/>
  <c r="D53" i="10"/>
  <c r="L52" i="10"/>
  <c r="E52" i="10"/>
  <c r="D52" i="10"/>
  <c r="L51" i="10"/>
  <c r="E51" i="10"/>
  <c r="D51" i="10"/>
  <c r="L50" i="10"/>
  <c r="E50" i="10"/>
  <c r="D50" i="10"/>
  <c r="L49" i="10"/>
  <c r="E49" i="10"/>
  <c r="D49" i="10"/>
  <c r="L48" i="10"/>
  <c r="E48" i="10"/>
  <c r="D48" i="10"/>
  <c r="L47" i="10"/>
  <c r="E47" i="10"/>
  <c r="D47" i="10"/>
  <c r="L46" i="10"/>
  <c r="E46" i="10"/>
  <c r="D46" i="10"/>
  <c r="L45" i="10"/>
  <c r="B48" i="10"/>
  <c r="I45" i="10"/>
  <c r="H45" i="10"/>
  <c r="D45" i="10"/>
  <c r="K33" i="10"/>
  <c r="B35" i="10"/>
  <c r="L41" i="10"/>
  <c r="L40" i="10"/>
  <c r="L39" i="10"/>
  <c r="L38" i="10"/>
  <c r="L37" i="10"/>
  <c r="L36" i="10"/>
  <c r="L35" i="10"/>
  <c r="L34" i="10"/>
  <c r="L33" i="10"/>
  <c r="H33" i="10"/>
  <c r="I33" i="10" s="1"/>
  <c r="D41" i="10"/>
  <c r="D40" i="10"/>
  <c r="D39" i="10"/>
  <c r="D38" i="10"/>
  <c r="D37" i="10"/>
  <c r="D36" i="10"/>
  <c r="D35" i="10"/>
  <c r="D34" i="10"/>
  <c r="D33" i="10"/>
  <c r="C33" i="10"/>
  <c r="H14" i="10"/>
  <c r="I14" i="10"/>
  <c r="H13" i="10"/>
  <c r="I13" i="10"/>
  <c r="G13" i="10"/>
  <c r="G14" i="10" s="1"/>
  <c r="I11" i="10"/>
  <c r="H11" i="10"/>
  <c r="C13" i="10"/>
  <c r="M4" i="11"/>
  <c r="B38" i="10" l="1"/>
  <c r="B37" i="10"/>
  <c r="B33" i="10"/>
  <c r="C35" i="10" s="1"/>
  <c r="F35" i="10" s="1"/>
  <c r="K35" i="10" s="1"/>
  <c r="B41" i="10"/>
  <c r="C41" i="10" s="1"/>
  <c r="F41" i="10" s="1"/>
  <c r="K41" i="10" s="1"/>
  <c r="B45" i="10"/>
  <c r="B52" i="10"/>
  <c r="B51" i="10"/>
  <c r="B49" i="10"/>
  <c r="B50" i="10"/>
  <c r="B53" i="10"/>
  <c r="B46" i="10"/>
  <c r="B40" i="10"/>
  <c r="C40" i="10" s="1"/>
  <c r="F40" i="10" s="1"/>
  <c r="K40" i="10" s="1"/>
  <c r="D60" i="10"/>
  <c r="D58" i="10"/>
  <c r="D61" i="10"/>
  <c r="D62" i="10"/>
  <c r="D63" i="10"/>
  <c r="D64" i="10"/>
  <c r="D59" i="10"/>
  <c r="D65" i="10"/>
  <c r="F50" i="10"/>
  <c r="K50" i="10" s="1"/>
  <c r="H48" i="10"/>
  <c r="I48" i="10" s="1"/>
  <c r="K46" i="10"/>
  <c r="F53" i="10"/>
  <c r="K53" i="10" s="1"/>
  <c r="K47" i="10"/>
  <c r="F49" i="10"/>
  <c r="H49" i="10" s="1"/>
  <c r="I49" i="10" s="1"/>
  <c r="F51" i="10"/>
  <c r="K51" i="10" s="1"/>
  <c r="F52" i="10"/>
  <c r="K52" i="10" s="1"/>
  <c r="H53" i="10"/>
  <c r="I53" i="10" s="1"/>
  <c r="H50" i="10"/>
  <c r="I50" i="10" s="1"/>
  <c r="I21" i="10"/>
  <c r="K21" i="10"/>
  <c r="E22" i="10"/>
  <c r="L22" i="10"/>
  <c r="L23" i="10"/>
  <c r="L24" i="10"/>
  <c r="L25" i="10"/>
  <c r="L26" i="10"/>
  <c r="L27" i="10"/>
  <c r="L28" i="10"/>
  <c r="L29" i="10"/>
  <c r="C34" i="10" l="1"/>
  <c r="F34" i="10" s="1"/>
  <c r="H34" i="10" s="1"/>
  <c r="I34" i="10" s="1"/>
  <c r="H40" i="10"/>
  <c r="I40" i="10" s="1"/>
  <c r="C37" i="10"/>
  <c r="F37" i="10" s="1"/>
  <c r="C39" i="10"/>
  <c r="F39" i="10" s="1"/>
  <c r="H39" i="10" s="1"/>
  <c r="I39" i="10" s="1"/>
  <c r="C36" i="10"/>
  <c r="F36" i="10" s="1"/>
  <c r="C38" i="10"/>
  <c r="F38" i="10" s="1"/>
  <c r="K38" i="10" s="1"/>
  <c r="B22" i="10"/>
  <c r="B63" i="10"/>
  <c r="B57" i="10"/>
  <c r="B60" i="10"/>
  <c r="C60" i="10" s="1"/>
  <c r="F60" i="10" s="1"/>
  <c r="B64" i="10"/>
  <c r="B65" i="10"/>
  <c r="B61" i="10"/>
  <c r="B58" i="10"/>
  <c r="B62" i="10"/>
  <c r="B59" i="10"/>
  <c r="C59" i="10" s="1"/>
  <c r="F59" i="10" s="1"/>
  <c r="H46" i="10"/>
  <c r="I46" i="10" s="1"/>
  <c r="H47" i="10"/>
  <c r="I47" i="10" s="1"/>
  <c r="K48" i="10"/>
  <c r="H51" i="10"/>
  <c r="I51" i="10" s="1"/>
  <c r="K49" i="10"/>
  <c r="H52" i="10"/>
  <c r="I52" i="10" s="1"/>
  <c r="K34" i="10"/>
  <c r="H35" i="10"/>
  <c r="I35" i="10" s="1"/>
  <c r="H41" i="10"/>
  <c r="I41" i="10" s="1"/>
  <c r="B24" i="10"/>
  <c r="B27" i="10"/>
  <c r="B26" i="10"/>
  <c r="B25" i="10"/>
  <c r="B29" i="10"/>
  <c r="B23" i="10"/>
  <c r="B28" i="10"/>
  <c r="D28" i="10"/>
  <c r="D23" i="10"/>
  <c r="D29" i="10"/>
  <c r="D24" i="10"/>
  <c r="D22" i="10"/>
  <c r="D25" i="10"/>
  <c r="D26" i="10"/>
  <c r="D27" i="10"/>
  <c r="E13" i="10"/>
  <c r="E14" i="10" s="1"/>
  <c r="E15" i="10" s="1"/>
  <c r="E16" i="10" s="1"/>
  <c r="E17" i="10" s="1"/>
  <c r="D15" i="10"/>
  <c r="D16" i="10"/>
  <c r="H36" i="10" l="1"/>
  <c r="I36" i="10" s="1"/>
  <c r="K36" i="10"/>
  <c r="H38" i="10"/>
  <c r="I38" i="10" s="1"/>
  <c r="K37" i="10"/>
  <c r="H37" i="10"/>
  <c r="I37" i="10" s="1"/>
  <c r="K39" i="10"/>
  <c r="K60" i="10"/>
  <c r="H60" i="10"/>
  <c r="I60" i="10" s="1"/>
  <c r="C65" i="10"/>
  <c r="F65" i="10" s="1"/>
  <c r="C62" i="10"/>
  <c r="F62" i="10" s="1"/>
  <c r="C64" i="10"/>
  <c r="F64" i="10" s="1"/>
  <c r="K59" i="10"/>
  <c r="H59" i="10"/>
  <c r="I59" i="10" s="1"/>
  <c r="C58" i="10"/>
  <c r="F58" i="10" s="1"/>
  <c r="C61" i="10"/>
  <c r="F61" i="10" s="1"/>
  <c r="C63" i="10"/>
  <c r="F63" i="10" s="1"/>
  <c r="C14" i="10"/>
  <c r="C15" i="10" s="1"/>
  <c r="C16" i="10" s="1"/>
  <c r="C26" i="10"/>
  <c r="C25" i="10"/>
  <c r="C28" i="10"/>
  <c r="C24" i="10"/>
  <c r="C23" i="10"/>
  <c r="C22" i="10"/>
  <c r="F22" i="10" s="1"/>
  <c r="C29" i="10"/>
  <c r="C27" i="10"/>
  <c r="K64" i="10" l="1"/>
  <c r="H64" i="10"/>
  <c r="I64" i="10" s="1"/>
  <c r="K63" i="10"/>
  <c r="H63" i="10"/>
  <c r="I63" i="10" s="1"/>
  <c r="K62" i="10"/>
  <c r="H62" i="10"/>
  <c r="I62" i="10" s="1"/>
  <c r="K61" i="10"/>
  <c r="H61" i="10"/>
  <c r="I61" i="10" s="1"/>
  <c r="K58" i="10"/>
  <c r="H58" i="10"/>
  <c r="I58" i="10" s="1"/>
  <c r="K65" i="10"/>
  <c r="H65" i="10"/>
  <c r="I65" i="10" s="1"/>
  <c r="I4" i="11"/>
  <c r="G4" i="11"/>
  <c r="J4" i="11" s="1"/>
  <c r="B4" i="11"/>
  <c r="C17" i="10"/>
  <c r="E29" i="10"/>
  <c r="E26" i="10"/>
  <c r="E23" i="10"/>
  <c r="E27" i="10"/>
  <c r="D13" i="10"/>
  <c r="D14" i="10" s="1"/>
  <c r="B13" i="10"/>
  <c r="B14" i="10" s="1"/>
  <c r="B15" i="10" s="1"/>
  <c r="E4" i="11" l="1"/>
  <c r="K4" i="11" s="1"/>
  <c r="L4" i="11"/>
  <c r="B17" i="10"/>
  <c r="F26" i="10"/>
  <c r="K26" i="10" s="1"/>
  <c r="F23" i="10"/>
  <c r="K23" i="10" s="1"/>
  <c r="F25" i="10"/>
  <c r="K25" i="10" s="1"/>
  <c r="F24" i="10"/>
  <c r="K24" i="10" s="1"/>
  <c r="F29" i="10"/>
  <c r="K29" i="10" s="1"/>
  <c r="F28" i="10"/>
  <c r="K28" i="10" s="1"/>
  <c r="K22" i="10"/>
  <c r="F27" i="10"/>
  <c r="K27" i="10" s="1"/>
  <c r="E25" i="10"/>
  <c r="E28" i="10"/>
  <c r="E24" i="10"/>
  <c r="H25" i="10" l="1"/>
  <c r="H23" i="10"/>
  <c r="I23" i="10" s="1"/>
  <c r="H26" i="10"/>
  <c r="H28" i="10"/>
  <c r="H22" i="10"/>
  <c r="I22" i="10" s="1"/>
  <c r="H24" i="10"/>
  <c r="I24" i="10" s="1"/>
  <c r="H27" i="10"/>
  <c r="H29" i="10"/>
  <c r="B8" i="12" l="1"/>
  <c r="C8" i="12"/>
  <c r="C10" i="12" s="1"/>
  <c r="C12" i="12" s="1"/>
  <c r="C14" i="12" s="1"/>
  <c r="H21" i="10"/>
  <c r="D8" i="12" l="1"/>
  <c r="D10" i="12" s="1"/>
  <c r="D12" i="12" s="1"/>
  <c r="D14" i="12" s="1"/>
  <c r="B10" i="12"/>
  <c r="B12" i="12" s="1"/>
  <c r="B14" i="12" s="1"/>
  <c r="I26" i="10"/>
  <c r="I27" i="10"/>
  <c r="I28" i="10"/>
  <c r="I25" i="10"/>
  <c r="I29" i="10"/>
  <c r="A14" i="12" l="1"/>
</calcChain>
</file>

<file path=xl/sharedStrings.xml><?xml version="1.0" encoding="utf-8"?>
<sst xmlns="http://schemas.openxmlformats.org/spreadsheetml/2006/main" count="143" uniqueCount="84">
  <si>
    <t>Physiochemical Properties</t>
  </si>
  <si>
    <t>Chemical</t>
  </si>
  <si>
    <t>RMM (g/mol)</t>
  </si>
  <si>
    <t>Density (g/mL)</t>
  </si>
  <si>
    <t xml:space="preserve">Conversion </t>
  </si>
  <si>
    <t>Stock Solutions</t>
  </si>
  <si>
    <t>Moles (mmol)</t>
  </si>
  <si>
    <t>Desired Volume (mL)</t>
  </si>
  <si>
    <t>Desired Concentration (M)</t>
  </si>
  <si>
    <t>Mass (g)</t>
  </si>
  <si>
    <t>Volume (mL)</t>
  </si>
  <si>
    <t>V(total) (uL)</t>
  </si>
  <si>
    <t>Concentration based on Stock Solutions</t>
  </si>
  <si>
    <t>Stock Solution Aliquots</t>
  </si>
  <si>
    <t>Master Stocks</t>
  </si>
  <si>
    <t>Benzaldehyde</t>
  </si>
  <si>
    <t>Ethyl Cyanoacetate</t>
  </si>
  <si>
    <t>DBU</t>
  </si>
  <si>
    <t>[Benzaldehyde] (M)</t>
  </si>
  <si>
    <t>[ECA] (M)</t>
  </si>
  <si>
    <t>[DBU] (M)</t>
  </si>
  <si>
    <t>-</t>
  </si>
  <si>
    <t>Reaction Solution (Std)</t>
  </si>
  <si>
    <t>[135-TMB] (M)</t>
  </si>
  <si>
    <t>Stock Solution</t>
  </si>
  <si>
    <t>∫135-TMB</t>
  </si>
  <si>
    <t>∫Benzaldehyde</t>
  </si>
  <si>
    <t>135-TMB (g)</t>
  </si>
  <si>
    <t>135-TMB (mmol)</t>
  </si>
  <si>
    <t>Benzaldehyde (mmol)</t>
  </si>
  <si>
    <t>Amount of [A]</t>
  </si>
  <si>
    <t xml:space="preserve">Stock Volume </t>
  </si>
  <si>
    <t>DMSO (g)</t>
  </si>
  <si>
    <t>DMSO (mL)</t>
  </si>
  <si>
    <t>Benzaldehyde (g)</t>
  </si>
  <si>
    <t>Benzaldehyde (mL)</t>
  </si>
  <si>
    <t>Total V (mL)</t>
  </si>
  <si>
    <t>Stock Concentration</t>
  </si>
  <si>
    <t>Rxn Voume (mL)</t>
  </si>
  <si>
    <t>[Benzaldehyde] (mmol)</t>
  </si>
  <si>
    <t>[ECA] (mmol)</t>
  </si>
  <si>
    <t>[DBU] (mmol)</t>
  </si>
  <si>
    <t>[Benzaldehyde] (g)</t>
  </si>
  <si>
    <t>[ECA] (g)</t>
  </si>
  <si>
    <t>[DBU] (g)</t>
  </si>
  <si>
    <t>[Benzaldehyde] (mL)</t>
  </si>
  <si>
    <t>[ECA] (mL)</t>
  </si>
  <si>
    <t>[DBU] (mL)</t>
  </si>
  <si>
    <t>DMSO Corrected (mL)</t>
  </si>
  <si>
    <t xml:space="preserve"> </t>
  </si>
  <si>
    <t>2-Chlorobenzaldehyde</t>
  </si>
  <si>
    <t>Acetone</t>
  </si>
  <si>
    <t>L-Proline</t>
  </si>
  <si>
    <t>Water</t>
  </si>
  <si>
    <t>[Aldehyde] (M)</t>
  </si>
  <si>
    <t>[Ketone] (M)</t>
  </si>
  <si>
    <t>[Proline] (M)</t>
  </si>
  <si>
    <t>Concentration based on Diluted Reaction Slug</t>
  </si>
  <si>
    <t>[Ald] (M)</t>
  </si>
  <si>
    <t>[Ket] (M)</t>
  </si>
  <si>
    <t>[Cat] (M)</t>
  </si>
  <si>
    <t>Aldehyde (uL)</t>
  </si>
  <si>
    <t>Ketone (uL)</t>
  </si>
  <si>
    <t>Cat (uL)</t>
  </si>
  <si>
    <t>DMSO (uL)</t>
  </si>
  <si>
    <t>DMSO</t>
  </si>
  <si>
    <t>Aq. DMSO</t>
  </si>
  <si>
    <t>Slug Volume (uL)</t>
  </si>
  <si>
    <t>Valve Delay (min)</t>
  </si>
  <si>
    <t>Mass Solvent (g)</t>
  </si>
  <si>
    <t>Slug Concentration t(0)</t>
  </si>
  <si>
    <t>Corrected Solvent Vol (mL)*</t>
  </si>
  <si>
    <t>Diluted Stocks</t>
  </si>
  <si>
    <t>V2</t>
  </si>
  <si>
    <t>C2</t>
  </si>
  <si>
    <t>V1</t>
  </si>
  <si>
    <t>Solvent (mL)</t>
  </si>
  <si>
    <t>Reaction Solution (A)</t>
  </si>
  <si>
    <t>Reaction Solution (B)</t>
  </si>
  <si>
    <t>Reaction Solution (cat)</t>
  </si>
  <si>
    <t>R1</t>
  </si>
  <si>
    <t>R2</t>
  </si>
  <si>
    <t>R3</t>
  </si>
  <si>
    <t>Excess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</si>
</sst>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#,##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13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0" xfId="0" applyFont="1"/>
    <xf numFmtId="0" fontId="1" fillId="2" borderId="15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11" xfId="0" applyFont="1" applyBorder="1"/>
    <xf numFmtId="0" fontId="1" fillId="0" borderId="1" xfId="0" applyFont="1" applyBorder="1" applyAlignment="1">
      <alignment horizontal="center"/>
    </xf>
    <xf numFmtId="0" fontId="1" fillId="2" borderId="10" xfId="0" applyFont="1" applyFill="1" applyBorder="1"/>
    <xf numFmtId="0" fontId="1" fillId="2" borderId="12" xfId="0" applyFont="1" applyFill="1" applyBorder="1"/>
    <xf numFmtId="0" fontId="1" fillId="2" borderId="11" xfId="0" applyFont="1" applyFill="1" applyBorder="1"/>
    <xf numFmtId="0" fontId="1" fillId="0" borderId="10" xfId="0" applyFont="1" applyBorder="1"/>
    <xf numFmtId="0" fontId="1" fillId="0" borderId="12" xfId="0" applyFont="1" applyBorder="1"/>
    <xf numFmtId="0" fontId="4" fillId="2" borderId="15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4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/>
    </xf>
    <xf numFmtId="0" fontId="0" fillId="0" borderId="11" xfId="0" applyBorder="1"/>
    <xf numFmtId="0" fontId="6" fillId="0" borderId="0" xfId="0" applyFont="1" applyAlignment="1">
      <alignment horizontal="center"/>
    </xf>
    <xf numFmtId="0" fontId="1" fillId="0" borderId="15" xfId="0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3AE7E-DC48-45EF-A68E-202C1874A068}">
  <sheetPr>
    <pageSetUpPr fitToPage="1"/>
  </sheetPr>
  <dimension ref="A1:P65"/>
  <sheetViews>
    <sheetView tabSelected="1" topLeftCell="A19" zoomScale="85" zoomScaleNormal="85" workbookViewId="0">
      <selection activeCell="O25" sqref="O25"/>
    </sheetView>
  </sheetViews>
  <sheetFormatPr defaultRowHeight="15" x14ac:dyDescent="0.25"/>
  <cols>
    <col min="1" max="1" width="27.140625" style="5" bestFit="1" customWidth="1"/>
    <col min="2" max="2" width="22.140625" style="5" customWidth="1"/>
    <col min="3" max="3" width="18.140625" style="5" bestFit="1" customWidth="1"/>
    <col min="4" max="4" width="18.85546875" style="5" bestFit="1" customWidth="1"/>
    <col min="5" max="5" width="21.85546875" style="5" bestFit="1" customWidth="1"/>
    <col min="6" max="6" width="12.140625" bestFit="1" customWidth="1"/>
    <col min="7" max="7" width="15" style="5" bestFit="1" customWidth="1"/>
    <col min="8" max="8" width="15.28515625" style="5" bestFit="1" customWidth="1"/>
    <col min="9" max="9" width="13.85546875" style="5" bestFit="1" customWidth="1"/>
    <col min="10" max="10" width="21" style="5" customWidth="1"/>
    <col min="11" max="11" width="13.5703125" style="5" customWidth="1"/>
    <col min="12" max="12" width="19.42578125" style="5" bestFit="1" customWidth="1"/>
    <col min="13" max="13" width="19.5703125" bestFit="1" customWidth="1"/>
    <col min="14" max="14" width="21.7109375" bestFit="1" customWidth="1"/>
    <col min="15" max="15" width="12.28515625" bestFit="1" customWidth="1"/>
    <col min="16" max="16" width="21.5703125" bestFit="1" customWidth="1"/>
    <col min="17" max="17" width="21.140625" bestFit="1" customWidth="1"/>
  </cols>
  <sheetData>
    <row r="1" spans="1:16" x14ac:dyDescent="0.25">
      <c r="A1" s="26" t="s">
        <v>0</v>
      </c>
      <c r="B1" s="19"/>
      <c r="C1" s="19"/>
      <c r="F1" s="5"/>
      <c r="M1" s="5"/>
      <c r="N1" s="5"/>
      <c r="O1" s="5"/>
      <c r="P1" s="5"/>
    </row>
    <row r="2" spans="1:16" x14ac:dyDescent="0.25">
      <c r="A2" s="26" t="s">
        <v>1</v>
      </c>
      <c r="B2" s="26" t="s">
        <v>2</v>
      </c>
      <c r="C2" s="26" t="s">
        <v>3</v>
      </c>
      <c r="F2" s="5"/>
      <c r="M2" s="5"/>
      <c r="N2" s="5"/>
      <c r="O2" s="5"/>
      <c r="P2" s="5"/>
    </row>
    <row r="3" spans="1:16" x14ac:dyDescent="0.25">
      <c r="A3" s="1" t="s">
        <v>50</v>
      </c>
      <c r="B3" s="2">
        <v>140.57</v>
      </c>
      <c r="C3" s="3">
        <v>1.25</v>
      </c>
      <c r="F3" s="5"/>
      <c r="M3" s="5"/>
      <c r="N3" s="5"/>
      <c r="O3" s="5"/>
      <c r="P3" s="5"/>
    </row>
    <row r="4" spans="1:16" x14ac:dyDescent="0.25">
      <c r="A4" s="4" t="s">
        <v>51</v>
      </c>
      <c r="B4" s="5">
        <v>58.08</v>
      </c>
      <c r="C4" s="6">
        <v>0.78400000000000003</v>
      </c>
      <c r="F4" s="5"/>
      <c r="M4" s="5"/>
      <c r="N4" s="5"/>
      <c r="O4" s="5"/>
      <c r="P4" s="5"/>
    </row>
    <row r="5" spans="1:16" x14ac:dyDescent="0.25">
      <c r="A5" s="4" t="s">
        <v>53</v>
      </c>
      <c r="B5" s="5">
        <v>18.02</v>
      </c>
      <c r="C5" s="6">
        <v>0.997</v>
      </c>
      <c r="F5" s="5"/>
      <c r="M5" s="5"/>
      <c r="N5" s="5"/>
      <c r="O5" s="5"/>
      <c r="P5" s="5"/>
    </row>
    <row r="6" spans="1:16" x14ac:dyDescent="0.25">
      <c r="A6" s="4" t="s">
        <v>52</v>
      </c>
      <c r="B6" s="5">
        <v>115.13</v>
      </c>
      <c r="C6" s="6" t="s">
        <v>21</v>
      </c>
      <c r="F6" s="5"/>
      <c r="M6" s="5"/>
      <c r="N6" s="5"/>
      <c r="O6" s="5"/>
      <c r="P6" s="5"/>
    </row>
    <row r="7" spans="1:16" x14ac:dyDescent="0.25">
      <c r="A7" s="15" t="s">
        <v>65</v>
      </c>
      <c r="B7" s="7">
        <v>78.13</v>
      </c>
      <c r="C7" s="8">
        <v>1.1000000000000001</v>
      </c>
      <c r="M7" s="19"/>
      <c r="N7" s="19"/>
      <c r="P7" s="5"/>
    </row>
    <row r="8" spans="1:16" x14ac:dyDescent="0.25">
      <c r="P8" s="5"/>
    </row>
    <row r="9" spans="1:16" x14ac:dyDescent="0.25">
      <c r="B9" s="30" t="s">
        <v>14</v>
      </c>
      <c r="C9" s="31"/>
      <c r="D9" s="25"/>
      <c r="E9"/>
      <c r="G9" s="19" t="s">
        <v>72</v>
      </c>
      <c r="H9" s="19"/>
      <c r="I9" s="19"/>
      <c r="J9" s="19"/>
      <c r="K9" s="19"/>
      <c r="L9" s="19"/>
      <c r="M9" s="12"/>
      <c r="N9" s="12"/>
      <c r="P9" s="5"/>
    </row>
    <row r="10" spans="1:16" x14ac:dyDescent="0.25">
      <c r="A10" s="11" t="s">
        <v>5</v>
      </c>
      <c r="B10" s="9" t="s">
        <v>54</v>
      </c>
      <c r="C10" s="9" t="s">
        <v>55</v>
      </c>
      <c r="D10" s="9" t="s">
        <v>56</v>
      </c>
      <c r="E10" s="9" t="s">
        <v>66</v>
      </c>
      <c r="G10" s="20" t="s">
        <v>54</v>
      </c>
      <c r="H10" s="20" t="s">
        <v>55</v>
      </c>
      <c r="I10" s="20" t="s">
        <v>56</v>
      </c>
      <c r="J10" s="12"/>
      <c r="K10" s="12"/>
      <c r="L10" s="12"/>
      <c r="M10" s="12"/>
      <c r="N10" s="12"/>
      <c r="P10" s="5"/>
    </row>
    <row r="11" spans="1:16" x14ac:dyDescent="0.25">
      <c r="A11" s="1" t="s">
        <v>8</v>
      </c>
      <c r="B11" s="1">
        <v>2.25</v>
      </c>
      <c r="C11" s="21">
        <v>2.25</v>
      </c>
      <c r="D11" s="16">
        <v>0.9</v>
      </c>
      <c r="E11" s="4">
        <v>0.08</v>
      </c>
      <c r="F11" s="66" t="s">
        <v>74</v>
      </c>
      <c r="G11" s="1">
        <v>1.5</v>
      </c>
      <c r="H11" s="21">
        <f>C11*(0.1/0.15)</f>
        <v>1.5000000000000002</v>
      </c>
      <c r="I11" s="50">
        <f>D11*(0.01/0.02)</f>
        <v>0.45</v>
      </c>
      <c r="J11" s="12"/>
      <c r="K11" s="12"/>
      <c r="L11" s="12"/>
      <c r="M11" s="12"/>
      <c r="N11" s="12"/>
      <c r="P11" s="5"/>
    </row>
    <row r="12" spans="1:16" x14ac:dyDescent="0.25">
      <c r="A12" s="4" t="s">
        <v>7</v>
      </c>
      <c r="B12" s="4">
        <v>4</v>
      </c>
      <c r="C12" s="12">
        <v>4</v>
      </c>
      <c r="D12" s="16">
        <v>4</v>
      </c>
      <c r="E12" s="4">
        <v>500</v>
      </c>
      <c r="F12" s="58" t="s">
        <v>73</v>
      </c>
      <c r="G12" s="4">
        <v>2</v>
      </c>
      <c r="H12" s="12">
        <v>2</v>
      </c>
      <c r="I12" s="16">
        <v>2</v>
      </c>
      <c r="J12" s="12"/>
      <c r="K12" s="12"/>
      <c r="L12" s="12"/>
      <c r="M12" s="5"/>
      <c r="N12" s="5"/>
      <c r="P12" s="5"/>
    </row>
    <row r="13" spans="1:16" x14ac:dyDescent="0.25">
      <c r="A13" s="4" t="s">
        <v>6</v>
      </c>
      <c r="B13" s="10">
        <f>B11*B12</f>
        <v>9</v>
      </c>
      <c r="C13" s="5">
        <f>C11*C12</f>
        <v>9</v>
      </c>
      <c r="D13" s="6">
        <f>D11*D12</f>
        <v>3.6</v>
      </c>
      <c r="E13" s="10">
        <f>E11*E12</f>
        <v>40</v>
      </c>
      <c r="F13" s="58" t="s">
        <v>75</v>
      </c>
      <c r="G13" s="10">
        <f>(G11*G12)/B11</f>
        <v>1.3333333333333333</v>
      </c>
      <c r="H13" s="5">
        <f t="shared" ref="H13:I13" si="0">(H11*H12)/C11</f>
        <v>1.3333333333333335</v>
      </c>
      <c r="I13" s="6">
        <f t="shared" si="0"/>
        <v>1</v>
      </c>
      <c r="M13" s="5"/>
      <c r="N13" s="5"/>
      <c r="P13" s="5"/>
    </row>
    <row r="14" spans="1:16" x14ac:dyDescent="0.25">
      <c r="A14" s="4" t="s">
        <v>9</v>
      </c>
      <c r="B14" s="4">
        <f>(B13/1000)*B3</f>
        <v>1.2651299999999999</v>
      </c>
      <c r="C14" s="12">
        <f>(C13/1000)*B4</f>
        <v>0.52271999999999996</v>
      </c>
      <c r="D14" s="16">
        <f>(D13/1000)*B6</f>
        <v>0.41446799999999995</v>
      </c>
      <c r="E14" s="4">
        <f>(E13/1000)*B5</f>
        <v>0.7208</v>
      </c>
      <c r="F14" s="53" t="s">
        <v>76</v>
      </c>
      <c r="G14" s="51">
        <f>G12-G13</f>
        <v>0.66666666666666674</v>
      </c>
      <c r="H14" s="7">
        <f t="shared" ref="H14:I14" si="1">H12-H13</f>
        <v>0.66666666666666652</v>
      </c>
      <c r="I14" s="8">
        <f t="shared" si="1"/>
        <v>1</v>
      </c>
      <c r="M14" s="5"/>
      <c r="N14" s="5"/>
      <c r="P14" s="5"/>
    </row>
    <row r="15" spans="1:16" x14ac:dyDescent="0.25">
      <c r="A15" s="4" t="s">
        <v>10</v>
      </c>
      <c r="B15" s="4">
        <f>B14/$C3</f>
        <v>1.0121039999999999</v>
      </c>
      <c r="C15" s="12">
        <f>C14/$C4</f>
        <v>0.66673469387755091</v>
      </c>
      <c r="D15" s="16">
        <f>D12</f>
        <v>4</v>
      </c>
      <c r="E15" s="58">
        <f>E14/$C5</f>
        <v>0.72296890672016045</v>
      </c>
      <c r="M15" s="5"/>
      <c r="N15" s="5"/>
      <c r="P15" s="5"/>
    </row>
    <row r="16" spans="1:16" x14ac:dyDescent="0.25">
      <c r="A16" s="15" t="s">
        <v>71</v>
      </c>
      <c r="B16" s="15">
        <f>B12-B15</f>
        <v>2.9878960000000001</v>
      </c>
      <c r="C16" s="15">
        <f>C12-C15</f>
        <v>3.3332653061224491</v>
      </c>
      <c r="D16" s="39">
        <f>D12</f>
        <v>4</v>
      </c>
      <c r="E16" s="53">
        <f>E12-E15</f>
        <v>499.27703109327985</v>
      </c>
      <c r="M16" s="5"/>
      <c r="N16" s="5"/>
      <c r="O16" s="5"/>
      <c r="P16" s="5"/>
    </row>
    <row r="17" spans="1:15" x14ac:dyDescent="0.25">
      <c r="A17" s="26" t="s">
        <v>69</v>
      </c>
      <c r="B17" s="60">
        <f>($C$7*B16)</f>
        <v>3.2866856000000002</v>
      </c>
      <c r="C17" s="60">
        <f>($C$7*C16)</f>
        <v>3.6665918367346944</v>
      </c>
      <c r="D17" s="59" t="s">
        <v>21</v>
      </c>
      <c r="E17" s="57">
        <f>($C$5*E16)</f>
        <v>497.7792</v>
      </c>
    </row>
    <row r="19" spans="1:15" x14ac:dyDescent="0.25">
      <c r="A19" s="14" t="s">
        <v>22</v>
      </c>
      <c r="B19" s="27" t="s">
        <v>12</v>
      </c>
      <c r="C19" s="28"/>
      <c r="D19" s="29"/>
      <c r="E19" s="27" t="s">
        <v>13</v>
      </c>
      <c r="F19" s="28"/>
      <c r="G19" s="28"/>
      <c r="H19" s="28"/>
      <c r="I19" s="29"/>
      <c r="J19" s="27" t="s">
        <v>57</v>
      </c>
      <c r="K19" s="28"/>
      <c r="L19" s="29"/>
      <c r="M19" s="56" t="s">
        <v>68</v>
      </c>
      <c r="N19" s="61" t="s">
        <v>67</v>
      </c>
    </row>
    <row r="20" spans="1:15" x14ac:dyDescent="0.25">
      <c r="A20" s="20" t="s">
        <v>4</v>
      </c>
      <c r="B20" s="32" t="s">
        <v>58</v>
      </c>
      <c r="C20" s="32" t="s">
        <v>59</v>
      </c>
      <c r="D20" s="32" t="s">
        <v>60</v>
      </c>
      <c r="E20" s="33" t="s">
        <v>61</v>
      </c>
      <c r="F20" s="33" t="s">
        <v>62</v>
      </c>
      <c r="G20" s="33" t="s">
        <v>63</v>
      </c>
      <c r="H20" s="33" t="s">
        <v>11</v>
      </c>
      <c r="I20" s="63" t="s">
        <v>64</v>
      </c>
      <c r="J20" s="34" t="s">
        <v>58</v>
      </c>
      <c r="K20" s="34" t="s">
        <v>59</v>
      </c>
      <c r="L20" s="34" t="s">
        <v>60</v>
      </c>
      <c r="M20" s="54">
        <v>0.3</v>
      </c>
      <c r="N20" s="48">
        <v>150</v>
      </c>
    </row>
    <row r="21" spans="1:15" x14ac:dyDescent="0.25">
      <c r="A21" s="35">
        <v>0</v>
      </c>
      <c r="B21" s="36">
        <f>$J$21-($J$21*A21)</f>
        <v>0.1</v>
      </c>
      <c r="C21" s="37">
        <f>$K$21-($K$21*A21)</f>
        <v>0.15</v>
      </c>
      <c r="D21" s="3">
        <f>$L$21-($L$21*A21)</f>
        <v>2.0399999999999998E-2</v>
      </c>
      <c r="E21" s="69">
        <v>10</v>
      </c>
      <c r="F21" s="70">
        <v>10</v>
      </c>
      <c r="G21" s="71">
        <v>3.4</v>
      </c>
      <c r="H21" s="69">
        <f t="shared" ref="H21:H29" si="2">SUM(E21:G21)</f>
        <v>23.4</v>
      </c>
      <c r="I21" s="72">
        <f>$H$21-H21</f>
        <v>0</v>
      </c>
      <c r="J21" s="55">
        <f>($G$11*(E21/1000))/($N$20/1000)</f>
        <v>0.1</v>
      </c>
      <c r="K21" s="2">
        <f>($C$11*(F21/1000))/($N$20/1000)</f>
        <v>0.15</v>
      </c>
      <c r="L21" s="3">
        <f>($D$11*(G21/1000))/($N$20/1000)</f>
        <v>2.0399999999999998E-2</v>
      </c>
      <c r="O21" s="19" t="s">
        <v>83</v>
      </c>
    </row>
    <row r="22" spans="1:15" x14ac:dyDescent="0.25">
      <c r="A22" s="13">
        <v>0.1</v>
      </c>
      <c r="B22" s="22">
        <f>$J$21-($J$21*A22)</f>
        <v>0.09</v>
      </c>
      <c r="C22" s="24">
        <f>$C$21-($B$21-B22)</f>
        <v>0.13999999999999999</v>
      </c>
      <c r="D22" s="6">
        <f>$D$21</f>
        <v>2.0399999999999998E-2</v>
      </c>
      <c r="E22" s="73">
        <f>$E$21*(1-A22)</f>
        <v>9</v>
      </c>
      <c r="F22" s="74">
        <f>(C22*$F$21)/$C$21</f>
        <v>9.3333333333333339</v>
      </c>
      <c r="G22" s="72">
        <v>3.4</v>
      </c>
      <c r="H22" s="73">
        <f t="shared" si="2"/>
        <v>21.733333333333334</v>
      </c>
      <c r="I22" s="72">
        <f>$H$21-H22</f>
        <v>1.6666666666666643</v>
      </c>
      <c r="J22" s="10">
        <f t="shared" ref="J22:J29" si="3">($G$11*(E22/1000))/($N$20/1000)</f>
        <v>0.09</v>
      </c>
      <c r="K22" s="5">
        <f t="shared" ref="K22:K29" si="4">($C$11*(F22/1000))/($N$20/1000)</f>
        <v>0.14000000000000001</v>
      </c>
      <c r="L22" s="6">
        <f t="shared" ref="L22:L29" si="5">($D$11*(G22/1000))/($N$20/1000)</f>
        <v>2.0399999999999998E-2</v>
      </c>
      <c r="N22" s="19" t="s">
        <v>80</v>
      </c>
      <c r="O22" s="78">
        <f>C21-B21</f>
        <v>4.9999999999999989E-2</v>
      </c>
    </row>
    <row r="23" spans="1:15" x14ac:dyDescent="0.25">
      <c r="A23" s="13">
        <v>0.2</v>
      </c>
      <c r="B23" s="22">
        <f t="shared" ref="B23:B29" si="6">$J$21-($J$21*A23)</f>
        <v>0.08</v>
      </c>
      <c r="C23" s="24">
        <f t="shared" ref="C23:C29" si="7">$C$21-($B$21-B23)</f>
        <v>0.13</v>
      </c>
      <c r="D23" s="6">
        <f t="shared" ref="D23:D29" si="8">$D$21</f>
        <v>2.0399999999999998E-2</v>
      </c>
      <c r="E23" s="73">
        <f t="shared" ref="E23:E29" si="9">$E$21*(1-A23)</f>
        <v>8</v>
      </c>
      <c r="F23" s="74">
        <f t="shared" ref="F23:F29" si="10">(C23*$F$21)/$C$21</f>
        <v>8.6666666666666679</v>
      </c>
      <c r="G23" s="72">
        <v>3.4</v>
      </c>
      <c r="H23" s="73">
        <f t="shared" si="2"/>
        <v>20.066666666666666</v>
      </c>
      <c r="I23" s="72">
        <f>$H$21-H23</f>
        <v>3.3333333333333321</v>
      </c>
      <c r="J23" s="10">
        <f t="shared" si="3"/>
        <v>0.08</v>
      </c>
      <c r="K23" s="5">
        <f t="shared" si="4"/>
        <v>0.13000000000000003</v>
      </c>
      <c r="L23" s="6">
        <f t="shared" si="5"/>
        <v>2.0399999999999998E-2</v>
      </c>
      <c r="N23" s="19" t="s">
        <v>81</v>
      </c>
      <c r="O23" s="78">
        <f>C33-B33</f>
        <v>0</v>
      </c>
    </row>
    <row r="24" spans="1:15" x14ac:dyDescent="0.25">
      <c r="A24" s="13">
        <v>0.3</v>
      </c>
      <c r="B24" s="22">
        <f t="shared" si="6"/>
        <v>7.0000000000000007E-2</v>
      </c>
      <c r="C24" s="24">
        <f t="shared" si="7"/>
        <v>0.12</v>
      </c>
      <c r="D24" s="6">
        <f t="shared" si="8"/>
        <v>2.0399999999999998E-2</v>
      </c>
      <c r="E24" s="73">
        <f t="shared" si="9"/>
        <v>7</v>
      </c>
      <c r="F24" s="74">
        <f t="shared" si="10"/>
        <v>8</v>
      </c>
      <c r="G24" s="72">
        <v>3.4</v>
      </c>
      <c r="H24" s="73">
        <f t="shared" si="2"/>
        <v>18.399999999999999</v>
      </c>
      <c r="I24" s="72">
        <f>$H$21-H24</f>
        <v>5</v>
      </c>
      <c r="J24" s="10">
        <f t="shared" si="3"/>
        <v>7.0000000000000007E-2</v>
      </c>
      <c r="K24" s="5">
        <f t="shared" si="4"/>
        <v>0.12000000000000002</v>
      </c>
      <c r="L24" s="6">
        <f t="shared" si="5"/>
        <v>2.0399999999999998E-2</v>
      </c>
      <c r="N24" s="19" t="s">
        <v>82</v>
      </c>
      <c r="O24" s="78">
        <f>C45-B45</f>
        <v>0</v>
      </c>
    </row>
    <row r="25" spans="1:15" x14ac:dyDescent="0.25">
      <c r="A25" s="13">
        <v>0.4</v>
      </c>
      <c r="B25" s="22">
        <f t="shared" si="6"/>
        <v>0.06</v>
      </c>
      <c r="C25" s="24">
        <f t="shared" si="7"/>
        <v>0.10999999999999999</v>
      </c>
      <c r="D25" s="6">
        <f t="shared" si="8"/>
        <v>2.0399999999999998E-2</v>
      </c>
      <c r="E25" s="73">
        <f t="shared" si="9"/>
        <v>6</v>
      </c>
      <c r="F25" s="74">
        <f t="shared" si="10"/>
        <v>7.333333333333333</v>
      </c>
      <c r="G25" s="72">
        <v>3.4</v>
      </c>
      <c r="H25" s="73">
        <f t="shared" si="2"/>
        <v>16.733333333333331</v>
      </c>
      <c r="I25" s="72">
        <f t="shared" ref="I25:I29" si="11">$H$21-H25</f>
        <v>6.6666666666666679</v>
      </c>
      <c r="J25" s="10">
        <f t="shared" si="3"/>
        <v>6.0000000000000012E-2</v>
      </c>
      <c r="K25" s="5">
        <f t="shared" si="4"/>
        <v>0.11000000000000001</v>
      </c>
      <c r="L25" s="6">
        <f t="shared" si="5"/>
        <v>2.0399999999999998E-2</v>
      </c>
    </row>
    <row r="26" spans="1:15" x14ac:dyDescent="0.25">
      <c r="A26" s="13">
        <v>0.5</v>
      </c>
      <c r="B26" s="22">
        <f t="shared" si="6"/>
        <v>0.05</v>
      </c>
      <c r="C26" s="24">
        <f t="shared" si="7"/>
        <v>9.9999999999999992E-2</v>
      </c>
      <c r="D26" s="6">
        <f t="shared" si="8"/>
        <v>2.0399999999999998E-2</v>
      </c>
      <c r="E26" s="73">
        <f t="shared" si="9"/>
        <v>5</v>
      </c>
      <c r="F26" s="74">
        <f t="shared" si="10"/>
        <v>6.6666666666666661</v>
      </c>
      <c r="G26" s="72">
        <v>3.4</v>
      </c>
      <c r="H26" s="73">
        <f t="shared" si="2"/>
        <v>15.066666666666666</v>
      </c>
      <c r="I26" s="72">
        <f t="shared" si="11"/>
        <v>8.3333333333333321</v>
      </c>
      <c r="J26" s="10">
        <f t="shared" si="3"/>
        <v>0.05</v>
      </c>
      <c r="K26" s="5">
        <f t="shared" si="4"/>
        <v>0.1</v>
      </c>
      <c r="L26" s="6">
        <f t="shared" si="5"/>
        <v>2.0399999999999998E-2</v>
      </c>
    </row>
    <row r="27" spans="1:15" x14ac:dyDescent="0.25">
      <c r="A27" s="17">
        <v>0.6</v>
      </c>
      <c r="B27" s="22">
        <f t="shared" si="6"/>
        <v>4.0000000000000008E-2</v>
      </c>
      <c r="C27" s="24">
        <f t="shared" si="7"/>
        <v>0.09</v>
      </c>
      <c r="D27" s="6">
        <f t="shared" si="8"/>
        <v>2.0399999999999998E-2</v>
      </c>
      <c r="E27" s="73">
        <f t="shared" si="9"/>
        <v>4</v>
      </c>
      <c r="F27" s="74">
        <f t="shared" si="10"/>
        <v>6</v>
      </c>
      <c r="G27" s="72">
        <v>3.4</v>
      </c>
      <c r="H27" s="73">
        <f t="shared" si="2"/>
        <v>13.4</v>
      </c>
      <c r="I27" s="72">
        <f t="shared" si="11"/>
        <v>9.9999999999999982</v>
      </c>
      <c r="J27" s="10">
        <f t="shared" si="3"/>
        <v>0.04</v>
      </c>
      <c r="K27" s="5">
        <f t="shared" si="4"/>
        <v>0.09</v>
      </c>
      <c r="L27" s="6">
        <f t="shared" si="5"/>
        <v>2.0399999999999998E-2</v>
      </c>
    </row>
    <row r="28" spans="1:15" x14ac:dyDescent="0.25">
      <c r="A28" s="17">
        <v>0.7</v>
      </c>
      <c r="B28" s="22">
        <f t="shared" si="6"/>
        <v>3.0000000000000013E-2</v>
      </c>
      <c r="C28" s="24">
        <f t="shared" si="7"/>
        <v>0.08</v>
      </c>
      <c r="D28" s="6">
        <f t="shared" si="8"/>
        <v>2.0399999999999998E-2</v>
      </c>
      <c r="E28" s="73">
        <f t="shared" si="9"/>
        <v>3.0000000000000004</v>
      </c>
      <c r="F28" s="74">
        <f t="shared" si="10"/>
        <v>5.3333333333333339</v>
      </c>
      <c r="G28" s="72">
        <v>3.4</v>
      </c>
      <c r="H28" s="73">
        <f t="shared" si="2"/>
        <v>11.733333333333334</v>
      </c>
      <c r="I28" s="72">
        <f t="shared" si="11"/>
        <v>11.666666666666664</v>
      </c>
      <c r="J28" s="10">
        <f t="shared" si="3"/>
        <v>3.0000000000000006E-2</v>
      </c>
      <c r="K28" s="5">
        <f t="shared" si="4"/>
        <v>8.0000000000000016E-2</v>
      </c>
      <c r="L28" s="6">
        <f t="shared" si="5"/>
        <v>2.0399999999999998E-2</v>
      </c>
    </row>
    <row r="29" spans="1:15" x14ac:dyDescent="0.25">
      <c r="A29" s="18">
        <v>0.8</v>
      </c>
      <c r="B29" s="38">
        <f t="shared" si="6"/>
        <v>1.999999999999999E-2</v>
      </c>
      <c r="C29" s="23">
        <f t="shared" si="7"/>
        <v>6.9999999999999979E-2</v>
      </c>
      <c r="D29" s="8">
        <f t="shared" si="8"/>
        <v>2.0399999999999998E-2</v>
      </c>
      <c r="E29" s="75">
        <f t="shared" si="9"/>
        <v>1.9999999999999996</v>
      </c>
      <c r="F29" s="76">
        <f t="shared" si="10"/>
        <v>4.6666666666666652</v>
      </c>
      <c r="G29" s="77">
        <v>3.4</v>
      </c>
      <c r="H29" s="75">
        <f t="shared" si="2"/>
        <v>10.066666666666665</v>
      </c>
      <c r="I29" s="77">
        <f t="shared" si="11"/>
        <v>13.333333333333334</v>
      </c>
      <c r="J29" s="51">
        <f t="shared" si="3"/>
        <v>1.9999999999999997E-2</v>
      </c>
      <c r="K29" s="7">
        <f t="shared" si="4"/>
        <v>6.9999999999999979E-2</v>
      </c>
      <c r="L29" s="8">
        <f t="shared" si="5"/>
        <v>2.0399999999999998E-2</v>
      </c>
    </row>
    <row r="30" spans="1:15" x14ac:dyDescent="0.25">
      <c r="A30" s="12"/>
      <c r="B30" s="62"/>
      <c r="C30"/>
      <c r="E30" s="62"/>
      <c r="J30" s="41"/>
      <c r="K30" s="41"/>
      <c r="L30" s="41"/>
    </row>
    <row r="31" spans="1:15" x14ac:dyDescent="0.25">
      <c r="A31" s="14" t="s">
        <v>77</v>
      </c>
      <c r="B31" s="27" t="s">
        <v>12</v>
      </c>
      <c r="C31" s="28"/>
      <c r="D31" s="29"/>
      <c r="E31" s="27" t="s">
        <v>13</v>
      </c>
      <c r="F31" s="28"/>
      <c r="G31" s="28"/>
      <c r="H31" s="28"/>
      <c r="I31" s="29"/>
      <c r="J31" s="27" t="s">
        <v>57</v>
      </c>
      <c r="K31" s="28"/>
      <c r="L31" s="29"/>
    </row>
    <row r="32" spans="1:15" x14ac:dyDescent="0.25">
      <c r="A32" s="20" t="s">
        <v>4</v>
      </c>
      <c r="B32" s="32" t="s">
        <v>58</v>
      </c>
      <c r="C32" s="32" t="s">
        <v>59</v>
      </c>
      <c r="D32" s="32" t="s">
        <v>60</v>
      </c>
      <c r="E32" s="33" t="s">
        <v>61</v>
      </c>
      <c r="F32" s="33" t="s">
        <v>62</v>
      </c>
      <c r="G32" s="33" t="s">
        <v>63</v>
      </c>
      <c r="H32" s="33" t="s">
        <v>11</v>
      </c>
      <c r="I32" s="63" t="s">
        <v>64</v>
      </c>
      <c r="J32" s="34" t="s">
        <v>58</v>
      </c>
      <c r="K32" s="34" t="s">
        <v>59</v>
      </c>
      <c r="L32" s="34" t="s">
        <v>60</v>
      </c>
    </row>
    <row r="33" spans="1:13" x14ac:dyDescent="0.25">
      <c r="A33" s="35">
        <v>0</v>
      </c>
      <c r="B33" s="36">
        <f>$J$33-($J$33*A33)</f>
        <v>0.15</v>
      </c>
      <c r="C33" s="37">
        <f>$K$21-($K$21*A33)</f>
        <v>0.15</v>
      </c>
      <c r="D33" s="3">
        <f>$L$21-($L$21*A33)</f>
        <v>2.0399999999999998E-2</v>
      </c>
      <c r="E33" s="69">
        <v>10</v>
      </c>
      <c r="F33" s="70">
        <v>10</v>
      </c>
      <c r="G33" s="71">
        <v>3.4</v>
      </c>
      <c r="H33" s="69">
        <f t="shared" ref="H33:H41" si="12">SUM(E33:G33)</f>
        <v>23.4</v>
      </c>
      <c r="I33" s="72">
        <f>$H$21-H33</f>
        <v>0</v>
      </c>
      <c r="J33" s="36">
        <f>($B$11*(E33/1000))/($N$20/1000)</f>
        <v>0.15</v>
      </c>
      <c r="K33" s="37">
        <f>($C$11*(F33/1000))/($N$20/1000)</f>
        <v>0.15</v>
      </c>
      <c r="L33" s="3">
        <f t="shared" ref="L33:L41" si="13">($D$11*(G33/1000))/($N$20/1000)</f>
        <v>2.0399999999999998E-2</v>
      </c>
      <c r="M33" s="78"/>
    </row>
    <row r="34" spans="1:13" x14ac:dyDescent="0.25">
      <c r="A34" s="67">
        <v>0.1</v>
      </c>
      <c r="B34" s="22">
        <f>$J$33-($J$33*A34)</f>
        <v>0.13500000000000001</v>
      </c>
      <c r="C34" s="24">
        <f>$C$33-($B$33-B34)</f>
        <v>0.13500000000000001</v>
      </c>
      <c r="D34" s="6">
        <f>$D$21</f>
        <v>2.0399999999999998E-2</v>
      </c>
      <c r="E34" s="73">
        <v>9</v>
      </c>
      <c r="F34" s="74">
        <f>(C34*$F$33)/$C$33</f>
        <v>9.0000000000000018</v>
      </c>
      <c r="G34" s="72">
        <v>3.4</v>
      </c>
      <c r="H34" s="73">
        <f t="shared" si="12"/>
        <v>21.4</v>
      </c>
      <c r="I34" s="72">
        <f>$H$21-H34</f>
        <v>2</v>
      </c>
      <c r="J34" s="22">
        <f>($B$11*(E34/1000))/($N$20/1000)</f>
        <v>0.13499999999999998</v>
      </c>
      <c r="K34" s="24">
        <f>($C$11*(F34/1000))/($N$20/1000)</f>
        <v>0.13500000000000004</v>
      </c>
      <c r="L34" s="6">
        <f t="shared" si="13"/>
        <v>2.0399999999999998E-2</v>
      </c>
    </row>
    <row r="35" spans="1:13" x14ac:dyDescent="0.25">
      <c r="A35" s="67">
        <v>0.2</v>
      </c>
      <c r="B35" s="22">
        <f>$J$33-($J$33*A35)</f>
        <v>0.12</v>
      </c>
      <c r="C35" s="24">
        <f t="shared" ref="C35:C41" si="14">$C$33-($B$33-B35)</f>
        <v>0.12</v>
      </c>
      <c r="D35" s="6">
        <f t="shared" ref="D35:D41" si="15">$D$21</f>
        <v>2.0399999999999998E-2</v>
      </c>
      <c r="E35" s="73">
        <v>8</v>
      </c>
      <c r="F35" s="74">
        <f>(C35*$F$33)/$C$33</f>
        <v>8</v>
      </c>
      <c r="G35" s="72">
        <v>3.4</v>
      </c>
      <c r="H35" s="73">
        <f t="shared" si="12"/>
        <v>19.399999999999999</v>
      </c>
      <c r="I35" s="72">
        <f>$H$21-H35</f>
        <v>4</v>
      </c>
      <c r="J35" s="22">
        <f t="shared" ref="J35:J41" si="16">($B$11*(E35/1000))/($N$20/1000)</f>
        <v>0.12000000000000002</v>
      </c>
      <c r="K35" s="24">
        <f t="shared" ref="K35:K41" si="17">($C$11*(F35/1000))/($N$20/1000)</f>
        <v>0.12000000000000002</v>
      </c>
      <c r="L35" s="6">
        <f t="shared" si="13"/>
        <v>2.0399999999999998E-2</v>
      </c>
    </row>
    <row r="36" spans="1:13" x14ac:dyDescent="0.25">
      <c r="A36" s="67">
        <v>0.3</v>
      </c>
      <c r="B36" s="22">
        <f t="shared" ref="B36:B41" si="18">$J$33-($J$33*A36)</f>
        <v>0.105</v>
      </c>
      <c r="C36" s="24">
        <f t="shared" si="14"/>
        <v>0.105</v>
      </c>
      <c r="D36" s="6">
        <f t="shared" si="15"/>
        <v>2.0399999999999998E-2</v>
      </c>
      <c r="E36" s="73">
        <v>7</v>
      </c>
      <c r="F36" s="74">
        <f>(C36*$F$33)/$C$33</f>
        <v>7.0000000000000009</v>
      </c>
      <c r="G36" s="72">
        <v>3.4</v>
      </c>
      <c r="H36" s="73">
        <f t="shared" si="12"/>
        <v>17.399999999999999</v>
      </c>
      <c r="I36" s="72">
        <f>$H$21-H36</f>
        <v>6</v>
      </c>
      <c r="J36" s="22">
        <f t="shared" si="16"/>
        <v>0.10500000000000001</v>
      </c>
      <c r="K36" s="24">
        <f t="shared" si="17"/>
        <v>0.10500000000000002</v>
      </c>
      <c r="L36" s="6">
        <f t="shared" si="13"/>
        <v>2.0399999999999998E-2</v>
      </c>
    </row>
    <row r="37" spans="1:13" x14ac:dyDescent="0.25">
      <c r="A37" s="67">
        <v>0.4</v>
      </c>
      <c r="B37" s="22">
        <f t="shared" si="18"/>
        <v>0.09</v>
      </c>
      <c r="C37" s="24">
        <f t="shared" si="14"/>
        <v>0.09</v>
      </c>
      <c r="D37" s="6">
        <f t="shared" si="15"/>
        <v>2.0399999999999998E-2</v>
      </c>
      <c r="E37" s="73">
        <v>6</v>
      </c>
      <c r="F37" s="74">
        <f t="shared" ref="F37:F41" si="19">(C37*$F$33)/$C$33</f>
        <v>6</v>
      </c>
      <c r="G37" s="72">
        <v>3.4</v>
      </c>
      <c r="H37" s="73">
        <f t="shared" si="12"/>
        <v>15.4</v>
      </c>
      <c r="I37" s="72">
        <f t="shared" ref="I37:I41" si="20">$H$21-H37</f>
        <v>7.9999999999999982</v>
      </c>
      <c r="J37" s="22">
        <f t="shared" si="16"/>
        <v>0.09</v>
      </c>
      <c r="K37" s="24">
        <f>($C$11*(F37/1000))/($N$20/1000)</f>
        <v>0.09</v>
      </c>
      <c r="L37" s="6">
        <f t="shared" si="13"/>
        <v>2.0399999999999998E-2</v>
      </c>
    </row>
    <row r="38" spans="1:13" x14ac:dyDescent="0.25">
      <c r="A38" s="67">
        <v>0.5</v>
      </c>
      <c r="B38" s="22">
        <f t="shared" si="18"/>
        <v>7.4999999999999997E-2</v>
      </c>
      <c r="C38" s="24">
        <f t="shared" si="14"/>
        <v>7.4999999999999997E-2</v>
      </c>
      <c r="D38" s="6">
        <f t="shared" si="15"/>
        <v>2.0399999999999998E-2</v>
      </c>
      <c r="E38" s="73">
        <v>5</v>
      </c>
      <c r="F38" s="74">
        <f t="shared" si="19"/>
        <v>5</v>
      </c>
      <c r="G38" s="72">
        <v>3.4</v>
      </c>
      <c r="H38" s="73">
        <f t="shared" si="12"/>
        <v>13.4</v>
      </c>
      <c r="I38" s="72">
        <f t="shared" si="20"/>
        <v>9.9999999999999982</v>
      </c>
      <c r="J38" s="22">
        <f t="shared" si="16"/>
        <v>7.4999999999999997E-2</v>
      </c>
      <c r="K38" s="24">
        <f t="shared" si="17"/>
        <v>7.4999999999999997E-2</v>
      </c>
      <c r="L38" s="6">
        <f t="shared" si="13"/>
        <v>2.0399999999999998E-2</v>
      </c>
    </row>
    <row r="39" spans="1:13" x14ac:dyDescent="0.25">
      <c r="A39" s="67">
        <v>0.6</v>
      </c>
      <c r="B39" s="22">
        <f t="shared" si="18"/>
        <v>0.06</v>
      </c>
      <c r="C39" s="24">
        <f t="shared" si="14"/>
        <v>0.06</v>
      </c>
      <c r="D39" s="6">
        <f t="shared" si="15"/>
        <v>2.0399999999999998E-2</v>
      </c>
      <c r="E39" s="73">
        <v>4</v>
      </c>
      <c r="F39" s="74">
        <f t="shared" si="19"/>
        <v>4</v>
      </c>
      <c r="G39" s="72">
        <v>3.4</v>
      </c>
      <c r="H39" s="73">
        <f t="shared" si="12"/>
        <v>11.4</v>
      </c>
      <c r="I39" s="72">
        <f t="shared" si="20"/>
        <v>11.999999999999998</v>
      </c>
      <c r="J39" s="22">
        <f t="shared" si="16"/>
        <v>6.0000000000000012E-2</v>
      </c>
      <c r="K39" s="24">
        <f t="shared" si="17"/>
        <v>6.0000000000000012E-2</v>
      </c>
      <c r="L39" s="6">
        <f t="shared" si="13"/>
        <v>2.0399999999999998E-2</v>
      </c>
    </row>
    <row r="40" spans="1:13" x14ac:dyDescent="0.25">
      <c r="A40" s="67">
        <v>0.7</v>
      </c>
      <c r="B40" s="22">
        <f t="shared" si="18"/>
        <v>4.4999999999999998E-2</v>
      </c>
      <c r="C40" s="24">
        <f t="shared" si="14"/>
        <v>4.4999999999999998E-2</v>
      </c>
      <c r="D40" s="6">
        <f t="shared" si="15"/>
        <v>2.0399999999999998E-2</v>
      </c>
      <c r="E40" s="73">
        <v>3</v>
      </c>
      <c r="F40" s="74">
        <f t="shared" si="19"/>
        <v>3</v>
      </c>
      <c r="G40" s="72">
        <v>3.4</v>
      </c>
      <c r="H40" s="73">
        <f t="shared" si="12"/>
        <v>9.4</v>
      </c>
      <c r="I40" s="72">
        <f t="shared" si="20"/>
        <v>13.999999999999998</v>
      </c>
      <c r="J40" s="22">
        <f t="shared" si="16"/>
        <v>4.4999999999999998E-2</v>
      </c>
      <c r="K40" s="24">
        <f t="shared" si="17"/>
        <v>4.4999999999999998E-2</v>
      </c>
      <c r="L40" s="6">
        <f t="shared" si="13"/>
        <v>2.0399999999999998E-2</v>
      </c>
    </row>
    <row r="41" spans="1:13" x14ac:dyDescent="0.25">
      <c r="A41" s="68">
        <v>0.8</v>
      </c>
      <c r="B41" s="38">
        <f t="shared" si="18"/>
        <v>0.03</v>
      </c>
      <c r="C41" s="23">
        <f t="shared" si="14"/>
        <v>0.03</v>
      </c>
      <c r="D41" s="8">
        <f t="shared" si="15"/>
        <v>2.0399999999999998E-2</v>
      </c>
      <c r="E41" s="75">
        <v>2</v>
      </c>
      <c r="F41" s="76">
        <f t="shared" si="19"/>
        <v>2</v>
      </c>
      <c r="G41" s="77">
        <v>3.4</v>
      </c>
      <c r="H41" s="75">
        <f t="shared" si="12"/>
        <v>7.4</v>
      </c>
      <c r="I41" s="77">
        <f t="shared" si="20"/>
        <v>15.999999999999998</v>
      </c>
      <c r="J41" s="38">
        <f t="shared" si="16"/>
        <v>3.0000000000000006E-2</v>
      </c>
      <c r="K41" s="23">
        <f t="shared" si="17"/>
        <v>3.0000000000000006E-2</v>
      </c>
      <c r="L41" s="8">
        <f t="shared" si="13"/>
        <v>2.0399999999999998E-2</v>
      </c>
    </row>
    <row r="42" spans="1:13" x14ac:dyDescent="0.25">
      <c r="A42" s="24"/>
      <c r="B42" s="24"/>
      <c r="C42" s="43"/>
      <c r="H42" s="42"/>
      <c r="I42" s="42"/>
    </row>
    <row r="43" spans="1:13" x14ac:dyDescent="0.25">
      <c r="A43" s="14" t="s">
        <v>78</v>
      </c>
      <c r="B43" s="27" t="s">
        <v>12</v>
      </c>
      <c r="C43" s="28"/>
      <c r="D43" s="29"/>
      <c r="E43" s="27" t="s">
        <v>13</v>
      </c>
      <c r="F43" s="28"/>
      <c r="G43" s="28"/>
      <c r="H43" s="28"/>
      <c r="I43" s="29"/>
      <c r="J43" s="27" t="s">
        <v>57</v>
      </c>
      <c r="K43" s="28"/>
      <c r="L43" s="29"/>
    </row>
    <row r="44" spans="1:13" x14ac:dyDescent="0.25">
      <c r="A44" s="20" t="s">
        <v>4</v>
      </c>
      <c r="B44" s="32" t="s">
        <v>58</v>
      </c>
      <c r="C44" s="32" t="s">
        <v>59</v>
      </c>
      <c r="D44" s="32" t="s">
        <v>60</v>
      </c>
      <c r="E44" s="33" t="s">
        <v>61</v>
      </c>
      <c r="F44" s="33" t="s">
        <v>62</v>
      </c>
      <c r="G44" s="33" t="s">
        <v>63</v>
      </c>
      <c r="H44" s="33" t="s">
        <v>11</v>
      </c>
      <c r="I44" s="63" t="s">
        <v>64</v>
      </c>
      <c r="J44" s="34" t="s">
        <v>58</v>
      </c>
      <c r="K44" s="34" t="s">
        <v>59</v>
      </c>
      <c r="L44" s="34" t="s">
        <v>60</v>
      </c>
    </row>
    <row r="45" spans="1:13" x14ac:dyDescent="0.25">
      <c r="A45" s="35">
        <v>0</v>
      </c>
      <c r="B45" s="36">
        <f>$J$45-($J$45*A45)</f>
        <v>0.1</v>
      </c>
      <c r="C45" s="37">
        <f>$K$45-($K$45*A45)</f>
        <v>0.10000000000000002</v>
      </c>
      <c r="D45" s="3">
        <f>$L$21-($L$21*A45)</f>
        <v>2.0399999999999998E-2</v>
      </c>
      <c r="E45" s="69">
        <v>10</v>
      </c>
      <c r="F45" s="70">
        <v>10</v>
      </c>
      <c r="G45" s="71">
        <v>3.4</v>
      </c>
      <c r="H45" s="69">
        <f t="shared" ref="H45:H53" si="21">SUM(E45:G45)</f>
        <v>23.4</v>
      </c>
      <c r="I45" s="72">
        <f>$H$21-H45</f>
        <v>0</v>
      </c>
      <c r="J45" s="55">
        <f>($G$11*(E45/1000))/($N$20/1000)</f>
        <v>0.1</v>
      </c>
      <c r="K45" s="2">
        <f>($H$11*(F45/1000))/($N$20/1000)</f>
        <v>0.10000000000000002</v>
      </c>
      <c r="L45" s="3">
        <f t="shared" ref="L45:L53" si="22">($D$11*(G45/1000))/($N$20/1000)</f>
        <v>2.0399999999999998E-2</v>
      </c>
    </row>
    <row r="46" spans="1:13" x14ac:dyDescent="0.25">
      <c r="A46" s="13">
        <v>0.1</v>
      </c>
      <c r="B46" s="22">
        <f>$J$45-($J$45*A46)</f>
        <v>0.09</v>
      </c>
      <c r="C46" s="24">
        <f t="shared" ref="C46:C53" si="23">$K$45-($K$45*A46)</f>
        <v>9.0000000000000024E-2</v>
      </c>
      <c r="D46" s="6">
        <f>$D$21</f>
        <v>2.0399999999999998E-2</v>
      </c>
      <c r="E46" s="73">
        <f>$E$21*(1-A46)</f>
        <v>9</v>
      </c>
      <c r="F46" s="74">
        <f>(C46*$F$21)/$C$45</f>
        <v>9</v>
      </c>
      <c r="G46" s="72">
        <v>3.4</v>
      </c>
      <c r="H46" s="73">
        <f t="shared" si="21"/>
        <v>21.4</v>
      </c>
      <c r="I46" s="72">
        <f>$H$21-H46</f>
        <v>2</v>
      </c>
      <c r="J46" s="10">
        <f t="shared" ref="J46:J53" si="24">($G$11*(E46/1000))/($N$20/1000)</f>
        <v>0.09</v>
      </c>
      <c r="K46" s="5">
        <f>($H$11*(F46/1000))/($N$20/1000)</f>
        <v>9.0000000000000011E-2</v>
      </c>
      <c r="L46" s="6">
        <f t="shared" si="22"/>
        <v>2.0399999999999998E-2</v>
      </c>
    </row>
    <row r="47" spans="1:13" x14ac:dyDescent="0.25">
      <c r="A47" s="13">
        <v>0.2</v>
      </c>
      <c r="B47" s="22">
        <f t="shared" ref="B47:B53" si="25">$J$45-($J$45*A47)</f>
        <v>0.08</v>
      </c>
      <c r="C47" s="24">
        <f t="shared" si="23"/>
        <v>8.0000000000000016E-2</v>
      </c>
      <c r="D47" s="6">
        <f t="shared" ref="D47:D53" si="26">$D$21</f>
        <v>2.0399999999999998E-2</v>
      </c>
      <c r="E47" s="73">
        <f t="shared" ref="E47:E53" si="27">$E$21*(1-A47)</f>
        <v>8</v>
      </c>
      <c r="F47" s="74">
        <f>(C47*$F$21)/$C$45</f>
        <v>8</v>
      </c>
      <c r="G47" s="72">
        <v>3.4</v>
      </c>
      <c r="H47" s="73">
        <f t="shared" si="21"/>
        <v>19.399999999999999</v>
      </c>
      <c r="I47" s="72">
        <f>$H$21-H47</f>
        <v>4</v>
      </c>
      <c r="J47" s="10">
        <f t="shared" si="24"/>
        <v>0.08</v>
      </c>
      <c r="K47" s="5">
        <f>($H$11*(F47/1000))/($N$20/1000)</f>
        <v>8.0000000000000016E-2</v>
      </c>
      <c r="L47" s="6">
        <f t="shared" si="22"/>
        <v>2.0399999999999998E-2</v>
      </c>
    </row>
    <row r="48" spans="1:13" x14ac:dyDescent="0.25">
      <c r="A48" s="13">
        <v>0.3</v>
      </c>
      <c r="B48" s="22">
        <f t="shared" si="25"/>
        <v>7.0000000000000007E-2</v>
      </c>
      <c r="C48" s="24">
        <f t="shared" si="23"/>
        <v>7.0000000000000007E-2</v>
      </c>
      <c r="D48" s="6">
        <f t="shared" si="26"/>
        <v>2.0399999999999998E-2</v>
      </c>
      <c r="E48" s="73">
        <f t="shared" si="27"/>
        <v>7</v>
      </c>
      <c r="F48" s="74">
        <f>(C48*$F$21)/$C$45</f>
        <v>6.9999999999999991</v>
      </c>
      <c r="G48" s="72">
        <v>3.4</v>
      </c>
      <c r="H48" s="73">
        <f t="shared" si="21"/>
        <v>17.399999999999999</v>
      </c>
      <c r="I48" s="72">
        <f>$H$21-H48</f>
        <v>6</v>
      </c>
      <c r="J48" s="10">
        <f t="shared" si="24"/>
        <v>7.0000000000000007E-2</v>
      </c>
      <c r="K48" s="5">
        <f t="shared" ref="K48:K53" si="28">($H$11*(F48/1000))/($N$20/1000)</f>
        <v>7.0000000000000007E-2</v>
      </c>
      <c r="L48" s="6">
        <f t="shared" si="22"/>
        <v>2.0399999999999998E-2</v>
      </c>
    </row>
    <row r="49" spans="1:12" x14ac:dyDescent="0.25">
      <c r="A49" s="13">
        <v>0.4</v>
      </c>
      <c r="B49" s="22">
        <f>$J$45-($J$45*A49)</f>
        <v>0.06</v>
      </c>
      <c r="C49" s="24">
        <f t="shared" si="23"/>
        <v>6.0000000000000012E-2</v>
      </c>
      <c r="D49" s="6">
        <f t="shared" si="26"/>
        <v>2.0399999999999998E-2</v>
      </c>
      <c r="E49" s="73">
        <f t="shared" si="27"/>
        <v>6</v>
      </c>
      <c r="F49" s="74">
        <f t="shared" ref="F49:F53" si="29">(C49*$F$21)/$C$45</f>
        <v>6</v>
      </c>
      <c r="G49" s="72">
        <v>3.4</v>
      </c>
      <c r="H49" s="73">
        <f t="shared" si="21"/>
        <v>15.4</v>
      </c>
      <c r="I49" s="72">
        <f t="shared" ref="I49:I53" si="30">$H$21-H49</f>
        <v>7.9999999999999982</v>
      </c>
      <c r="J49" s="10">
        <f t="shared" si="24"/>
        <v>6.0000000000000012E-2</v>
      </c>
      <c r="K49" s="5">
        <f t="shared" si="28"/>
        <v>6.0000000000000012E-2</v>
      </c>
      <c r="L49" s="6">
        <f t="shared" si="22"/>
        <v>2.0399999999999998E-2</v>
      </c>
    </row>
    <row r="50" spans="1:12" x14ac:dyDescent="0.25">
      <c r="A50" s="13">
        <v>0.5</v>
      </c>
      <c r="B50" s="22">
        <f t="shared" si="25"/>
        <v>0.05</v>
      </c>
      <c r="C50" s="24">
        <f t="shared" si="23"/>
        <v>5.000000000000001E-2</v>
      </c>
      <c r="D50" s="6">
        <f t="shared" si="26"/>
        <v>2.0399999999999998E-2</v>
      </c>
      <c r="E50" s="73">
        <f t="shared" si="27"/>
        <v>5</v>
      </c>
      <c r="F50" s="74">
        <f t="shared" si="29"/>
        <v>5</v>
      </c>
      <c r="G50" s="72">
        <v>3.4</v>
      </c>
      <c r="H50" s="73">
        <f t="shared" si="21"/>
        <v>13.4</v>
      </c>
      <c r="I50" s="72">
        <f t="shared" si="30"/>
        <v>9.9999999999999982</v>
      </c>
      <c r="J50" s="10">
        <f t="shared" si="24"/>
        <v>0.05</v>
      </c>
      <c r="K50" s="5">
        <f t="shared" si="28"/>
        <v>5.000000000000001E-2</v>
      </c>
      <c r="L50" s="6">
        <f t="shared" si="22"/>
        <v>2.0399999999999998E-2</v>
      </c>
    </row>
    <row r="51" spans="1:12" x14ac:dyDescent="0.25">
      <c r="A51" s="17">
        <v>0.6</v>
      </c>
      <c r="B51" s="22">
        <f t="shared" si="25"/>
        <v>4.0000000000000008E-2</v>
      </c>
      <c r="C51" s="24">
        <f t="shared" si="23"/>
        <v>4.0000000000000008E-2</v>
      </c>
      <c r="D51" s="6">
        <f t="shared" si="26"/>
        <v>2.0399999999999998E-2</v>
      </c>
      <c r="E51" s="73">
        <f t="shared" si="27"/>
        <v>4</v>
      </c>
      <c r="F51" s="74">
        <f t="shared" si="29"/>
        <v>4</v>
      </c>
      <c r="G51" s="72">
        <v>3.4</v>
      </c>
      <c r="H51" s="73">
        <f t="shared" si="21"/>
        <v>11.4</v>
      </c>
      <c r="I51" s="72">
        <f t="shared" si="30"/>
        <v>11.999999999999998</v>
      </c>
      <c r="J51" s="10">
        <f t="shared" si="24"/>
        <v>0.04</v>
      </c>
      <c r="K51" s="5">
        <f t="shared" si="28"/>
        <v>4.0000000000000008E-2</v>
      </c>
      <c r="L51" s="6">
        <f t="shared" si="22"/>
        <v>2.0399999999999998E-2</v>
      </c>
    </row>
    <row r="52" spans="1:12" x14ac:dyDescent="0.25">
      <c r="A52" s="17">
        <v>0.7</v>
      </c>
      <c r="B52" s="22">
        <f t="shared" si="25"/>
        <v>3.0000000000000013E-2</v>
      </c>
      <c r="C52" s="24">
        <f t="shared" si="23"/>
        <v>3.0000000000000013E-2</v>
      </c>
      <c r="D52" s="6">
        <f t="shared" si="26"/>
        <v>2.0399999999999998E-2</v>
      </c>
      <c r="E52" s="73">
        <f t="shared" si="27"/>
        <v>3.0000000000000004</v>
      </c>
      <c r="F52" s="74">
        <f t="shared" si="29"/>
        <v>3.0000000000000009</v>
      </c>
      <c r="G52" s="72">
        <v>3.4</v>
      </c>
      <c r="H52" s="73">
        <f t="shared" si="21"/>
        <v>9.4000000000000021</v>
      </c>
      <c r="I52" s="72">
        <f t="shared" si="30"/>
        <v>13.999999999999996</v>
      </c>
      <c r="J52" s="10">
        <f t="shared" si="24"/>
        <v>3.0000000000000006E-2</v>
      </c>
      <c r="K52" s="5">
        <f t="shared" si="28"/>
        <v>3.0000000000000016E-2</v>
      </c>
      <c r="L52" s="6">
        <f t="shared" si="22"/>
        <v>2.0399999999999998E-2</v>
      </c>
    </row>
    <row r="53" spans="1:12" x14ac:dyDescent="0.25">
      <c r="A53" s="18">
        <v>0.8</v>
      </c>
      <c r="B53" s="38">
        <f t="shared" si="25"/>
        <v>1.999999999999999E-2</v>
      </c>
      <c r="C53" s="23">
        <f t="shared" si="23"/>
        <v>2.0000000000000004E-2</v>
      </c>
      <c r="D53" s="8">
        <f t="shared" si="26"/>
        <v>2.0399999999999998E-2</v>
      </c>
      <c r="E53" s="75">
        <f t="shared" si="27"/>
        <v>1.9999999999999996</v>
      </c>
      <c r="F53" s="76">
        <f t="shared" si="29"/>
        <v>2</v>
      </c>
      <c r="G53" s="77">
        <v>3.4</v>
      </c>
      <c r="H53" s="75">
        <f t="shared" si="21"/>
        <v>7.3999999999999995</v>
      </c>
      <c r="I53" s="77">
        <f t="shared" si="30"/>
        <v>16</v>
      </c>
      <c r="J53" s="51">
        <f t="shared" si="24"/>
        <v>1.9999999999999997E-2</v>
      </c>
      <c r="K53" s="7">
        <f t="shared" si="28"/>
        <v>2.0000000000000004E-2</v>
      </c>
      <c r="L53" s="8">
        <f t="shared" si="22"/>
        <v>2.0399999999999998E-2</v>
      </c>
    </row>
    <row r="54" spans="1:12" x14ac:dyDescent="0.25">
      <c r="A54" s="44"/>
      <c r="B54" s="24"/>
      <c r="C54" s="43"/>
      <c r="E54" s="42"/>
      <c r="F54" s="42"/>
      <c r="G54" s="42"/>
      <c r="H54" s="42"/>
      <c r="I54" s="42"/>
    </row>
    <row r="55" spans="1:12" x14ac:dyDescent="0.25">
      <c r="A55" s="14" t="s">
        <v>79</v>
      </c>
      <c r="B55" s="27" t="s">
        <v>12</v>
      </c>
      <c r="C55" s="28"/>
      <c r="D55" s="29"/>
      <c r="E55" s="27" t="s">
        <v>13</v>
      </c>
      <c r="F55" s="28"/>
      <c r="G55" s="28"/>
      <c r="H55" s="28"/>
      <c r="I55" s="29"/>
      <c r="J55" s="27" t="s">
        <v>57</v>
      </c>
      <c r="K55" s="28"/>
      <c r="L55" s="29"/>
    </row>
    <row r="56" spans="1:12" x14ac:dyDescent="0.25">
      <c r="A56" s="20" t="s">
        <v>4</v>
      </c>
      <c r="B56" s="32" t="s">
        <v>58</v>
      </c>
      <c r="C56" s="32" t="s">
        <v>59</v>
      </c>
      <c r="D56" s="32" t="s">
        <v>60</v>
      </c>
      <c r="E56" s="33" t="s">
        <v>61</v>
      </c>
      <c r="F56" s="33" t="s">
        <v>62</v>
      </c>
      <c r="G56" s="33" t="s">
        <v>63</v>
      </c>
      <c r="H56" s="33" t="s">
        <v>11</v>
      </c>
      <c r="I56" s="63" t="s">
        <v>64</v>
      </c>
      <c r="J56" s="34" t="s">
        <v>58</v>
      </c>
      <c r="K56" s="34" t="s">
        <v>59</v>
      </c>
      <c r="L56" s="34" t="s">
        <v>60</v>
      </c>
    </row>
    <row r="57" spans="1:12" x14ac:dyDescent="0.25">
      <c r="A57" s="35">
        <v>0</v>
      </c>
      <c r="B57" s="36">
        <f>$J$21-($J$21*A57)</f>
        <v>0.1</v>
      </c>
      <c r="C57" s="37">
        <f>$K$21-($K$21*A57)</f>
        <v>0.15</v>
      </c>
      <c r="D57" s="3">
        <f>$L$57-($L$21*A57)</f>
        <v>1.0199999999999999E-2</v>
      </c>
      <c r="E57" s="69">
        <v>10</v>
      </c>
      <c r="F57" s="70">
        <v>10</v>
      </c>
      <c r="G57" s="71">
        <v>3.4</v>
      </c>
      <c r="H57" s="69">
        <f t="shared" ref="H57:H65" si="31">SUM(E57:G57)</f>
        <v>23.4</v>
      </c>
      <c r="I57" s="72">
        <f>$H$21-H57</f>
        <v>0</v>
      </c>
      <c r="J57" s="55">
        <f>($G$11*(E57/1000))/($N$20/1000)</f>
        <v>0.1</v>
      </c>
      <c r="K57" s="2">
        <f>($C$11*(F57/1000))/($N$20/1000)</f>
        <v>0.15</v>
      </c>
      <c r="L57" s="3">
        <f>($I$11*(G57/1000))/($N$20/1000)</f>
        <v>1.0199999999999999E-2</v>
      </c>
    </row>
    <row r="58" spans="1:12" x14ac:dyDescent="0.25">
      <c r="A58" s="13">
        <v>0.1</v>
      </c>
      <c r="B58" s="22">
        <f>$J$21-($J$21*A58)</f>
        <v>0.09</v>
      </c>
      <c r="C58" s="24">
        <f>$C$21-($B$21-B58)</f>
        <v>0.13999999999999999</v>
      </c>
      <c r="D58" s="6">
        <f>$D$57</f>
        <v>1.0199999999999999E-2</v>
      </c>
      <c r="E58" s="73">
        <f>$E$21*(1-A58)</f>
        <v>9</v>
      </c>
      <c r="F58" s="74">
        <f>(C58*$F$21)/$C$21</f>
        <v>9.3333333333333339</v>
      </c>
      <c r="G58" s="72">
        <v>3.4</v>
      </c>
      <c r="H58" s="73">
        <f t="shared" si="31"/>
        <v>21.733333333333334</v>
      </c>
      <c r="I58" s="72">
        <f>$H$21-H58</f>
        <v>1.6666666666666643</v>
      </c>
      <c r="J58" s="10">
        <f t="shared" ref="J58:J65" si="32">($G$11*(E58/1000))/($N$20/1000)</f>
        <v>0.09</v>
      </c>
      <c r="K58" s="5">
        <f t="shared" ref="K58:K65" si="33">($C$11*(F58/1000))/($N$20/1000)</f>
        <v>0.14000000000000001</v>
      </c>
      <c r="L58" s="6">
        <f t="shared" ref="L58:L65" si="34">($I$11*(G58/1000))/($N$20/1000)</f>
        <v>1.0199999999999999E-2</v>
      </c>
    </row>
    <row r="59" spans="1:12" x14ac:dyDescent="0.25">
      <c r="A59" s="13">
        <v>0.2</v>
      </c>
      <c r="B59" s="22">
        <f t="shared" ref="B59:B65" si="35">$J$21-($J$21*A59)</f>
        <v>0.08</v>
      </c>
      <c r="C59" s="24">
        <f t="shared" ref="C59:C65" si="36">$C$21-($B$21-B59)</f>
        <v>0.13</v>
      </c>
      <c r="D59" s="6">
        <f t="shared" ref="D59:D65" si="37">$D$57</f>
        <v>1.0199999999999999E-2</v>
      </c>
      <c r="E59" s="73">
        <f t="shared" ref="E59:E65" si="38">$E$21*(1-A59)</f>
        <v>8</v>
      </c>
      <c r="F59" s="74">
        <f t="shared" ref="F59:F65" si="39">(C59*$F$21)/$C$21</f>
        <v>8.6666666666666679</v>
      </c>
      <c r="G59" s="72">
        <v>3.4</v>
      </c>
      <c r="H59" s="73">
        <f t="shared" si="31"/>
        <v>20.066666666666666</v>
      </c>
      <c r="I59" s="72">
        <f>$H$21-H59</f>
        <v>3.3333333333333321</v>
      </c>
      <c r="J59" s="10">
        <f t="shared" si="32"/>
        <v>0.08</v>
      </c>
      <c r="K59" s="5">
        <f t="shared" si="33"/>
        <v>0.13000000000000003</v>
      </c>
      <c r="L59" s="6">
        <f t="shared" si="34"/>
        <v>1.0199999999999999E-2</v>
      </c>
    </row>
    <row r="60" spans="1:12" x14ac:dyDescent="0.25">
      <c r="A60" s="13">
        <v>0.3</v>
      </c>
      <c r="B60" s="22">
        <f t="shared" si="35"/>
        <v>7.0000000000000007E-2</v>
      </c>
      <c r="C60" s="24">
        <f t="shared" si="36"/>
        <v>0.12</v>
      </c>
      <c r="D60" s="6">
        <f t="shared" si="37"/>
        <v>1.0199999999999999E-2</v>
      </c>
      <c r="E60" s="73">
        <f t="shared" si="38"/>
        <v>7</v>
      </c>
      <c r="F60" s="74">
        <f t="shared" si="39"/>
        <v>8</v>
      </c>
      <c r="G60" s="72">
        <v>3.4</v>
      </c>
      <c r="H60" s="73">
        <f t="shared" si="31"/>
        <v>18.399999999999999</v>
      </c>
      <c r="I60" s="72">
        <f>$H$21-H60</f>
        <v>5</v>
      </c>
      <c r="J60" s="10">
        <f t="shared" si="32"/>
        <v>7.0000000000000007E-2</v>
      </c>
      <c r="K60" s="5">
        <f t="shared" si="33"/>
        <v>0.12000000000000002</v>
      </c>
      <c r="L60" s="6">
        <f t="shared" si="34"/>
        <v>1.0199999999999999E-2</v>
      </c>
    </row>
    <row r="61" spans="1:12" x14ac:dyDescent="0.25">
      <c r="A61" s="13">
        <v>0.4</v>
      </c>
      <c r="B61" s="22">
        <f t="shared" si="35"/>
        <v>0.06</v>
      </c>
      <c r="C61" s="24">
        <f t="shared" si="36"/>
        <v>0.10999999999999999</v>
      </c>
      <c r="D61" s="6">
        <f t="shared" si="37"/>
        <v>1.0199999999999999E-2</v>
      </c>
      <c r="E61" s="73">
        <f t="shared" si="38"/>
        <v>6</v>
      </c>
      <c r="F61" s="74">
        <f t="shared" si="39"/>
        <v>7.333333333333333</v>
      </c>
      <c r="G61" s="72">
        <v>3.4</v>
      </c>
      <c r="H61" s="73">
        <f t="shared" si="31"/>
        <v>16.733333333333331</v>
      </c>
      <c r="I61" s="72">
        <f t="shared" ref="I61:I65" si="40">$H$21-H61</f>
        <v>6.6666666666666679</v>
      </c>
      <c r="J61" s="10">
        <f t="shared" si="32"/>
        <v>6.0000000000000012E-2</v>
      </c>
      <c r="K61" s="5">
        <f t="shared" si="33"/>
        <v>0.11000000000000001</v>
      </c>
      <c r="L61" s="6">
        <f t="shared" si="34"/>
        <v>1.0199999999999999E-2</v>
      </c>
    </row>
    <row r="62" spans="1:12" x14ac:dyDescent="0.25">
      <c r="A62" s="13">
        <v>0.5</v>
      </c>
      <c r="B62" s="22">
        <f t="shared" si="35"/>
        <v>0.05</v>
      </c>
      <c r="C62" s="24">
        <f t="shared" si="36"/>
        <v>9.9999999999999992E-2</v>
      </c>
      <c r="D62" s="6">
        <f t="shared" si="37"/>
        <v>1.0199999999999999E-2</v>
      </c>
      <c r="E62" s="73">
        <f t="shared" si="38"/>
        <v>5</v>
      </c>
      <c r="F62" s="74">
        <f t="shared" si="39"/>
        <v>6.6666666666666661</v>
      </c>
      <c r="G62" s="72">
        <v>3.4</v>
      </c>
      <c r="H62" s="73">
        <f t="shared" si="31"/>
        <v>15.066666666666666</v>
      </c>
      <c r="I62" s="72">
        <f t="shared" si="40"/>
        <v>8.3333333333333321</v>
      </c>
      <c r="J62" s="10">
        <f t="shared" si="32"/>
        <v>0.05</v>
      </c>
      <c r="K62" s="5">
        <f t="shared" si="33"/>
        <v>0.1</v>
      </c>
      <c r="L62" s="6">
        <f t="shared" si="34"/>
        <v>1.0199999999999999E-2</v>
      </c>
    </row>
    <row r="63" spans="1:12" x14ac:dyDescent="0.25">
      <c r="A63" s="17">
        <v>0.6</v>
      </c>
      <c r="B63" s="22">
        <f t="shared" si="35"/>
        <v>4.0000000000000008E-2</v>
      </c>
      <c r="C63" s="24">
        <f t="shared" si="36"/>
        <v>0.09</v>
      </c>
      <c r="D63" s="6">
        <f t="shared" si="37"/>
        <v>1.0199999999999999E-2</v>
      </c>
      <c r="E63" s="73">
        <f t="shared" si="38"/>
        <v>4</v>
      </c>
      <c r="F63" s="74">
        <f t="shared" si="39"/>
        <v>6</v>
      </c>
      <c r="G63" s="72">
        <v>3.4</v>
      </c>
      <c r="H63" s="73">
        <f t="shared" si="31"/>
        <v>13.4</v>
      </c>
      <c r="I63" s="72">
        <f t="shared" si="40"/>
        <v>9.9999999999999982</v>
      </c>
      <c r="J63" s="10">
        <f t="shared" si="32"/>
        <v>0.04</v>
      </c>
      <c r="K63" s="5">
        <f t="shared" si="33"/>
        <v>0.09</v>
      </c>
      <c r="L63" s="6">
        <f t="shared" si="34"/>
        <v>1.0199999999999999E-2</v>
      </c>
    </row>
    <row r="64" spans="1:12" x14ac:dyDescent="0.25">
      <c r="A64" s="17">
        <v>0.7</v>
      </c>
      <c r="B64" s="22">
        <f t="shared" si="35"/>
        <v>3.0000000000000013E-2</v>
      </c>
      <c r="C64" s="24">
        <f t="shared" si="36"/>
        <v>0.08</v>
      </c>
      <c r="D64" s="6">
        <f t="shared" si="37"/>
        <v>1.0199999999999999E-2</v>
      </c>
      <c r="E64" s="73">
        <f t="shared" si="38"/>
        <v>3.0000000000000004</v>
      </c>
      <c r="F64" s="74">
        <f t="shared" si="39"/>
        <v>5.3333333333333339</v>
      </c>
      <c r="G64" s="72">
        <v>3.4</v>
      </c>
      <c r="H64" s="73">
        <f t="shared" si="31"/>
        <v>11.733333333333334</v>
      </c>
      <c r="I64" s="72">
        <f t="shared" si="40"/>
        <v>11.666666666666664</v>
      </c>
      <c r="J64" s="10">
        <f t="shared" si="32"/>
        <v>3.0000000000000006E-2</v>
      </c>
      <c r="K64" s="5">
        <f t="shared" si="33"/>
        <v>8.0000000000000016E-2</v>
      </c>
      <c r="L64" s="6">
        <f t="shared" si="34"/>
        <v>1.0199999999999999E-2</v>
      </c>
    </row>
    <row r="65" spans="1:12" x14ac:dyDescent="0.25">
      <c r="A65" s="18">
        <v>0.8</v>
      </c>
      <c r="B65" s="38">
        <f t="shared" si="35"/>
        <v>1.999999999999999E-2</v>
      </c>
      <c r="C65" s="23">
        <f t="shared" si="36"/>
        <v>6.9999999999999979E-2</v>
      </c>
      <c r="D65" s="8">
        <f t="shared" si="37"/>
        <v>1.0199999999999999E-2</v>
      </c>
      <c r="E65" s="75">
        <f t="shared" si="38"/>
        <v>1.9999999999999996</v>
      </c>
      <c r="F65" s="76">
        <f t="shared" si="39"/>
        <v>4.6666666666666652</v>
      </c>
      <c r="G65" s="77">
        <v>3.4</v>
      </c>
      <c r="H65" s="75">
        <f t="shared" si="31"/>
        <v>10.066666666666665</v>
      </c>
      <c r="I65" s="77">
        <f t="shared" si="40"/>
        <v>13.333333333333334</v>
      </c>
      <c r="J65" s="51">
        <f t="shared" si="32"/>
        <v>1.9999999999999997E-2</v>
      </c>
      <c r="K65" s="7">
        <f t="shared" si="33"/>
        <v>6.9999999999999979E-2</v>
      </c>
      <c r="L65" s="8">
        <f t="shared" si="34"/>
        <v>1.0199999999999999E-2</v>
      </c>
    </row>
  </sheetData>
  <pageMargins left="0.7" right="0.7" top="0.75" bottom="0.75" header="0.3" footer="0.3"/>
  <pageSetup paperSize="9" scale="56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BB66D-F3E0-4395-92BE-1272C9E241B3}">
  <dimension ref="A1:D18"/>
  <sheetViews>
    <sheetView workbookViewId="0">
      <selection activeCell="D37" sqref="D37"/>
    </sheetView>
  </sheetViews>
  <sheetFormatPr defaultRowHeight="15" x14ac:dyDescent="0.25"/>
  <cols>
    <col min="1" max="1" width="24.85546875" bestFit="1" customWidth="1"/>
    <col min="2" max="2" width="22.42578125" bestFit="1" customWidth="1"/>
    <col min="3" max="3" width="14.140625" bestFit="1" customWidth="1"/>
    <col min="4" max="4" width="13.42578125" bestFit="1" customWidth="1"/>
    <col min="5" max="5" width="22.42578125" bestFit="1" customWidth="1"/>
    <col min="6" max="6" width="12.85546875" bestFit="1" customWidth="1"/>
    <col min="7" max="7" width="13.42578125" bestFit="1" customWidth="1"/>
  </cols>
  <sheetData>
    <row r="1" spans="1:4" x14ac:dyDescent="0.25">
      <c r="A1" s="52" t="s">
        <v>0</v>
      </c>
      <c r="B1" s="19"/>
      <c r="C1" s="19"/>
    </row>
    <row r="2" spans="1:4" x14ac:dyDescent="0.25">
      <c r="A2" s="26" t="s">
        <v>1</v>
      </c>
      <c r="B2" s="26" t="s">
        <v>2</v>
      </c>
      <c r="C2" s="26" t="s">
        <v>3</v>
      </c>
    </row>
    <row r="3" spans="1:4" x14ac:dyDescent="0.25">
      <c r="A3" s="1" t="s">
        <v>15</v>
      </c>
      <c r="B3" s="2">
        <v>106.12</v>
      </c>
      <c r="C3" s="3">
        <v>1.04</v>
      </c>
    </row>
    <row r="4" spans="1:4" x14ac:dyDescent="0.25">
      <c r="A4" s="4" t="s">
        <v>16</v>
      </c>
      <c r="B4" s="5">
        <v>113.116</v>
      </c>
      <c r="C4" s="6">
        <v>1.0629999999999999</v>
      </c>
    </row>
    <row r="5" spans="1:4" x14ac:dyDescent="0.25">
      <c r="A5" s="15" t="s">
        <v>17</v>
      </c>
      <c r="B5" s="7">
        <v>152.24</v>
      </c>
      <c r="C5" s="8">
        <v>1.018</v>
      </c>
    </row>
    <row r="7" spans="1:4" x14ac:dyDescent="0.25">
      <c r="A7" s="26" t="s">
        <v>38</v>
      </c>
      <c r="B7" s="26" t="s">
        <v>18</v>
      </c>
      <c r="C7" s="26" t="s">
        <v>19</v>
      </c>
      <c r="D7" s="26" t="s">
        <v>20</v>
      </c>
    </row>
    <row r="8" spans="1:4" x14ac:dyDescent="0.25">
      <c r="A8" s="54">
        <v>6</v>
      </c>
      <c r="B8" s="47">
        <f>'Slug Analysis'!H8</f>
        <v>0</v>
      </c>
      <c r="C8" s="47">
        <f>'Slug Analysis'!I8</f>
        <v>0</v>
      </c>
      <c r="D8" s="48">
        <f>B8*0.2</f>
        <v>0</v>
      </c>
    </row>
    <row r="9" spans="1:4" x14ac:dyDescent="0.25">
      <c r="A9" s="5"/>
      <c r="B9" s="53" t="s">
        <v>39</v>
      </c>
      <c r="C9" s="53" t="s">
        <v>40</v>
      </c>
      <c r="D9" s="53" t="s">
        <v>41</v>
      </c>
    </row>
    <row r="10" spans="1:4" x14ac:dyDescent="0.25">
      <c r="A10" s="5"/>
      <c r="B10" s="54">
        <f>B8*$A$8</f>
        <v>0</v>
      </c>
      <c r="C10" s="47">
        <f>C8*$A$8</f>
        <v>0</v>
      </c>
      <c r="D10" s="48">
        <f>D8*$A$8</f>
        <v>0</v>
      </c>
    </row>
    <row r="11" spans="1:4" x14ac:dyDescent="0.25">
      <c r="A11" s="5"/>
      <c r="B11" s="53" t="s">
        <v>42</v>
      </c>
      <c r="C11" s="53" t="s">
        <v>43</v>
      </c>
      <c r="D11" s="53" t="s">
        <v>44</v>
      </c>
    </row>
    <row r="12" spans="1:4" x14ac:dyDescent="0.25">
      <c r="A12" s="5"/>
      <c r="B12" s="54">
        <f>(B10/1000)*B3</f>
        <v>0</v>
      </c>
      <c r="C12" s="47">
        <f>(C10/1000)*B4</f>
        <v>0</v>
      </c>
      <c r="D12" s="48">
        <f>(D10/1000)*B5</f>
        <v>0</v>
      </c>
    </row>
    <row r="13" spans="1:4" x14ac:dyDescent="0.25">
      <c r="A13" s="26" t="s">
        <v>48</v>
      </c>
      <c r="B13" s="53" t="s">
        <v>45</v>
      </c>
      <c r="C13" s="53" t="s">
        <v>46</v>
      </c>
      <c r="D13" s="53" t="s">
        <v>47</v>
      </c>
    </row>
    <row r="14" spans="1:4" x14ac:dyDescent="0.25">
      <c r="A14" s="54">
        <f>A8-SUM(B14:D14)</f>
        <v>6</v>
      </c>
      <c r="B14" s="47">
        <f>B12/C3</f>
        <v>0</v>
      </c>
      <c r="C14" s="47">
        <f>C12/C4</f>
        <v>0</v>
      </c>
      <c r="D14" s="48">
        <f>D12/C5</f>
        <v>0</v>
      </c>
    </row>
    <row r="18" spans="4:4" x14ac:dyDescent="0.25">
      <c r="D18" t="s">
        <v>49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466E-ABBD-449E-A1A0-B47370390293}">
  <dimension ref="A1:N16"/>
  <sheetViews>
    <sheetView workbookViewId="0">
      <selection activeCell="K7" sqref="K7"/>
    </sheetView>
  </sheetViews>
  <sheetFormatPr defaultRowHeight="15" x14ac:dyDescent="0.25"/>
  <cols>
    <col min="1" max="1" width="13.7109375" bestFit="1" customWidth="1"/>
    <col min="2" max="2" width="15.7109375" bestFit="1" customWidth="1"/>
    <col min="4" max="4" width="14.5703125" bestFit="1" customWidth="1"/>
    <col min="5" max="5" width="20.85546875" bestFit="1" customWidth="1"/>
    <col min="6" max="6" width="13.7109375" bestFit="1" customWidth="1"/>
    <col min="7" max="7" width="20.85546875" bestFit="1" customWidth="1"/>
    <col min="8" max="8" width="16.5703125" bestFit="1" customWidth="1"/>
    <col min="9" max="9" width="18.28515625" bestFit="1" customWidth="1"/>
    <col min="10" max="10" width="11.5703125" bestFit="1" customWidth="1"/>
    <col min="11" max="11" width="19" bestFit="1" customWidth="1"/>
    <col min="12" max="12" width="15.140625" bestFit="1" customWidth="1"/>
    <col min="13" max="13" width="19" bestFit="1" customWidth="1"/>
    <col min="14" max="14" width="16.140625" bestFit="1" customWidth="1"/>
  </cols>
  <sheetData>
    <row r="1" spans="1:14" x14ac:dyDescent="0.25">
      <c r="A1" s="45" t="s">
        <v>24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4" x14ac:dyDescent="0.25">
      <c r="A2" s="46" t="s">
        <v>30</v>
      </c>
      <c r="B2" s="47"/>
      <c r="C2" s="47"/>
      <c r="D2" s="47"/>
      <c r="E2" s="48"/>
      <c r="F2" s="46" t="s">
        <v>31</v>
      </c>
      <c r="G2" s="47"/>
      <c r="H2" s="47"/>
      <c r="I2" s="47"/>
      <c r="J2" s="48"/>
      <c r="K2" s="46" t="s">
        <v>37</v>
      </c>
      <c r="L2" s="48"/>
      <c r="M2" s="30" t="s">
        <v>70</v>
      </c>
      <c r="N2" s="64"/>
    </row>
    <row r="3" spans="1:14" x14ac:dyDescent="0.25">
      <c r="A3" s="1" t="s">
        <v>27</v>
      </c>
      <c r="B3" s="21" t="s">
        <v>28</v>
      </c>
      <c r="C3" s="49" t="s">
        <v>25</v>
      </c>
      <c r="D3" s="49" t="s">
        <v>26</v>
      </c>
      <c r="E3" s="50" t="s">
        <v>29</v>
      </c>
      <c r="F3" s="1" t="s">
        <v>32</v>
      </c>
      <c r="G3" s="21" t="s">
        <v>33</v>
      </c>
      <c r="H3" s="21" t="s">
        <v>34</v>
      </c>
      <c r="I3" s="21" t="s">
        <v>35</v>
      </c>
      <c r="J3" s="50" t="s">
        <v>36</v>
      </c>
      <c r="K3" s="1" t="s">
        <v>18</v>
      </c>
      <c r="L3" s="50" t="s">
        <v>23</v>
      </c>
      <c r="M3" s="1" t="s">
        <v>18</v>
      </c>
      <c r="N3" s="50" t="s">
        <v>67</v>
      </c>
    </row>
    <row r="4" spans="1:14" x14ac:dyDescent="0.25">
      <c r="A4" s="51">
        <v>3.4500000000000003E-2</v>
      </c>
      <c r="B4" s="7">
        <f>(A4/168.19)*1000</f>
        <v>0.20512515607348836</v>
      </c>
      <c r="C4" s="7">
        <v>1</v>
      </c>
      <c r="D4" s="7">
        <v>4.12</v>
      </c>
      <c r="E4" s="8">
        <f>(D4*3*B4)/(C4*1)</f>
        <v>2.5353469290683162</v>
      </c>
      <c r="F4" s="51">
        <v>1.8242</v>
      </c>
      <c r="G4" s="7">
        <f>F4/1.1</f>
        <v>1.6583636363636363</v>
      </c>
      <c r="H4" s="7">
        <v>0.52190000000000003</v>
      </c>
      <c r="I4" s="7">
        <f>H4/1.04</f>
        <v>0.50182692307692311</v>
      </c>
      <c r="J4" s="8">
        <f>G4+I4</f>
        <v>2.1601905594405593</v>
      </c>
      <c r="K4" s="51">
        <f>E4/J4</f>
        <v>1.1736681831092317</v>
      </c>
      <c r="L4" s="8">
        <f>B4/J4</f>
        <v>9.4956972743465345E-2</v>
      </c>
      <c r="M4" s="51">
        <f>(K4*(10/1000))/(N4/1000)</f>
        <v>7.8244545540615454E-2</v>
      </c>
      <c r="N4" s="8">
        <v>150</v>
      </c>
    </row>
    <row r="5" spans="1:14" x14ac:dyDescent="0.25">
      <c r="A5" s="5"/>
      <c r="B5" s="5"/>
      <c r="C5" s="5"/>
      <c r="D5" s="5"/>
      <c r="E5" s="5"/>
      <c r="F5" s="12"/>
      <c r="G5" s="12"/>
      <c r="H5" s="12"/>
      <c r="I5" s="12"/>
      <c r="J5" s="12"/>
      <c r="K5" s="12"/>
      <c r="L5" s="12"/>
    </row>
    <row r="6" spans="1:14" x14ac:dyDescent="0.25">
      <c r="A6" s="40"/>
      <c r="B6" s="5"/>
      <c r="C6" s="5"/>
      <c r="D6" s="5"/>
      <c r="E6" s="5"/>
      <c r="F6" s="5"/>
      <c r="G6" s="5"/>
      <c r="H6" s="5"/>
      <c r="I6" s="5"/>
      <c r="J6" s="5"/>
    </row>
    <row r="7" spans="1:14" x14ac:dyDescent="0.25">
      <c r="A7" s="12"/>
      <c r="B7" s="12"/>
      <c r="C7" s="12"/>
      <c r="D7" s="65"/>
      <c r="E7" s="65"/>
      <c r="F7" s="65"/>
      <c r="G7" s="65"/>
      <c r="H7" s="65"/>
      <c r="I7" s="65"/>
    </row>
    <row r="8" spans="1:14" x14ac:dyDescent="0.25">
      <c r="A8" s="5"/>
      <c r="B8" s="5"/>
      <c r="C8" s="5"/>
      <c r="D8" s="5"/>
      <c r="E8" s="5"/>
      <c r="F8" s="5"/>
      <c r="G8" s="5"/>
      <c r="H8" s="5"/>
      <c r="I8" s="5"/>
    </row>
    <row r="9" spans="1:14" x14ac:dyDescent="0.25">
      <c r="A9" s="5"/>
      <c r="B9" s="5"/>
      <c r="C9" s="5"/>
      <c r="D9" s="5"/>
      <c r="E9" s="5"/>
      <c r="F9" s="5"/>
      <c r="G9" s="5"/>
      <c r="H9" s="5"/>
    </row>
    <row r="10" spans="1:14" x14ac:dyDescent="0.25">
      <c r="A10" s="5"/>
      <c r="B10" s="5"/>
      <c r="C10" s="5"/>
      <c r="D10" s="5"/>
      <c r="E10" s="5"/>
      <c r="F10" s="5"/>
      <c r="G10" s="5"/>
      <c r="H10" s="5"/>
    </row>
    <row r="12" spans="1:14" x14ac:dyDescent="0.25">
      <c r="A12" s="19"/>
    </row>
    <row r="13" spans="1:14" x14ac:dyDescent="0.25">
      <c r="A13" s="19"/>
      <c r="B13" s="19"/>
      <c r="C13" s="19"/>
      <c r="D13" s="19"/>
      <c r="E13" s="19"/>
      <c r="F13" s="19"/>
      <c r="G13" s="19"/>
      <c r="H13" s="19"/>
      <c r="I13" s="65"/>
      <c r="J13" s="65"/>
      <c r="K13" s="65"/>
      <c r="L13" s="65"/>
    </row>
    <row r="14" spans="1:14" x14ac:dyDescent="0.25">
      <c r="I14" s="5"/>
      <c r="J14" s="5"/>
      <c r="K14" s="5"/>
      <c r="L14" s="5"/>
    </row>
    <row r="15" spans="1:14" x14ac:dyDescent="0.25">
      <c r="I15" s="5"/>
      <c r="J15" s="5"/>
    </row>
    <row r="16" spans="1:14" x14ac:dyDescent="0.25">
      <c r="I16" s="5"/>
      <c r="J16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Solutions - (150uL)</vt:lpstr>
      <vt:lpstr>Rxn Solutions - Batch Correct</vt:lpstr>
      <vt:lpstr>Slug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dingw</dc:creator>
  <cp:lastModifiedBy>Paul Dingwall</cp:lastModifiedBy>
  <cp:lastPrinted>2022-04-28T14:27:25Z</cp:lastPrinted>
  <dcterms:created xsi:type="dcterms:W3CDTF">2022-02-20T17:07:15Z</dcterms:created>
  <dcterms:modified xsi:type="dcterms:W3CDTF">2023-02-24T12:55:29Z</dcterms:modified>
</cp:coreProperties>
</file>